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\Funding Decisions BY YEAR\FY24 Funding Decisions\11. CPC FY24 Funding\Nepal NOFO &amp; Annexes\Annexes\"/>
    </mc:Choice>
  </mc:AlternateContent>
  <xr:revisionPtr revIDLastSave="0" documentId="13_ncr:1_{3FD1628C-2894-4146-BFE6-D1F99545EC48}" xr6:coauthVersionLast="47" xr6:coauthVersionMax="47" xr10:uidLastSave="{00000000-0000-0000-0000-000000000000}"/>
  <bookViews>
    <workbookView xWindow="28680" yWindow="-120" windowWidth="29040" windowHeight="15840" firstSheet="2" activeTab="3" xr2:uid="{00000000-000D-0000-FFFF-FFFF00000000}"/>
  </bookViews>
  <sheets>
    <sheet name="SF424" sheetId="22" state="hidden" r:id="rId1"/>
    <sheet name="SF424A" sheetId="21" state="hidden" r:id="rId2"/>
    <sheet name="Budget Summary" sheetId="6" r:id="rId3"/>
    <sheet name="Line Item Budget" sheetId="5" r:id="rId4"/>
    <sheet name="Subgrantee Budget" sheetId="18" r:id="rId5"/>
    <sheet name="Detailed Budget (2)" sheetId="23" state="hidden" r:id="rId6"/>
    <sheet name="Sheet2" sheetId="24" state="hidden" r:id="rId7"/>
    <sheet name="Detailed Budget (3)" sheetId="25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_xlnm.Print_Area" localSheetId="2">'Budget Summary'!$A$1:$M$15</definedName>
    <definedName name="_xlnm.Print_Area" localSheetId="5">'Detailed Budget (2)'!$B$1:$Y$49</definedName>
    <definedName name="_xlnm.Print_Area" localSheetId="7">'Detailed Budget (3)'!$B$1:$Y$56</definedName>
    <definedName name="_xlnm.Print_Area" localSheetId="3">'Line Item Budget'!$B$1:$Y$59</definedName>
    <definedName name="_xlnm.Print_Area" localSheetId="4">'Subgrantee Budget'!$A$1:$S$51</definedName>
    <definedName name="_xlnm.Print_Titles" localSheetId="5">'Detailed Budget (2)'!$2:$2</definedName>
    <definedName name="_xlnm.Print_Titles" localSheetId="7">'Detailed Budget (3)'!$2:$2</definedName>
    <definedName name="_xlnm.Print_Titles" localSheetId="3">'Line Item Budget'!$2:$2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6" i="5" l="1"/>
  <c r="U46" i="5" s="1"/>
  <c r="N46" i="5"/>
  <c r="O46" i="5" s="1"/>
  <c r="H46" i="5"/>
  <c r="I46" i="5" s="1"/>
  <c r="W46" i="5" s="1"/>
  <c r="Y46" i="5" s="1"/>
  <c r="M22" i="5"/>
  <c r="M23" i="5"/>
  <c r="G23" i="5"/>
  <c r="H23" i="5" s="1"/>
  <c r="I23" i="5" s="1"/>
  <c r="G22" i="5"/>
  <c r="H22" i="5"/>
  <c r="I22" i="5"/>
  <c r="L23" i="5"/>
  <c r="N23" i="5" s="1"/>
  <c r="O23" i="5" s="1"/>
  <c r="R23" i="5"/>
  <c r="L22" i="5"/>
  <c r="N22" i="5"/>
  <c r="O22" i="5"/>
  <c r="R22" i="5"/>
  <c r="W10" i="5"/>
  <c r="Y10" i="5" s="1"/>
  <c r="W11" i="5"/>
  <c r="Y11" i="5"/>
  <c r="K11" i="5"/>
  <c r="Q11" i="5"/>
  <c r="S10" i="5"/>
  <c r="S22" i="5" s="1"/>
  <c r="T22" i="5" s="1"/>
  <c r="U22" i="5" s="1"/>
  <c r="S11" i="5"/>
  <c r="S23" i="5"/>
  <c r="T23" i="5"/>
  <c r="U23" i="5"/>
  <c r="L11" i="5"/>
  <c r="R11" i="5"/>
  <c r="L10" i="5"/>
  <c r="R10" i="5"/>
  <c r="K10" i="5"/>
  <c r="Q10" i="5"/>
  <c r="W23" i="5"/>
  <c r="Y23" i="5"/>
  <c r="T11" i="5"/>
  <c r="T10" i="5"/>
  <c r="I13" i="5"/>
  <c r="O13" i="5"/>
  <c r="C35" i="5"/>
  <c r="B20" i="25"/>
  <c r="AB53" i="25"/>
  <c r="AA53" i="25"/>
  <c r="Z53" i="25"/>
  <c r="AD50" i="25"/>
  <c r="L50" i="25"/>
  <c r="R50" i="25"/>
  <c r="K50" i="25"/>
  <c r="G50" i="25"/>
  <c r="L49" i="25"/>
  <c r="R49" i="25" s="1"/>
  <c r="K49" i="25"/>
  <c r="I49" i="25"/>
  <c r="O49" i="25"/>
  <c r="G49" i="25"/>
  <c r="L48" i="25"/>
  <c r="R48" i="25"/>
  <c r="K48" i="25"/>
  <c r="Q48" i="25"/>
  <c r="I48" i="25"/>
  <c r="G48" i="25"/>
  <c r="L47" i="25"/>
  <c r="R47" i="25"/>
  <c r="K47" i="25"/>
  <c r="Q47" i="25"/>
  <c r="G47" i="25"/>
  <c r="L46" i="25"/>
  <c r="R46" i="25"/>
  <c r="K46" i="25"/>
  <c r="Q46" i="25"/>
  <c r="G46" i="25"/>
  <c r="U45" i="25"/>
  <c r="O45" i="25"/>
  <c r="G45" i="25"/>
  <c r="H45" i="25"/>
  <c r="I45" i="25"/>
  <c r="U44" i="25"/>
  <c r="O44" i="25"/>
  <c r="P44" i="25"/>
  <c r="G44" i="25"/>
  <c r="H44" i="25"/>
  <c r="R43" i="25"/>
  <c r="K43" i="25"/>
  <c r="G43" i="25"/>
  <c r="H43" i="25"/>
  <c r="AB42" i="25"/>
  <c r="AA42" i="25"/>
  <c r="Z42" i="25"/>
  <c r="W40" i="25"/>
  <c r="L40" i="25"/>
  <c r="R40" i="25"/>
  <c r="K40" i="25"/>
  <c r="Q40" i="25"/>
  <c r="G40" i="25"/>
  <c r="M40" i="25"/>
  <c r="S40" i="25"/>
  <c r="R39" i="25"/>
  <c r="AB38" i="25"/>
  <c r="AA38" i="25"/>
  <c r="Z38" i="25"/>
  <c r="L36" i="25"/>
  <c r="R36" i="25"/>
  <c r="K36" i="25"/>
  <c r="Q36" i="25"/>
  <c r="G36" i="25"/>
  <c r="H36" i="25"/>
  <c r="L35" i="25"/>
  <c r="R35" i="25"/>
  <c r="K35" i="25"/>
  <c r="I35" i="25"/>
  <c r="G35" i="25"/>
  <c r="H35" i="25"/>
  <c r="J35" i="25"/>
  <c r="AB34" i="25"/>
  <c r="AA34" i="25"/>
  <c r="Z34" i="25"/>
  <c r="R32" i="25"/>
  <c r="Q32" i="25"/>
  <c r="O32" i="25"/>
  <c r="G32" i="25"/>
  <c r="M32" i="25"/>
  <c r="R31" i="25"/>
  <c r="Q31" i="25"/>
  <c r="I31" i="25"/>
  <c r="G31" i="25"/>
  <c r="R30" i="25"/>
  <c r="Q30" i="25"/>
  <c r="K30" i="25"/>
  <c r="G30" i="25"/>
  <c r="M30" i="25"/>
  <c r="N30" i="25" s="1"/>
  <c r="O30" i="25" s="1"/>
  <c r="S30" i="25"/>
  <c r="T30" i="25"/>
  <c r="U30" i="25"/>
  <c r="C30" i="25"/>
  <c r="H30" i="25"/>
  <c r="R29" i="25"/>
  <c r="Q29" i="25"/>
  <c r="K29" i="25"/>
  <c r="G29" i="25"/>
  <c r="C29" i="25"/>
  <c r="R28" i="25"/>
  <c r="G28" i="25"/>
  <c r="AB27" i="25"/>
  <c r="AA27" i="25"/>
  <c r="Z27" i="25"/>
  <c r="L25" i="25"/>
  <c r="I25" i="25"/>
  <c r="L24" i="25"/>
  <c r="R24" i="25"/>
  <c r="I24" i="25"/>
  <c r="O24" i="25" s="1"/>
  <c r="G24" i="25"/>
  <c r="M24" i="25"/>
  <c r="S24" i="25"/>
  <c r="L23" i="25"/>
  <c r="R23" i="25"/>
  <c r="I23" i="25"/>
  <c r="G23" i="25"/>
  <c r="M23" i="25"/>
  <c r="S23" i="25"/>
  <c r="L22" i="25"/>
  <c r="I22" i="25"/>
  <c r="G22" i="25"/>
  <c r="H22" i="25"/>
  <c r="J22" i="25"/>
  <c r="L19" i="25"/>
  <c r="R19" i="25"/>
  <c r="C19" i="25"/>
  <c r="B19" i="25"/>
  <c r="L18" i="25"/>
  <c r="C18" i="25"/>
  <c r="K18" i="25"/>
  <c r="Q18" i="25"/>
  <c r="B18" i="25"/>
  <c r="L17" i="25"/>
  <c r="R17" i="25"/>
  <c r="C17" i="25"/>
  <c r="K17" i="25"/>
  <c r="Q17" i="25"/>
  <c r="B17" i="25"/>
  <c r="L16" i="25"/>
  <c r="R16" i="25"/>
  <c r="C16" i="25"/>
  <c r="K16" i="25"/>
  <c r="Q16" i="25"/>
  <c r="B16" i="25"/>
  <c r="L15" i="25"/>
  <c r="R15" i="25"/>
  <c r="C15" i="25"/>
  <c r="K15" i="25"/>
  <c r="Q15" i="25"/>
  <c r="B15" i="25"/>
  <c r="AB13" i="25"/>
  <c r="AA13" i="25"/>
  <c r="Z13" i="25"/>
  <c r="L11" i="25"/>
  <c r="R11" i="25"/>
  <c r="I11" i="25"/>
  <c r="O11" i="25"/>
  <c r="U11" i="25"/>
  <c r="G11" i="25"/>
  <c r="M11" i="25"/>
  <c r="S11" i="25"/>
  <c r="C11" i="25"/>
  <c r="C25" i="25"/>
  <c r="L10" i="25"/>
  <c r="R10" i="25"/>
  <c r="I10" i="25"/>
  <c r="G10" i="25"/>
  <c r="M10" i="25"/>
  <c r="S10" i="25"/>
  <c r="C10" i="25"/>
  <c r="C24" i="25"/>
  <c r="L9" i="25"/>
  <c r="R9" i="25"/>
  <c r="K9" i="25"/>
  <c r="Q9" i="25"/>
  <c r="G9" i="25"/>
  <c r="M9" i="25"/>
  <c r="M19" i="25" s="1"/>
  <c r="S9" i="25"/>
  <c r="S19" i="25"/>
  <c r="G19" i="25"/>
  <c r="L8" i="25"/>
  <c r="R8" i="25"/>
  <c r="K8" i="25"/>
  <c r="G8" i="25"/>
  <c r="L7" i="25"/>
  <c r="K7" i="25"/>
  <c r="G7" i="25"/>
  <c r="M7" i="25" s="1"/>
  <c r="G17" i="25"/>
  <c r="H17" i="25"/>
  <c r="I17" i="25"/>
  <c r="X6" i="25"/>
  <c r="AB6" i="25"/>
  <c r="L6" i="25"/>
  <c r="R6" i="25"/>
  <c r="K6" i="25"/>
  <c r="G6" i="25"/>
  <c r="G16" i="25"/>
  <c r="L5" i="25"/>
  <c r="R5" i="25"/>
  <c r="K5" i="25"/>
  <c r="G5" i="25"/>
  <c r="M5" i="25"/>
  <c r="V3" i="25"/>
  <c r="P3" i="25"/>
  <c r="J3" i="25"/>
  <c r="A1" i="25"/>
  <c r="N9" i="25"/>
  <c r="H11" i="25"/>
  <c r="J11" i="25"/>
  <c r="R7" i="25"/>
  <c r="M22" i="25"/>
  <c r="S22" i="25"/>
  <c r="K11" i="25"/>
  <c r="V30" i="25"/>
  <c r="Q5" i="25"/>
  <c r="Q8" i="25"/>
  <c r="H10" i="25"/>
  <c r="Q11" i="25"/>
  <c r="W11" i="25"/>
  <c r="H7" i="25"/>
  <c r="H9" i="25"/>
  <c r="K25" i="25"/>
  <c r="Q25" i="25"/>
  <c r="H32" i="25"/>
  <c r="J32" i="25"/>
  <c r="O25" i="25"/>
  <c r="U25" i="25"/>
  <c r="O48" i="25"/>
  <c r="U48" i="25"/>
  <c r="O31" i="25"/>
  <c r="U31" i="25"/>
  <c r="W31" i="25"/>
  <c r="O35" i="25"/>
  <c r="U35" i="25"/>
  <c r="L21" i="5"/>
  <c r="R21" i="5"/>
  <c r="L20" i="5"/>
  <c r="R20" i="5"/>
  <c r="L19" i="5"/>
  <c r="R19" i="5"/>
  <c r="L18" i="5"/>
  <c r="R18" i="5"/>
  <c r="AA11" i="25"/>
  <c r="I9" i="25"/>
  <c r="J9" i="25"/>
  <c r="C18" i="5"/>
  <c r="K18" i="5"/>
  <c r="Q18" i="5"/>
  <c r="C19" i="5"/>
  <c r="K19" i="5"/>
  <c r="Q19" i="5"/>
  <c r="C20" i="5"/>
  <c r="C21" i="5"/>
  <c r="C17" i="5"/>
  <c r="B18" i="5"/>
  <c r="B19" i="5"/>
  <c r="B20" i="5"/>
  <c r="B17" i="5"/>
  <c r="AB46" i="23"/>
  <c r="AA46" i="23"/>
  <c r="Z46" i="23"/>
  <c r="L43" i="23"/>
  <c r="R43" i="23"/>
  <c r="K43" i="23"/>
  <c r="Q43" i="23"/>
  <c r="G43" i="23"/>
  <c r="H43" i="23"/>
  <c r="I43" i="23"/>
  <c r="L42" i="23"/>
  <c r="R42" i="23"/>
  <c r="K42" i="23"/>
  <c r="I42" i="23"/>
  <c r="G42" i="23"/>
  <c r="H42" i="23"/>
  <c r="L41" i="23"/>
  <c r="R41" i="23"/>
  <c r="K41" i="23"/>
  <c r="Q41" i="23"/>
  <c r="I41" i="23"/>
  <c r="G41" i="23"/>
  <c r="M41" i="23"/>
  <c r="S41" i="23"/>
  <c r="L40" i="23"/>
  <c r="R40" i="23"/>
  <c r="K40" i="23"/>
  <c r="Q40" i="23"/>
  <c r="G40" i="23"/>
  <c r="H40" i="23"/>
  <c r="L39" i="23"/>
  <c r="R39" i="23"/>
  <c r="K39" i="23"/>
  <c r="Q39" i="23"/>
  <c r="G39" i="23"/>
  <c r="U38" i="23"/>
  <c r="O38" i="23"/>
  <c r="P38" i="23"/>
  <c r="G38" i="23"/>
  <c r="H38" i="23"/>
  <c r="U37" i="23"/>
  <c r="O37" i="23"/>
  <c r="G37" i="23"/>
  <c r="H37" i="23"/>
  <c r="R36" i="23"/>
  <c r="K36" i="23"/>
  <c r="G36" i="23"/>
  <c r="H36" i="23"/>
  <c r="AB35" i="23"/>
  <c r="AA35" i="23"/>
  <c r="Z35" i="23"/>
  <c r="W33" i="23"/>
  <c r="AA33" i="23"/>
  <c r="L33" i="23"/>
  <c r="R33" i="23"/>
  <c r="K33" i="23"/>
  <c r="Q33" i="23"/>
  <c r="G33" i="23"/>
  <c r="M33" i="23"/>
  <c r="S33" i="23"/>
  <c r="R32" i="23"/>
  <c r="AB31" i="23"/>
  <c r="AA31" i="23"/>
  <c r="Z31" i="23"/>
  <c r="L29" i="23"/>
  <c r="R29" i="23"/>
  <c r="K29" i="23"/>
  <c r="Q29" i="23"/>
  <c r="G29" i="23"/>
  <c r="M29" i="23"/>
  <c r="L28" i="23"/>
  <c r="R28" i="23"/>
  <c r="K28" i="23"/>
  <c r="I28" i="23"/>
  <c r="G28" i="23"/>
  <c r="AB27" i="23"/>
  <c r="AA27" i="23"/>
  <c r="Z27" i="23"/>
  <c r="R25" i="23"/>
  <c r="Q25" i="23"/>
  <c r="O25" i="23"/>
  <c r="U25" i="23"/>
  <c r="G25" i="23"/>
  <c r="R24" i="23"/>
  <c r="Q24" i="23"/>
  <c r="I24" i="23"/>
  <c r="O24" i="23"/>
  <c r="U24" i="23"/>
  <c r="G24" i="23"/>
  <c r="R23" i="23"/>
  <c r="Q23" i="23"/>
  <c r="K23" i="23"/>
  <c r="G23" i="23"/>
  <c r="C23" i="23"/>
  <c r="R22" i="23"/>
  <c r="Q22" i="23"/>
  <c r="K22" i="23"/>
  <c r="G22" i="23"/>
  <c r="M22" i="23"/>
  <c r="S22" i="23"/>
  <c r="C22" i="23"/>
  <c r="H22" i="23"/>
  <c r="R21" i="23"/>
  <c r="G21" i="23"/>
  <c r="AB20" i="23"/>
  <c r="AA20" i="23"/>
  <c r="Z20" i="23"/>
  <c r="L18" i="23"/>
  <c r="R18" i="23"/>
  <c r="I18" i="23"/>
  <c r="L17" i="23"/>
  <c r="R17" i="23"/>
  <c r="I17" i="23"/>
  <c r="O17" i="23"/>
  <c r="U17" i="23"/>
  <c r="G17" i="23"/>
  <c r="M17" i="23"/>
  <c r="S17" i="23"/>
  <c r="L16" i="23"/>
  <c r="R16" i="23"/>
  <c r="I16" i="23"/>
  <c r="G16" i="23"/>
  <c r="M16" i="23"/>
  <c r="S16" i="23"/>
  <c r="L15" i="23"/>
  <c r="R15" i="23"/>
  <c r="I15" i="23"/>
  <c r="G15" i="23"/>
  <c r="L14" i="23"/>
  <c r="R14" i="23"/>
  <c r="C14" i="23"/>
  <c r="K14" i="23"/>
  <c r="Q14" i="23"/>
  <c r="AB13" i="23"/>
  <c r="AA13" i="23"/>
  <c r="Z13" i="23"/>
  <c r="L11" i="23"/>
  <c r="R11" i="23"/>
  <c r="I11" i="23"/>
  <c r="G11" i="23"/>
  <c r="M11" i="23"/>
  <c r="S11" i="23"/>
  <c r="C11" i="23"/>
  <c r="K11" i="23"/>
  <c r="H11" i="23"/>
  <c r="L10" i="23"/>
  <c r="R10" i="23"/>
  <c r="I10" i="23"/>
  <c r="O10" i="23"/>
  <c r="U10" i="23"/>
  <c r="G10" i="23"/>
  <c r="M10" i="23"/>
  <c r="S10" i="23"/>
  <c r="C10" i="23"/>
  <c r="H10" i="23"/>
  <c r="L9" i="23"/>
  <c r="R9" i="23"/>
  <c r="K9" i="23"/>
  <c r="G9" i="23"/>
  <c r="M9" i="23"/>
  <c r="L8" i="23"/>
  <c r="R8" i="23"/>
  <c r="K8" i="23"/>
  <c r="Q8" i="23"/>
  <c r="G8" i="23"/>
  <c r="L7" i="23"/>
  <c r="R7" i="23"/>
  <c r="K7" i="23"/>
  <c r="G7" i="23"/>
  <c r="M7" i="23"/>
  <c r="S7" i="23"/>
  <c r="X6" i="23"/>
  <c r="AB6" i="23"/>
  <c r="L6" i="23"/>
  <c r="R6" i="23"/>
  <c r="K6" i="23"/>
  <c r="G6" i="23"/>
  <c r="H6" i="23"/>
  <c r="L5" i="23"/>
  <c r="R5" i="23"/>
  <c r="K5" i="23"/>
  <c r="Q5" i="23"/>
  <c r="G5" i="23"/>
  <c r="V3" i="23"/>
  <c r="P3" i="23"/>
  <c r="J3" i="23"/>
  <c r="A1" i="23"/>
  <c r="I6" i="23"/>
  <c r="I22" i="23"/>
  <c r="H29" i="23"/>
  <c r="M43" i="23"/>
  <c r="Q6" i="23"/>
  <c r="H9" i="23"/>
  <c r="I9" i="23"/>
  <c r="J10" i="23"/>
  <c r="C18" i="23"/>
  <c r="K18" i="23"/>
  <c r="Q18" i="23"/>
  <c r="K10" i="23"/>
  <c r="Q10" i="23"/>
  <c r="Q42" i="23"/>
  <c r="O16" i="23"/>
  <c r="S29" i="23"/>
  <c r="N29" i="23"/>
  <c r="M42" i="23"/>
  <c r="N42" i="23"/>
  <c r="O18" i="23"/>
  <c r="U18" i="23"/>
  <c r="M40" i="23"/>
  <c r="S40" i="23"/>
  <c r="T40" i="23"/>
  <c r="O41" i="23"/>
  <c r="J43" i="23"/>
  <c r="O28" i="23"/>
  <c r="H33" i="23"/>
  <c r="J33" i="23"/>
  <c r="I38" i="23"/>
  <c r="I40" i="23"/>
  <c r="N10" i="23"/>
  <c r="Q17" i="23"/>
  <c r="T17" i="23"/>
  <c r="C13" i="5"/>
  <c r="C27" i="5"/>
  <c r="K43" i="18"/>
  <c r="D43" i="18"/>
  <c r="H43" i="18"/>
  <c r="I43" i="18"/>
  <c r="C32" i="5"/>
  <c r="C31" i="5"/>
  <c r="Q32" i="5"/>
  <c r="Q31" i="5"/>
  <c r="K32" i="5"/>
  <c r="K31" i="5"/>
  <c r="N43" i="18"/>
  <c r="O43" i="18"/>
  <c r="I37" i="5"/>
  <c r="H37" i="5"/>
  <c r="O34" i="5"/>
  <c r="U34" i="5"/>
  <c r="I52" i="5"/>
  <c r="I51" i="5"/>
  <c r="S26" i="5"/>
  <c r="S25" i="5"/>
  <c r="N33" i="5"/>
  <c r="C12" i="5"/>
  <c r="K12" i="5"/>
  <c r="I33" i="5"/>
  <c r="O33" i="5"/>
  <c r="U33" i="5"/>
  <c r="I27" i="5"/>
  <c r="O27" i="5"/>
  <c r="I25" i="5"/>
  <c r="I26" i="5"/>
  <c r="O26" i="5"/>
  <c r="U26" i="5"/>
  <c r="I24" i="5"/>
  <c r="O24" i="5"/>
  <c r="I12" i="5"/>
  <c r="O12" i="5"/>
  <c r="D27" i="18"/>
  <c r="D40" i="18"/>
  <c r="K40" i="18"/>
  <c r="D39" i="18"/>
  <c r="H39" i="18"/>
  <c r="I39" i="18"/>
  <c r="Q39" i="18"/>
  <c r="S39" i="18"/>
  <c r="L39" i="18"/>
  <c r="R39" i="18" s="1"/>
  <c r="I38" i="18"/>
  <c r="G45" i="5"/>
  <c r="H45" i="5"/>
  <c r="G47" i="5"/>
  <c r="H47" i="5"/>
  <c r="G34" i="5"/>
  <c r="H34" i="5"/>
  <c r="O32" i="18"/>
  <c r="L43" i="18"/>
  <c r="L37" i="18"/>
  <c r="L36" i="18"/>
  <c r="L35" i="18"/>
  <c r="L34" i="18"/>
  <c r="I40" i="18"/>
  <c r="S47" i="18"/>
  <c r="S48" i="18"/>
  <c r="S44" i="18"/>
  <c r="S43" i="18"/>
  <c r="S45" i="18"/>
  <c r="S40" i="18"/>
  <c r="S38" i="18"/>
  <c r="S37" i="18"/>
  <c r="S36" i="18"/>
  <c r="S35" i="18"/>
  <c r="S34" i="18"/>
  <c r="S30" i="18"/>
  <c r="S29" i="18"/>
  <c r="S27" i="18"/>
  <c r="S23" i="18"/>
  <c r="S22" i="18"/>
  <c r="S24" i="18" s="1"/>
  <c r="S19" i="18"/>
  <c r="S18" i="18"/>
  <c r="S17" i="18"/>
  <c r="S16" i="18"/>
  <c r="S15" i="18"/>
  <c r="S14" i="18"/>
  <c r="S20" i="18"/>
  <c r="S10" i="18"/>
  <c r="S9" i="18"/>
  <c r="S8" i="18"/>
  <c r="S7" i="18"/>
  <c r="S6" i="18"/>
  <c r="S5" i="18"/>
  <c r="S11" i="18"/>
  <c r="P48" i="18"/>
  <c r="M48" i="18"/>
  <c r="J48" i="18"/>
  <c r="P45" i="18"/>
  <c r="M45" i="18"/>
  <c r="J45" i="18"/>
  <c r="P41" i="18"/>
  <c r="M41" i="18"/>
  <c r="J41" i="18"/>
  <c r="L32" i="18"/>
  <c r="P24" i="18"/>
  <c r="M24" i="18"/>
  <c r="J24" i="18"/>
  <c r="P20" i="18"/>
  <c r="M20" i="18"/>
  <c r="J20" i="18"/>
  <c r="P11" i="18"/>
  <c r="M11" i="18"/>
  <c r="J11" i="18"/>
  <c r="AB15" i="5"/>
  <c r="AB29" i="5"/>
  <c r="AB36" i="5"/>
  <c r="AB40" i="5"/>
  <c r="AB44" i="5"/>
  <c r="AB56" i="5"/>
  <c r="AA15" i="5"/>
  <c r="AA29" i="5"/>
  <c r="AA36" i="5"/>
  <c r="AA40" i="5"/>
  <c r="AA44" i="5"/>
  <c r="AA56" i="5"/>
  <c r="Z15" i="5"/>
  <c r="Z29" i="5"/>
  <c r="Z36" i="5"/>
  <c r="Z40" i="5"/>
  <c r="Z44" i="5"/>
  <c r="Z56" i="5"/>
  <c r="S27" i="5"/>
  <c r="N44" i="18"/>
  <c r="O44" i="18"/>
  <c r="O45" i="18" s="1"/>
  <c r="D44" i="18"/>
  <c r="K44" i="18"/>
  <c r="Q44" i="18"/>
  <c r="D38" i="18"/>
  <c r="K38" i="18"/>
  <c r="D34" i="18"/>
  <c r="H34" i="18"/>
  <c r="D35" i="18"/>
  <c r="H35" i="18"/>
  <c r="I35" i="18" s="1"/>
  <c r="R35" i="18" s="1"/>
  <c r="Q35" i="18"/>
  <c r="D37" i="18"/>
  <c r="N37" i="18"/>
  <c r="O37" i="18"/>
  <c r="R37" i="18"/>
  <c r="D36" i="18"/>
  <c r="N36" i="18" s="1"/>
  <c r="O36" i="18" s="1"/>
  <c r="G50" i="5"/>
  <c r="H50" i="5"/>
  <c r="I50" i="5"/>
  <c r="J50" i="5"/>
  <c r="G49" i="5"/>
  <c r="M49" i="5"/>
  <c r="L42" i="5"/>
  <c r="R42" i="5"/>
  <c r="K42" i="5"/>
  <c r="Q42" i="5"/>
  <c r="G42" i="5"/>
  <c r="M42" i="5"/>
  <c r="S42" i="5"/>
  <c r="G48" i="5"/>
  <c r="H48" i="5"/>
  <c r="I48" i="5"/>
  <c r="G8" i="5"/>
  <c r="G20" i="5"/>
  <c r="H20" i="5"/>
  <c r="I20" i="5"/>
  <c r="S53" i="5"/>
  <c r="L52" i="5"/>
  <c r="K52" i="5"/>
  <c r="L17" i="5"/>
  <c r="R17" i="5"/>
  <c r="D19" i="18"/>
  <c r="D18" i="18"/>
  <c r="D16" i="18"/>
  <c r="D15" i="18"/>
  <c r="D14" i="18"/>
  <c r="K14" i="18"/>
  <c r="D17" i="18"/>
  <c r="D10" i="18"/>
  <c r="D5" i="18"/>
  <c r="U48" i="5"/>
  <c r="U47" i="5"/>
  <c r="O48" i="5"/>
  <c r="P48" i="5"/>
  <c r="O47" i="5"/>
  <c r="P47" i="5"/>
  <c r="D29" i="18"/>
  <c r="H29" i="18"/>
  <c r="Q29" i="18" s="1"/>
  <c r="I29" i="18"/>
  <c r="R29" i="18"/>
  <c r="D30" i="18"/>
  <c r="C30" i="18"/>
  <c r="H30" i="18"/>
  <c r="D28" i="18"/>
  <c r="N28" i="18"/>
  <c r="P28" i="18"/>
  <c r="P32" i="18"/>
  <c r="P49" i="18"/>
  <c r="P51" i="18"/>
  <c r="K28" i="18"/>
  <c r="K32" i="18"/>
  <c r="C27" i="18"/>
  <c r="H27" i="18"/>
  <c r="D22" i="18"/>
  <c r="H22" i="18"/>
  <c r="I22" i="18"/>
  <c r="D47" i="18"/>
  <c r="D23" i="18"/>
  <c r="H23" i="18"/>
  <c r="C18" i="18"/>
  <c r="K18" i="18" s="1"/>
  <c r="H18" i="18"/>
  <c r="I18" i="18"/>
  <c r="C16" i="18"/>
  <c r="K16" i="18" s="1"/>
  <c r="C17" i="18"/>
  <c r="C19" i="18"/>
  <c r="C15" i="18"/>
  <c r="H15" i="18" s="1"/>
  <c r="I15" i="18"/>
  <c r="A19" i="18"/>
  <c r="A18" i="18"/>
  <c r="A17" i="18"/>
  <c r="A16" i="18"/>
  <c r="A15" i="18"/>
  <c r="D8" i="18"/>
  <c r="H8" i="18"/>
  <c r="K8" i="18"/>
  <c r="L8" i="18"/>
  <c r="N8" i="18"/>
  <c r="O8" i="18"/>
  <c r="D7" i="18"/>
  <c r="H7" i="18"/>
  <c r="D9" i="18"/>
  <c r="H9" i="18"/>
  <c r="D6" i="18"/>
  <c r="R45" i="5"/>
  <c r="K45" i="5"/>
  <c r="N45" i="5"/>
  <c r="O45" i="5"/>
  <c r="P45" i="5"/>
  <c r="G6" i="5"/>
  <c r="M6" i="5"/>
  <c r="J3" i="5"/>
  <c r="P3" i="5"/>
  <c r="R41" i="5"/>
  <c r="R34" i="5"/>
  <c r="R33" i="5"/>
  <c r="R32" i="5"/>
  <c r="R31" i="5"/>
  <c r="R30" i="5"/>
  <c r="L53" i="5"/>
  <c r="R53" i="5"/>
  <c r="L51" i="5"/>
  <c r="R51" i="5"/>
  <c r="L50" i="5"/>
  <c r="R50" i="5"/>
  <c r="L49" i="5"/>
  <c r="L38" i="5"/>
  <c r="R38" i="5"/>
  <c r="L37" i="5"/>
  <c r="R37" i="5"/>
  <c r="L27" i="5"/>
  <c r="R27" i="5"/>
  <c r="L26" i="5"/>
  <c r="R26" i="5"/>
  <c r="L25" i="5"/>
  <c r="R25" i="5"/>
  <c r="L24" i="5"/>
  <c r="R24" i="5"/>
  <c r="L13" i="5"/>
  <c r="R13" i="5"/>
  <c r="L12" i="5"/>
  <c r="R12" i="5"/>
  <c r="L9" i="5"/>
  <c r="R9" i="5"/>
  <c r="L8" i="5"/>
  <c r="R8" i="5"/>
  <c r="L7" i="5"/>
  <c r="R7" i="5"/>
  <c r="L6" i="5"/>
  <c r="R6" i="5"/>
  <c r="L5" i="5"/>
  <c r="R5" i="5"/>
  <c r="K53" i="5"/>
  <c r="K51" i="5"/>
  <c r="Q51" i="5"/>
  <c r="K50" i="5"/>
  <c r="Q50" i="5"/>
  <c r="K49" i="5"/>
  <c r="Q49" i="5"/>
  <c r="G32" i="5"/>
  <c r="M32" i="5"/>
  <c r="G31" i="5"/>
  <c r="M31" i="5"/>
  <c r="N31" i="5"/>
  <c r="G30" i="5"/>
  <c r="M30" i="5"/>
  <c r="K8" i="5"/>
  <c r="Q8" i="5"/>
  <c r="D30" i="21"/>
  <c r="F30" i="21"/>
  <c r="E30" i="21"/>
  <c r="G30" i="21"/>
  <c r="H57" i="21"/>
  <c r="G44" i="21"/>
  <c r="F44" i="21"/>
  <c r="H43" i="21"/>
  <c r="H42" i="21"/>
  <c r="H41" i="21"/>
  <c r="B53" i="21"/>
  <c r="H26" i="21"/>
  <c r="E16" i="21"/>
  <c r="D16" i="21"/>
  <c r="H15" i="21"/>
  <c r="H14" i="21"/>
  <c r="H13" i="21"/>
  <c r="H12" i="21"/>
  <c r="G38" i="5"/>
  <c r="M38" i="5"/>
  <c r="S38" i="5"/>
  <c r="K9" i="5"/>
  <c r="Q9" i="5"/>
  <c r="K7" i="5"/>
  <c r="Q7" i="5"/>
  <c r="K6" i="5"/>
  <c r="Q6" i="5"/>
  <c r="K5" i="5"/>
  <c r="Q5" i="5"/>
  <c r="K38" i="5"/>
  <c r="K37" i="5"/>
  <c r="Q37" i="5"/>
  <c r="H9" i="5"/>
  <c r="G7" i="5"/>
  <c r="H7" i="5"/>
  <c r="I7" i="5"/>
  <c r="G5" i="5"/>
  <c r="M5" i="5"/>
  <c r="N59" i="18"/>
  <c r="A1" i="5"/>
  <c r="H23" i="21"/>
  <c r="Q33" i="5"/>
  <c r="Q34" i="5"/>
  <c r="V3" i="5"/>
  <c r="R49" i="5"/>
  <c r="X6" i="5"/>
  <c r="AB6" i="5"/>
  <c r="K22" i="18"/>
  <c r="H51" i="5"/>
  <c r="H38" i="5"/>
  <c r="I38" i="5"/>
  <c r="R52" i="5"/>
  <c r="W42" i="5"/>
  <c r="AA42" i="5"/>
  <c r="K7" i="18"/>
  <c r="N7" i="18"/>
  <c r="O7" i="18"/>
  <c r="L7" i="18"/>
  <c r="N18" i="18"/>
  <c r="O18" i="18"/>
  <c r="L18" i="18"/>
  <c r="K9" i="18"/>
  <c r="L9" i="18"/>
  <c r="N9" i="18"/>
  <c r="R28" i="18"/>
  <c r="K17" i="5"/>
  <c r="Q17" i="5"/>
  <c r="Q43" i="18"/>
  <c r="Q45" i="18"/>
  <c r="S51" i="5"/>
  <c r="M37" i="5"/>
  <c r="S37" i="5"/>
  <c r="H53" i="5"/>
  <c r="I53" i="5"/>
  <c r="O53" i="5"/>
  <c r="S52" i="5"/>
  <c r="H52" i="5"/>
  <c r="J52" i="5"/>
  <c r="H33" i="5"/>
  <c r="S24" i="5"/>
  <c r="H24" i="5"/>
  <c r="J24" i="5"/>
  <c r="S34" i="5"/>
  <c r="N34" i="5"/>
  <c r="S33" i="5"/>
  <c r="Q38" i="18"/>
  <c r="I43" i="25"/>
  <c r="J22" i="23"/>
  <c r="W25" i="23"/>
  <c r="O42" i="23"/>
  <c r="U42" i="23"/>
  <c r="L22" i="18"/>
  <c r="N22" i="18"/>
  <c r="M9" i="5"/>
  <c r="M21" i="5"/>
  <c r="K6" i="18"/>
  <c r="H6" i="18"/>
  <c r="K19" i="18"/>
  <c r="H19" i="18"/>
  <c r="I23" i="18"/>
  <c r="K23" i="18"/>
  <c r="K24" i="18"/>
  <c r="P37" i="23"/>
  <c r="I9" i="18"/>
  <c r="I27" i="18"/>
  <c r="N22" i="23"/>
  <c r="N36" i="23"/>
  <c r="Q36" i="23"/>
  <c r="T36" i="23"/>
  <c r="Q7" i="25"/>
  <c r="N7" i="25"/>
  <c r="AA40" i="25"/>
  <c r="I44" i="25"/>
  <c r="J44" i="25"/>
  <c r="P45" i="25"/>
  <c r="Q49" i="25"/>
  <c r="Q50" i="25"/>
  <c r="Q18" i="18"/>
  <c r="K47" i="18"/>
  <c r="H47" i="18"/>
  <c r="N47" i="18"/>
  <c r="W18" i="23"/>
  <c r="AA18" i="23"/>
  <c r="W24" i="23"/>
  <c r="S43" i="23"/>
  <c r="N43" i="23"/>
  <c r="H28" i="25"/>
  <c r="M28" i="25"/>
  <c r="Q35" i="25"/>
  <c r="M48" i="25"/>
  <c r="H48" i="25"/>
  <c r="M49" i="25"/>
  <c r="H49" i="25"/>
  <c r="H45" i="18"/>
  <c r="H42" i="5"/>
  <c r="J42" i="5"/>
  <c r="I7" i="18"/>
  <c r="R7" i="18"/>
  <c r="Q7" i="18"/>
  <c r="H24" i="18"/>
  <c r="H49" i="5"/>
  <c r="I49" i="5"/>
  <c r="N32" i="18"/>
  <c r="S41" i="18"/>
  <c r="P10" i="23"/>
  <c r="J9" i="23"/>
  <c r="Q16" i="23"/>
  <c r="T16" i="23"/>
  <c r="T10" i="23"/>
  <c r="V10" i="23"/>
  <c r="X10" i="23"/>
  <c r="J38" i="23"/>
  <c r="W38" i="23"/>
  <c r="AA38" i="23"/>
  <c r="U41" i="23"/>
  <c r="W41" i="23"/>
  <c r="K17" i="23"/>
  <c r="N17" i="23"/>
  <c r="P17" i="23"/>
  <c r="K16" i="23"/>
  <c r="N16" i="23"/>
  <c r="P16" i="23"/>
  <c r="N11" i="23"/>
  <c r="Q11" i="23"/>
  <c r="T11" i="23" s="1"/>
  <c r="Q9" i="23"/>
  <c r="H24" i="23"/>
  <c r="M24" i="23"/>
  <c r="M25" i="23"/>
  <c r="H25" i="23"/>
  <c r="J25" i="23"/>
  <c r="Q28" i="23"/>
  <c r="T29" i="23"/>
  <c r="H39" i="23"/>
  <c r="M39" i="23"/>
  <c r="N39" i="23"/>
  <c r="K20" i="5"/>
  <c r="Q20" i="5"/>
  <c r="J10" i="25"/>
  <c r="P30" i="25"/>
  <c r="H10" i="18"/>
  <c r="K10" i="18"/>
  <c r="N41" i="18"/>
  <c r="Q36" i="18"/>
  <c r="R36" i="18"/>
  <c r="M28" i="18"/>
  <c r="M32" i="18"/>
  <c r="M49" i="18"/>
  <c r="M51" i="18"/>
  <c r="U28" i="23"/>
  <c r="W28" i="23"/>
  <c r="AA28" i="23"/>
  <c r="M5" i="23"/>
  <c r="H5" i="23"/>
  <c r="O11" i="23"/>
  <c r="U11" i="23"/>
  <c r="V11" i="23"/>
  <c r="H15" i="23"/>
  <c r="M15" i="23"/>
  <c r="Q6" i="25"/>
  <c r="U24" i="25"/>
  <c r="W24" i="25"/>
  <c r="I30" i="25"/>
  <c r="H28" i="18"/>
  <c r="K15" i="18"/>
  <c r="J40" i="23"/>
  <c r="N40" i="23"/>
  <c r="H8" i="23"/>
  <c r="M8" i="23"/>
  <c r="J11" i="23"/>
  <c r="T22" i="23"/>
  <c r="W48" i="25"/>
  <c r="H24" i="25"/>
  <c r="J24" i="25"/>
  <c r="I29" i="23"/>
  <c r="J29" i="23"/>
  <c r="C15" i="23"/>
  <c r="K15" i="23"/>
  <c r="Q15" i="23"/>
  <c r="C16" i="23"/>
  <c r="H16" i="23"/>
  <c r="N41" i="23"/>
  <c r="P41" i="23"/>
  <c r="W45" i="25"/>
  <c r="M8" i="25"/>
  <c r="S8" i="25"/>
  <c r="G18" i="25"/>
  <c r="H18" i="25"/>
  <c r="I18" i="25"/>
  <c r="H8" i="25"/>
  <c r="I8" i="25"/>
  <c r="O23" i="25"/>
  <c r="H37" i="25"/>
  <c r="Q43" i="25"/>
  <c r="T43" i="25"/>
  <c r="N43" i="25"/>
  <c r="O43" i="25"/>
  <c r="P43" i="25"/>
  <c r="AA31" i="25"/>
  <c r="M6" i="25"/>
  <c r="M16" i="25"/>
  <c r="N16" i="25"/>
  <c r="H6" i="25"/>
  <c r="R22" i="25"/>
  <c r="T22" i="25"/>
  <c r="N22" i="25"/>
  <c r="H31" i="25"/>
  <c r="M31" i="25"/>
  <c r="H46" i="25"/>
  <c r="M46" i="25"/>
  <c r="M47" i="25"/>
  <c r="H47" i="25"/>
  <c r="H50" i="25"/>
  <c r="M50" i="25"/>
  <c r="S50" i="25"/>
  <c r="T11" i="25"/>
  <c r="V11" i="25"/>
  <c r="N5" i="25"/>
  <c r="N11" i="25"/>
  <c r="P11" i="25"/>
  <c r="G15" i="25"/>
  <c r="H15" i="25"/>
  <c r="H5" i="25"/>
  <c r="G25" i="25"/>
  <c r="M25" i="25"/>
  <c r="K19" i="25"/>
  <c r="Q19" i="25"/>
  <c r="T19" i="25"/>
  <c r="U19" i="25"/>
  <c r="H19" i="25"/>
  <c r="I19" i="25"/>
  <c r="O22" i="25"/>
  <c r="U22" i="25"/>
  <c r="H40" i="25"/>
  <c r="J40" i="25"/>
  <c r="T40" i="25"/>
  <c r="V40" i="25"/>
  <c r="N40" i="25"/>
  <c r="P40" i="25"/>
  <c r="J45" i="25"/>
  <c r="X45" i="25"/>
  <c r="AB45" i="25" s="1"/>
  <c r="S31" i="25"/>
  <c r="T31" i="25"/>
  <c r="V31" i="25"/>
  <c r="N31" i="25"/>
  <c r="P31" i="25"/>
  <c r="I6" i="25"/>
  <c r="M18" i="25"/>
  <c r="N8" i="25"/>
  <c r="I5" i="25"/>
  <c r="H25" i="25"/>
  <c r="J25" i="25"/>
  <c r="O5" i="25"/>
  <c r="I50" i="25"/>
  <c r="J31" i="25"/>
  <c r="X31" i="25" s="1"/>
  <c r="N6" i="25"/>
  <c r="U23" i="25"/>
  <c r="W23" i="25"/>
  <c r="J16" i="23"/>
  <c r="X44" i="25"/>
  <c r="AB44" i="25"/>
  <c r="O39" i="23"/>
  <c r="P39" i="23"/>
  <c r="V19" i="25"/>
  <c r="I10" i="18"/>
  <c r="I39" i="23"/>
  <c r="P11" i="23"/>
  <c r="X38" i="23"/>
  <c r="AB38" i="23"/>
  <c r="O7" i="25"/>
  <c r="U36" i="23"/>
  <c r="O22" i="18"/>
  <c r="S47" i="25"/>
  <c r="T47" i="25"/>
  <c r="N47" i="25"/>
  <c r="O47" i="25"/>
  <c r="P22" i="25"/>
  <c r="U43" i="25"/>
  <c r="U22" i="23"/>
  <c r="O40" i="23"/>
  <c r="Q28" i="18"/>
  <c r="J28" i="18"/>
  <c r="AA24" i="25"/>
  <c r="S15" i="23"/>
  <c r="T15" i="23"/>
  <c r="N15" i="23"/>
  <c r="U29" i="23"/>
  <c r="V29" i="23"/>
  <c r="N24" i="23"/>
  <c r="P24" i="23"/>
  <c r="S24" i="23"/>
  <c r="T24" i="23"/>
  <c r="V24" i="23"/>
  <c r="Q22" i="18"/>
  <c r="H48" i="18"/>
  <c r="I47" i="18"/>
  <c r="O36" i="23"/>
  <c r="P36" i="23" s="1"/>
  <c r="N44" i="23"/>
  <c r="P42" i="23"/>
  <c r="L6" i="18"/>
  <c r="N6" i="18"/>
  <c r="N25" i="23"/>
  <c r="P25" i="23"/>
  <c r="S25" i="23"/>
  <c r="T25" i="23"/>
  <c r="V25" i="23"/>
  <c r="J49" i="25"/>
  <c r="I28" i="25"/>
  <c r="J28" i="25"/>
  <c r="W44" i="25"/>
  <c r="Y44" i="25"/>
  <c r="Z44" i="25"/>
  <c r="O22" i="23"/>
  <c r="P22" i="23"/>
  <c r="L23" i="18"/>
  <c r="N23" i="18"/>
  <c r="Q23" i="18" s="1"/>
  <c r="Q24" i="18" s="1"/>
  <c r="O23" i="18"/>
  <c r="N46" i="25"/>
  <c r="S46" i="25"/>
  <c r="I30" i="23"/>
  <c r="AA48" i="25"/>
  <c r="S5" i="23"/>
  <c r="T5" i="23"/>
  <c r="N5" i="23"/>
  <c r="J24" i="23"/>
  <c r="J48" i="25"/>
  <c r="L47" i="18"/>
  <c r="L48" i="18"/>
  <c r="K48" i="18"/>
  <c r="AA45" i="25"/>
  <c r="I19" i="18"/>
  <c r="S9" i="5"/>
  <c r="S21" i="5"/>
  <c r="L24" i="18"/>
  <c r="S8" i="23"/>
  <c r="T8" i="23"/>
  <c r="N8" i="23"/>
  <c r="L10" i="18"/>
  <c r="N10" i="18"/>
  <c r="O10" i="18"/>
  <c r="S39" i="23"/>
  <c r="M44" i="23"/>
  <c r="AA41" i="23"/>
  <c r="Y38" i="23"/>
  <c r="Z38" i="23"/>
  <c r="AA24" i="23"/>
  <c r="N48" i="25"/>
  <c r="S48" i="25"/>
  <c r="T48" i="25"/>
  <c r="V48" i="25"/>
  <c r="N28" i="25"/>
  <c r="S28" i="25"/>
  <c r="T28" i="25"/>
  <c r="N50" i="25"/>
  <c r="V39" i="25"/>
  <c r="V41" i="25"/>
  <c r="V32" i="23"/>
  <c r="V41" i="5"/>
  <c r="L19" i="18"/>
  <c r="N19" i="18"/>
  <c r="O19" i="18"/>
  <c r="R19" i="18"/>
  <c r="W42" i="23"/>
  <c r="AA42" i="23"/>
  <c r="AA23" i="25"/>
  <c r="T39" i="23"/>
  <c r="O24" i="18"/>
  <c r="O50" i="25"/>
  <c r="O6" i="18"/>
  <c r="V43" i="25"/>
  <c r="U47" i="25"/>
  <c r="V47" i="25"/>
  <c r="R10" i="18"/>
  <c r="U8" i="23"/>
  <c r="V8" i="23" s="1"/>
  <c r="T46" i="25"/>
  <c r="S28" i="18"/>
  <c r="S32" i="18"/>
  <c r="S49" i="18"/>
  <c r="S51" i="18"/>
  <c r="J32" i="18"/>
  <c r="W22" i="23"/>
  <c r="Q19" i="18"/>
  <c r="X24" i="23"/>
  <c r="Y24" i="23"/>
  <c r="Z24" i="23"/>
  <c r="Y45" i="25"/>
  <c r="Z45" i="25"/>
  <c r="I48" i="18"/>
  <c r="AB10" i="23"/>
  <c r="U30" i="23"/>
  <c r="Q10" i="18"/>
  <c r="S25" i="25"/>
  <c r="S18" i="25"/>
  <c r="T8" i="25"/>
  <c r="U5" i="23"/>
  <c r="V5" i="23"/>
  <c r="X40" i="25"/>
  <c r="Y40" i="25"/>
  <c r="Z40" i="25"/>
  <c r="O46" i="25"/>
  <c r="P46" i="25"/>
  <c r="O28" i="25"/>
  <c r="O8" i="23"/>
  <c r="P8" i="23"/>
  <c r="O5" i="23"/>
  <c r="X11" i="25"/>
  <c r="Y11" i="25"/>
  <c r="Z11" i="25"/>
  <c r="AB11" i="25"/>
  <c r="P40" i="23"/>
  <c r="N24" i="18"/>
  <c r="V36" i="23"/>
  <c r="J39" i="23"/>
  <c r="O16" i="25"/>
  <c r="J50" i="25"/>
  <c r="P5" i="25"/>
  <c r="J5" i="25"/>
  <c r="O8" i="25"/>
  <c r="P8" i="25"/>
  <c r="V22" i="25"/>
  <c r="X22" i="25"/>
  <c r="AB22" i="25"/>
  <c r="P28" i="25"/>
  <c r="U39" i="23"/>
  <c r="P16" i="25"/>
  <c r="P5" i="23"/>
  <c r="U8" i="25"/>
  <c r="V8" i="25"/>
  <c r="W8" i="25"/>
  <c r="U46" i="25"/>
  <c r="V46" i="25"/>
  <c r="U40" i="23"/>
  <c r="V40" i="23" s="1"/>
  <c r="M28" i="23"/>
  <c r="H28" i="23"/>
  <c r="R18" i="25"/>
  <c r="N18" i="25"/>
  <c r="R25" i="25"/>
  <c r="N25" i="25"/>
  <c r="W39" i="23"/>
  <c r="AA39" i="23"/>
  <c r="V39" i="23"/>
  <c r="AA22" i="23"/>
  <c r="U50" i="25"/>
  <c r="P50" i="25"/>
  <c r="W50" i="25"/>
  <c r="I34" i="18"/>
  <c r="H41" i="18"/>
  <c r="Q34" i="18"/>
  <c r="X25" i="23"/>
  <c r="Y25" i="23"/>
  <c r="Z25" i="23"/>
  <c r="AB25" i="23"/>
  <c r="I24" i="18"/>
  <c r="R22" i="18"/>
  <c r="Y31" i="25"/>
  <c r="AB31" i="25"/>
  <c r="W43" i="25"/>
  <c r="O51" i="25"/>
  <c r="AA43" i="25"/>
  <c r="L15" i="18"/>
  <c r="N15" i="18"/>
  <c r="O15" i="18"/>
  <c r="Q15" i="18"/>
  <c r="AA8" i="25"/>
  <c r="AB24" i="23"/>
  <c r="T25" i="25"/>
  <c r="V25" i="25"/>
  <c r="U28" i="25"/>
  <c r="V28" i="25" s="1"/>
  <c r="P47" i="25"/>
  <c r="X11" i="23"/>
  <c r="AB11" i="23"/>
  <c r="I47" i="25"/>
  <c r="T18" i="25"/>
  <c r="P48" i="25"/>
  <c r="P39" i="25"/>
  <c r="P41" i="25"/>
  <c r="P41" i="5"/>
  <c r="P32" i="23"/>
  <c r="W22" i="25"/>
  <c r="Y22" i="25"/>
  <c r="Z22" i="25"/>
  <c r="W11" i="23"/>
  <c r="Y11" i="23"/>
  <c r="Z11" i="23"/>
  <c r="I15" i="25"/>
  <c r="V22" i="23"/>
  <c r="N49" i="25"/>
  <c r="N51" i="25" s="1"/>
  <c r="S49" i="25"/>
  <c r="S51" i="25"/>
  <c r="M51" i="25"/>
  <c r="Q47" i="18"/>
  <c r="Q48" i="18"/>
  <c r="O47" i="18"/>
  <c r="N48" i="18"/>
  <c r="G19" i="5"/>
  <c r="Q27" i="18"/>
  <c r="H32" i="18"/>
  <c r="W35" i="25"/>
  <c r="I7" i="25"/>
  <c r="J7" i="25"/>
  <c r="O6" i="25"/>
  <c r="P7" i="25"/>
  <c r="R23" i="18"/>
  <c r="H17" i="18"/>
  <c r="K17" i="18"/>
  <c r="L16" i="18"/>
  <c r="N16" i="18"/>
  <c r="O16" i="18"/>
  <c r="J8" i="25"/>
  <c r="S6" i="25"/>
  <c r="H12" i="25"/>
  <c r="I46" i="25"/>
  <c r="H51" i="25"/>
  <c r="J30" i="25"/>
  <c r="W30" i="25"/>
  <c r="Z31" i="25"/>
  <c r="I8" i="23"/>
  <c r="I5" i="23"/>
  <c r="R27" i="18"/>
  <c r="R18" i="18"/>
  <c r="Q30" i="18"/>
  <c r="I30" i="18"/>
  <c r="I32" i="18" s="1"/>
  <c r="R30" i="18"/>
  <c r="K5" i="18"/>
  <c r="H5" i="18"/>
  <c r="Q40" i="18"/>
  <c r="L40" i="18"/>
  <c r="R40" i="18"/>
  <c r="O41" i="18"/>
  <c r="Q6" i="18"/>
  <c r="I6" i="18"/>
  <c r="R6" i="18"/>
  <c r="O9" i="18"/>
  <c r="R9" i="18"/>
  <c r="Q9" i="18"/>
  <c r="O29" i="23"/>
  <c r="P29" i="23"/>
  <c r="S9" i="23"/>
  <c r="T9" i="23"/>
  <c r="N9" i="23"/>
  <c r="J15" i="23"/>
  <c r="O15" i="23"/>
  <c r="N19" i="25"/>
  <c r="Q7" i="23"/>
  <c r="T7" i="23"/>
  <c r="N7" i="23"/>
  <c r="I36" i="23"/>
  <c r="J36" i="23"/>
  <c r="Q37" i="18"/>
  <c r="H16" i="18"/>
  <c r="AA25" i="23"/>
  <c r="J42" i="23"/>
  <c r="M15" i="25"/>
  <c r="N15" i="25"/>
  <c r="S5" i="25"/>
  <c r="S15" i="25"/>
  <c r="T15" i="25"/>
  <c r="U49" i="25"/>
  <c r="W49" i="25"/>
  <c r="L38" i="18"/>
  <c r="K41" i="18"/>
  <c r="N45" i="18"/>
  <c r="U16" i="23"/>
  <c r="W10" i="23"/>
  <c r="Y10" i="23"/>
  <c r="Z10" i="23"/>
  <c r="W17" i="23"/>
  <c r="AA17" i="23"/>
  <c r="I45" i="18"/>
  <c r="R43" i="18"/>
  <c r="I37" i="23"/>
  <c r="J37" i="23"/>
  <c r="I36" i="25"/>
  <c r="J36" i="25"/>
  <c r="J43" i="25"/>
  <c r="AA44" i="25"/>
  <c r="H14" i="18"/>
  <c r="I47" i="5"/>
  <c r="M6" i="23"/>
  <c r="S6" i="23"/>
  <c r="T6" i="23" s="1"/>
  <c r="H41" i="23"/>
  <c r="H44" i="23"/>
  <c r="O9" i="25"/>
  <c r="N14" i="18"/>
  <c r="L14" i="18"/>
  <c r="V17" i="23"/>
  <c r="H21" i="23"/>
  <c r="M21" i="23"/>
  <c r="O43" i="23"/>
  <c r="P43" i="23" s="1"/>
  <c r="O52" i="5"/>
  <c r="U52" i="5"/>
  <c r="S42" i="23"/>
  <c r="S44" i="23"/>
  <c r="G18" i="23"/>
  <c r="N33" i="23"/>
  <c r="T33" i="23"/>
  <c r="V33" i="23"/>
  <c r="V34" i="23"/>
  <c r="S32" i="25"/>
  <c r="T32" i="25"/>
  <c r="N32" i="25"/>
  <c r="Q8" i="18"/>
  <c r="I8" i="18"/>
  <c r="R8" i="18"/>
  <c r="H23" i="23"/>
  <c r="M23" i="23"/>
  <c r="S23" i="23"/>
  <c r="T23" i="23"/>
  <c r="T41" i="23"/>
  <c r="V41" i="23"/>
  <c r="M17" i="25"/>
  <c r="N17" i="25"/>
  <c r="S7" i="25"/>
  <c r="H16" i="25"/>
  <c r="I16" i="25"/>
  <c r="W25" i="25"/>
  <c r="H29" i="25"/>
  <c r="M29" i="25"/>
  <c r="S29" i="25"/>
  <c r="T29" i="25"/>
  <c r="C17" i="23"/>
  <c r="H17" i="23"/>
  <c r="H7" i="23"/>
  <c r="G14" i="23" s="1"/>
  <c r="M14" i="23" s="1"/>
  <c r="S14" i="23" s="1"/>
  <c r="K10" i="25"/>
  <c r="O10" i="25"/>
  <c r="M36" i="25"/>
  <c r="U32" i="25"/>
  <c r="V32" i="25" s="1"/>
  <c r="W32" i="25"/>
  <c r="M35" i="25"/>
  <c r="C23" i="25"/>
  <c r="H23" i="25"/>
  <c r="C22" i="25"/>
  <c r="K22" i="25"/>
  <c r="Q22" i="25"/>
  <c r="AA25" i="25"/>
  <c r="X37" i="23"/>
  <c r="AB37" i="23"/>
  <c r="AA32" i="25"/>
  <c r="X36" i="23"/>
  <c r="X29" i="23"/>
  <c r="AB29" i="23"/>
  <c r="J37" i="25"/>
  <c r="N17" i="18"/>
  <c r="O17" i="18"/>
  <c r="L17" i="18"/>
  <c r="L20" i="18"/>
  <c r="O17" i="25"/>
  <c r="P17" i="25"/>
  <c r="U6" i="23"/>
  <c r="T14" i="23"/>
  <c r="T12" i="23"/>
  <c r="P44" i="23"/>
  <c r="AA11" i="23"/>
  <c r="I7" i="23"/>
  <c r="J7" i="23"/>
  <c r="P32" i="25"/>
  <c r="I21" i="23"/>
  <c r="H26" i="23"/>
  <c r="AA49" i="25"/>
  <c r="N6" i="23"/>
  <c r="AA50" i="25"/>
  <c r="X39" i="23"/>
  <c r="AB39" i="23"/>
  <c r="N29" i="25"/>
  <c r="H30" i="23"/>
  <c r="J28" i="23"/>
  <c r="S17" i="25"/>
  <c r="T17" i="25"/>
  <c r="T7" i="25"/>
  <c r="S16" i="25"/>
  <c r="T16" i="25"/>
  <c r="T6" i="25"/>
  <c r="T42" i="23"/>
  <c r="J17" i="23"/>
  <c r="U15" i="25"/>
  <c r="V15" i="25"/>
  <c r="P25" i="25"/>
  <c r="T49" i="25"/>
  <c r="J5" i="23"/>
  <c r="I12" i="23"/>
  <c r="W5" i="23"/>
  <c r="AA5" i="23"/>
  <c r="X30" i="25"/>
  <c r="AB30" i="25"/>
  <c r="I12" i="25"/>
  <c r="P49" i="25"/>
  <c r="M18" i="23"/>
  <c r="H18" i="23"/>
  <c r="I16" i="18"/>
  <c r="R16" i="18"/>
  <c r="Q16" i="18"/>
  <c r="J41" i="23"/>
  <c r="J44" i="23" s="1"/>
  <c r="R32" i="18"/>
  <c r="O12" i="25"/>
  <c r="W29" i="23"/>
  <c r="AA29" i="23"/>
  <c r="Y30" i="25"/>
  <c r="Z30" i="25"/>
  <c r="AA30" i="25"/>
  <c r="J12" i="25"/>
  <c r="Q41" i="18"/>
  <c r="I23" i="23"/>
  <c r="J23" i="23"/>
  <c r="O7" i="23"/>
  <c r="P7" i="23"/>
  <c r="I29" i="25"/>
  <c r="J29" i="25"/>
  <c r="H33" i="25"/>
  <c r="Q14" i="18"/>
  <c r="I14" i="18"/>
  <c r="H20" i="18"/>
  <c r="AA10" i="23"/>
  <c r="U7" i="23"/>
  <c r="V7" i="23"/>
  <c r="P15" i="23"/>
  <c r="U15" i="23"/>
  <c r="H14" i="23"/>
  <c r="X22" i="23"/>
  <c r="AB22" i="23" s="1"/>
  <c r="Y22" i="23"/>
  <c r="Z22" i="23"/>
  <c r="X48" i="25"/>
  <c r="Y48" i="25"/>
  <c r="Z48" i="25"/>
  <c r="I41" i="18"/>
  <c r="R34" i="18"/>
  <c r="O18" i="25"/>
  <c r="P18" i="25"/>
  <c r="W40" i="23"/>
  <c r="W8" i="23"/>
  <c r="AA8" i="23"/>
  <c r="N10" i="25"/>
  <c r="K23" i="25"/>
  <c r="N23" i="25"/>
  <c r="P23" i="25"/>
  <c r="K24" i="25"/>
  <c r="N24" i="25"/>
  <c r="N26" i="25"/>
  <c r="Q10" i="25"/>
  <c r="N21" i="23"/>
  <c r="S21" i="23"/>
  <c r="T21" i="23"/>
  <c r="O19" i="25"/>
  <c r="W19" i="25"/>
  <c r="X8" i="25"/>
  <c r="Y8" i="25"/>
  <c r="Z8" i="25"/>
  <c r="U23" i="23"/>
  <c r="V23" i="23"/>
  <c r="U29" i="25"/>
  <c r="U33" i="25"/>
  <c r="V29" i="25"/>
  <c r="V33" i="25"/>
  <c r="T33" i="25"/>
  <c r="T5" i="25"/>
  <c r="O15" i="25"/>
  <c r="P15" i="25"/>
  <c r="S36" i="25"/>
  <c r="T36" i="25"/>
  <c r="N36" i="25"/>
  <c r="P33" i="23"/>
  <c r="P34" i="23"/>
  <c r="O14" i="18"/>
  <c r="O20" i="18"/>
  <c r="N20" i="18"/>
  <c r="V16" i="23"/>
  <c r="H12" i="23"/>
  <c r="W46" i="25"/>
  <c r="I51" i="25"/>
  <c r="AA46" i="25"/>
  <c r="AA35" i="25"/>
  <c r="H26" i="25"/>
  <c r="AA22" i="25"/>
  <c r="U18" i="25"/>
  <c r="V18" i="25"/>
  <c r="K20" i="18"/>
  <c r="U51" i="25"/>
  <c r="X40" i="23"/>
  <c r="Y40" i="23" s="1"/>
  <c r="Z40" i="23" s="1"/>
  <c r="AB40" i="23"/>
  <c r="U10" i="25"/>
  <c r="U9" i="23"/>
  <c r="V9" i="23"/>
  <c r="V12" i="23" s="1"/>
  <c r="I17" i="18"/>
  <c r="Q17" i="18"/>
  <c r="J23" i="25"/>
  <c r="R38" i="18"/>
  <c r="R41" i="18" s="1"/>
  <c r="L41" i="18"/>
  <c r="I44" i="23"/>
  <c r="W36" i="23"/>
  <c r="S28" i="23"/>
  <c r="T28" i="23"/>
  <c r="N28" i="23"/>
  <c r="S35" i="25"/>
  <c r="T35" i="25"/>
  <c r="N35" i="25"/>
  <c r="X43" i="25"/>
  <c r="Y43" i="25"/>
  <c r="O30" i="23"/>
  <c r="W20" i="25"/>
  <c r="I37" i="25"/>
  <c r="W16" i="23"/>
  <c r="AA16" i="23"/>
  <c r="U43" i="23"/>
  <c r="O44" i="23"/>
  <c r="P9" i="25"/>
  <c r="O9" i="23"/>
  <c r="P9" i="23"/>
  <c r="J46" i="25"/>
  <c r="I5" i="18"/>
  <c r="H11" i="18"/>
  <c r="H49" i="18" s="1"/>
  <c r="H51" i="18" s="1"/>
  <c r="J8" i="23"/>
  <c r="N23" i="23"/>
  <c r="Q32" i="18"/>
  <c r="R47" i="18"/>
  <c r="R48" i="18"/>
  <c r="O48" i="18"/>
  <c r="I26" i="25"/>
  <c r="W15" i="25"/>
  <c r="W47" i="25"/>
  <c r="J47" i="25"/>
  <c r="AA47" i="25"/>
  <c r="R15" i="18"/>
  <c r="R24" i="18"/>
  <c r="W28" i="25"/>
  <c r="AA28" i="25"/>
  <c r="X28" i="25"/>
  <c r="W37" i="23"/>
  <c r="Y37" i="23"/>
  <c r="Z37" i="23"/>
  <c r="K11" i="18"/>
  <c r="N5" i="18"/>
  <c r="Q5" i="18"/>
  <c r="Q11" i="18"/>
  <c r="L5" i="18"/>
  <c r="L11" i="18"/>
  <c r="Z43" i="25"/>
  <c r="X9" i="23"/>
  <c r="AB9" i="23"/>
  <c r="H39" i="25"/>
  <c r="H32" i="23"/>
  <c r="G39" i="25"/>
  <c r="H41" i="5"/>
  <c r="G41" i="5"/>
  <c r="G32" i="23"/>
  <c r="P12" i="23"/>
  <c r="V28" i="23"/>
  <c r="V30" i="23"/>
  <c r="T30" i="23"/>
  <c r="U5" i="25"/>
  <c r="V5" i="25"/>
  <c r="P10" i="25"/>
  <c r="N12" i="25"/>
  <c r="J33" i="25"/>
  <c r="X25" i="25"/>
  <c r="X7" i="23"/>
  <c r="AB7" i="23" s="1"/>
  <c r="U12" i="23"/>
  <c r="X47" i="25"/>
  <c r="AB47" i="25" s="1"/>
  <c r="AB43" i="25"/>
  <c r="J26" i="25"/>
  <c r="P19" i="25"/>
  <c r="X19" i="25"/>
  <c r="AA40" i="23"/>
  <c r="R14" i="18"/>
  <c r="I20" i="18"/>
  <c r="I33" i="25"/>
  <c r="J18" i="23"/>
  <c r="J12" i="23"/>
  <c r="X5" i="23"/>
  <c r="AB5" i="23" s="1"/>
  <c r="W7" i="23"/>
  <c r="AA7" i="23" s="1"/>
  <c r="Y19" i="25"/>
  <c r="P51" i="25"/>
  <c r="I11" i="18"/>
  <c r="I49" i="18" s="1"/>
  <c r="I51" i="18" s="1"/>
  <c r="R17" i="18"/>
  <c r="X15" i="25"/>
  <c r="U21" i="23"/>
  <c r="U26" i="23"/>
  <c r="T26" i="23"/>
  <c r="X18" i="25"/>
  <c r="U6" i="25"/>
  <c r="J30" i="23"/>
  <c r="I26" i="23"/>
  <c r="T37" i="25"/>
  <c r="V35" i="25"/>
  <c r="Y47" i="25"/>
  <c r="Z47" i="25"/>
  <c r="Q20" i="18"/>
  <c r="Q49" i="18"/>
  <c r="Q51" i="18"/>
  <c r="S18" i="23"/>
  <c r="T18" i="23"/>
  <c r="V18" i="23"/>
  <c r="N18" i="23"/>
  <c r="P18" i="23"/>
  <c r="W10" i="25"/>
  <c r="O26" i="25"/>
  <c r="Y39" i="23"/>
  <c r="Z39" i="23"/>
  <c r="O21" i="23"/>
  <c r="W21" i="23" s="1"/>
  <c r="P21" i="23"/>
  <c r="N26" i="23"/>
  <c r="W18" i="25"/>
  <c r="Y18" i="25"/>
  <c r="AB28" i="25"/>
  <c r="U16" i="25"/>
  <c r="W16" i="25"/>
  <c r="V16" i="25"/>
  <c r="X16" i="25"/>
  <c r="J21" i="23"/>
  <c r="U36" i="25"/>
  <c r="U37" i="25"/>
  <c r="V36" i="25"/>
  <c r="X16" i="23"/>
  <c r="AB16" i="23" s="1"/>
  <c r="Y16" i="23"/>
  <c r="Z16" i="23"/>
  <c r="W51" i="25"/>
  <c r="O23" i="23"/>
  <c r="Y36" i="23"/>
  <c r="X46" i="25"/>
  <c r="O5" i="18"/>
  <c r="O11" i="18"/>
  <c r="O49" i="18" s="1"/>
  <c r="O51" i="18" s="1"/>
  <c r="N11" i="18"/>
  <c r="N49" i="18"/>
  <c r="N51" i="18"/>
  <c r="Y28" i="25"/>
  <c r="AA15" i="25"/>
  <c r="U44" i="23"/>
  <c r="W43" i="23"/>
  <c r="N37" i="25"/>
  <c r="P35" i="25"/>
  <c r="AA36" i="23"/>
  <c r="X33" i="23"/>
  <c r="AB33" i="23" s="1"/>
  <c r="Y33" i="23"/>
  <c r="Z33" i="23"/>
  <c r="T10" i="25"/>
  <c r="V10" i="25"/>
  <c r="Q24" i="25"/>
  <c r="T24" i="25"/>
  <c r="V24" i="25"/>
  <c r="Q23" i="25"/>
  <c r="T23" i="25"/>
  <c r="T26" i="25"/>
  <c r="AB48" i="25"/>
  <c r="X41" i="23"/>
  <c r="Y41" i="23"/>
  <c r="Z41" i="23"/>
  <c r="AB41" i="23"/>
  <c r="V49" i="25"/>
  <c r="X49" i="25" s="1"/>
  <c r="U7" i="25"/>
  <c r="V7" i="25"/>
  <c r="O29" i="25"/>
  <c r="W29" i="25" s="1"/>
  <c r="W33" i="25" s="1"/>
  <c r="O33" i="25"/>
  <c r="P29" i="25"/>
  <c r="P33" i="25"/>
  <c r="N33" i="25"/>
  <c r="X8" i="23"/>
  <c r="AB8" i="23"/>
  <c r="P24" i="25"/>
  <c r="H19" i="23"/>
  <c r="I14" i="23"/>
  <c r="P12" i="25"/>
  <c r="X17" i="23"/>
  <c r="Y17" i="23"/>
  <c r="Z17" i="23"/>
  <c r="U17" i="25"/>
  <c r="W17" i="25"/>
  <c r="V17" i="25"/>
  <c r="X17" i="25"/>
  <c r="O6" i="23"/>
  <c r="N14" i="23"/>
  <c r="N12" i="23"/>
  <c r="X32" i="25"/>
  <c r="Y32" i="25"/>
  <c r="Z32" i="25"/>
  <c r="AA37" i="23"/>
  <c r="W9" i="23"/>
  <c r="Y9" i="23"/>
  <c r="Z9" i="23"/>
  <c r="P28" i="23"/>
  <c r="P30" i="23"/>
  <c r="N30" i="23"/>
  <c r="AA51" i="25"/>
  <c r="O36" i="25"/>
  <c r="P36" i="25"/>
  <c r="AB8" i="25"/>
  <c r="W15" i="23"/>
  <c r="V15" i="23"/>
  <c r="X15" i="23" s="1"/>
  <c r="Y15" i="23" s="1"/>
  <c r="Z15" i="23" s="1"/>
  <c r="AB15" i="23"/>
  <c r="W23" i="23"/>
  <c r="AA23" i="23" s="1"/>
  <c r="W30" i="23"/>
  <c r="AA30" i="23" s="1"/>
  <c r="Y29" i="23"/>
  <c r="Z29" i="23"/>
  <c r="Y5" i="23"/>
  <c r="V42" i="23"/>
  <c r="T19" i="23"/>
  <c r="U14" i="23"/>
  <c r="U19" i="23"/>
  <c r="AB36" i="23"/>
  <c r="Y17" i="25"/>
  <c r="W21" i="25"/>
  <c r="W26" i="25"/>
  <c r="X36" i="25"/>
  <c r="AB36" i="25" s="1"/>
  <c r="I32" i="23"/>
  <c r="I41" i="5"/>
  <c r="I39" i="25"/>
  <c r="Z5" i="23"/>
  <c r="Z36" i="23"/>
  <c r="X20" i="25"/>
  <c r="X21" i="25" s="1"/>
  <c r="Y25" i="25"/>
  <c r="Y46" i="25"/>
  <c r="H34" i="23"/>
  <c r="Z28" i="25"/>
  <c r="P23" i="23"/>
  <c r="P26" i="23"/>
  <c r="O26" i="23"/>
  <c r="R20" i="18"/>
  <c r="H41" i="25"/>
  <c r="AB17" i="23"/>
  <c r="P37" i="25"/>
  <c r="X35" i="25"/>
  <c r="AB35" i="25"/>
  <c r="Y15" i="25"/>
  <c r="AB49" i="25"/>
  <c r="X10" i="25"/>
  <c r="AB10" i="25"/>
  <c r="X42" i="23"/>
  <c r="J26" i="23"/>
  <c r="Y10" i="25"/>
  <c r="Z10" i="25"/>
  <c r="X18" i="23"/>
  <c r="Y18" i="23"/>
  <c r="Z18" i="23" s="1"/>
  <c r="AB18" i="23"/>
  <c r="J19" i="23"/>
  <c r="O14" i="23"/>
  <c r="O19" i="23"/>
  <c r="N19" i="23"/>
  <c r="S39" i="25"/>
  <c r="S41" i="5"/>
  <c r="N61" i="18"/>
  <c r="S32" i="23"/>
  <c r="V14" i="23"/>
  <c r="V19" i="23"/>
  <c r="O12" i="23"/>
  <c r="W6" i="23"/>
  <c r="W6" i="25"/>
  <c r="Y6" i="25"/>
  <c r="Z6" i="25"/>
  <c r="V21" i="23"/>
  <c r="V26" i="23"/>
  <c r="X24" i="25"/>
  <c r="AB24" i="25" s="1"/>
  <c r="Y24" i="25"/>
  <c r="O37" i="25"/>
  <c r="W36" i="25"/>
  <c r="AA36" i="25"/>
  <c r="V23" i="25"/>
  <c r="AA15" i="23"/>
  <c r="I19" i="23"/>
  <c r="AA43" i="23"/>
  <c r="AB46" i="25"/>
  <c r="Y8" i="23"/>
  <c r="Z8" i="23"/>
  <c r="AA21" i="23"/>
  <c r="R5" i="18"/>
  <c r="R11" i="18"/>
  <c r="X12" i="23"/>
  <c r="AB12" i="23"/>
  <c r="AA29" i="25"/>
  <c r="X7" i="25"/>
  <c r="AB7" i="25"/>
  <c r="U32" i="23"/>
  <c r="U34" i="23"/>
  <c r="U45" i="23" s="1"/>
  <c r="U47" i="23" s="1"/>
  <c r="U48" i="23" s="1"/>
  <c r="U49" i="23" s="1"/>
  <c r="U39" i="25"/>
  <c r="U41" i="25"/>
  <c r="U41" i="5"/>
  <c r="U43" i="5"/>
  <c r="H8" i="6"/>
  <c r="W26" i="23"/>
  <c r="AA26" i="23" s="1"/>
  <c r="P26" i="25"/>
  <c r="X5" i="25"/>
  <c r="AB5" i="25"/>
  <c r="AA10" i="25"/>
  <c r="AA9" i="23"/>
  <c r="AB32" i="25"/>
  <c r="P52" i="25"/>
  <c r="P54" i="25"/>
  <c r="P55" i="25"/>
  <c r="P56" i="25"/>
  <c r="Z24" i="25"/>
  <c r="W7" i="25"/>
  <c r="W44" i="23"/>
  <c r="AA44" i="23"/>
  <c r="Y16" i="25"/>
  <c r="V37" i="25"/>
  <c r="AB15" i="25"/>
  <c r="Y7" i="23"/>
  <c r="Z7" i="23"/>
  <c r="AA33" i="25"/>
  <c r="AB25" i="25"/>
  <c r="X29" i="25"/>
  <c r="Y29" i="25" s="1"/>
  <c r="Z29" i="25" s="1"/>
  <c r="W5" i="25"/>
  <c r="AA5" i="25"/>
  <c r="Y42" i="23"/>
  <c r="Y20" i="25"/>
  <c r="Z25" i="25"/>
  <c r="I41" i="25"/>
  <c r="AA6" i="25"/>
  <c r="P14" i="23"/>
  <c r="Y21" i="25"/>
  <c r="Z15" i="25"/>
  <c r="I34" i="23"/>
  <c r="X23" i="25"/>
  <c r="Y23" i="25"/>
  <c r="Z23" i="25"/>
  <c r="X21" i="23"/>
  <c r="AB21" i="23" s="1"/>
  <c r="X23" i="23"/>
  <c r="Y23" i="23"/>
  <c r="Z23" i="23"/>
  <c r="S34" i="23"/>
  <c r="T32" i="23"/>
  <c r="Y33" i="25"/>
  <c r="Z33" i="25"/>
  <c r="Y5" i="25"/>
  <c r="V26" i="25"/>
  <c r="AB29" i="25"/>
  <c r="X33" i="25"/>
  <c r="AB33" i="25"/>
  <c r="Y36" i="25"/>
  <c r="Z36" i="25"/>
  <c r="W37" i="25"/>
  <c r="AA37" i="25"/>
  <c r="Y6" i="23"/>
  <c r="W12" i="23"/>
  <c r="X37" i="25"/>
  <c r="Y35" i="25"/>
  <c r="Y7" i="25"/>
  <c r="Z7" i="25"/>
  <c r="W14" i="23"/>
  <c r="AB37" i="25"/>
  <c r="AA7" i="25"/>
  <c r="AA6" i="23"/>
  <c r="S41" i="25"/>
  <c r="T39" i="25"/>
  <c r="AB42" i="23"/>
  <c r="H52" i="25"/>
  <c r="Z46" i="25"/>
  <c r="H45" i="23"/>
  <c r="I52" i="25"/>
  <c r="W19" i="23"/>
  <c r="AA19" i="23"/>
  <c r="Z6" i="23"/>
  <c r="Y12" i="23"/>
  <c r="AB23" i="25"/>
  <c r="H47" i="23"/>
  <c r="T34" i="23"/>
  <c r="X14" i="23"/>
  <c r="Y14" i="23" s="1"/>
  <c r="X19" i="23"/>
  <c r="P19" i="23"/>
  <c r="AB14" i="23"/>
  <c r="AA12" i="23"/>
  <c r="AB23" i="23"/>
  <c r="Z42" i="23"/>
  <c r="I45" i="23"/>
  <c r="T41" i="25"/>
  <c r="Y37" i="25"/>
  <c r="Z37" i="25"/>
  <c r="Z35" i="25"/>
  <c r="H54" i="25"/>
  <c r="AA14" i="23"/>
  <c r="Z5" i="25"/>
  <c r="X26" i="23"/>
  <c r="AB26" i="23"/>
  <c r="Y21" i="23"/>
  <c r="X26" i="25"/>
  <c r="AB26" i="25" s="1"/>
  <c r="Y26" i="23"/>
  <c r="Z26" i="23"/>
  <c r="Z21" i="23"/>
  <c r="Y19" i="23"/>
  <c r="Z19" i="23"/>
  <c r="Z14" i="23"/>
  <c r="I54" i="25"/>
  <c r="I47" i="23"/>
  <c r="H48" i="23"/>
  <c r="P45" i="23"/>
  <c r="AB19" i="23"/>
  <c r="H55" i="25"/>
  <c r="Z12" i="23"/>
  <c r="H56" i="25"/>
  <c r="H49" i="23"/>
  <c r="I55" i="25"/>
  <c r="P47" i="23"/>
  <c r="I70" i="23"/>
  <c r="I48" i="23"/>
  <c r="I56" i="25"/>
  <c r="I49" i="23"/>
  <c r="P48" i="23"/>
  <c r="P49" i="23"/>
  <c r="N51" i="5"/>
  <c r="T33" i="5"/>
  <c r="C24" i="5"/>
  <c r="K24" i="5"/>
  <c r="Q24" i="5"/>
  <c r="W48" i="5"/>
  <c r="J38" i="5"/>
  <c r="H32" i="5"/>
  <c r="I32" i="5"/>
  <c r="T51" i="5"/>
  <c r="H19" i="5"/>
  <c r="I19" i="5"/>
  <c r="I39" i="5"/>
  <c r="B7" i="6"/>
  <c r="G18" i="5"/>
  <c r="H18" i="5"/>
  <c r="I18" i="5"/>
  <c r="J33" i="5"/>
  <c r="T37" i="5"/>
  <c r="S6" i="5"/>
  <c r="S18" i="5"/>
  <c r="M18" i="5"/>
  <c r="G21" i="5"/>
  <c r="H21" i="5"/>
  <c r="I21" i="5"/>
  <c r="C26" i="5"/>
  <c r="H26" i="5"/>
  <c r="J26" i="5"/>
  <c r="Q45" i="5"/>
  <c r="T45" i="5"/>
  <c r="U45" i="5"/>
  <c r="O37" i="5"/>
  <c r="U37" i="5"/>
  <c r="K13" i="5"/>
  <c r="Q13" i="5"/>
  <c r="T13" i="5"/>
  <c r="N38" i="5"/>
  <c r="N53" i="5"/>
  <c r="C25" i="5"/>
  <c r="H25" i="5"/>
  <c r="H8" i="5"/>
  <c r="I8" i="5"/>
  <c r="H39" i="5"/>
  <c r="V33" i="5"/>
  <c r="H12" i="5"/>
  <c r="J12" i="5"/>
  <c r="P34" i="5"/>
  <c r="N52" i="5"/>
  <c r="P52" i="5"/>
  <c r="J48" i="5"/>
  <c r="X48" i="5"/>
  <c r="J37" i="5"/>
  <c r="J39" i="5"/>
  <c r="C7" i="6"/>
  <c r="D7" i="6"/>
  <c r="H6" i="5"/>
  <c r="I6" i="5"/>
  <c r="T6" i="5"/>
  <c r="U6" i="5"/>
  <c r="J51" i="5"/>
  <c r="H43" i="5"/>
  <c r="N9" i="5"/>
  <c r="O9" i="5"/>
  <c r="P9" i="5"/>
  <c r="H13" i="5"/>
  <c r="J13" i="5"/>
  <c r="K27" i="5"/>
  <c r="N27" i="5"/>
  <c r="H27" i="5"/>
  <c r="J27" i="5"/>
  <c r="N12" i="5"/>
  <c r="P12" i="5"/>
  <c r="K25" i="5"/>
  <c r="N25" i="5"/>
  <c r="K26" i="5"/>
  <c r="N26" i="5"/>
  <c r="P26" i="5"/>
  <c r="Q12" i="5"/>
  <c r="O38" i="5"/>
  <c r="P38" i="5"/>
  <c r="S49" i="5"/>
  <c r="N49" i="5"/>
  <c r="O49" i="5"/>
  <c r="S32" i="5"/>
  <c r="T32" i="5"/>
  <c r="U32" i="5"/>
  <c r="N32" i="5"/>
  <c r="T9" i="5"/>
  <c r="U9" i="5"/>
  <c r="V9" i="5"/>
  <c r="T24" i="5"/>
  <c r="W52" i="5"/>
  <c r="AA52" i="5"/>
  <c r="T42" i="5"/>
  <c r="V42" i="5"/>
  <c r="V43" i="5"/>
  <c r="I8" i="6"/>
  <c r="J8" i="6"/>
  <c r="N37" i="5"/>
  <c r="M8" i="5"/>
  <c r="N8" i="5"/>
  <c r="Q38" i="5"/>
  <c r="T38" i="5"/>
  <c r="Q53" i="5"/>
  <c r="T53" i="5"/>
  <c r="Q52" i="5"/>
  <c r="T52" i="5"/>
  <c r="V52" i="5"/>
  <c r="O51" i="5"/>
  <c r="U51" i="5"/>
  <c r="M7" i="5"/>
  <c r="H31" i="5"/>
  <c r="S43" i="5"/>
  <c r="J53" i="5"/>
  <c r="T34" i="5"/>
  <c r="V34" i="5"/>
  <c r="N6" i="5"/>
  <c r="O6" i="5"/>
  <c r="W6" i="5" s="1"/>
  <c r="Y6" i="5" s="1"/>
  <c r="N42" i="5"/>
  <c r="P33" i="5"/>
  <c r="X33" i="5"/>
  <c r="AB33" i="5"/>
  <c r="M50" i="5"/>
  <c r="T18" i="5"/>
  <c r="U18" i="5"/>
  <c r="J32" i="5"/>
  <c r="N24" i="5"/>
  <c r="P24" i="5"/>
  <c r="J49" i="5"/>
  <c r="P53" i="5"/>
  <c r="U53" i="5"/>
  <c r="W53" i="5"/>
  <c r="AA53" i="5"/>
  <c r="W26" i="5"/>
  <c r="W47" i="5"/>
  <c r="AA47" i="5"/>
  <c r="T41" i="5"/>
  <c r="P27" i="5"/>
  <c r="J25" i="5"/>
  <c r="U27" i="5"/>
  <c r="W27" i="5"/>
  <c r="S5" i="5"/>
  <c r="M17" i="5"/>
  <c r="N17" i="5"/>
  <c r="N5" i="5"/>
  <c r="W34" i="5"/>
  <c r="AA34" i="5"/>
  <c r="N18" i="5"/>
  <c r="J34" i="5"/>
  <c r="U12" i="5"/>
  <c r="W12" i="5"/>
  <c r="AA12" i="5"/>
  <c r="Q21" i="5"/>
  <c r="T21" i="5"/>
  <c r="N21" i="5"/>
  <c r="N30" i="5"/>
  <c r="S30" i="5"/>
  <c r="T30" i="5"/>
  <c r="AA48" i="5"/>
  <c r="J47" i="5"/>
  <c r="J7" i="5"/>
  <c r="O31" i="5"/>
  <c r="I45" i="5"/>
  <c r="J45" i="5"/>
  <c r="H54" i="5"/>
  <c r="U24" i="5"/>
  <c r="J8" i="5"/>
  <c r="S31" i="5"/>
  <c r="T31" i="5"/>
  <c r="Q27" i="5"/>
  <c r="T27" i="5"/>
  <c r="U13" i="5"/>
  <c r="W13" i="5"/>
  <c r="O25" i="5"/>
  <c r="I43" i="5"/>
  <c r="I9" i="5"/>
  <c r="H30" i="5"/>
  <c r="W33" i="5"/>
  <c r="AA33" i="5"/>
  <c r="H5" i="5"/>
  <c r="G17" i="5"/>
  <c r="H17" i="5"/>
  <c r="P49" i="5"/>
  <c r="V51" i="5"/>
  <c r="V27" i="5"/>
  <c r="V18" i="5"/>
  <c r="O39" i="5"/>
  <c r="E7" i="6"/>
  <c r="W37" i="5"/>
  <c r="V37" i="5"/>
  <c r="X52" i="5"/>
  <c r="Y52" i="5"/>
  <c r="Z52" i="5"/>
  <c r="Y48" i="5"/>
  <c r="Z48" i="5"/>
  <c r="AB48" i="5"/>
  <c r="V53" i="5"/>
  <c r="X53" i="5"/>
  <c r="AB53" i="5"/>
  <c r="N13" i="5"/>
  <c r="P13" i="5"/>
  <c r="V24" i="5"/>
  <c r="V32" i="5"/>
  <c r="AA27" i="5"/>
  <c r="AA6" i="5"/>
  <c r="P51" i="5"/>
  <c r="X51" i="5"/>
  <c r="U38" i="5"/>
  <c r="V38" i="5"/>
  <c r="T39" i="5"/>
  <c r="O32" i="5"/>
  <c r="W32" i="5"/>
  <c r="W51" i="5"/>
  <c r="N50" i="5"/>
  <c r="N54" i="5"/>
  <c r="S50" i="5"/>
  <c r="T50" i="5"/>
  <c r="U50" i="5"/>
  <c r="O8" i="5"/>
  <c r="AA37" i="5"/>
  <c r="P42" i="5"/>
  <c r="M20" i="5"/>
  <c r="N20" i="5"/>
  <c r="S8" i="5"/>
  <c r="M54" i="5"/>
  <c r="W24" i="5"/>
  <c r="AA24" i="5"/>
  <c r="I31" i="5"/>
  <c r="J31" i="5"/>
  <c r="N39" i="5"/>
  <c r="P37" i="5"/>
  <c r="P39" i="5"/>
  <c r="F7" i="6"/>
  <c r="Y33" i="5"/>
  <c r="Z33" i="5"/>
  <c r="V45" i="5"/>
  <c r="X45" i="5"/>
  <c r="N7" i="5"/>
  <c r="M19" i="5"/>
  <c r="N19" i="5"/>
  <c r="S7" i="5"/>
  <c r="T49" i="5"/>
  <c r="U49" i="5"/>
  <c r="V49" i="5"/>
  <c r="X49" i="5"/>
  <c r="AB49" i="5"/>
  <c r="T12" i="5"/>
  <c r="V12" i="5"/>
  <c r="X12" i="5"/>
  <c r="Y12" i="5"/>
  <c r="Z12" i="5"/>
  <c r="Q26" i="5"/>
  <c r="T26" i="5"/>
  <c r="V26" i="5"/>
  <c r="X26" i="5"/>
  <c r="Y26" i="5"/>
  <c r="Z26" i="5"/>
  <c r="Q25" i="5"/>
  <c r="T25" i="5"/>
  <c r="AA13" i="5"/>
  <c r="X24" i="5"/>
  <c r="AB24" i="5"/>
  <c r="U21" i="5"/>
  <c r="V21" i="5"/>
  <c r="N35" i="5"/>
  <c r="O30" i="5"/>
  <c r="O5" i="5"/>
  <c r="P5" i="5"/>
  <c r="T43" i="5"/>
  <c r="W9" i="5"/>
  <c r="AA9" i="5"/>
  <c r="U25" i="5"/>
  <c r="J9" i="5"/>
  <c r="X34" i="5"/>
  <c r="AB34" i="5"/>
  <c r="O17" i="5"/>
  <c r="P25" i="5"/>
  <c r="S17" i="5"/>
  <c r="T17" i="5"/>
  <c r="T5" i="5"/>
  <c r="J54" i="5"/>
  <c r="AA26" i="5"/>
  <c r="O21" i="5"/>
  <c r="P21" i="5"/>
  <c r="H28" i="5"/>
  <c r="I17" i="5"/>
  <c r="U31" i="5"/>
  <c r="V31" i="5"/>
  <c r="I54" i="5"/>
  <c r="W45" i="5"/>
  <c r="AA45" i="5"/>
  <c r="X47" i="5"/>
  <c r="AB47" i="5"/>
  <c r="I5" i="5"/>
  <c r="J5" i="5"/>
  <c r="H14" i="5"/>
  <c r="O18" i="5"/>
  <c r="W18" i="5"/>
  <c r="V13" i="5"/>
  <c r="B8" i="6"/>
  <c r="X27" i="5"/>
  <c r="Y27" i="5"/>
  <c r="Z27" i="5"/>
  <c r="I30" i="5"/>
  <c r="J30" i="5"/>
  <c r="H35" i="5"/>
  <c r="P31" i="5"/>
  <c r="U30" i="5"/>
  <c r="T35" i="5"/>
  <c r="J28" i="5"/>
  <c r="G7" i="6"/>
  <c r="AB52" i="5"/>
  <c r="V50" i="5"/>
  <c r="Y34" i="5"/>
  <c r="Z34" i="5"/>
  <c r="X37" i="5"/>
  <c r="AB37" i="5"/>
  <c r="P18" i="5"/>
  <c r="X18" i="5"/>
  <c r="Y18" i="5"/>
  <c r="U39" i="5"/>
  <c r="H7" i="6"/>
  <c r="T54" i="5"/>
  <c r="AB51" i="5"/>
  <c r="V25" i="5"/>
  <c r="X25" i="5"/>
  <c r="AB25" i="5"/>
  <c r="AB26" i="5"/>
  <c r="W25" i="5"/>
  <c r="AA25" i="5"/>
  <c r="X38" i="5"/>
  <c r="AB38" i="5"/>
  <c r="V39" i="5"/>
  <c r="O19" i="5"/>
  <c r="P19" i="5"/>
  <c r="O7" i="5"/>
  <c r="P7" i="5"/>
  <c r="Y51" i="5"/>
  <c r="Z51" i="5"/>
  <c r="AA51" i="5"/>
  <c r="W31" i="5"/>
  <c r="AA31" i="5"/>
  <c r="W38" i="5"/>
  <c r="AA38" i="5"/>
  <c r="P8" i="5"/>
  <c r="P32" i="5"/>
  <c r="X32" i="5"/>
  <c r="AB32" i="5"/>
  <c r="N14" i="5"/>
  <c r="S20" i="5"/>
  <c r="T20" i="5"/>
  <c r="U20" i="5"/>
  <c r="V20" i="5"/>
  <c r="T8" i="5"/>
  <c r="O50" i="5"/>
  <c r="Y24" i="5"/>
  <c r="Z24" i="5"/>
  <c r="AB12" i="5"/>
  <c r="N28" i="5"/>
  <c r="O35" i="5"/>
  <c r="E6" i="6"/>
  <c r="S54" i="5"/>
  <c r="O20" i="5"/>
  <c r="U54" i="5"/>
  <c r="H9" i="6"/>
  <c r="U35" i="5"/>
  <c r="H6" i="6"/>
  <c r="Y47" i="5"/>
  <c r="Z47" i="5"/>
  <c r="Y53" i="5"/>
  <c r="Z53" i="5"/>
  <c r="W49" i="5"/>
  <c r="Y49" i="5"/>
  <c r="Z49" i="5"/>
  <c r="S19" i="5"/>
  <c r="T19" i="5"/>
  <c r="T7" i="5"/>
  <c r="U7" i="5"/>
  <c r="P43" i="5"/>
  <c r="F8" i="6"/>
  <c r="X42" i="5"/>
  <c r="J35" i="5"/>
  <c r="AB27" i="5"/>
  <c r="Y45" i="5"/>
  <c r="H55" i="5"/>
  <c r="X21" i="5"/>
  <c r="U17" i="5"/>
  <c r="V17" i="5"/>
  <c r="I35" i="5"/>
  <c r="W30" i="5"/>
  <c r="B9" i="6"/>
  <c r="I7" i="6"/>
  <c r="V30" i="5"/>
  <c r="V35" i="5"/>
  <c r="I6" i="6"/>
  <c r="I14" i="5"/>
  <c r="W21" i="5"/>
  <c r="P17" i="5"/>
  <c r="Y37" i="5"/>
  <c r="X13" i="5"/>
  <c r="Y13" i="5"/>
  <c r="Z13" i="5"/>
  <c r="C9" i="6"/>
  <c r="U5" i="5"/>
  <c r="X31" i="5"/>
  <c r="AB31" i="5"/>
  <c r="J14" i="5"/>
  <c r="C5" i="6"/>
  <c r="AA32" i="5"/>
  <c r="V54" i="5"/>
  <c r="I9" i="6"/>
  <c r="I28" i="5"/>
  <c r="AB45" i="5"/>
  <c r="X9" i="5"/>
  <c r="Y9" i="5"/>
  <c r="Z9" i="5"/>
  <c r="P30" i="5"/>
  <c r="P35" i="5"/>
  <c r="F6" i="6"/>
  <c r="G6" i="6"/>
  <c r="W20" i="5"/>
  <c r="T14" i="5"/>
  <c r="O14" i="5"/>
  <c r="E4" i="6"/>
  <c r="Y32" i="5"/>
  <c r="Z32" i="5"/>
  <c r="V7" i="5"/>
  <c r="X7" i="5"/>
  <c r="P20" i="5"/>
  <c r="X20" i="5"/>
  <c r="Y20" i="5"/>
  <c r="X39" i="5"/>
  <c r="L7" i="6"/>
  <c r="J6" i="6"/>
  <c r="J9" i="6"/>
  <c r="P14" i="5"/>
  <c r="F4" i="6"/>
  <c r="Y25" i="5"/>
  <c r="Z25" i="5"/>
  <c r="AB13" i="5"/>
  <c r="Y21" i="5"/>
  <c r="O28" i="5"/>
  <c r="E5" i="6"/>
  <c r="W50" i="5"/>
  <c r="W54" i="5"/>
  <c r="K9" i="6"/>
  <c r="O54" i="5"/>
  <c r="Y38" i="5"/>
  <c r="Z38" i="5"/>
  <c r="P50" i="5"/>
  <c r="AB9" i="5"/>
  <c r="W39" i="5"/>
  <c r="U19" i="5"/>
  <c r="W19" i="5"/>
  <c r="U8" i="5"/>
  <c r="U14" i="5"/>
  <c r="T28" i="5"/>
  <c r="W7" i="5"/>
  <c r="AA7" i="5"/>
  <c r="AA49" i="5"/>
  <c r="W17" i="5"/>
  <c r="AA17" i="5"/>
  <c r="V5" i="5"/>
  <c r="X5" i="5"/>
  <c r="AB42" i="5"/>
  <c r="Y42" i="5"/>
  <c r="W35" i="5"/>
  <c r="K6" i="6"/>
  <c r="Z37" i="5"/>
  <c r="B6" i="6"/>
  <c r="J7" i="6"/>
  <c r="AB39" i="5"/>
  <c r="H57" i="5"/>
  <c r="Z45" i="5"/>
  <c r="C4" i="6"/>
  <c r="B5" i="6"/>
  <c r="D5" i="6"/>
  <c r="I55" i="5"/>
  <c r="B4" i="6"/>
  <c r="D9" i="6"/>
  <c r="Y31" i="5"/>
  <c r="Z31" i="5"/>
  <c r="X30" i="5"/>
  <c r="X35" i="5"/>
  <c r="L6" i="6"/>
  <c r="X17" i="5"/>
  <c r="W5" i="5"/>
  <c r="AA5" i="5"/>
  <c r="AA30" i="5"/>
  <c r="C6" i="6"/>
  <c r="P28" i="5"/>
  <c r="F5" i="6"/>
  <c r="T55" i="5"/>
  <c r="T57" i="5"/>
  <c r="T58" i="5"/>
  <c r="T59" i="5"/>
  <c r="G4" i="6"/>
  <c r="U28" i="5"/>
  <c r="H5" i="6"/>
  <c r="Y39" i="5"/>
  <c r="Z39" i="5"/>
  <c r="AB35" i="5"/>
  <c r="AA35" i="5"/>
  <c r="Y17" i="5"/>
  <c r="Z17" i="5"/>
  <c r="V19" i="5"/>
  <c r="X19" i="5"/>
  <c r="X28" i="5"/>
  <c r="L5" i="6"/>
  <c r="H4" i="6"/>
  <c r="U55" i="5"/>
  <c r="U57" i="5"/>
  <c r="U58" i="5"/>
  <c r="H13" i="6"/>
  <c r="P54" i="5"/>
  <c r="X50" i="5"/>
  <c r="AB50" i="5"/>
  <c r="Y7" i="5"/>
  <c r="Z7" i="5"/>
  <c r="V28" i="5"/>
  <c r="I5" i="6"/>
  <c r="V8" i="5"/>
  <c r="AA50" i="5"/>
  <c r="D6" i="6"/>
  <c r="Z42" i="5"/>
  <c r="Y19" i="5"/>
  <c r="E9" i="6"/>
  <c r="AA54" i="5"/>
  <c r="W8" i="5"/>
  <c r="W14" i="5"/>
  <c r="K7" i="6"/>
  <c r="M7" i="6"/>
  <c r="C24" i="21"/>
  <c r="H24" i="21"/>
  <c r="AA39" i="5"/>
  <c r="I57" i="5"/>
  <c r="H58" i="5"/>
  <c r="AB17" i="5"/>
  <c r="AB7" i="5"/>
  <c r="Y30" i="5"/>
  <c r="AB30" i="5"/>
  <c r="Y5" i="5"/>
  <c r="B11" i="6"/>
  <c r="D4" i="6"/>
  <c r="E47" i="21"/>
  <c r="H47" i="21"/>
  <c r="F47" i="21"/>
  <c r="G47" i="21"/>
  <c r="AB5" i="5"/>
  <c r="M6" i="6"/>
  <c r="C22" i="21"/>
  <c r="H22" i="21"/>
  <c r="H11" i="6"/>
  <c r="H15" i="6"/>
  <c r="G53" i="21"/>
  <c r="G57" i="21"/>
  <c r="J5" i="6"/>
  <c r="U59" i="5"/>
  <c r="F9" i="6"/>
  <c r="G9" i="6"/>
  <c r="Y50" i="5"/>
  <c r="X54" i="5"/>
  <c r="L9" i="6"/>
  <c r="M9" i="6"/>
  <c r="C27" i="21"/>
  <c r="H27" i="21"/>
  <c r="P55" i="5"/>
  <c r="P57" i="5"/>
  <c r="P58" i="5"/>
  <c r="F13" i="6"/>
  <c r="AB28" i="5"/>
  <c r="AA8" i="5"/>
  <c r="X8" i="5"/>
  <c r="X14" i="5"/>
  <c r="V14" i="5"/>
  <c r="I58" i="5"/>
  <c r="H59" i="5"/>
  <c r="Z5" i="5"/>
  <c r="Y35" i="5"/>
  <c r="Z35" i="5"/>
  <c r="Z30" i="5"/>
  <c r="K4" i="6"/>
  <c r="AA14" i="5"/>
  <c r="G5" i="6"/>
  <c r="AB54" i="5"/>
  <c r="V55" i="5"/>
  <c r="V57" i="5"/>
  <c r="V58" i="5"/>
  <c r="I4" i="6"/>
  <c r="AB8" i="5"/>
  <c r="P59" i="5"/>
  <c r="Z50" i="5"/>
  <c r="Y54" i="5"/>
  <c r="Z54" i="5"/>
  <c r="AB14" i="5"/>
  <c r="L4" i="6"/>
  <c r="F11" i="6"/>
  <c r="Y8" i="5"/>
  <c r="B13" i="6"/>
  <c r="I59" i="5"/>
  <c r="F15" i="6"/>
  <c r="M4" i="6"/>
  <c r="C20" i="21"/>
  <c r="Z8" i="5"/>
  <c r="Y14" i="5"/>
  <c r="I13" i="6"/>
  <c r="J13" i="6"/>
  <c r="V59" i="5"/>
  <c r="I11" i="6"/>
  <c r="J4" i="6"/>
  <c r="B15" i="6"/>
  <c r="H20" i="21"/>
  <c r="J11" i="6"/>
  <c r="J15" i="6"/>
  <c r="I15" i="6"/>
  <c r="Z14" i="5"/>
  <c r="E53" i="21"/>
  <c r="E57" i="21"/>
  <c r="D47" i="21"/>
  <c r="Z6" i="5" l="1"/>
  <c r="Y26" i="25"/>
  <c r="Z26" i="25" s="1"/>
  <c r="X28" i="23"/>
  <c r="AB28" i="23"/>
  <c r="Y49" i="25"/>
  <c r="U26" i="25"/>
  <c r="AA26" i="25" s="1"/>
  <c r="J51" i="25"/>
  <c r="AB40" i="25"/>
  <c r="T50" i="25"/>
  <c r="K45" i="18"/>
  <c r="K49" i="18" s="1"/>
  <c r="K51" i="18" s="1"/>
  <c r="L44" i="18"/>
  <c r="J49" i="18"/>
  <c r="J51" i="18" s="1"/>
  <c r="T43" i="23"/>
  <c r="T9" i="25"/>
  <c r="W22" i="5"/>
  <c r="Y22" i="5" l="1"/>
  <c r="Y28" i="5" s="1"/>
  <c r="W28" i="5"/>
  <c r="U9" i="25"/>
  <c r="V9" i="25"/>
  <c r="T12" i="25"/>
  <c r="T44" i="23"/>
  <c r="V43" i="23"/>
  <c r="J39" i="25"/>
  <c r="J41" i="5"/>
  <c r="J32" i="23"/>
  <c r="R44" i="18"/>
  <c r="R45" i="18" s="1"/>
  <c r="R49" i="18" s="1"/>
  <c r="R51" i="18" s="1"/>
  <c r="L45" i="18"/>
  <c r="L49" i="18" s="1"/>
  <c r="L51" i="18" s="1"/>
  <c r="N41" i="5"/>
  <c r="N39" i="25"/>
  <c r="M41" i="5"/>
  <c r="M43" i="5" s="1"/>
  <c r="M39" i="25"/>
  <c r="M41" i="25" s="1"/>
  <c r="M32" i="23"/>
  <c r="M34" i="23" s="1"/>
  <c r="N32" i="23"/>
  <c r="V50" i="25"/>
  <c r="T51" i="25"/>
  <c r="Z49" i="25"/>
  <c r="Y28" i="23"/>
  <c r="X30" i="23"/>
  <c r="AB30" i="23" l="1"/>
  <c r="Y30" i="23"/>
  <c r="Z28" i="23"/>
  <c r="X50" i="25"/>
  <c r="AB50" i="25"/>
  <c r="V51" i="25"/>
  <c r="N34" i="23"/>
  <c r="N41" i="25"/>
  <c r="N43" i="5"/>
  <c r="O41" i="5"/>
  <c r="O39" i="25"/>
  <c r="O32" i="23"/>
  <c r="X32" i="23"/>
  <c r="X34" i="23" s="1"/>
  <c r="AB32" i="23"/>
  <c r="J34" i="23"/>
  <c r="X41" i="5"/>
  <c r="X43" i="5" s="1"/>
  <c r="AB41" i="5"/>
  <c r="J43" i="5"/>
  <c r="X39" i="25"/>
  <c r="X41" i="25" s="1"/>
  <c r="J41" i="25"/>
  <c r="AB39" i="25"/>
  <c r="V44" i="23"/>
  <c r="X43" i="23"/>
  <c r="AB43" i="23"/>
  <c r="T45" i="23"/>
  <c r="T47" i="23" s="1"/>
  <c r="T48" i="23" s="1"/>
  <c r="T49" i="23" s="1"/>
  <c r="T52" i="25"/>
  <c r="T54" i="25" s="1"/>
  <c r="T55" i="25" s="1"/>
  <c r="T56" i="25" s="1"/>
  <c r="X9" i="25"/>
  <c r="X12" i="25" s="1"/>
  <c r="AB9" i="25"/>
  <c r="V12" i="25"/>
  <c r="W9" i="25"/>
  <c r="AA9" i="25"/>
  <c r="U12" i="25"/>
  <c r="K5" i="6"/>
  <c r="AA28" i="5"/>
  <c r="Z28" i="5"/>
  <c r="M5" i="6" l="1"/>
  <c r="C21" i="21" s="1"/>
  <c r="U52" i="25"/>
  <c r="U54" i="25" s="1"/>
  <c r="U55" i="25" s="1"/>
  <c r="U56" i="25" s="1"/>
  <c r="Y9" i="25"/>
  <c r="W12" i="25"/>
  <c r="V52" i="25"/>
  <c r="V54" i="25" s="1"/>
  <c r="V55" i="25" s="1"/>
  <c r="V56" i="25" s="1"/>
  <c r="AB12" i="25"/>
  <c r="Y43" i="23"/>
  <c r="X44" i="23"/>
  <c r="V45" i="23"/>
  <c r="V47" i="23" s="1"/>
  <c r="V48" i="23" s="1"/>
  <c r="V49" i="23" s="1"/>
  <c r="AB44" i="23"/>
  <c r="AB41" i="25"/>
  <c r="J52" i="25"/>
  <c r="C8" i="6"/>
  <c r="J55" i="5"/>
  <c r="AB43" i="5"/>
  <c r="L8" i="6"/>
  <c r="L11" i="6" s="1"/>
  <c r="X55" i="5"/>
  <c r="X57" i="5" s="1"/>
  <c r="AB34" i="23"/>
  <c r="J45" i="23"/>
  <c r="X45" i="23"/>
  <c r="X47" i="23" s="1"/>
  <c r="O34" i="23"/>
  <c r="W32" i="23"/>
  <c r="AA32" i="23"/>
  <c r="O41" i="25"/>
  <c r="W39" i="25"/>
  <c r="AA39" i="25"/>
  <c r="O43" i="5"/>
  <c r="W41" i="5"/>
  <c r="AA41" i="5"/>
  <c r="N55" i="5"/>
  <c r="N52" i="25"/>
  <c r="N45" i="23"/>
  <c r="Y50" i="25"/>
  <c r="X51" i="25"/>
  <c r="Z30" i="23"/>
  <c r="X52" i="25" l="1"/>
  <c r="X54" i="25" s="1"/>
  <c r="AB51" i="25"/>
  <c r="Z50" i="25"/>
  <c r="Y51" i="25"/>
  <c r="Z51" i="25" s="1"/>
  <c r="N47" i="23"/>
  <c r="N54" i="25"/>
  <c r="N57" i="5"/>
  <c r="Y41" i="5"/>
  <c r="W43" i="5"/>
  <c r="E8" i="6"/>
  <c r="AA43" i="5"/>
  <c r="O55" i="5"/>
  <c r="W41" i="25"/>
  <c r="Y39" i="25"/>
  <c r="O52" i="25"/>
  <c r="AA41" i="25"/>
  <c r="Y32" i="23"/>
  <c r="W34" i="23"/>
  <c r="W45" i="23" s="1"/>
  <c r="W47" i="23" s="1"/>
  <c r="O45" i="23"/>
  <c r="AA34" i="23"/>
  <c r="J47" i="23"/>
  <c r="AB45" i="23"/>
  <c r="J57" i="5"/>
  <c r="AB55" i="5"/>
  <c r="D8" i="6"/>
  <c r="C11" i="6"/>
  <c r="E48" i="21"/>
  <c r="E49" i="21" s="1"/>
  <c r="F48" i="21"/>
  <c r="F49" i="21" s="1"/>
  <c r="H48" i="21"/>
  <c r="H49" i="21" s="1"/>
  <c r="G48" i="21"/>
  <c r="G49" i="21" s="1"/>
  <c r="J54" i="25"/>
  <c r="AB52" i="25"/>
  <c r="Y44" i="23"/>
  <c r="Z44" i="23" s="1"/>
  <c r="Z43" i="23"/>
  <c r="W52" i="25"/>
  <c r="W54" i="25" s="1"/>
  <c r="AA12" i="25"/>
  <c r="Y12" i="25"/>
  <c r="Z9" i="25"/>
  <c r="H21" i="21"/>
  <c r="Z12" i="25" l="1"/>
  <c r="J55" i="25"/>
  <c r="AB54" i="25"/>
  <c r="D11" i="6"/>
  <c r="J58" i="5"/>
  <c r="AB57" i="5"/>
  <c r="J48" i="23"/>
  <c r="AB47" i="23"/>
  <c r="O47" i="23"/>
  <c r="AA45" i="23"/>
  <c r="Y34" i="23"/>
  <c r="Z32" i="23"/>
  <c r="O54" i="25"/>
  <c r="AA52" i="25"/>
  <c r="Y41" i="25"/>
  <c r="Z39" i="25"/>
  <c r="O57" i="5"/>
  <c r="G8" i="6"/>
  <c r="E11" i="6"/>
  <c r="K8" i="6"/>
  <c r="W55" i="5"/>
  <c r="Y43" i="5"/>
  <c r="Z41" i="5"/>
  <c r="N58" i="5"/>
  <c r="N55" i="25"/>
  <c r="N48" i="23"/>
  <c r="N49" i="23" l="1"/>
  <c r="N56" i="25"/>
  <c r="N59" i="5"/>
  <c r="Y55" i="5"/>
  <c r="Z43" i="5"/>
  <c r="W57" i="5"/>
  <c r="AA55" i="5"/>
  <c r="M8" i="6"/>
  <c r="C25" i="21" s="1"/>
  <c r="K11" i="6"/>
  <c r="G11" i="6"/>
  <c r="O58" i="5"/>
  <c r="AA57" i="5"/>
  <c r="Z41" i="25"/>
  <c r="Y52" i="25"/>
  <c r="O55" i="25"/>
  <c r="AA54" i="25"/>
  <c r="Z34" i="23"/>
  <c r="Y45" i="23"/>
  <c r="O48" i="23"/>
  <c r="AA47" i="23"/>
  <c r="J49" i="23"/>
  <c r="X48" i="23"/>
  <c r="X49" i="23" s="1"/>
  <c r="AB48" i="23"/>
  <c r="X58" i="5"/>
  <c r="J59" i="5"/>
  <c r="C13" i="6"/>
  <c r="AB58" i="5"/>
  <c r="X55" i="25"/>
  <c r="X56" i="25" s="1"/>
  <c r="J56" i="25"/>
  <c r="AB56" i="25" s="1"/>
  <c r="AB55" i="25"/>
  <c r="D13" i="6" l="1"/>
  <c r="D15" i="6" s="1"/>
  <c r="C15" i="6"/>
  <c r="D48" i="21" s="1"/>
  <c r="D49" i="21" s="1"/>
  <c r="X59" i="5"/>
  <c r="AB59" i="5" s="1"/>
  <c r="L13" i="6"/>
  <c r="L15" i="6" s="1"/>
  <c r="AB49" i="23"/>
  <c r="O49" i="23"/>
  <c r="W48" i="23"/>
  <c r="AA48" i="23"/>
  <c r="Y47" i="23"/>
  <c r="Z47" i="23" s="1"/>
  <c r="Z45" i="23"/>
  <c r="O56" i="25"/>
  <c r="W55" i="25"/>
  <c r="AA55" i="25"/>
  <c r="Y54" i="25"/>
  <c r="Z54" i="25" s="1"/>
  <c r="Z52" i="25"/>
  <c r="O59" i="5"/>
  <c r="E13" i="6"/>
  <c r="W58" i="5"/>
  <c r="AA58" i="5"/>
  <c r="M11" i="6"/>
  <c r="H25" i="21"/>
  <c r="C28" i="21"/>
  <c r="Y57" i="5"/>
  <c r="Z57" i="5" s="1"/>
  <c r="Z55" i="5"/>
  <c r="H28" i="21" l="1"/>
  <c r="K13" i="6"/>
  <c r="W59" i="5"/>
  <c r="Y58" i="5"/>
  <c r="G13" i="6"/>
  <c r="G15" i="6" s="1"/>
  <c r="E15" i="6"/>
  <c r="F53" i="21" s="1"/>
  <c r="F57" i="21" s="1"/>
  <c r="AA59" i="5"/>
  <c r="Y55" i="25"/>
  <c r="W56" i="25"/>
  <c r="AA56" i="25"/>
  <c r="W49" i="23"/>
  <c r="Y48" i="23"/>
  <c r="AA49" i="23"/>
  <c r="E40" i="21"/>
  <c r="G11" i="21"/>
  <c r="G16" i="21" s="1"/>
  <c r="C126" i="22" s="1"/>
  <c r="E44" i="21" l="1"/>
  <c r="H40" i="21"/>
  <c r="H44" i="21" s="1"/>
  <c r="Y49" i="23"/>
  <c r="Z49" i="23" s="1"/>
  <c r="Z48" i="23"/>
  <c r="Y56" i="25"/>
  <c r="Z56" i="25" s="1"/>
  <c r="Z55" i="25"/>
  <c r="Y59" i="5"/>
  <c r="Z59" i="5" s="1"/>
  <c r="Z58" i="5"/>
  <c r="M13" i="6"/>
  <c r="K15" i="6"/>
  <c r="F11" i="21" s="1"/>
  <c r="F16" i="21" l="1"/>
  <c r="C124" i="22" s="1"/>
  <c r="C136" i="22" s="1"/>
  <c r="H11" i="21"/>
  <c r="H16" i="21" s="1"/>
  <c r="C29" i="21"/>
  <c r="M15" i="6"/>
  <c r="H29" i="21" l="1"/>
  <c r="C30" i="21"/>
  <c r="H30" i="21" s="1"/>
</calcChain>
</file>

<file path=xl/sharedStrings.xml><?xml version="1.0" encoding="utf-8"?>
<sst xmlns="http://schemas.openxmlformats.org/spreadsheetml/2006/main" count="693" uniqueCount="347">
  <si>
    <t>Application for Federal Assistance SF-424</t>
  </si>
  <si>
    <t>* 1.Type of Submission:</t>
  </si>
  <si>
    <t>* 2. Type of Application</t>
  </si>
  <si>
    <t>* If Revision, select appropriate letter(s):</t>
  </si>
  <si>
    <t xml:space="preserve">        Preapplication</t>
  </si>
  <si>
    <t xml:space="preserve">        New</t>
  </si>
  <si>
    <t xml:space="preserve">Response to Issues Letter </t>
  </si>
  <si>
    <t xml:space="preserve">        Application</t>
  </si>
  <si>
    <t xml:space="preserve">        Continuation</t>
  </si>
  <si>
    <t>* Other (Specify)</t>
  </si>
  <si>
    <t xml:space="preserve">        Changed/Corrected Application</t>
  </si>
  <si>
    <t xml:space="preserve">        Revision</t>
  </si>
  <si>
    <t>* 3. Date Received:</t>
  </si>
  <si>
    <t>4. Applicant Identifier:</t>
  </si>
  <si>
    <t>Completed by Grants.gov upon submission.</t>
  </si>
  <si>
    <t>5a. Federal Entity Identifier:</t>
  </si>
  <si>
    <t>* 5b. Federal Award Identifier:</t>
  </si>
  <si>
    <t>State Use Only:</t>
  </si>
  <si>
    <t>6. Date Received by State:</t>
  </si>
  <si>
    <t>7. State Application Identifier:</t>
  </si>
  <si>
    <t>8. APPLICANT INFORMATION:</t>
  </si>
  <si>
    <t>* a. Legal Name:</t>
  </si>
  <si>
    <t>Catholic Relief Services - United States Conference of Catholic Bishops</t>
  </si>
  <si>
    <t>* b. Employer/Taxpayer Identification Number (EIN/TIN):</t>
  </si>
  <si>
    <t>* c. Organizational DUNS:</t>
  </si>
  <si>
    <t>13-5563422</t>
  </si>
  <si>
    <t>d. Address:</t>
  </si>
  <si>
    <t>* Street 1:</t>
  </si>
  <si>
    <t>228 West Lexington Street</t>
  </si>
  <si>
    <t xml:space="preserve">   Street 2:</t>
  </si>
  <si>
    <t>* City:</t>
  </si>
  <si>
    <t>Baltimore</t>
  </si>
  <si>
    <t xml:space="preserve">   County:</t>
  </si>
  <si>
    <t>* State:</t>
  </si>
  <si>
    <t>Maryland</t>
  </si>
  <si>
    <t xml:space="preserve">   Province:</t>
  </si>
  <si>
    <t>* Country:</t>
  </si>
  <si>
    <t>USA</t>
  </si>
  <si>
    <t>* Zip / Postal Code:</t>
  </si>
  <si>
    <t>e. Organization Unit:</t>
  </si>
  <si>
    <t>Department Name:</t>
  </si>
  <si>
    <t>Division Name:</t>
  </si>
  <si>
    <t>f. Name and contact information of person to be contacted on matters involving this application:</t>
  </si>
  <si>
    <t>Prefix:</t>
  </si>
  <si>
    <t>Ms.</t>
  </si>
  <si>
    <t>First Name:</t>
  </si>
  <si>
    <t>Chelsea</t>
  </si>
  <si>
    <t>Middle Name:</t>
  </si>
  <si>
    <t>Last Name:</t>
  </si>
  <si>
    <t>Treadwell</t>
  </si>
  <si>
    <t>Suffix:</t>
  </si>
  <si>
    <t>Title:</t>
  </si>
  <si>
    <t>Public Donor Liaison - Asia</t>
  </si>
  <si>
    <t>Organizational Affiliation:</t>
  </si>
  <si>
    <t>Catholic Relief Services</t>
  </si>
  <si>
    <t>* Telephone Number:</t>
  </si>
  <si>
    <t>410-951-7468</t>
  </si>
  <si>
    <t xml:space="preserve">Fax Number: </t>
  </si>
  <si>
    <t>* Email:</t>
  </si>
  <si>
    <t>chelsea.treadwell@crs.org</t>
  </si>
  <si>
    <t>9. Type of Applicant 1: Select Applicant Type:</t>
  </si>
  <si>
    <t>M: Nonprofit with 501C3 IRS Status (Other than Institution of Higher Education)</t>
  </si>
  <si>
    <t>Type of Applicant 2: Select Applicant Type:</t>
  </si>
  <si>
    <t>Type of Applicant 3: Select Applicant Type:</t>
  </si>
  <si>
    <t>* Other (specify):</t>
  </si>
  <si>
    <t>* 10. Name of Federal Agency:</t>
  </si>
  <si>
    <t>US Department of State Bureau of Population Refugees and Migration</t>
  </si>
  <si>
    <t>11. Catalog of Federal Domestic Assistance Number:</t>
  </si>
  <si>
    <t>CFDA Title:</t>
  </si>
  <si>
    <t>Overseas Refugee Assistance Program for Near East and South Asia</t>
  </si>
  <si>
    <t>* 12. Funding Opportunity Number:</t>
  </si>
  <si>
    <t>PRM-PRMOAPNE-14-006-049311 / PRM-PRMOAPNE-14-006</t>
  </si>
  <si>
    <t>* Title:</t>
  </si>
  <si>
    <t>13. Competition Identification Number:</t>
  </si>
  <si>
    <t>FY 2014 Funding Opportunity Announcement for NGO Programs Benefiting Sri Lankan Refugees in India</t>
  </si>
  <si>
    <t>14. Areas Affected by Project (Cities, Counties, States, etc.):</t>
  </si>
  <si>
    <t>* 15. Descriptive Title of Applicant's Project:</t>
  </si>
  <si>
    <t xml:space="preserve">Combating Trafficking in Persons (TIP) though Victim-Centered Approaches in India </t>
  </si>
  <si>
    <t>Attach supporting documents as specified in agency instructions.</t>
  </si>
  <si>
    <t>16. Congressional Districts Of:</t>
  </si>
  <si>
    <t>* a. Applicant</t>
  </si>
  <si>
    <t>MD-7</t>
  </si>
  <si>
    <t>* b. Program/Project</t>
  </si>
  <si>
    <t>Attach an additional list of Program/Project Congressional Districts if needed.</t>
  </si>
  <si>
    <t>17. Proposed Project:</t>
  </si>
  <si>
    <t>* a. Start Date:</t>
  </si>
  <si>
    <t>* b. End Date:</t>
  </si>
  <si>
    <t>18. Estimated Funding ($):</t>
  </si>
  <si>
    <t>* a. Federal</t>
  </si>
  <si>
    <t>* b. Applicant</t>
  </si>
  <si>
    <t>* c. State</t>
  </si>
  <si>
    <t>* d. Local</t>
  </si>
  <si>
    <t>* e. Other</t>
  </si>
  <si>
    <t>* f. Program Income</t>
  </si>
  <si>
    <t>* g. TOTAL</t>
  </si>
  <si>
    <t>* 19. Is Application Subject to Review By State Under Executive Order 12372 Process?</t>
  </si>
  <si>
    <t xml:space="preserve">        a. This application was made available to the State under the Executive Order 12372 Process for review on:</t>
  </si>
  <si>
    <t xml:space="preserve">        b. Program is subject to E.O. 12372 but has not been selected by the State for review.</t>
  </si>
  <si>
    <t xml:space="preserve">        c. Program is not covered by E.O. 12372.</t>
  </si>
  <si>
    <t>* 20. Is the Applicant Delinquent On Any Federal Debt? (If "Yes", provide explanation.)</t>
  </si>
  <si>
    <t xml:space="preserve">        Yes</t>
  </si>
  <si>
    <t xml:space="preserve">        No</t>
  </si>
  <si>
    <t>21. *By signing this application, I certify (1) to the statements contained in the list of certifications** and (2) that the statements herein are true, complete and accurate to the best of my knowledge. I also provide the required assurances** and agree to comply with any resulting terms if I accept an award. I am aware that any false, fictitious, or fraudulent statements or claims may subject me to criminal, civil, or administrative penalties. (U.S. Code, Title 218, Section 1001)</t>
  </si>
  <si>
    <t xml:space="preserve">        ** I AGREE</t>
  </si>
  <si>
    <t>** The list of certifications and assurances, or an internet site where you may obtain this list, is contained in the announcement or agency specific instructions.</t>
  </si>
  <si>
    <t>Authorized Representative:</t>
  </si>
  <si>
    <t>Mr.</t>
  </si>
  <si>
    <t>* First Name:</t>
  </si>
  <si>
    <t>Tony</t>
  </si>
  <si>
    <t>* Last Name:</t>
  </si>
  <si>
    <t>Castleman</t>
  </si>
  <si>
    <t>Country Representative, India</t>
  </si>
  <si>
    <t>+91-9810880281</t>
  </si>
  <si>
    <t>tony.castleman@crs.org</t>
  </si>
  <si>
    <t xml:space="preserve">* Signature of Authorized Representative: </t>
  </si>
  <si>
    <t>* Date Signed:</t>
  </si>
  <si>
    <t>Standard Form 424A</t>
  </si>
  <si>
    <t>OMB Approval No. 0348-0044</t>
  </si>
  <si>
    <t>Budget Information - Non-Construction Programs</t>
  </si>
  <si>
    <t>SECTION A - BUDGET SUMMARY</t>
  </si>
  <si>
    <t>Grant Program</t>
  </si>
  <si>
    <t>Catalog of Federal</t>
  </si>
  <si>
    <t>Estimated Unobligated Funds</t>
  </si>
  <si>
    <t>New or Revised Budget</t>
  </si>
  <si>
    <t>Function</t>
  </si>
  <si>
    <t>Domestic Assistance</t>
  </si>
  <si>
    <t>or Activity</t>
  </si>
  <si>
    <t>Number</t>
  </si>
  <si>
    <t>Federal</t>
  </si>
  <si>
    <t>Non-Federal</t>
  </si>
  <si>
    <t>Total</t>
  </si>
  <si>
    <t>{a}</t>
  </si>
  <si>
    <t>{b}</t>
  </si>
  <si>
    <t>{c}</t>
  </si>
  <si>
    <t>{d}</t>
  </si>
  <si>
    <t>{e}</t>
  </si>
  <si>
    <t>{f}</t>
  </si>
  <si>
    <t>{g}</t>
  </si>
  <si>
    <t>Anti-Trafficking Program</t>
  </si>
  <si>
    <t>TOTALS</t>
  </si>
  <si>
    <t>SECTION B - BUDGET CATEGORIES</t>
  </si>
  <si>
    <t>Grant Program, Function or Activity</t>
  </si>
  <si>
    <t>6.</t>
  </si>
  <si>
    <t xml:space="preserve"> Object Class Categories</t>
  </si>
  <si>
    <t>{1}</t>
  </si>
  <si>
    <t>{2}</t>
  </si>
  <si>
    <t>{3}</t>
  </si>
  <si>
    <t>{4}</t>
  </si>
  <si>
    <t>{5}</t>
  </si>
  <si>
    <t>{6}</t>
  </si>
  <si>
    <t xml:space="preserve">      a.  Personnel    </t>
  </si>
  <si>
    <t xml:space="preserve">      b.  Fringe Benefits</t>
  </si>
  <si>
    <t xml:space="preserve">      c.  Travel</t>
  </si>
  <si>
    <t xml:space="preserve">      d.  Equipment</t>
  </si>
  <si>
    <t xml:space="preserve">      e.  Supplies</t>
  </si>
  <si>
    <t xml:space="preserve">      f.  Contractual</t>
  </si>
  <si>
    <t xml:space="preserve">      g.  Construction</t>
  </si>
  <si>
    <t xml:space="preserve">      h.  Other</t>
  </si>
  <si>
    <t xml:space="preserve">      i.  Total Direct Charges  (sum of 6a-6h)</t>
  </si>
  <si>
    <t xml:space="preserve">      j.  Indirect Charges</t>
  </si>
  <si>
    <t xml:space="preserve">      k.  TOTALS  (sum of 6i and 6j)</t>
  </si>
  <si>
    <t>7.</t>
  </si>
  <si>
    <t>Program Income</t>
  </si>
  <si>
    <t>Previous Edition Usable</t>
  </si>
  <si>
    <t>Authorized for Local Reproduction</t>
  </si>
  <si>
    <t>Standard Form 424 A (Rev. 4-92)</t>
  </si>
  <si>
    <t>Standard Form 424A  (cont'd)</t>
  </si>
  <si>
    <t>SECTION C - NON-FEDERAL RESOURCES</t>
  </si>
  <si>
    <t>(a)  Grant Program</t>
  </si>
  <si>
    <t>(b)  Applicant</t>
  </si>
  <si>
    <t>(c)  State</t>
  </si>
  <si>
    <t>(d)  Other Sources</t>
  </si>
  <si>
    <t>(e)  TOTALS</t>
  </si>
  <si>
    <t>8.</t>
  </si>
  <si>
    <t>9.</t>
  </si>
  <si>
    <t>10.</t>
  </si>
  <si>
    <t>11.</t>
  </si>
  <si>
    <t>12.</t>
  </si>
  <si>
    <t>TOTAL  (sum of lines 8 - 11)</t>
  </si>
  <si>
    <t>SECTION D - FORCASTED CASH NEEDS</t>
  </si>
  <si>
    <t>Total for 1st Year</t>
  </si>
  <si>
    <t>1st Quarter</t>
  </si>
  <si>
    <t>2nd Quarter</t>
  </si>
  <si>
    <t>3rd Quarter</t>
  </si>
  <si>
    <t>4th Quarter</t>
  </si>
  <si>
    <t>13.</t>
  </si>
  <si>
    <t>14.</t>
  </si>
  <si>
    <t>Non-federal</t>
  </si>
  <si>
    <t>15.</t>
  </si>
  <si>
    <t>TOTAL (sum of lines 13 and 14)</t>
  </si>
  <si>
    <t>SECTION E - BUDGET ESTIMATES OF FEDERAL FUNDS NEEDED FOR BALANCE OF THE PROJECT</t>
  </si>
  <si>
    <t>Future Funding Periods  (Years)</t>
  </si>
  <si>
    <t>(b)  First</t>
  </si>
  <si>
    <t>(c)  Second</t>
  </si>
  <si>
    <t>(d)  Third</t>
  </si>
  <si>
    <t>(e)  Fourth</t>
  </si>
  <si>
    <t>16.</t>
  </si>
  <si>
    <t>17.</t>
  </si>
  <si>
    <t>18.</t>
  </si>
  <si>
    <t>19.</t>
  </si>
  <si>
    <t>20.</t>
  </si>
  <si>
    <t>TOTAL (sum of lines 16 - 19)</t>
  </si>
  <si>
    <t>SECTION F - OTHER BUDGET INFORMATION</t>
  </si>
  <si>
    <t>Direct Charges (Federal only):</t>
  </si>
  <si>
    <t>22.  Indirect Charges (Federal only):</t>
  </si>
  <si>
    <t>Provisional</t>
  </si>
  <si>
    <t>Remarks:</t>
  </si>
  <si>
    <t>Standard Form 424 A (Rev. 4-92)  Page 2</t>
  </si>
  <si>
    <t xml:space="preserve">Summary Budget </t>
  </si>
  <si>
    <t>Period</t>
  </si>
  <si>
    <t>Grant</t>
  </si>
  <si>
    <t>Cost Share</t>
  </si>
  <si>
    <t>Personnel</t>
  </si>
  <si>
    <t>Fringe Benefits</t>
  </si>
  <si>
    <t xml:space="preserve">Travel </t>
  </si>
  <si>
    <t>Supplies</t>
  </si>
  <si>
    <t>Contractual and Subawards</t>
  </si>
  <si>
    <t>Other Direct Costs</t>
  </si>
  <si>
    <t>Total Direct Costs</t>
  </si>
  <si>
    <t>Indirect Costs</t>
  </si>
  <si>
    <t>Total Costs</t>
  </si>
  <si>
    <t xml:space="preserve">*Please note this example was completed by year. If you are submitting a phase funded project, please adjust the columns as needed by following the template provided. </t>
  </si>
  <si>
    <t>Annex E: Line Item Budget Example</t>
  </si>
  <si>
    <t xml:space="preserve">Total </t>
  </si>
  <si>
    <t>Account Code</t>
  </si>
  <si>
    <t>All costs in US$</t>
  </si>
  <si>
    <t>No.</t>
  </si>
  <si>
    <t>Unit Type</t>
  </si>
  <si>
    <t>No. of Units</t>
  </si>
  <si>
    <t>%</t>
  </si>
  <si>
    <t>Rate</t>
  </si>
  <si>
    <t>JTIP</t>
  </si>
  <si>
    <t>Freq.</t>
  </si>
  <si>
    <t>Grand Total</t>
  </si>
  <si>
    <t>6052, 6069</t>
  </si>
  <si>
    <t>Staff Salaries</t>
  </si>
  <si>
    <t>Head of Office</t>
  </si>
  <si>
    <t>FTE</t>
  </si>
  <si>
    <t xml:space="preserve">Program Coordinator </t>
  </si>
  <si>
    <t>Finance officer</t>
  </si>
  <si>
    <t>Administrative Staff</t>
  </si>
  <si>
    <t xml:space="preserve">Monitoring, Evaluation and Project Support International (MERL) </t>
  </si>
  <si>
    <t xml:space="preserve">Monitoring, Evaluation and Project Support Local (MERL) </t>
  </si>
  <si>
    <t xml:space="preserve">Global M&amp;E Coordinator </t>
  </si>
  <si>
    <t>Mang.&amp; tech.advisors - Int’l Staff</t>
  </si>
  <si>
    <t>Mang.&amp; tech.advisors - Nat.staff</t>
  </si>
  <si>
    <t>Sub Total Personnel</t>
  </si>
  <si>
    <t>6061, 6063, 6071</t>
  </si>
  <si>
    <t xml:space="preserve">Fringe Benefits </t>
  </si>
  <si>
    <t>Salary</t>
  </si>
  <si>
    <t>MERL - Int'l Staff</t>
  </si>
  <si>
    <t>MERL - Local Staff</t>
  </si>
  <si>
    <t>Fringe Benefits – Int’l Staff</t>
  </si>
  <si>
    <t>Overseas Allowances – Int’l Staff</t>
  </si>
  <si>
    <t>Housing and Local in Country Benefits – Int’l Staff</t>
  </si>
  <si>
    <t>Mang.&amp; tech.advisors - Nat.staff-Fringe Benefits</t>
  </si>
  <si>
    <t>Sub Total Fringe Benefits</t>
  </si>
  <si>
    <t>Domestic Travel</t>
  </si>
  <si>
    <t>flight/train</t>
  </si>
  <si>
    <t>Hotel</t>
  </si>
  <si>
    <t>night</t>
  </si>
  <si>
    <t>Perdiem</t>
  </si>
  <si>
    <t>day</t>
  </si>
  <si>
    <t>Mang.&amp; tech.advisors - Nat.staff-Travel</t>
  </si>
  <si>
    <t>Month</t>
  </si>
  <si>
    <t>In-country program travel and vehicle expenses</t>
  </si>
  <si>
    <t>Sub Total Travel &amp; Transportation</t>
  </si>
  <si>
    <t>Office/Computer Supplies, Stationery and Services</t>
  </si>
  <si>
    <t>Printing</t>
  </si>
  <si>
    <t>Sub Total Supplies</t>
  </si>
  <si>
    <t>Contractual</t>
  </si>
  <si>
    <t xml:space="preserve">Subgrantee </t>
  </si>
  <si>
    <t>Lumpsum</t>
  </si>
  <si>
    <t xml:space="preserve">Technical Advisor–Capacity Strengthening of Law enforcement Officials </t>
  </si>
  <si>
    <t>Sub Total Contractual</t>
  </si>
  <si>
    <t>Baseline Survey/Mid-term Review/Final Evaluation</t>
  </si>
  <si>
    <t>Event</t>
  </si>
  <si>
    <t>Monitoring and Evaluation</t>
  </si>
  <si>
    <t>MEAL Workshop</t>
  </si>
  <si>
    <t xml:space="preserve">Implement. Plan Workshop </t>
  </si>
  <si>
    <t>Workshop</t>
  </si>
  <si>
    <t>Communication Expenses</t>
  </si>
  <si>
    <t>Building rent, utilities and maintenance</t>
  </si>
  <si>
    <t>Contracted Audit &amp; Legal Services</t>
  </si>
  <si>
    <t>Information Technology and Communication Expenses &amp; Bank charges</t>
  </si>
  <si>
    <t>Facility Costs, IT Services, Communication, IT Salaries</t>
  </si>
  <si>
    <t>Sq. Mt</t>
  </si>
  <si>
    <t>Sub Total Other Direct Costs</t>
  </si>
  <si>
    <t>Indirect Cost Exclusions</t>
  </si>
  <si>
    <t>Modified Total Direct Costs</t>
  </si>
  <si>
    <t>6961, 6963</t>
  </si>
  <si>
    <t>Indirect Cost (17.88% NICRA rate)</t>
  </si>
  <si>
    <t>GRAND TOTAL</t>
  </si>
  <si>
    <t>Subgrantee</t>
  </si>
  <si>
    <t>Budget Line Items</t>
  </si>
  <si>
    <t>Frequency</t>
  </si>
  <si>
    <t>Description</t>
  </si>
  <si>
    <t xml:space="preserve">State Coordinator </t>
  </si>
  <si>
    <t>FTE/month</t>
  </si>
  <si>
    <t xml:space="preserve">Assistant State Coordinator </t>
  </si>
  <si>
    <t xml:space="preserve">Finance Coordinator </t>
  </si>
  <si>
    <t xml:space="preserve">Assistant Finance Coordinator </t>
  </si>
  <si>
    <t>Documentation Officer</t>
  </si>
  <si>
    <t>Monitoring Coordinator</t>
  </si>
  <si>
    <t>Travel and Transportation</t>
  </si>
  <si>
    <t>Travel,Accomodation and Perdiem</t>
  </si>
  <si>
    <t>Director</t>
  </si>
  <si>
    <t>Sub Total Travel and  Transportation</t>
  </si>
  <si>
    <t>Stationery &amp; Office Supplies</t>
  </si>
  <si>
    <t>Administrative costs - Rent,Communication,Utility etc</t>
  </si>
  <si>
    <t xml:space="preserve">Program Activities </t>
  </si>
  <si>
    <t>Training Kit</t>
  </si>
  <si>
    <t>Development of Anti Human Trafficking Training Toolkit (TOT Manual )</t>
  </si>
  <si>
    <t>Sets</t>
  </si>
  <si>
    <t xml:space="preserve">Facilitation of Technical Advisory Group (TAG) </t>
  </si>
  <si>
    <t>No of days</t>
  </si>
  <si>
    <t>Consultation workshop on Tool Kits</t>
  </si>
  <si>
    <t>Meeting</t>
  </si>
  <si>
    <t>Development of Comprehensive Tool kits  (Handbook on SOPs)</t>
  </si>
  <si>
    <t>Kits</t>
  </si>
  <si>
    <t xml:space="preserve">Sub Total </t>
  </si>
  <si>
    <t>Trainings  / Consultations</t>
  </si>
  <si>
    <t xml:space="preserve">Trainings-State Judicial officers , Prosecutors </t>
  </si>
  <si>
    <t>Training</t>
  </si>
  <si>
    <t>State level Trainings for the Police Officers</t>
  </si>
  <si>
    <t xml:space="preserve">Refresher Trainings-State Judicial officers , Prosecutors </t>
  </si>
  <si>
    <t>Refresher Trainings for the State Level Police Officers</t>
  </si>
  <si>
    <t>State level training for the DWCD and NGOs across four states</t>
  </si>
  <si>
    <t xml:space="preserve">
Workshop with WCD in AP and Telangana to design the Co - Management Plan 
</t>
  </si>
  <si>
    <t>Training for  selected officials on Monitoring and supporting homes to adhere to Minimum Standards</t>
  </si>
  <si>
    <r>
      <t>Comprehensive victim-service rescue facilities</t>
    </r>
    <r>
      <rPr>
        <sz val="12"/>
        <rFont val="Calibri"/>
        <family val="2"/>
      </rPr>
      <t xml:space="preserve"> </t>
    </r>
  </si>
  <si>
    <t>Victim services- 2 new homes will be established in collaboration with NGOs experienced in implementing AHT programmes</t>
  </si>
  <si>
    <t>Homes</t>
  </si>
  <si>
    <t xml:space="preserve">Victim services  existing homes will be co-managed with the Government </t>
  </si>
  <si>
    <t xml:space="preserve">Audit </t>
  </si>
  <si>
    <t>Audit Fee</t>
  </si>
  <si>
    <t>Fees</t>
  </si>
  <si>
    <t>Sub Total Audit Fees</t>
  </si>
  <si>
    <t xml:space="preserve">Indirect Cost </t>
  </si>
  <si>
    <t>SWAD</t>
  </si>
  <si>
    <t>CC</t>
  </si>
  <si>
    <t>CRS</t>
  </si>
  <si>
    <t>MEAL Cordinator</t>
  </si>
  <si>
    <t>Fringe Benefits – National Staff</t>
  </si>
  <si>
    <t>Housing and Local Benefits – Int’l Staff</t>
  </si>
  <si>
    <t>Prajwala</t>
  </si>
  <si>
    <t>Indirect Cost (17.88%)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</si>
</sst>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[$INR]\ #,##0.00"/>
    <numFmt numFmtId="166" formatCode="_(* #,##0_);_(* \(#,##0\);_(* &quot;-&quot;??_);_(@_)"/>
    <numFmt numFmtId="167" formatCode="_(&quot;$&quot;* #,##0_);_(&quot;$&quot;* \(#,##0\);_(&quot;$&quot;* &quot;-&quot;??_);_(@_)"/>
    <numFmt numFmtId="168" formatCode="0.00000"/>
    <numFmt numFmtId="169" formatCode="#,##0.0"/>
    <numFmt numFmtId="170" formatCode="0.0"/>
    <numFmt numFmtId="171" formatCode="[$$-1009]#,##0"/>
    <numFmt numFmtId="172" formatCode="[$$-1009]#,##0.00"/>
    <numFmt numFmtId="173" formatCode="_(* #,##0.000_);_(* \(#,##0.000\);_(* &quot;-&quot;??_);_(@_)"/>
    <numFmt numFmtId="174" formatCode="_(* #,##0.0000_);_(* \(#,##0.0000\);_(* &quot;-&quot;??_);_(@_)"/>
    <numFmt numFmtId="175" formatCode="[$₹-445]\ #,##0"/>
    <numFmt numFmtId="176" formatCode="[$$-1009]#,##0;\-[$$-1009]#,##0"/>
    <numFmt numFmtId="177" formatCode="[$$-1009]#,##0.00;\-[$$-1009]#,##0.00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9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Arial Narrow"/>
      <family val="2"/>
    </font>
    <font>
      <b/>
      <sz val="9"/>
      <name val="Arial Narrow"/>
      <family val="2"/>
    </font>
    <font>
      <sz val="12"/>
      <name val="Times New Roman"/>
      <family val="1"/>
    </font>
    <font>
      <sz val="12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 tint="-0.249977111117893"/>
      <name val="Times New Roman"/>
      <family val="1"/>
    </font>
    <font>
      <b/>
      <sz val="9"/>
      <color theme="0" tint="-0.34998626667073579"/>
      <name val="Times New Roman"/>
      <family val="1"/>
    </font>
    <font>
      <b/>
      <sz val="12"/>
      <color rgb="FF000000"/>
      <name val="Times New Roman"/>
      <family val="1"/>
    </font>
    <font>
      <sz val="9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 tint="-0.249977111117893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2"/>
      <color rgb="FFFF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/>
    <xf numFmtId="0" fontId="17" fillId="0" borderId="0"/>
    <xf numFmtId="0" fontId="7" fillId="0" borderId="0"/>
    <xf numFmtId="0" fontId="4" fillId="0" borderId="0"/>
    <xf numFmtId="9" fontId="1" fillId="0" borderId="0" applyFont="0" applyFill="0" applyBorder="0" applyAlignment="0" applyProtection="0"/>
  </cellStyleXfs>
  <cellXfs count="583">
    <xf numFmtId="0" fontId="0" fillId="0" borderId="0" xfId="0"/>
    <xf numFmtId="0" fontId="4" fillId="0" borderId="0" xfId="9"/>
    <xf numFmtId="0" fontId="5" fillId="0" borderId="0" xfId="9" applyFont="1" applyAlignment="1">
      <alignment horizontal="centerContinuous"/>
    </xf>
    <xf numFmtId="0" fontId="4" fillId="0" borderId="0" xfId="9" applyAlignment="1">
      <alignment horizontal="centerContinuous"/>
    </xf>
    <xf numFmtId="0" fontId="6" fillId="0" borderId="0" xfId="9" applyFont="1" applyAlignment="1">
      <alignment horizontal="centerContinuous"/>
    </xf>
    <xf numFmtId="0" fontId="4" fillId="0" borderId="2" xfId="9" applyBorder="1" applyAlignment="1">
      <alignment horizontal="centerContinuous"/>
    </xf>
    <xf numFmtId="0" fontId="4" fillId="0" borderId="1" xfId="9" applyBorder="1" applyAlignment="1">
      <alignment horizontal="centerContinuous"/>
    </xf>
    <xf numFmtId="0" fontId="4" fillId="0" borderId="3" xfId="9" applyBorder="1" applyAlignment="1">
      <alignment horizontal="centerContinuous"/>
    </xf>
    <xf numFmtId="0" fontId="4" fillId="0" borderId="5" xfId="9" applyBorder="1"/>
    <xf numFmtId="0" fontId="4" fillId="0" borderId="6" xfId="9" applyBorder="1"/>
    <xf numFmtId="0" fontId="4" fillId="0" borderId="7" xfId="9" applyBorder="1"/>
    <xf numFmtId="0" fontId="4" fillId="0" borderId="8" xfId="9" applyBorder="1" applyAlignment="1">
      <alignment horizontal="center"/>
    </xf>
    <xf numFmtId="0" fontId="4" fillId="0" borderId="9" xfId="9" applyBorder="1" applyAlignment="1">
      <alignment horizontal="center"/>
    </xf>
    <xf numFmtId="167" fontId="4" fillId="0" borderId="10" xfId="4" applyNumberFormat="1" applyFont="1" applyBorder="1" applyProtection="1"/>
    <xf numFmtId="167" fontId="4" fillId="0" borderId="0" xfId="9" applyNumberFormat="1"/>
    <xf numFmtId="0" fontId="4" fillId="0" borderId="2" xfId="9" applyBorder="1"/>
    <xf numFmtId="0" fontId="4" fillId="0" borderId="11" xfId="9" applyBorder="1" applyAlignment="1">
      <alignment horizontal="centerContinuous"/>
    </xf>
    <xf numFmtId="0" fontId="4" fillId="0" borderId="12" xfId="9" applyBorder="1" applyAlignment="1">
      <alignment horizontal="centerContinuous"/>
    </xf>
    <xf numFmtId="0" fontId="4" fillId="0" borderId="13" xfId="9" applyBorder="1" applyAlignment="1">
      <alignment horizontal="centerContinuous"/>
    </xf>
    <xf numFmtId="0" fontId="4" fillId="0" borderId="8" xfId="9" applyBorder="1" applyAlignment="1">
      <alignment horizontal="centerContinuous"/>
    </xf>
    <xf numFmtId="0" fontId="4" fillId="0" borderId="14" xfId="9" quotePrefix="1" applyBorder="1"/>
    <xf numFmtId="0" fontId="4" fillId="0" borderId="14" xfId="9" applyBorder="1"/>
    <xf numFmtId="0" fontId="4" fillId="0" borderId="10" xfId="9" applyBorder="1" applyAlignment="1">
      <alignment horizontal="centerContinuous"/>
    </xf>
    <xf numFmtId="0" fontId="4" fillId="0" borderId="11" xfId="9" applyBorder="1"/>
    <xf numFmtId="43" fontId="4" fillId="0" borderId="12" xfId="2" applyFont="1" applyBorder="1" applyProtection="1"/>
    <xf numFmtId="0" fontId="4" fillId="0" borderId="11" xfId="9" quotePrefix="1" applyBorder="1"/>
    <xf numFmtId="0" fontId="3" fillId="0" borderId="0" xfId="9" applyFont="1"/>
    <xf numFmtId="0" fontId="3" fillId="0" borderId="0" xfId="9" applyFont="1" applyAlignment="1">
      <alignment horizontal="centerContinuous"/>
    </xf>
    <xf numFmtId="0" fontId="4" fillId="0" borderId="12" xfId="9" applyBorder="1"/>
    <xf numFmtId="0" fontId="4" fillId="0" borderId="13" xfId="9" applyBorder="1"/>
    <xf numFmtId="166" fontId="4" fillId="0" borderId="10" xfId="2" applyNumberFormat="1" applyFont="1" applyBorder="1" applyProtection="1"/>
    <xf numFmtId="0" fontId="4" fillId="0" borderId="5" xfId="9" quotePrefix="1" applyBorder="1"/>
    <xf numFmtId="0" fontId="4" fillId="0" borderId="3" xfId="9" applyBorder="1"/>
    <xf numFmtId="0" fontId="4" fillId="0" borderId="10" xfId="9" applyBorder="1" applyAlignment="1">
      <alignment horizontal="center"/>
    </xf>
    <xf numFmtId="166" fontId="19" fillId="0" borderId="10" xfId="2" applyNumberFormat="1" applyFont="1" applyFill="1" applyBorder="1" applyProtection="1"/>
    <xf numFmtId="3" fontId="4" fillId="0" borderId="0" xfId="9" applyNumberFormat="1"/>
    <xf numFmtId="0" fontId="4" fillId="0" borderId="1" xfId="9" applyBorder="1"/>
    <xf numFmtId="0" fontId="4" fillId="0" borderId="12" xfId="9" applyBorder="1" applyAlignment="1">
      <alignment horizontal="right"/>
    </xf>
    <xf numFmtId="167" fontId="4" fillId="0" borderId="12" xfId="4" applyNumberFormat="1" applyFont="1" applyBorder="1" applyProtection="1"/>
    <xf numFmtId="3" fontId="4" fillId="0" borderId="12" xfId="9" applyNumberFormat="1" applyBorder="1"/>
    <xf numFmtId="167" fontId="4" fillId="0" borderId="13" xfId="9" applyNumberFormat="1" applyBorder="1"/>
    <xf numFmtId="173" fontId="4" fillId="0" borderId="10" xfId="2" applyNumberFormat="1" applyFont="1" applyBorder="1" applyProtection="1"/>
    <xf numFmtId="0" fontId="20" fillId="0" borderId="15" xfId="7" applyFont="1" applyBorder="1" applyAlignment="1">
      <alignment vertical="center"/>
    </xf>
    <xf numFmtId="0" fontId="20" fillId="0" borderId="16" xfId="7" applyFont="1" applyBorder="1" applyAlignment="1">
      <alignment vertical="center"/>
    </xf>
    <xf numFmtId="0" fontId="20" fillId="0" borderId="16" xfId="7" applyFont="1" applyBorder="1" applyAlignment="1">
      <alignment horizontal="right" vertical="center"/>
    </xf>
    <xf numFmtId="0" fontId="20" fillId="0" borderId="17" xfId="7" applyFont="1" applyBorder="1" applyAlignment="1">
      <alignment vertical="center"/>
    </xf>
    <xf numFmtId="0" fontId="20" fillId="0" borderId="0" xfId="7" applyFont="1" applyAlignment="1">
      <alignment vertical="center"/>
    </xf>
    <xf numFmtId="0" fontId="21" fillId="0" borderId="18" xfId="7" applyFont="1" applyBorder="1"/>
    <xf numFmtId="0" fontId="21" fillId="0" borderId="20" xfId="7" applyFont="1" applyBorder="1"/>
    <xf numFmtId="0" fontId="21" fillId="0" borderId="19" xfId="7" applyFont="1" applyBorder="1"/>
    <xf numFmtId="0" fontId="21" fillId="0" borderId="0" xfId="7" applyFont="1"/>
    <xf numFmtId="0" fontId="21" fillId="0" borderId="21" xfId="7" applyFont="1" applyBorder="1"/>
    <xf numFmtId="0" fontId="21" fillId="0" borderId="0" xfId="7" applyFont="1" applyAlignment="1">
      <alignment vertical="center"/>
    </xf>
    <xf numFmtId="0" fontId="21" fillId="0" borderId="22" xfId="7" applyFont="1" applyBorder="1"/>
    <xf numFmtId="0" fontId="21" fillId="0" borderId="23" xfId="7" applyFont="1" applyBorder="1"/>
    <xf numFmtId="0" fontId="21" fillId="0" borderId="24" xfId="7" applyFont="1" applyBorder="1"/>
    <xf numFmtId="0" fontId="21" fillId="0" borderId="25" xfId="7" applyFont="1" applyBorder="1"/>
    <xf numFmtId="0" fontId="22" fillId="0" borderId="15" xfId="7" applyFont="1" applyBorder="1"/>
    <xf numFmtId="0" fontId="23" fillId="0" borderId="16" xfId="7" applyFont="1" applyBorder="1"/>
    <xf numFmtId="0" fontId="22" fillId="0" borderId="16" xfId="7" applyFont="1" applyBorder="1"/>
    <xf numFmtId="0" fontId="22" fillId="0" borderId="17" xfId="7" applyFont="1" applyBorder="1"/>
    <xf numFmtId="0" fontId="22" fillId="0" borderId="0" xfId="7" applyFont="1"/>
    <xf numFmtId="0" fontId="21" fillId="0" borderId="26" xfId="7" applyFont="1" applyBorder="1" applyAlignment="1" applyProtection="1">
      <alignment vertical="top" wrapText="1"/>
      <protection locked="0"/>
    </xf>
    <xf numFmtId="0" fontId="23" fillId="0" borderId="15" xfId="7" applyFont="1" applyBorder="1"/>
    <xf numFmtId="0" fontId="23" fillId="0" borderId="17" xfId="7" applyFont="1" applyBorder="1"/>
    <xf numFmtId="0" fontId="23" fillId="0" borderId="0" xfId="7" applyFont="1"/>
    <xf numFmtId="0" fontId="24" fillId="0" borderId="19" xfId="7" applyFont="1" applyBorder="1"/>
    <xf numFmtId="0" fontId="24" fillId="0" borderId="0" xfId="7" applyFont="1"/>
    <xf numFmtId="0" fontId="24" fillId="0" borderId="18" xfId="7" applyFont="1" applyBorder="1"/>
    <xf numFmtId="0" fontId="24" fillId="0" borderId="20" xfId="7" applyFont="1" applyBorder="1"/>
    <xf numFmtId="0" fontId="21" fillId="0" borderId="21" xfId="7" applyFont="1" applyBorder="1" applyAlignment="1">
      <alignment vertical="center"/>
    </xf>
    <xf numFmtId="0" fontId="21" fillId="0" borderId="22" xfId="7" applyFont="1" applyBorder="1" applyAlignment="1">
      <alignment vertical="center"/>
    </xf>
    <xf numFmtId="0" fontId="24" fillId="0" borderId="0" xfId="7" applyFont="1" applyAlignment="1">
      <alignment vertical="center"/>
    </xf>
    <xf numFmtId="15" fontId="21" fillId="0" borderId="26" xfId="7" applyNumberFormat="1" applyFont="1" applyBorder="1" applyAlignment="1" applyProtection="1">
      <alignment horizontal="left" vertical="top" wrapText="1"/>
      <protection locked="0"/>
    </xf>
    <xf numFmtId="0" fontId="11" fillId="0" borderId="26" xfId="0" applyFont="1" applyBorder="1"/>
    <xf numFmtId="0" fontId="10" fillId="0" borderId="26" xfId="0" applyFont="1" applyBorder="1" applyAlignment="1">
      <alignment horizontal="center" vertical="center" wrapText="1"/>
    </xf>
    <xf numFmtId="9" fontId="10" fillId="0" borderId="26" xfId="0" applyNumberFormat="1" applyFont="1" applyBorder="1" applyAlignment="1">
      <alignment horizontal="center" vertical="center" wrapText="1"/>
    </xf>
    <xf numFmtId="0" fontId="10" fillId="4" borderId="26" xfId="0" applyFont="1" applyFill="1" applyBorder="1"/>
    <xf numFmtId="167" fontId="10" fillId="4" borderId="26" xfId="0" applyNumberFormat="1" applyFont="1" applyFill="1" applyBorder="1"/>
    <xf numFmtId="165" fontId="25" fillId="4" borderId="26" xfId="0" applyNumberFormat="1" applyFont="1" applyFill="1" applyBorder="1"/>
    <xf numFmtId="0" fontId="25" fillId="4" borderId="26" xfId="0" applyFont="1" applyFill="1" applyBorder="1" applyAlignment="1">
      <alignment horizontal="center"/>
    </xf>
    <xf numFmtId="3" fontId="25" fillId="4" borderId="26" xfId="0" applyNumberFormat="1" applyFont="1" applyFill="1" applyBorder="1"/>
    <xf numFmtId="9" fontId="25" fillId="4" borderId="26" xfId="0" applyNumberFormat="1" applyFont="1" applyFill="1" applyBorder="1" applyAlignment="1">
      <alignment horizontal="center"/>
    </xf>
    <xf numFmtId="0" fontId="25" fillId="4" borderId="26" xfId="0" applyFont="1" applyFill="1" applyBorder="1"/>
    <xf numFmtId="0" fontId="10" fillId="0" borderId="26" xfId="0" applyFont="1" applyBorder="1" applyAlignment="1">
      <alignment horizontal="center"/>
    </xf>
    <xf numFmtId="3" fontId="11" fillId="0" borderId="26" xfId="0" applyNumberFormat="1" applyFont="1" applyBorder="1"/>
    <xf numFmtId="9" fontId="11" fillId="0" borderId="26" xfId="0" applyNumberFormat="1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9" fontId="11" fillId="0" borderId="26" xfId="0" applyNumberFormat="1" applyFont="1" applyBorder="1" applyAlignment="1">
      <alignment horizontal="center"/>
    </xf>
    <xf numFmtId="9" fontId="11" fillId="0" borderId="26" xfId="10" applyFont="1" applyFill="1" applyBorder="1" applyAlignment="1">
      <alignment horizontal="center"/>
    </xf>
    <xf numFmtId="176" fontId="12" fillId="0" borderId="26" xfId="3" applyNumberFormat="1" applyFont="1" applyBorder="1" applyAlignment="1"/>
    <xf numFmtId="171" fontId="12" fillId="0" borderId="26" xfId="3" applyNumberFormat="1" applyFont="1" applyBorder="1" applyAlignment="1"/>
    <xf numFmtId="0" fontId="10" fillId="0" borderId="26" xfId="0" applyFont="1" applyBorder="1"/>
    <xf numFmtId="166" fontId="10" fillId="0" borderId="26" xfId="1" applyNumberFormat="1" applyFont="1" applyFill="1" applyBorder="1"/>
    <xf numFmtId="9" fontId="10" fillId="0" borderId="26" xfId="0" applyNumberFormat="1" applyFont="1" applyBorder="1" applyAlignment="1">
      <alignment horizontal="center"/>
    </xf>
    <xf numFmtId="176" fontId="13" fillId="0" borderId="26" xfId="3" applyNumberFormat="1" applyFont="1" applyBorder="1" applyAlignment="1"/>
    <xf numFmtId="0" fontId="10" fillId="5" borderId="26" xfId="0" applyFont="1" applyFill="1" applyBorder="1"/>
    <xf numFmtId="166" fontId="10" fillId="5" borderId="26" xfId="1" applyNumberFormat="1" applyFont="1" applyFill="1" applyBorder="1"/>
    <xf numFmtId="9" fontId="10" fillId="5" borderId="26" xfId="0" applyNumberFormat="1" applyFont="1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11" fillId="5" borderId="26" xfId="0" applyFont="1" applyFill="1" applyBorder="1"/>
    <xf numFmtId="166" fontId="11" fillId="0" borderId="26" xfId="1" applyNumberFormat="1" applyFont="1" applyFill="1" applyBorder="1" applyAlignment="1">
      <alignment horizontal="center"/>
    </xf>
    <xf numFmtId="174" fontId="11" fillId="0" borderId="26" xfId="1" applyNumberFormat="1" applyFont="1" applyFill="1" applyBorder="1" applyAlignment="1">
      <alignment horizontal="center"/>
    </xf>
    <xf numFmtId="43" fontId="11" fillId="0" borderId="26" xfId="1" applyFont="1" applyFill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167" fontId="11" fillId="0" borderId="26" xfId="3" applyNumberFormat="1" applyFont="1" applyFill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10" fillId="5" borderId="26" xfId="0" applyNumberFormat="1" applyFont="1" applyFill="1" applyBorder="1"/>
    <xf numFmtId="0" fontId="11" fillId="5" borderId="26" xfId="0" applyFont="1" applyFill="1" applyBorder="1" applyAlignment="1">
      <alignment horizontal="center"/>
    </xf>
    <xf numFmtId="166" fontId="11" fillId="0" borderId="26" xfId="1" applyNumberFormat="1" applyFont="1" applyFill="1" applyBorder="1"/>
    <xf numFmtId="9" fontId="26" fillId="4" borderId="26" xfId="0" applyNumberFormat="1" applyFont="1" applyFill="1" applyBorder="1" applyAlignment="1">
      <alignment horizontal="center"/>
    </xf>
    <xf numFmtId="0" fontId="11" fillId="0" borderId="27" xfId="8" applyFont="1" applyBorder="1" applyAlignment="1">
      <alignment horizontal="center"/>
    </xf>
    <xf numFmtId="3" fontId="11" fillId="0" borderId="26" xfId="0" applyNumberFormat="1" applyFont="1" applyBorder="1" applyAlignment="1">
      <alignment horizontal="center"/>
    </xf>
    <xf numFmtId="3" fontId="10" fillId="0" borderId="26" xfId="0" applyNumberFormat="1" applyFont="1" applyBorder="1"/>
    <xf numFmtId="9" fontId="11" fillId="5" borderId="26" xfId="0" applyNumberFormat="1" applyFont="1" applyFill="1" applyBorder="1" applyAlignment="1">
      <alignment horizontal="center"/>
    </xf>
    <xf numFmtId="3" fontId="11" fillId="5" borderId="26" xfId="0" applyNumberFormat="1" applyFont="1" applyFill="1" applyBorder="1"/>
    <xf numFmtId="0" fontId="10" fillId="2" borderId="26" xfId="0" applyFont="1" applyFill="1" applyBorder="1"/>
    <xf numFmtId="9" fontId="10" fillId="2" borderId="26" xfId="0" applyNumberFormat="1" applyFont="1" applyFill="1" applyBorder="1" applyAlignment="1">
      <alignment horizontal="center"/>
    </xf>
    <xf numFmtId="176" fontId="10" fillId="4" borderId="26" xfId="3" applyNumberFormat="1" applyFont="1" applyFill="1" applyBorder="1"/>
    <xf numFmtId="9" fontId="10" fillId="4" borderId="26" xfId="0" applyNumberFormat="1" applyFont="1" applyFill="1" applyBorder="1" applyAlignment="1">
      <alignment horizontal="center"/>
    </xf>
    <xf numFmtId="167" fontId="11" fillId="0" borderId="26" xfId="0" applyNumberFormat="1" applyFont="1" applyBorder="1"/>
    <xf numFmtId="0" fontId="11" fillId="0" borderId="26" xfId="0" applyFont="1" applyBorder="1" applyAlignment="1">
      <alignment wrapText="1"/>
    </xf>
    <xf numFmtId="44" fontId="11" fillId="0" borderId="26" xfId="0" applyNumberFormat="1" applyFont="1" applyBorder="1"/>
    <xf numFmtId="2" fontId="11" fillId="0" borderId="26" xfId="0" applyNumberFormat="1" applyFont="1" applyBorder="1" applyAlignment="1">
      <alignment horizontal="center"/>
    </xf>
    <xf numFmtId="9" fontId="11" fillId="0" borderId="26" xfId="10" applyFont="1" applyBorder="1"/>
    <xf numFmtId="10" fontId="11" fillId="0" borderId="26" xfId="10" applyNumberFormat="1" applyFont="1" applyBorder="1"/>
    <xf numFmtId="0" fontId="10" fillId="0" borderId="26" xfId="0" applyFont="1" applyBorder="1" applyAlignment="1">
      <alignment wrapText="1"/>
    </xf>
    <xf numFmtId="167" fontId="10" fillId="0" borderId="26" xfId="0" applyNumberFormat="1" applyFont="1" applyBorder="1"/>
    <xf numFmtId="9" fontId="11" fillId="0" borderId="26" xfId="10" applyFont="1" applyBorder="1" applyAlignment="1">
      <alignment horizontal="center"/>
    </xf>
    <xf numFmtId="167" fontId="11" fillId="0" borderId="26" xfId="10" applyNumberFormat="1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0" fontId="9" fillId="6" borderId="19" xfId="0" applyFont="1" applyFill="1" applyBorder="1" applyAlignment="1">
      <alignment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6" borderId="29" xfId="0" applyFont="1" applyFill="1" applyBorder="1" applyAlignment="1">
      <alignment vertical="center" wrapText="1"/>
    </xf>
    <xf numFmtId="0" fontId="9" fillId="6" borderId="30" xfId="0" applyFont="1" applyFill="1" applyBorder="1" applyAlignment="1">
      <alignment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vertical="center" wrapText="1"/>
    </xf>
    <xf numFmtId="0" fontId="9" fillId="6" borderId="32" xfId="0" applyFont="1" applyFill="1" applyBorder="1" applyAlignment="1">
      <alignment horizontal="center" vertical="center" wrapText="1"/>
    </xf>
    <xf numFmtId="3" fontId="9" fillId="0" borderId="32" xfId="0" applyNumberFormat="1" applyFont="1" applyBorder="1" applyAlignment="1">
      <alignment vertical="center" wrapText="1"/>
    </xf>
    <xf numFmtId="3" fontId="9" fillId="0" borderId="26" xfId="0" applyNumberFormat="1" applyFont="1" applyBorder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176" fontId="11" fillId="0" borderId="26" xfId="0" applyNumberFormat="1" applyFont="1" applyBorder="1"/>
    <xf numFmtId="0" fontId="9" fillId="6" borderId="31" xfId="0" applyFont="1" applyFill="1" applyBorder="1" applyAlignment="1">
      <alignment horizontal="center" vertical="center" wrapText="1"/>
    </xf>
    <xf numFmtId="43" fontId="9" fillId="0" borderId="0" xfId="1" applyFont="1" applyAlignment="1">
      <alignment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1" fillId="0" borderId="34" xfId="0" applyFont="1" applyBorder="1"/>
    <xf numFmtId="0" fontId="10" fillId="4" borderId="34" xfId="0" applyFont="1" applyFill="1" applyBorder="1"/>
    <xf numFmtId="0" fontId="11" fillId="0" borderId="32" xfId="0" applyFont="1" applyBorder="1"/>
    <xf numFmtId="3" fontId="11" fillId="0" borderId="32" xfId="0" applyNumberFormat="1" applyFont="1" applyBorder="1"/>
    <xf numFmtId="1" fontId="11" fillId="0" borderId="32" xfId="10" applyNumberFormat="1" applyFont="1" applyBorder="1"/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5" fillId="4" borderId="35" xfId="0" applyFont="1" applyFill="1" applyBorder="1"/>
    <xf numFmtId="9" fontId="25" fillId="4" borderId="36" xfId="0" applyNumberFormat="1" applyFont="1" applyFill="1" applyBorder="1" applyAlignment="1">
      <alignment horizontal="center"/>
    </xf>
    <xf numFmtId="0" fontId="11" fillId="0" borderId="35" xfId="0" applyFont="1" applyBorder="1"/>
    <xf numFmtId="0" fontId="10" fillId="0" borderId="36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176" fontId="12" fillId="0" borderId="36" xfId="3" applyNumberFormat="1" applyFont="1" applyBorder="1" applyAlignment="1"/>
    <xf numFmtId="0" fontId="10" fillId="0" borderId="35" xfId="0" applyFont="1" applyBorder="1"/>
    <xf numFmtId="176" fontId="13" fillId="0" borderId="36" xfId="3" applyNumberFormat="1" applyFont="1" applyBorder="1" applyAlignment="1"/>
    <xf numFmtId="0" fontId="10" fillId="5" borderId="35" xfId="0" applyFont="1" applyFill="1" applyBorder="1"/>
    <xf numFmtId="0" fontId="10" fillId="5" borderId="36" xfId="0" applyFont="1" applyFill="1" applyBorder="1" applyAlignment="1">
      <alignment horizontal="center"/>
    </xf>
    <xf numFmtId="0" fontId="10" fillId="5" borderId="35" xfId="0" applyFont="1" applyFill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1" fillId="5" borderId="36" xfId="0" applyFont="1" applyFill="1" applyBorder="1" applyAlignment="1">
      <alignment horizontal="center"/>
    </xf>
    <xf numFmtId="176" fontId="13" fillId="0" borderId="35" xfId="3" applyNumberFormat="1" applyFont="1" applyBorder="1" applyAlignment="1"/>
    <xf numFmtId="0" fontId="11" fillId="5" borderId="35" xfId="0" applyFont="1" applyFill="1" applyBorder="1" applyAlignment="1">
      <alignment horizontal="center"/>
    </xf>
    <xf numFmtId="0" fontId="10" fillId="2" borderId="35" xfId="0" applyFont="1" applyFill="1" applyBorder="1"/>
    <xf numFmtId="176" fontId="10" fillId="4" borderId="36" xfId="3" applyNumberFormat="1" applyFont="1" applyFill="1" applyBorder="1"/>
    <xf numFmtId="0" fontId="10" fillId="4" borderId="35" xfId="0" applyFont="1" applyFill="1" applyBorder="1"/>
    <xf numFmtId="0" fontId="10" fillId="4" borderId="29" xfId="0" applyFont="1" applyFill="1" applyBorder="1"/>
    <xf numFmtId="0" fontId="10" fillId="4" borderId="31" xfId="0" applyFont="1" applyFill="1" applyBorder="1"/>
    <xf numFmtId="176" fontId="10" fillId="4" borderId="31" xfId="3" applyNumberFormat="1" applyFont="1" applyFill="1" applyBorder="1"/>
    <xf numFmtId="176" fontId="10" fillId="4" borderId="37" xfId="3" applyNumberFormat="1" applyFont="1" applyFill="1" applyBorder="1"/>
    <xf numFmtId="1" fontId="11" fillId="0" borderId="34" xfId="0" applyNumberFormat="1" applyFont="1" applyBorder="1"/>
    <xf numFmtId="9" fontId="25" fillId="4" borderId="35" xfId="0" applyNumberFormat="1" applyFont="1" applyFill="1" applyBorder="1" applyAlignment="1">
      <alignment horizontal="center"/>
    </xf>
    <xf numFmtId="0" fontId="25" fillId="4" borderId="36" xfId="0" applyFont="1" applyFill="1" applyBorder="1"/>
    <xf numFmtId="0" fontId="11" fillId="0" borderId="36" xfId="0" applyFont="1" applyBorder="1"/>
    <xf numFmtId="176" fontId="12" fillId="0" borderId="35" xfId="3" applyNumberFormat="1" applyFont="1" applyBorder="1" applyAlignment="1"/>
    <xf numFmtId="0" fontId="11" fillId="5" borderId="36" xfId="0" applyFont="1" applyFill="1" applyBorder="1"/>
    <xf numFmtId="176" fontId="10" fillId="4" borderId="35" xfId="3" applyNumberFormat="1" applyFont="1" applyFill="1" applyBorder="1"/>
    <xf numFmtId="176" fontId="10" fillId="4" borderId="29" xfId="3" applyNumberFormat="1" applyFont="1" applyFill="1" applyBorder="1"/>
    <xf numFmtId="0" fontId="27" fillId="0" borderId="0" xfId="0" applyFont="1" applyAlignment="1">
      <alignment vertical="center"/>
    </xf>
    <xf numFmtId="0" fontId="11" fillId="0" borderId="26" xfId="8" applyFont="1" applyBorder="1" applyAlignment="1">
      <alignment horizontal="center"/>
    </xf>
    <xf numFmtId="172" fontId="9" fillId="0" borderId="0" xfId="0" applyNumberFormat="1" applyFont="1" applyAlignment="1">
      <alignment vertical="center" wrapText="1"/>
    </xf>
    <xf numFmtId="0" fontId="8" fillId="3" borderId="38" xfId="0" applyFont="1" applyFill="1" applyBorder="1" applyAlignment="1">
      <alignment horizontal="center" vertical="center" wrapText="1"/>
    </xf>
    <xf numFmtId="171" fontId="9" fillId="0" borderId="0" xfId="0" applyNumberFormat="1" applyFont="1" applyAlignment="1">
      <alignment vertical="center" wrapText="1"/>
    </xf>
    <xf numFmtId="3" fontId="28" fillId="0" borderId="26" xfId="0" applyNumberFormat="1" applyFont="1" applyBorder="1"/>
    <xf numFmtId="3" fontId="11" fillId="7" borderId="26" xfId="0" applyNumberFormat="1" applyFont="1" applyFill="1" applyBorder="1"/>
    <xf numFmtId="172" fontId="11" fillId="0" borderId="26" xfId="0" applyNumberFormat="1" applyFont="1" applyBorder="1"/>
    <xf numFmtId="0" fontId="10" fillId="8" borderId="33" xfId="0" applyFont="1" applyFill="1" applyBorder="1"/>
    <xf numFmtId="0" fontId="10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2" xfId="0" applyFont="1" applyBorder="1" applyAlignment="1">
      <alignment wrapText="1"/>
    </xf>
    <xf numFmtId="9" fontId="11" fillId="0" borderId="32" xfId="0" applyNumberFormat="1" applyFont="1" applyBorder="1" applyAlignment="1">
      <alignment horizontal="center"/>
    </xf>
    <xf numFmtId="0" fontId="10" fillId="8" borderId="39" xfId="0" applyFont="1" applyFill="1" applyBorder="1"/>
    <xf numFmtId="0" fontId="10" fillId="4" borderId="35" xfId="0" applyFont="1" applyFill="1" applyBorder="1" applyAlignment="1">
      <alignment wrapText="1"/>
    </xf>
    <xf numFmtId="0" fontId="10" fillId="0" borderId="35" xfId="0" applyFont="1" applyBorder="1" applyAlignment="1">
      <alignment horizontal="left" vertical="top" wrapText="1"/>
    </xf>
    <xf numFmtId="0" fontId="11" fillId="0" borderId="35" xfId="0" applyFont="1" applyBorder="1" applyAlignment="1">
      <alignment wrapText="1"/>
    </xf>
    <xf numFmtId="0" fontId="10" fillId="0" borderId="35" xfId="0" applyFont="1" applyBorder="1" applyAlignment="1">
      <alignment wrapText="1"/>
    </xf>
    <xf numFmtId="0" fontId="10" fillId="5" borderId="35" xfId="0" applyFont="1" applyFill="1" applyBorder="1" applyAlignment="1">
      <alignment wrapText="1"/>
    </xf>
    <xf numFmtId="0" fontId="11" fillId="0" borderId="35" xfId="0" applyFont="1" applyBorder="1" applyAlignment="1">
      <alignment horizontal="left" wrapText="1"/>
    </xf>
    <xf numFmtId="3" fontId="26" fillId="5" borderId="36" xfId="0" applyNumberFormat="1" applyFont="1" applyFill="1" applyBorder="1"/>
    <xf numFmtId="0" fontId="11" fillId="0" borderId="35" xfId="0" quotePrefix="1" applyFont="1" applyBorder="1" applyAlignment="1">
      <alignment horizontal="left" wrapText="1"/>
    </xf>
    <xf numFmtId="0" fontId="10" fillId="2" borderId="35" xfId="0" applyFont="1" applyFill="1" applyBorder="1" applyAlignment="1">
      <alignment wrapText="1"/>
    </xf>
    <xf numFmtId="0" fontId="10" fillId="4" borderId="29" xfId="0" applyFont="1" applyFill="1" applyBorder="1" applyAlignment="1">
      <alignment wrapText="1"/>
    </xf>
    <xf numFmtId="9" fontId="10" fillId="4" borderId="31" xfId="0" applyNumberFormat="1" applyFont="1" applyFill="1" applyBorder="1" applyAlignment="1">
      <alignment horizontal="center"/>
    </xf>
    <xf numFmtId="168" fontId="11" fillId="0" borderId="26" xfId="0" applyNumberFormat="1" applyFont="1" applyBorder="1"/>
    <xf numFmtId="3" fontId="10" fillId="0" borderId="36" xfId="0" applyNumberFormat="1" applyFont="1" applyBorder="1" applyAlignment="1">
      <alignment horizontal="center"/>
    </xf>
    <xf numFmtId="10" fontId="10" fillId="4" borderId="26" xfId="10" applyNumberFormat="1" applyFont="1" applyFill="1" applyBorder="1"/>
    <xf numFmtId="167" fontId="11" fillId="0" borderId="32" xfId="0" applyNumberFormat="1" applyFont="1" applyBorder="1"/>
    <xf numFmtId="176" fontId="12" fillId="0" borderId="26" xfId="3" applyNumberFormat="1" applyFont="1" applyFill="1" applyBorder="1" applyAlignment="1"/>
    <xf numFmtId="176" fontId="12" fillId="0" borderId="36" xfId="3" applyNumberFormat="1" applyFont="1" applyFill="1" applyBorder="1" applyAlignment="1"/>
    <xf numFmtId="171" fontId="12" fillId="0" borderId="26" xfId="3" applyNumberFormat="1" applyFont="1" applyFill="1" applyBorder="1" applyAlignment="1"/>
    <xf numFmtId="176" fontId="12" fillId="0" borderId="35" xfId="3" applyNumberFormat="1" applyFont="1" applyFill="1" applyBorder="1" applyAlignment="1"/>
    <xf numFmtId="170" fontId="11" fillId="0" borderId="26" xfId="0" applyNumberFormat="1" applyFont="1" applyBorder="1" applyAlignment="1">
      <alignment horizontal="center"/>
    </xf>
    <xf numFmtId="170" fontId="11" fillId="0" borderId="35" xfId="0" applyNumberFormat="1" applyFont="1" applyBorder="1" applyAlignment="1">
      <alignment horizontal="center"/>
    </xf>
    <xf numFmtId="2" fontId="11" fillId="0" borderId="35" xfId="0" applyNumberFormat="1" applyFont="1" applyBorder="1" applyAlignment="1">
      <alignment horizontal="center"/>
    </xf>
    <xf numFmtId="176" fontId="10" fillId="0" borderId="26" xfId="0" applyNumberFormat="1" applyFont="1" applyBorder="1"/>
    <xf numFmtId="177" fontId="10" fillId="0" borderId="26" xfId="0" applyNumberFormat="1" applyFont="1" applyBorder="1"/>
    <xf numFmtId="9" fontId="10" fillId="0" borderId="26" xfId="10" applyFont="1" applyFill="1" applyBorder="1"/>
    <xf numFmtId="1" fontId="9" fillId="0" borderId="0" xfId="0" applyNumberFormat="1" applyFont="1" applyAlignment="1">
      <alignment vertical="center" wrapText="1"/>
    </xf>
    <xf numFmtId="10" fontId="10" fillId="0" borderId="26" xfId="10" applyNumberFormat="1" applyFont="1" applyFill="1" applyBorder="1"/>
    <xf numFmtId="176" fontId="12" fillId="0" borderId="26" xfId="3" applyNumberFormat="1" applyFont="1" applyBorder="1" applyAlignment="1">
      <alignment horizontal="center"/>
    </xf>
    <xf numFmtId="176" fontId="13" fillId="0" borderId="26" xfId="3" applyNumberFormat="1" applyFont="1" applyBorder="1" applyAlignment="1">
      <alignment horizontal="center"/>
    </xf>
    <xf numFmtId="164" fontId="19" fillId="0" borderId="10" xfId="2" applyNumberFormat="1" applyFont="1" applyFill="1" applyBorder="1" applyProtection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6" fillId="0" borderId="26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6" fillId="4" borderId="26" xfId="0" applyFont="1" applyFill="1" applyBorder="1" applyAlignment="1">
      <alignment horizontal="center" vertical="center"/>
    </xf>
    <xf numFmtId="3" fontId="6" fillId="4" borderId="26" xfId="0" applyNumberFormat="1" applyFont="1" applyFill="1" applyBorder="1" applyAlignment="1">
      <alignment vertical="center"/>
    </xf>
    <xf numFmtId="3" fontId="6" fillId="4" borderId="26" xfId="0" applyNumberFormat="1" applyFont="1" applyFill="1" applyBorder="1" applyAlignment="1">
      <alignment horizontal="center" vertical="center"/>
    </xf>
    <xf numFmtId="9" fontId="6" fillId="4" borderId="36" xfId="0" applyNumberFormat="1" applyFont="1" applyFill="1" applyBorder="1" applyAlignment="1">
      <alignment horizontal="center" vertical="center"/>
    </xf>
    <xf numFmtId="171" fontId="6" fillId="4" borderId="35" xfId="0" applyNumberFormat="1" applyFont="1" applyFill="1" applyBorder="1" applyAlignment="1">
      <alignment vertical="center"/>
    </xf>
    <xf numFmtId="171" fontId="6" fillId="4" borderId="26" xfId="0" applyNumberFormat="1" applyFont="1" applyFill="1" applyBorder="1" applyAlignment="1">
      <alignment vertical="center"/>
    </xf>
    <xf numFmtId="171" fontId="6" fillId="4" borderId="36" xfId="0" applyNumberFormat="1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29" fillId="0" borderId="35" xfId="0" applyFont="1" applyBorder="1"/>
    <xf numFmtId="0" fontId="14" fillId="6" borderId="26" xfId="0" applyFont="1" applyFill="1" applyBorder="1" applyAlignment="1">
      <alignment horizontal="center" vertical="center"/>
    </xf>
    <xf numFmtId="171" fontId="14" fillId="0" borderId="26" xfId="0" applyNumberFormat="1" applyFont="1" applyBorder="1" applyAlignment="1">
      <alignment vertical="center"/>
    </xf>
    <xf numFmtId="3" fontId="14" fillId="6" borderId="26" xfId="0" applyNumberFormat="1" applyFont="1" applyFill="1" applyBorder="1" applyAlignment="1">
      <alignment horizontal="center" vertical="center"/>
    </xf>
    <xf numFmtId="9" fontId="14" fillId="6" borderId="36" xfId="0" applyNumberFormat="1" applyFont="1" applyFill="1" applyBorder="1" applyAlignment="1">
      <alignment horizontal="center" vertical="center"/>
    </xf>
    <xf numFmtId="171" fontId="14" fillId="0" borderId="35" xfId="0" applyNumberFormat="1" applyFont="1" applyBorder="1" applyAlignment="1">
      <alignment vertical="center"/>
    </xf>
    <xf numFmtId="171" fontId="14" fillId="0" borderId="36" xfId="0" applyNumberFormat="1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3" fontId="6" fillId="4" borderId="35" xfId="0" applyNumberFormat="1" applyFont="1" applyFill="1" applyBorder="1" applyAlignment="1">
      <alignment vertical="center"/>
    </xf>
    <xf numFmtId="3" fontId="6" fillId="4" borderId="36" xfId="0" applyNumberFormat="1" applyFont="1" applyFill="1" applyBorder="1" applyAlignment="1">
      <alignment vertical="center"/>
    </xf>
    <xf numFmtId="0" fontId="14" fillId="0" borderId="35" xfId="0" applyFont="1" applyBorder="1"/>
    <xf numFmtId="1" fontId="14" fillId="6" borderId="26" xfId="0" applyNumberFormat="1" applyFont="1" applyFill="1" applyBorder="1" applyAlignment="1">
      <alignment horizontal="center" vertical="center"/>
    </xf>
    <xf numFmtId="3" fontId="6" fillId="4" borderId="36" xfId="0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left" vertical="center"/>
    </xf>
    <xf numFmtId="0" fontId="29" fillId="6" borderId="26" xfId="0" applyFont="1" applyFill="1" applyBorder="1" applyAlignment="1">
      <alignment horizontal="center"/>
    </xf>
    <xf numFmtId="0" fontId="14" fillId="6" borderId="26" xfId="0" applyFont="1" applyFill="1" applyBorder="1" applyAlignment="1">
      <alignment horizontal="center"/>
    </xf>
    <xf numFmtId="171" fontId="14" fillId="0" borderId="35" xfId="0" applyNumberFormat="1" applyFont="1" applyBorder="1" applyAlignment="1">
      <alignment horizontal="right" vertical="center"/>
    </xf>
    <xf numFmtId="171" fontId="14" fillId="0" borderId="36" xfId="0" applyNumberFormat="1" applyFont="1" applyBorder="1" applyAlignment="1">
      <alignment horizontal="right" vertical="center"/>
    </xf>
    <xf numFmtId="171" fontId="14" fillId="0" borderId="26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vertical="center"/>
    </xf>
    <xf numFmtId="0" fontId="6" fillId="4" borderId="36" xfId="0" applyFont="1" applyFill="1" applyBorder="1" applyAlignment="1">
      <alignment horizontal="center" vertical="center"/>
    </xf>
    <xf numFmtId="0" fontId="30" fillId="4" borderId="35" xfId="0" applyFont="1" applyFill="1" applyBorder="1"/>
    <xf numFmtId="0" fontId="14" fillId="4" borderId="26" xfId="0" applyFont="1" applyFill="1" applyBorder="1" applyAlignment="1">
      <alignment horizontal="left" vertical="center"/>
    </xf>
    <xf numFmtId="0" fontId="29" fillId="4" borderId="26" xfId="0" applyFont="1" applyFill="1" applyBorder="1" applyAlignment="1">
      <alignment horizontal="center"/>
    </xf>
    <xf numFmtId="0" fontId="29" fillId="4" borderId="26" xfId="0" applyFont="1" applyFill="1" applyBorder="1"/>
    <xf numFmtId="0" fontId="14" fillId="4" borderId="26" xfId="0" applyFont="1" applyFill="1" applyBorder="1" applyAlignment="1">
      <alignment horizontal="center"/>
    </xf>
    <xf numFmtId="3" fontId="14" fillId="4" borderId="26" xfId="0" applyNumberFormat="1" applyFont="1" applyFill="1" applyBorder="1" applyAlignment="1">
      <alignment horizontal="center" vertical="center"/>
    </xf>
    <xf numFmtId="9" fontId="14" fillId="4" borderId="36" xfId="0" applyNumberFormat="1" applyFont="1" applyFill="1" applyBorder="1" applyAlignment="1">
      <alignment horizontal="center" vertical="center"/>
    </xf>
    <xf numFmtId="175" fontId="14" fillId="4" borderId="35" xfId="0" applyNumberFormat="1" applyFont="1" applyFill="1" applyBorder="1" applyAlignment="1">
      <alignment vertical="center"/>
    </xf>
    <xf numFmtId="175" fontId="14" fillId="4" borderId="26" xfId="0" applyNumberFormat="1" applyFont="1" applyFill="1" applyBorder="1" applyAlignment="1">
      <alignment vertical="center"/>
    </xf>
    <xf numFmtId="175" fontId="14" fillId="4" borderId="36" xfId="0" applyNumberFormat="1" applyFont="1" applyFill="1" applyBorder="1" applyAlignment="1">
      <alignment vertical="center"/>
    </xf>
    <xf numFmtId="175" fontId="14" fillId="0" borderId="36" xfId="0" applyNumberFormat="1" applyFont="1" applyBorder="1" applyAlignment="1">
      <alignment vertical="center"/>
    </xf>
    <xf numFmtId="175" fontId="14" fillId="0" borderId="35" xfId="0" applyNumberFormat="1" applyFont="1" applyBorder="1" applyAlignment="1">
      <alignment vertical="center"/>
    </xf>
    <xf numFmtId="172" fontId="14" fillId="0" borderId="35" xfId="0" applyNumberFormat="1" applyFont="1" applyBorder="1" applyAlignment="1">
      <alignment vertical="center"/>
    </xf>
    <xf numFmtId="3" fontId="31" fillId="4" borderId="35" xfId="0" applyNumberFormat="1" applyFont="1" applyFill="1" applyBorder="1" applyAlignment="1">
      <alignment vertical="center"/>
    </xf>
    <xf numFmtId="3" fontId="31" fillId="4" borderId="26" xfId="0" applyNumberFormat="1" applyFont="1" applyFill="1" applyBorder="1" applyAlignment="1">
      <alignment vertical="center"/>
    </xf>
    <xf numFmtId="172" fontId="14" fillId="0" borderId="0" xfId="0" applyNumberFormat="1" applyFont="1" applyAlignment="1">
      <alignment vertical="center"/>
    </xf>
    <xf numFmtId="1" fontId="14" fillId="6" borderId="26" xfId="0" applyNumberFormat="1" applyFont="1" applyFill="1" applyBorder="1" applyAlignment="1">
      <alignment vertical="center"/>
    </xf>
    <xf numFmtId="0" fontId="6" fillId="4" borderId="29" xfId="0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6" fillId="4" borderId="31" xfId="0" applyFont="1" applyFill="1" applyBorder="1" applyAlignment="1">
      <alignment horizontal="center" vertical="center"/>
    </xf>
    <xf numFmtId="9" fontId="6" fillId="4" borderId="37" xfId="0" applyNumberFormat="1" applyFont="1" applyFill="1" applyBorder="1" applyAlignment="1">
      <alignment horizontal="center" vertical="center"/>
    </xf>
    <xf numFmtId="171" fontId="6" fillId="4" borderId="29" xfId="0" applyNumberFormat="1" applyFont="1" applyFill="1" applyBorder="1" applyAlignment="1">
      <alignment vertical="center"/>
    </xf>
    <xf numFmtId="171" fontId="6" fillId="4" borderId="31" xfId="0" applyNumberFormat="1" applyFont="1" applyFill="1" applyBorder="1" applyAlignment="1">
      <alignment vertical="center"/>
    </xf>
    <xf numFmtId="171" fontId="6" fillId="4" borderId="37" xfId="0" applyNumberFormat="1" applyFont="1" applyFill="1" applyBorder="1" applyAlignment="1">
      <alignment vertical="center"/>
    </xf>
    <xf numFmtId="171" fontId="14" fillId="4" borderId="0" xfId="0" applyNumberFormat="1" applyFont="1" applyFill="1" applyAlignment="1">
      <alignment vertical="center"/>
    </xf>
    <xf numFmtId="3" fontId="32" fillId="0" borderId="0" xfId="0" applyNumberFormat="1" applyFont="1"/>
    <xf numFmtId="3" fontId="32" fillId="2" borderId="40" xfId="0" applyNumberFormat="1" applyFont="1" applyFill="1" applyBorder="1"/>
    <xf numFmtId="3" fontId="33" fillId="0" borderId="0" xfId="0" applyNumberFormat="1" applyFont="1"/>
    <xf numFmtId="3" fontId="32" fillId="2" borderId="41" xfId="0" applyNumberFormat="1" applyFont="1" applyFill="1" applyBorder="1"/>
    <xf numFmtId="0" fontId="32" fillId="2" borderId="35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2" borderId="36" xfId="0" applyFont="1" applyFill="1" applyBorder="1" applyAlignment="1">
      <alignment horizontal="center" vertical="center" wrapText="1"/>
    </xf>
    <xf numFmtId="3" fontId="32" fillId="0" borderId="41" xfId="0" applyNumberFormat="1" applyFont="1" applyBorder="1"/>
    <xf numFmtId="176" fontId="32" fillId="0" borderId="35" xfId="3" applyNumberFormat="1" applyFont="1" applyBorder="1" applyAlignment="1"/>
    <xf numFmtId="176" fontId="32" fillId="0" borderId="26" xfId="3" applyNumberFormat="1" applyFont="1" applyBorder="1" applyAlignment="1"/>
    <xf numFmtId="176" fontId="32" fillId="0" borderId="36" xfId="3" applyNumberFormat="1" applyFont="1" applyBorder="1" applyAlignment="1"/>
    <xf numFmtId="176" fontId="32" fillId="0" borderId="35" xfId="3" applyNumberFormat="1" applyFont="1" applyFill="1" applyBorder="1" applyAlignment="1"/>
    <xf numFmtId="9" fontId="32" fillId="0" borderId="0" xfId="10" applyFont="1"/>
    <xf numFmtId="3" fontId="32" fillId="0" borderId="42" xfId="0" applyNumberFormat="1" applyFont="1" applyBorder="1"/>
    <xf numFmtId="176" fontId="33" fillId="0" borderId="29" xfId="3" applyNumberFormat="1" applyFont="1" applyBorder="1" applyAlignment="1"/>
    <xf numFmtId="176" fontId="33" fillId="0" borderId="31" xfId="3" applyNumberFormat="1" applyFont="1" applyBorder="1" applyAlignment="1"/>
    <xf numFmtId="176" fontId="33" fillId="0" borderId="37" xfId="3" applyNumberFormat="1" applyFont="1" applyBorder="1" applyAlignment="1"/>
    <xf numFmtId="3" fontId="34" fillId="0" borderId="0" xfId="0" applyNumberFormat="1" applyFont="1"/>
    <xf numFmtId="167" fontId="34" fillId="0" borderId="0" xfId="3" applyNumberFormat="1" applyFont="1"/>
    <xf numFmtId="10" fontId="33" fillId="0" borderId="0" xfId="10" applyNumberFormat="1" applyFont="1"/>
    <xf numFmtId="0" fontId="35" fillId="8" borderId="33" xfId="0" applyFont="1" applyFill="1" applyBorder="1"/>
    <xf numFmtId="0" fontId="36" fillId="0" borderId="34" xfId="0" applyFont="1" applyBorder="1"/>
    <xf numFmtId="0" fontId="36" fillId="0" borderId="26" xfId="0" applyFont="1" applyBorder="1"/>
    <xf numFmtId="0" fontId="35" fillId="0" borderId="33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4" borderId="33" xfId="0" applyFont="1" applyFill="1" applyBorder="1" applyAlignment="1">
      <alignment horizontal="center"/>
    </xf>
    <xf numFmtId="0" fontId="35" fillId="4" borderId="26" xfId="0" applyFont="1" applyFill="1" applyBorder="1"/>
    <xf numFmtId="0" fontId="35" fillId="4" borderId="34" xfId="0" applyFont="1" applyFill="1" applyBorder="1"/>
    <xf numFmtId="0" fontId="35" fillId="0" borderId="33" xfId="0" applyFont="1" applyBorder="1" applyAlignment="1">
      <alignment horizontal="center"/>
    </xf>
    <xf numFmtId="0" fontId="36" fillId="0" borderId="33" xfId="0" applyFont="1" applyBorder="1" applyAlignment="1">
      <alignment horizontal="center"/>
    </xf>
    <xf numFmtId="1" fontId="36" fillId="0" borderId="34" xfId="0" applyNumberFormat="1" applyFont="1" applyBorder="1"/>
    <xf numFmtId="176" fontId="36" fillId="0" borderId="26" xfId="0" applyNumberFormat="1" applyFont="1" applyBorder="1"/>
    <xf numFmtId="0" fontId="36" fillId="2" borderId="33" xfId="0" applyFont="1" applyFill="1" applyBorder="1" applyAlignment="1">
      <alignment horizontal="center"/>
    </xf>
    <xf numFmtId="0" fontId="36" fillId="4" borderId="33" xfId="0" applyFont="1" applyFill="1" applyBorder="1" applyAlignment="1">
      <alignment horizontal="center"/>
    </xf>
    <xf numFmtId="0" fontId="37" fillId="0" borderId="43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7" fillId="4" borderId="35" xfId="0" applyFont="1" applyFill="1" applyBorder="1" applyAlignment="1">
      <alignment vertical="center"/>
    </xf>
    <xf numFmtId="0" fontId="37" fillId="4" borderId="26" xfId="0" applyFont="1" applyFill="1" applyBorder="1" applyAlignment="1">
      <alignment vertical="center"/>
    </xf>
    <xf numFmtId="0" fontId="37" fillId="4" borderId="26" xfId="0" applyFont="1" applyFill="1" applyBorder="1" applyAlignment="1">
      <alignment horizontal="center" vertical="center"/>
    </xf>
    <xf numFmtId="3" fontId="38" fillId="4" borderId="26" xfId="0" applyNumberFormat="1" applyFont="1" applyFill="1" applyBorder="1" applyAlignment="1">
      <alignment horizontal="center" vertical="center"/>
    </xf>
    <xf numFmtId="3" fontId="37" fillId="4" borderId="26" xfId="0" applyNumberFormat="1" applyFont="1" applyFill="1" applyBorder="1" applyAlignment="1">
      <alignment vertical="center"/>
    </xf>
    <xf numFmtId="3" fontId="37" fillId="4" borderId="26" xfId="0" applyNumberFormat="1" applyFont="1" applyFill="1" applyBorder="1" applyAlignment="1">
      <alignment horizontal="center" vertical="center"/>
    </xf>
    <xf numFmtId="9" fontId="37" fillId="4" borderId="36" xfId="0" applyNumberFormat="1" applyFont="1" applyFill="1" applyBorder="1" applyAlignment="1">
      <alignment horizontal="center" vertical="center"/>
    </xf>
    <xf numFmtId="171" fontId="37" fillId="4" borderId="35" xfId="0" applyNumberFormat="1" applyFont="1" applyFill="1" applyBorder="1" applyAlignment="1">
      <alignment vertical="center"/>
    </xf>
    <xf numFmtId="171" fontId="37" fillId="4" borderId="26" xfId="0" applyNumberFormat="1" applyFont="1" applyFill="1" applyBorder="1" applyAlignment="1">
      <alignment vertical="center"/>
    </xf>
    <xf numFmtId="171" fontId="37" fillId="4" borderId="36" xfId="0" applyNumberFormat="1" applyFont="1" applyFill="1" applyBorder="1" applyAlignment="1">
      <alignment vertical="center"/>
    </xf>
    <xf numFmtId="0" fontId="39" fillId="0" borderId="35" xfId="0" applyFont="1" applyBorder="1"/>
    <xf numFmtId="0" fontId="34" fillId="0" borderId="26" xfId="0" applyFont="1" applyBorder="1" applyAlignment="1">
      <alignment vertical="center"/>
    </xf>
    <xf numFmtId="0" fontId="34" fillId="6" borderId="26" xfId="0" applyFont="1" applyFill="1" applyBorder="1" applyAlignment="1">
      <alignment horizontal="center" vertical="center"/>
    </xf>
    <xf numFmtId="171" fontId="34" fillId="0" borderId="26" xfId="0" applyNumberFormat="1" applyFont="1" applyBorder="1" applyAlignment="1">
      <alignment vertical="center"/>
    </xf>
    <xf numFmtId="167" fontId="34" fillId="6" borderId="26" xfId="3" applyNumberFormat="1" applyFont="1" applyFill="1" applyBorder="1" applyAlignment="1"/>
    <xf numFmtId="3" fontId="34" fillId="6" borderId="26" xfId="0" applyNumberFormat="1" applyFont="1" applyFill="1" applyBorder="1" applyAlignment="1">
      <alignment horizontal="center" vertical="center"/>
    </xf>
    <xf numFmtId="9" fontId="34" fillId="6" borderId="36" xfId="0" applyNumberFormat="1" applyFont="1" applyFill="1" applyBorder="1" applyAlignment="1">
      <alignment horizontal="center" vertical="center"/>
    </xf>
    <xf numFmtId="171" fontId="34" fillId="0" borderId="35" xfId="0" applyNumberFormat="1" applyFont="1" applyBorder="1" applyAlignment="1">
      <alignment vertical="center"/>
    </xf>
    <xf numFmtId="171" fontId="34" fillId="0" borderId="36" xfId="0" applyNumberFormat="1" applyFont="1" applyBorder="1" applyAlignment="1">
      <alignment vertical="center"/>
    </xf>
    <xf numFmtId="3" fontId="37" fillId="4" borderId="35" xfId="0" applyNumberFormat="1" applyFont="1" applyFill="1" applyBorder="1" applyAlignment="1">
      <alignment vertical="center"/>
    </xf>
    <xf numFmtId="3" fontId="37" fillId="4" borderId="36" xfId="0" applyNumberFormat="1" applyFont="1" applyFill="1" applyBorder="1" applyAlignment="1">
      <alignment vertical="center"/>
    </xf>
    <xf numFmtId="0" fontId="37" fillId="0" borderId="35" xfId="0" applyFont="1" applyBorder="1" applyAlignment="1">
      <alignment vertical="center"/>
    </xf>
    <xf numFmtId="0" fontId="37" fillId="0" borderId="26" xfId="0" applyFont="1" applyBorder="1" applyAlignment="1">
      <alignment vertical="center"/>
    </xf>
    <xf numFmtId="0" fontId="37" fillId="6" borderId="26" xfId="0" applyFont="1" applyFill="1" applyBorder="1" applyAlignment="1">
      <alignment vertical="center"/>
    </xf>
    <xf numFmtId="3" fontId="34" fillId="0" borderId="35" xfId="0" applyNumberFormat="1" applyFont="1" applyBorder="1" applyAlignment="1">
      <alignment vertical="center"/>
    </xf>
    <xf numFmtId="3" fontId="34" fillId="0" borderId="26" xfId="0" applyNumberFormat="1" applyFont="1" applyBorder="1" applyAlignment="1">
      <alignment vertical="center"/>
    </xf>
    <xf numFmtId="3" fontId="34" fillId="0" borderId="36" xfId="0" applyNumberFormat="1" applyFont="1" applyBorder="1" applyAlignment="1">
      <alignment vertical="center"/>
    </xf>
    <xf numFmtId="0" fontId="34" fillId="0" borderId="35" xfId="0" applyFont="1" applyBorder="1"/>
    <xf numFmtId="1" fontId="37" fillId="4" borderId="26" xfId="0" applyNumberFormat="1" applyFont="1" applyFill="1" applyBorder="1" applyAlignment="1">
      <alignment vertical="center"/>
    </xf>
    <xf numFmtId="1" fontId="37" fillId="4" borderId="26" xfId="0" applyNumberFormat="1" applyFont="1" applyFill="1" applyBorder="1" applyAlignment="1">
      <alignment horizontal="center" vertical="center"/>
    </xf>
    <xf numFmtId="0" fontId="37" fillId="4" borderId="35" xfId="0" applyFont="1" applyFill="1" applyBorder="1"/>
    <xf numFmtId="1" fontId="34" fillId="6" borderId="26" xfId="0" applyNumberFormat="1" applyFont="1" applyFill="1" applyBorder="1" applyAlignment="1">
      <alignment horizontal="center" vertical="center"/>
    </xf>
    <xf numFmtId="3" fontId="37" fillId="4" borderId="44" xfId="0" applyNumberFormat="1" applyFont="1" applyFill="1" applyBorder="1" applyAlignment="1">
      <alignment vertical="center"/>
    </xf>
    <xf numFmtId="3" fontId="37" fillId="4" borderId="45" xfId="0" applyNumberFormat="1" applyFont="1" applyFill="1" applyBorder="1" applyAlignment="1">
      <alignment vertical="center"/>
    </xf>
    <xf numFmtId="3" fontId="37" fillId="4" borderId="46" xfId="0" applyNumberFormat="1" applyFont="1" applyFill="1" applyBorder="1" applyAlignment="1">
      <alignment vertical="center"/>
    </xf>
    <xf numFmtId="3" fontId="37" fillId="4" borderId="36" xfId="0" applyNumberFormat="1" applyFont="1" applyFill="1" applyBorder="1" applyAlignment="1">
      <alignment horizontal="center" vertical="center"/>
    </xf>
    <xf numFmtId="0" fontId="34" fillId="0" borderId="26" xfId="0" applyFont="1" applyBorder="1" applyAlignment="1">
      <alignment horizontal="left" vertical="center"/>
    </xf>
    <xf numFmtId="0" fontId="39" fillId="6" borderId="26" xfId="0" applyFont="1" applyFill="1" applyBorder="1" applyAlignment="1">
      <alignment horizontal="center"/>
    </xf>
    <xf numFmtId="171" fontId="34" fillId="0" borderId="26" xfId="0" applyNumberFormat="1" applyFont="1" applyBorder="1" applyAlignment="1">
      <alignment horizontal="center" vertical="center"/>
    </xf>
    <xf numFmtId="0" fontId="34" fillId="6" borderId="26" xfId="0" applyFont="1" applyFill="1" applyBorder="1" applyAlignment="1">
      <alignment horizontal="center"/>
    </xf>
    <xf numFmtId="9" fontId="34" fillId="6" borderId="36" xfId="0" applyNumberFormat="1" applyFont="1" applyFill="1" applyBorder="1" applyAlignment="1">
      <alignment horizontal="right" vertical="center"/>
    </xf>
    <xf numFmtId="171" fontId="34" fillId="0" borderId="35" xfId="0" applyNumberFormat="1" applyFont="1" applyBorder="1" applyAlignment="1">
      <alignment horizontal="right" vertical="center"/>
    </xf>
    <xf numFmtId="171" fontId="34" fillId="0" borderId="36" xfId="0" applyNumberFormat="1" applyFont="1" applyBorder="1" applyAlignment="1">
      <alignment horizontal="right" vertical="center"/>
    </xf>
    <xf numFmtId="171" fontId="34" fillId="0" borderId="26" xfId="0" applyNumberFormat="1" applyFont="1" applyBorder="1" applyAlignment="1">
      <alignment horizontal="right" vertical="center"/>
    </xf>
    <xf numFmtId="0" fontId="39" fillId="0" borderId="44" xfId="0" applyFont="1" applyBorder="1"/>
    <xf numFmtId="0" fontId="34" fillId="0" borderId="45" xfId="0" applyFont="1" applyBorder="1" applyAlignment="1">
      <alignment horizontal="left" vertical="center"/>
    </xf>
    <xf numFmtId="0" fontId="41" fillId="8" borderId="39" xfId="0" applyFont="1" applyFill="1" applyBorder="1"/>
    <xf numFmtId="0" fontId="41" fillId="0" borderId="35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9" fontId="41" fillId="0" borderId="26" xfId="0" applyNumberFormat="1" applyFont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1" fillId="4" borderId="35" xfId="0" applyFont="1" applyFill="1" applyBorder="1" applyAlignment="1">
      <alignment wrapText="1"/>
    </xf>
    <xf numFmtId="0" fontId="41" fillId="4" borderId="26" xfId="0" applyFont="1" applyFill="1" applyBorder="1"/>
    <xf numFmtId="167" fontId="41" fillId="4" borderId="26" xfId="0" applyNumberFormat="1" applyFont="1" applyFill="1" applyBorder="1"/>
    <xf numFmtId="165" fontId="42" fillId="4" borderId="26" xfId="0" applyNumberFormat="1" applyFont="1" applyFill="1" applyBorder="1"/>
    <xf numFmtId="0" fontId="42" fillId="4" borderId="26" xfId="0" applyFont="1" applyFill="1" applyBorder="1" applyAlignment="1">
      <alignment horizontal="center"/>
    </xf>
    <xf numFmtId="3" fontId="42" fillId="4" borderId="26" xfId="0" applyNumberFormat="1" applyFont="1" applyFill="1" applyBorder="1"/>
    <xf numFmtId="9" fontId="42" fillId="4" borderId="26" xfId="0" applyNumberFormat="1" applyFont="1" applyFill="1" applyBorder="1" applyAlignment="1">
      <alignment horizontal="center"/>
    </xf>
    <xf numFmtId="9" fontId="42" fillId="4" borderId="36" xfId="0" applyNumberFormat="1" applyFont="1" applyFill="1" applyBorder="1" applyAlignment="1">
      <alignment horizontal="center"/>
    </xf>
    <xf numFmtId="0" fontId="42" fillId="4" borderId="35" xfId="0" applyFont="1" applyFill="1" applyBorder="1"/>
    <xf numFmtId="0" fontId="42" fillId="4" borderId="26" xfId="0" applyFont="1" applyFill="1" applyBorder="1"/>
    <xf numFmtId="9" fontId="42" fillId="4" borderId="35" xfId="0" applyNumberFormat="1" applyFont="1" applyFill="1" applyBorder="1" applyAlignment="1">
      <alignment horizontal="center"/>
    </xf>
    <xf numFmtId="0" fontId="42" fillId="4" borderId="36" xfId="0" applyFont="1" applyFill="1" applyBorder="1"/>
    <xf numFmtId="0" fontId="41" fillId="0" borderId="35" xfId="0" applyFont="1" applyBorder="1" applyAlignment="1">
      <alignment horizontal="left" vertical="top" wrapText="1"/>
    </xf>
    <xf numFmtId="0" fontId="43" fillId="0" borderId="26" xfId="0" applyFont="1" applyBorder="1"/>
    <xf numFmtId="3" fontId="43" fillId="0" borderId="26" xfId="0" applyNumberFormat="1" applyFont="1" applyBorder="1"/>
    <xf numFmtId="9" fontId="43" fillId="0" borderId="26" xfId="0" applyNumberFormat="1" applyFont="1" applyBorder="1" applyAlignment="1">
      <alignment horizontal="center"/>
    </xf>
    <xf numFmtId="0" fontId="41" fillId="0" borderId="26" xfId="0" applyFont="1" applyBorder="1" applyAlignment="1">
      <alignment horizontal="center"/>
    </xf>
    <xf numFmtId="0" fontId="41" fillId="0" borderId="36" xfId="0" applyFont="1" applyBorder="1" applyAlignment="1">
      <alignment horizontal="center"/>
    </xf>
    <xf numFmtId="0" fontId="43" fillId="0" borderId="35" xfId="0" applyFont="1" applyBorder="1"/>
    <xf numFmtId="3" fontId="41" fillId="0" borderId="36" xfId="0" applyNumberFormat="1" applyFont="1" applyBorder="1" applyAlignment="1">
      <alignment horizontal="center"/>
    </xf>
    <xf numFmtId="0" fontId="41" fillId="0" borderId="35" xfId="0" applyFont="1" applyBorder="1" applyAlignment="1">
      <alignment horizontal="center"/>
    </xf>
    <xf numFmtId="0" fontId="43" fillId="0" borderId="36" xfId="0" applyFont="1" applyBorder="1"/>
    <xf numFmtId="0" fontId="43" fillId="0" borderId="35" xfId="0" applyFont="1" applyBorder="1" applyAlignment="1">
      <alignment wrapText="1"/>
    </xf>
    <xf numFmtId="169" fontId="43" fillId="0" borderId="26" xfId="0" applyNumberFormat="1" applyFont="1" applyBorder="1" applyAlignment="1">
      <alignment horizontal="center"/>
    </xf>
    <xf numFmtId="0" fontId="43" fillId="0" borderId="26" xfId="0" applyFont="1" applyBorder="1" applyAlignment="1">
      <alignment horizontal="center"/>
    </xf>
    <xf numFmtId="9" fontId="43" fillId="0" borderId="26" xfId="10" applyFont="1" applyFill="1" applyBorder="1" applyAlignment="1">
      <alignment horizontal="center"/>
    </xf>
    <xf numFmtId="176" fontId="43" fillId="0" borderId="26" xfId="3" applyNumberFormat="1" applyFont="1" applyBorder="1" applyAlignment="1"/>
    <xf numFmtId="176" fontId="43" fillId="0" borderId="36" xfId="3" applyNumberFormat="1" applyFont="1" applyBorder="1" applyAlignment="1"/>
    <xf numFmtId="0" fontId="43" fillId="0" borderId="35" xfId="0" applyFont="1" applyBorder="1" applyAlignment="1">
      <alignment horizontal="center"/>
    </xf>
    <xf numFmtId="171" fontId="43" fillId="0" borderId="26" xfId="3" applyNumberFormat="1" applyFont="1" applyBorder="1" applyAlignment="1"/>
    <xf numFmtId="176" fontId="43" fillId="0" borderId="35" xfId="3" applyNumberFormat="1" applyFont="1" applyBorder="1" applyAlignment="1"/>
    <xf numFmtId="2" fontId="43" fillId="0" borderId="26" xfId="0" applyNumberFormat="1" applyFont="1" applyBorder="1" applyAlignment="1">
      <alignment horizontal="center"/>
    </xf>
    <xf numFmtId="176" fontId="43" fillId="0" borderId="26" xfId="3" applyNumberFormat="1" applyFont="1" applyFill="1" applyBorder="1" applyAlignment="1"/>
    <xf numFmtId="176" fontId="43" fillId="0" borderId="36" xfId="3" applyNumberFormat="1" applyFont="1" applyFill="1" applyBorder="1" applyAlignment="1"/>
    <xf numFmtId="171" fontId="43" fillId="0" borderId="26" xfId="3" applyNumberFormat="1" applyFont="1" applyFill="1" applyBorder="1" applyAlignment="1"/>
    <xf numFmtId="176" fontId="43" fillId="0" borderId="35" xfId="3" applyNumberFormat="1" applyFont="1" applyFill="1" applyBorder="1" applyAlignment="1"/>
    <xf numFmtId="170" fontId="43" fillId="0" borderId="35" xfId="0" applyNumberFormat="1" applyFont="1" applyBorder="1" applyAlignment="1">
      <alignment horizontal="center"/>
    </xf>
    <xf numFmtId="0" fontId="41" fillId="0" borderId="35" xfId="0" applyFont="1" applyBorder="1" applyAlignment="1">
      <alignment wrapText="1"/>
    </xf>
    <xf numFmtId="0" fontId="41" fillId="0" borderId="26" xfId="0" applyFont="1" applyBorder="1"/>
    <xf numFmtId="166" fontId="41" fillId="0" borderId="26" xfId="1" applyNumberFormat="1" applyFont="1" applyFill="1" applyBorder="1"/>
    <xf numFmtId="9" fontId="41" fillId="0" borderId="26" xfId="0" applyNumberFormat="1" applyFont="1" applyBorder="1" applyAlignment="1">
      <alignment horizontal="center"/>
    </xf>
    <xf numFmtId="176" fontId="41" fillId="0" borderId="26" xfId="3" applyNumberFormat="1" applyFont="1" applyBorder="1" applyAlignment="1"/>
    <xf numFmtId="176" fontId="41" fillId="0" borderId="36" xfId="3" applyNumberFormat="1" applyFont="1" applyBorder="1" applyAlignment="1"/>
    <xf numFmtId="0" fontId="41" fillId="0" borderId="35" xfId="0" applyFont="1" applyBorder="1"/>
    <xf numFmtId="176" fontId="41" fillId="0" borderId="35" xfId="3" applyNumberFormat="1" applyFont="1" applyBorder="1" applyAlignment="1"/>
    <xf numFmtId="0" fontId="41" fillId="5" borderId="35" xfId="0" applyFont="1" applyFill="1" applyBorder="1" applyAlignment="1">
      <alignment wrapText="1"/>
    </xf>
    <xf numFmtId="0" fontId="41" fillId="5" borderId="26" xfId="0" applyFont="1" applyFill="1" applyBorder="1"/>
    <xf numFmtId="166" fontId="41" fillId="5" borderId="26" xfId="1" applyNumberFormat="1" applyFont="1" applyFill="1" applyBorder="1"/>
    <xf numFmtId="9" fontId="41" fillId="5" borderId="26" xfId="0" applyNumberFormat="1" applyFont="1" applyFill="1" applyBorder="1" applyAlignment="1">
      <alignment horizontal="center"/>
    </xf>
    <xf numFmtId="0" fontId="41" fillId="5" borderId="26" xfId="0" applyFont="1" applyFill="1" applyBorder="1" applyAlignment="1">
      <alignment horizontal="center"/>
    </xf>
    <xf numFmtId="0" fontId="41" fillId="5" borderId="36" xfId="0" applyFont="1" applyFill="1" applyBorder="1" applyAlignment="1">
      <alignment horizontal="center"/>
    </xf>
    <xf numFmtId="0" fontId="41" fillId="5" borderId="35" xfId="0" applyFont="1" applyFill="1" applyBorder="1"/>
    <xf numFmtId="0" fontId="41" fillId="5" borderId="35" xfId="0" applyFont="1" applyFill="1" applyBorder="1" applyAlignment="1">
      <alignment horizontal="center"/>
    </xf>
    <xf numFmtId="0" fontId="43" fillId="5" borderId="36" xfId="0" applyFont="1" applyFill="1" applyBorder="1"/>
    <xf numFmtId="172" fontId="43" fillId="0" borderId="26" xfId="0" applyNumberFormat="1" applyFont="1" applyBorder="1" applyAlignment="1">
      <alignment horizontal="center"/>
    </xf>
    <xf numFmtId="9" fontId="43" fillId="0" borderId="26" xfId="10" applyFont="1" applyFill="1" applyBorder="1" applyAlignment="1"/>
    <xf numFmtId="2" fontId="43" fillId="0" borderId="35" xfId="0" applyNumberFormat="1" applyFont="1" applyBorder="1" applyAlignment="1">
      <alignment horizontal="center"/>
    </xf>
    <xf numFmtId="170" fontId="43" fillId="0" borderId="26" xfId="0" applyNumberFormat="1" applyFont="1" applyBorder="1" applyAlignment="1">
      <alignment horizontal="center"/>
    </xf>
    <xf numFmtId="10" fontId="43" fillId="0" borderId="26" xfId="10" applyNumberFormat="1" applyFont="1" applyFill="1" applyBorder="1" applyAlignment="1">
      <alignment horizontal="center"/>
    </xf>
    <xf numFmtId="166" fontId="43" fillId="0" borderId="26" xfId="1" applyNumberFormat="1" applyFont="1" applyFill="1" applyBorder="1" applyAlignment="1">
      <alignment horizontal="center"/>
    </xf>
    <xf numFmtId="174" fontId="43" fillId="0" borderId="26" xfId="1" applyNumberFormat="1" applyFont="1" applyFill="1" applyBorder="1" applyAlignment="1">
      <alignment horizontal="center"/>
    </xf>
    <xf numFmtId="43" fontId="43" fillId="0" borderId="26" xfId="1" applyFont="1" applyFill="1" applyBorder="1" applyAlignment="1">
      <alignment horizontal="center"/>
    </xf>
    <xf numFmtId="172" fontId="41" fillId="5" borderId="26" xfId="0" applyNumberFormat="1" applyFont="1" applyFill="1" applyBorder="1" applyAlignment="1">
      <alignment horizontal="center"/>
    </xf>
    <xf numFmtId="1" fontId="43" fillId="0" borderId="26" xfId="0" applyNumberFormat="1" applyFont="1" applyBorder="1" applyAlignment="1">
      <alignment horizontal="center"/>
    </xf>
    <xf numFmtId="167" fontId="43" fillId="0" borderId="26" xfId="3" applyNumberFormat="1" applyFont="1" applyFill="1" applyBorder="1" applyAlignment="1">
      <alignment horizontal="center"/>
    </xf>
    <xf numFmtId="177" fontId="43" fillId="0" borderId="26" xfId="3" applyNumberFormat="1" applyFont="1" applyFill="1" applyBorder="1" applyAlignment="1"/>
    <xf numFmtId="3" fontId="41" fillId="0" borderId="26" xfId="0" applyNumberFormat="1" applyFont="1" applyBorder="1" applyAlignment="1">
      <alignment horizontal="center"/>
    </xf>
    <xf numFmtId="3" fontId="41" fillId="5" borderId="26" xfId="0" applyNumberFormat="1" applyFont="1" applyFill="1" applyBorder="1"/>
    <xf numFmtId="0" fontId="43" fillId="5" borderId="26" xfId="0" applyFont="1" applyFill="1" applyBorder="1" applyAlignment="1">
      <alignment horizontal="center"/>
    </xf>
    <xf numFmtId="0" fontId="43" fillId="5" borderId="36" xfId="0" applyFont="1" applyFill="1" applyBorder="1" applyAlignment="1">
      <alignment horizontal="center"/>
    </xf>
    <xf numFmtId="0" fontId="43" fillId="5" borderId="35" xfId="0" applyFont="1" applyFill="1" applyBorder="1" applyAlignment="1">
      <alignment horizontal="center"/>
    </xf>
    <xf numFmtId="0" fontId="43" fillId="0" borderId="35" xfId="0" applyFont="1" applyBorder="1" applyAlignment="1">
      <alignment horizontal="left" wrapText="1"/>
    </xf>
    <xf numFmtId="166" fontId="43" fillId="0" borderId="26" xfId="1" applyNumberFormat="1" applyFont="1" applyFill="1" applyBorder="1"/>
    <xf numFmtId="9" fontId="44" fillId="4" borderId="26" xfId="0" applyNumberFormat="1" applyFont="1" applyFill="1" applyBorder="1" applyAlignment="1">
      <alignment horizontal="center"/>
    </xf>
    <xf numFmtId="3" fontId="44" fillId="5" borderId="36" xfId="0" applyNumberFormat="1" applyFont="1" applyFill="1" applyBorder="1"/>
    <xf numFmtId="0" fontId="43" fillId="0" borderId="26" xfId="8" applyFont="1" applyBorder="1" applyAlignment="1">
      <alignment horizontal="center"/>
    </xf>
    <xf numFmtId="3" fontId="41" fillId="0" borderId="26" xfId="0" applyNumberFormat="1" applyFont="1" applyBorder="1"/>
    <xf numFmtId="0" fontId="43" fillId="5" borderId="26" xfId="0" applyFont="1" applyFill="1" applyBorder="1"/>
    <xf numFmtId="9" fontId="43" fillId="5" borderId="26" xfId="0" applyNumberFormat="1" applyFont="1" applyFill="1" applyBorder="1" applyAlignment="1">
      <alignment horizontal="center"/>
    </xf>
    <xf numFmtId="3" fontId="43" fillId="5" borderId="26" xfId="0" applyNumberFormat="1" applyFont="1" applyFill="1" applyBorder="1"/>
    <xf numFmtId="167" fontId="43" fillId="0" borderId="27" xfId="3" applyNumberFormat="1" applyFont="1" applyFill="1" applyBorder="1" applyAlignment="1">
      <alignment horizontal="center"/>
    </xf>
    <xf numFmtId="0" fontId="43" fillId="0" borderId="27" xfId="8" applyFont="1" applyBorder="1" applyAlignment="1">
      <alignment horizontal="center"/>
    </xf>
    <xf numFmtId="3" fontId="43" fillId="0" borderId="26" xfId="0" applyNumberFormat="1" applyFont="1" applyBorder="1" applyAlignment="1">
      <alignment horizontal="center"/>
    </xf>
    <xf numFmtId="0" fontId="43" fillId="0" borderId="35" xfId="0" quotePrefix="1" applyFont="1" applyBorder="1" applyAlignment="1">
      <alignment horizontal="left" wrapText="1"/>
    </xf>
    <xf numFmtId="0" fontId="41" fillId="2" borderId="35" xfId="0" applyFont="1" applyFill="1" applyBorder="1" applyAlignment="1">
      <alignment wrapText="1"/>
    </xf>
    <xf numFmtId="0" fontId="41" fillId="2" borderId="26" xfId="0" applyFont="1" applyFill="1" applyBorder="1"/>
    <xf numFmtId="9" fontId="41" fillId="2" borderId="26" xfId="0" applyNumberFormat="1" applyFont="1" applyFill="1" applyBorder="1" applyAlignment="1">
      <alignment horizontal="center"/>
    </xf>
    <xf numFmtId="176" fontId="41" fillId="4" borderId="26" xfId="3" applyNumberFormat="1" applyFont="1" applyFill="1" applyBorder="1"/>
    <xf numFmtId="176" fontId="41" fillId="4" borderId="36" xfId="3" applyNumberFormat="1" applyFont="1" applyFill="1" applyBorder="1"/>
    <xf numFmtId="0" fontId="41" fillId="2" borderId="35" xfId="0" applyFont="1" applyFill="1" applyBorder="1"/>
    <xf numFmtId="176" fontId="41" fillId="4" borderId="35" xfId="3" applyNumberFormat="1" applyFont="1" applyFill="1" applyBorder="1"/>
    <xf numFmtId="9" fontId="41" fillId="4" borderId="26" xfId="0" applyNumberFormat="1" applyFont="1" applyFill="1" applyBorder="1" applyAlignment="1">
      <alignment horizontal="center"/>
    </xf>
    <xf numFmtId="0" fontId="41" fillId="4" borderId="35" xfId="0" applyFont="1" applyFill="1" applyBorder="1"/>
    <xf numFmtId="10" fontId="41" fillId="4" borderId="26" xfId="10" applyNumberFormat="1" applyFont="1" applyFill="1" applyBorder="1"/>
    <xf numFmtId="0" fontId="41" fillId="4" borderId="29" xfId="0" applyFont="1" applyFill="1" applyBorder="1" applyAlignment="1">
      <alignment wrapText="1"/>
    </xf>
    <xf numFmtId="0" fontId="41" fillId="4" borderId="31" xfId="0" applyFont="1" applyFill="1" applyBorder="1"/>
    <xf numFmtId="9" fontId="41" fillId="4" borderId="31" xfId="0" applyNumberFormat="1" applyFont="1" applyFill="1" applyBorder="1" applyAlignment="1">
      <alignment horizontal="center"/>
    </xf>
    <xf numFmtId="176" fontId="41" fillId="4" borderId="31" xfId="3" applyNumberFormat="1" applyFont="1" applyFill="1" applyBorder="1"/>
    <xf numFmtId="176" fontId="41" fillId="4" borderId="37" xfId="3" applyNumberFormat="1" applyFont="1" applyFill="1" applyBorder="1"/>
    <xf numFmtId="0" fontId="41" fillId="4" borderId="29" xfId="0" applyFont="1" applyFill="1" applyBorder="1"/>
    <xf numFmtId="176" fontId="41" fillId="4" borderId="29" xfId="3" applyNumberFormat="1" applyFont="1" applyFill="1" applyBorder="1"/>
    <xf numFmtId="0" fontId="16" fillId="0" borderId="32" xfId="0" applyFont="1" applyBorder="1" applyAlignment="1">
      <alignment wrapText="1"/>
    </xf>
    <xf numFmtId="0" fontId="16" fillId="0" borderId="32" xfId="0" applyFont="1" applyBorder="1"/>
    <xf numFmtId="3" fontId="16" fillId="0" borderId="32" xfId="0" applyNumberFormat="1" applyFont="1" applyBorder="1"/>
    <xf numFmtId="9" fontId="16" fillId="0" borderId="32" xfId="0" applyNumberFormat="1" applyFont="1" applyBorder="1" applyAlignment="1">
      <alignment horizontal="center"/>
    </xf>
    <xf numFmtId="1" fontId="16" fillId="0" borderId="32" xfId="10" applyNumberFormat="1" applyFont="1" applyBorder="1"/>
    <xf numFmtId="167" fontId="16" fillId="0" borderId="32" xfId="0" applyNumberFormat="1" applyFont="1" applyBorder="1"/>
    <xf numFmtId="0" fontId="4" fillId="0" borderId="1" xfId="9" applyBorder="1" applyAlignment="1">
      <alignment horizontal="center"/>
    </xf>
    <xf numFmtId="0" fontId="4" fillId="0" borderId="4" xfId="9" applyBorder="1" applyAlignment="1">
      <alignment horizontal="center"/>
    </xf>
    <xf numFmtId="0" fontId="4" fillId="0" borderId="6" xfId="9" applyBorder="1" applyAlignment="1">
      <alignment horizontal="center"/>
    </xf>
    <xf numFmtId="0" fontId="4" fillId="0" borderId="11" xfId="9" applyBorder="1" applyAlignment="1">
      <alignment horizontal="center"/>
    </xf>
    <xf numFmtId="0" fontId="4" fillId="0" borderId="12" xfId="9" applyBorder="1" applyAlignment="1">
      <alignment horizontal="center"/>
    </xf>
    <xf numFmtId="0" fontId="4" fillId="0" borderId="13" xfId="9" applyBorder="1" applyAlignment="1">
      <alignment horizontal="center"/>
    </xf>
    <xf numFmtId="0" fontId="37" fillId="6" borderId="26" xfId="0" applyFont="1" applyFill="1" applyBorder="1" applyAlignment="1">
      <alignment horizontal="center" vertical="center"/>
    </xf>
    <xf numFmtId="9" fontId="37" fillId="6" borderId="36" xfId="0" applyNumberFormat="1" applyFont="1" applyFill="1" applyBorder="1" applyAlignment="1">
      <alignment horizontal="center" vertical="center"/>
    </xf>
    <xf numFmtId="167" fontId="45" fillId="0" borderId="0" xfId="3" applyNumberFormat="1" applyFont="1"/>
    <xf numFmtId="0" fontId="21" fillId="0" borderId="33" xfId="7" applyFont="1" applyBorder="1" applyAlignment="1" applyProtection="1">
      <alignment horizontal="left" vertical="top" wrapText="1"/>
      <protection locked="0"/>
    </xf>
    <xf numFmtId="0" fontId="21" fillId="0" borderId="45" xfId="7" applyFont="1" applyBorder="1" applyAlignment="1" applyProtection="1">
      <alignment horizontal="left" vertical="top" wrapText="1"/>
      <protection locked="0"/>
    </xf>
    <xf numFmtId="0" fontId="21" fillId="0" borderId="34" xfId="7" applyFont="1" applyBorder="1" applyAlignment="1" applyProtection="1">
      <alignment horizontal="left" vertical="top" wrapText="1"/>
      <protection locked="0"/>
    </xf>
    <xf numFmtId="0" fontId="21" fillId="0" borderId="19" xfId="7" applyFont="1" applyBorder="1"/>
    <xf numFmtId="0" fontId="21" fillId="0" borderId="33" xfId="7" applyFont="1" applyBorder="1" applyAlignment="1" applyProtection="1">
      <alignment vertical="top" wrapText="1"/>
      <protection locked="0"/>
    </xf>
    <xf numFmtId="0" fontId="21" fillId="0" borderId="34" xfId="7" applyFont="1" applyBorder="1" applyAlignment="1" applyProtection="1">
      <alignment vertical="top" wrapText="1"/>
      <protection locked="0"/>
    </xf>
    <xf numFmtId="0" fontId="21" fillId="0" borderId="0" xfId="7" applyFont="1"/>
    <xf numFmtId="0" fontId="40" fillId="0" borderId="33" xfId="7" applyFont="1" applyBorder="1" applyAlignment="1" applyProtection="1">
      <alignment vertical="top"/>
      <protection locked="0"/>
    </xf>
    <xf numFmtId="0" fontId="40" fillId="0" borderId="45" xfId="7" applyFont="1" applyBorder="1" applyAlignment="1" applyProtection="1">
      <alignment vertical="top"/>
      <protection locked="0"/>
    </xf>
    <xf numFmtId="0" fontId="40" fillId="0" borderId="34" xfId="7" applyFont="1" applyBorder="1" applyAlignment="1" applyProtection="1">
      <alignment vertical="top"/>
      <protection locked="0"/>
    </xf>
    <xf numFmtId="0" fontId="21" fillId="0" borderId="45" xfId="7" applyFont="1" applyBorder="1" applyAlignment="1" applyProtection="1">
      <alignment vertical="top" wrapText="1"/>
      <protection locked="0"/>
    </xf>
    <xf numFmtId="0" fontId="18" fillId="0" borderId="33" xfId="5" applyFill="1" applyBorder="1" applyAlignment="1" applyProtection="1">
      <alignment vertical="top" wrapText="1"/>
      <protection locked="0"/>
    </xf>
    <xf numFmtId="1" fontId="21" fillId="0" borderId="33" xfId="7" applyNumberFormat="1" applyFont="1" applyBorder="1" applyAlignment="1" applyProtection="1">
      <alignment horizontal="left" vertical="top" wrapText="1"/>
      <protection locked="0"/>
    </xf>
    <xf numFmtId="1" fontId="21" fillId="0" borderId="34" xfId="7" applyNumberFormat="1" applyFont="1" applyBorder="1" applyAlignment="1" applyProtection="1">
      <alignment horizontal="left" vertical="top" wrapText="1"/>
      <protection locked="0"/>
    </xf>
    <xf numFmtId="15" fontId="21" fillId="0" borderId="33" xfId="7" applyNumberFormat="1" applyFont="1" applyBorder="1" applyAlignment="1" applyProtection="1">
      <alignment horizontal="left" vertical="top" wrapText="1"/>
      <protection locked="0"/>
    </xf>
    <xf numFmtId="0" fontId="21" fillId="0" borderId="0" xfId="7" applyFont="1" applyAlignment="1">
      <alignment wrapText="1"/>
    </xf>
    <xf numFmtId="167" fontId="21" fillId="0" borderId="33" xfId="4" applyNumberFormat="1" applyFont="1" applyFill="1" applyBorder="1" applyAlignment="1" applyProtection="1">
      <alignment horizontal="left" vertical="top" wrapText="1"/>
      <protection locked="0"/>
    </xf>
    <xf numFmtId="167" fontId="21" fillId="0" borderId="45" xfId="4" applyNumberFormat="1" applyFont="1" applyFill="1" applyBorder="1" applyAlignment="1" applyProtection="1">
      <alignment horizontal="left" vertical="top" wrapText="1"/>
      <protection locked="0"/>
    </xf>
    <xf numFmtId="167" fontId="21" fillId="0" borderId="34" xfId="4" applyNumberFormat="1" applyFont="1" applyFill="1" applyBorder="1" applyAlignment="1" applyProtection="1">
      <alignment horizontal="left" vertical="top" wrapText="1"/>
      <protection locked="0"/>
    </xf>
    <xf numFmtId="44" fontId="21" fillId="0" borderId="33" xfId="4" applyFont="1" applyFill="1" applyBorder="1" applyAlignment="1" applyProtection="1">
      <alignment horizontal="left" vertical="top" wrapText="1"/>
      <protection locked="0"/>
    </xf>
    <xf numFmtId="44" fontId="21" fillId="0" borderId="45" xfId="4" applyFont="1" applyFill="1" applyBorder="1" applyAlignment="1" applyProtection="1">
      <alignment horizontal="left" vertical="top" wrapText="1"/>
      <protection locked="0"/>
    </xf>
    <xf numFmtId="44" fontId="21" fillId="0" borderId="34" xfId="4" applyFont="1" applyFill="1" applyBorder="1" applyAlignment="1" applyProtection="1">
      <alignment horizontal="left" vertical="top" wrapText="1"/>
      <protection locked="0"/>
    </xf>
    <xf numFmtId="0" fontId="24" fillId="0" borderId="19" xfId="7" applyFont="1" applyBorder="1" applyAlignment="1">
      <alignment vertical="top" wrapText="1"/>
    </xf>
    <xf numFmtId="49" fontId="21" fillId="0" borderId="33" xfId="7" applyNumberFormat="1" applyFont="1" applyBorder="1" applyAlignment="1" applyProtection="1">
      <alignment horizontal="left" vertical="top" wrapText="1"/>
      <protection locked="0"/>
    </xf>
    <xf numFmtId="49" fontId="21" fillId="0" borderId="34" xfId="7" applyNumberFormat="1" applyFont="1" applyBorder="1" applyAlignment="1" applyProtection="1">
      <alignment horizontal="left" vertical="top" wrapText="1"/>
      <protection locked="0"/>
    </xf>
    <xf numFmtId="0" fontId="18" fillId="0" borderId="33" xfId="5" applyFill="1" applyBorder="1" applyAlignment="1" applyProtection="1">
      <alignment horizontal="left" vertical="top" wrapText="1"/>
      <protection locked="0"/>
    </xf>
    <xf numFmtId="0" fontId="3" fillId="0" borderId="5" xfId="9" applyFont="1" applyBorder="1" applyAlignment="1">
      <alignment horizontal="center" vertical="center"/>
    </xf>
    <xf numFmtId="0" fontId="3" fillId="0" borderId="7" xfId="9" applyFont="1" applyBorder="1" applyAlignment="1">
      <alignment horizontal="center" vertical="center"/>
    </xf>
    <xf numFmtId="0" fontId="3" fillId="0" borderId="6" xfId="9" applyFont="1" applyBorder="1" applyAlignment="1">
      <alignment horizontal="center" vertical="center"/>
    </xf>
    <xf numFmtId="0" fontId="3" fillId="0" borderId="2" xfId="9" applyFont="1" applyBorder="1" applyAlignment="1">
      <alignment horizontal="center" vertical="center"/>
    </xf>
    <xf numFmtId="0" fontId="3" fillId="0" borderId="3" xfId="9" applyFont="1" applyBorder="1" applyAlignment="1">
      <alignment horizontal="center" vertical="center"/>
    </xf>
    <xf numFmtId="0" fontId="3" fillId="0" borderId="12" xfId="9" applyFont="1" applyBorder="1" applyAlignment="1">
      <alignment horizontal="center" vertical="center"/>
    </xf>
    <xf numFmtId="0" fontId="3" fillId="0" borderId="13" xfId="9" applyFont="1" applyBorder="1" applyAlignment="1">
      <alignment horizontal="center" vertical="center"/>
    </xf>
    <xf numFmtId="0" fontId="4" fillId="0" borderId="2" xfId="9" applyBorder="1" applyAlignment="1">
      <alignment horizontal="center"/>
    </xf>
    <xf numFmtId="0" fontId="4" fillId="0" borderId="1" xfId="9" applyBorder="1" applyAlignment="1">
      <alignment horizontal="center"/>
    </xf>
    <xf numFmtId="0" fontId="4" fillId="0" borderId="14" xfId="9" applyBorder="1" applyAlignment="1">
      <alignment horizontal="center"/>
    </xf>
    <xf numFmtId="0" fontId="4" fillId="0" borderId="4" xfId="9" applyBorder="1" applyAlignment="1">
      <alignment horizontal="center"/>
    </xf>
    <xf numFmtId="0" fontId="4" fillId="0" borderId="5" xfId="9" applyBorder="1" applyAlignment="1">
      <alignment horizontal="center"/>
    </xf>
    <xf numFmtId="0" fontId="4" fillId="0" borderId="6" xfId="9" applyBorder="1" applyAlignment="1">
      <alignment horizontal="center"/>
    </xf>
    <xf numFmtId="0" fontId="3" fillId="0" borderId="11" xfId="9" applyFont="1" applyBorder="1" applyAlignment="1">
      <alignment horizontal="center" vertical="center"/>
    </xf>
    <xf numFmtId="0" fontId="4" fillId="0" borderId="3" xfId="9" applyBorder="1" applyAlignment="1">
      <alignment horizontal="center"/>
    </xf>
    <xf numFmtId="0" fontId="4" fillId="0" borderId="7" xfId="9" applyBorder="1" applyAlignment="1">
      <alignment horizontal="center"/>
    </xf>
    <xf numFmtId="0" fontId="3" fillId="0" borderId="0" xfId="9" applyFont="1" applyAlignment="1">
      <alignment horizontal="center"/>
    </xf>
    <xf numFmtId="0" fontId="4" fillId="0" borderId="0" xfId="9" applyAlignment="1">
      <alignment horizontal="left"/>
    </xf>
    <xf numFmtId="0" fontId="5" fillId="0" borderId="7" xfId="9" applyFont="1" applyBorder="1" applyAlignment="1">
      <alignment horizontal="center"/>
    </xf>
    <xf numFmtId="0" fontId="4" fillId="0" borderId="11" xfId="9" applyBorder="1" applyAlignment="1">
      <alignment horizontal="center"/>
    </xf>
    <xf numFmtId="0" fontId="4" fillId="0" borderId="12" xfId="9" applyBorder="1" applyAlignment="1">
      <alignment horizontal="center"/>
    </xf>
    <xf numFmtId="0" fontId="4" fillId="0" borderId="13" xfId="9" applyBorder="1" applyAlignment="1">
      <alignment horizontal="center"/>
    </xf>
    <xf numFmtId="0" fontId="32" fillId="2" borderId="39" xfId="0" applyFont="1" applyFill="1" applyBorder="1" applyAlignment="1">
      <alignment horizontal="center" vertical="center" wrapText="1"/>
    </xf>
    <xf numFmtId="0" fontId="32" fillId="2" borderId="43" xfId="0" applyFont="1" applyFill="1" applyBorder="1" applyAlignment="1">
      <alignment horizontal="center" vertical="center" wrapText="1"/>
    </xf>
    <xf numFmtId="0" fontId="32" fillId="2" borderId="47" xfId="0" applyFont="1" applyFill="1" applyBorder="1" applyAlignment="1">
      <alignment horizontal="center" vertical="center" wrapText="1"/>
    </xf>
    <xf numFmtId="3" fontId="32" fillId="8" borderId="48" xfId="0" applyNumberFormat="1" applyFont="1" applyFill="1" applyBorder="1" applyAlignment="1">
      <alignment horizontal="center"/>
    </xf>
    <xf numFmtId="3" fontId="32" fillId="8" borderId="49" xfId="0" applyNumberFormat="1" applyFont="1" applyFill="1" applyBorder="1" applyAlignment="1">
      <alignment horizontal="center"/>
    </xf>
    <xf numFmtId="3" fontId="32" fillId="8" borderId="50" xfId="0" applyNumberFormat="1" applyFont="1" applyFill="1" applyBorder="1" applyAlignment="1">
      <alignment horizontal="center"/>
    </xf>
    <xf numFmtId="0" fontId="41" fillId="8" borderId="39" xfId="0" applyFont="1" applyFill="1" applyBorder="1" applyAlignment="1">
      <alignment horizontal="center"/>
    </xf>
    <xf numFmtId="0" fontId="41" fillId="8" borderId="43" xfId="0" applyFont="1" applyFill="1" applyBorder="1" applyAlignment="1">
      <alignment horizontal="center"/>
    </xf>
    <xf numFmtId="0" fontId="41" fillId="8" borderId="47" xfId="0" applyFont="1" applyFill="1" applyBorder="1" applyAlignment="1">
      <alignment horizontal="center"/>
    </xf>
    <xf numFmtId="0" fontId="41" fillId="8" borderId="53" xfId="0" applyFont="1" applyFill="1" applyBorder="1" applyAlignment="1">
      <alignment horizontal="center"/>
    </xf>
    <xf numFmtId="0" fontId="41" fillId="8" borderId="28" xfId="0" applyFont="1" applyFill="1" applyBorder="1" applyAlignment="1">
      <alignment horizontal="center"/>
    </xf>
    <xf numFmtId="0" fontId="41" fillId="8" borderId="52" xfId="0" applyFont="1" applyFill="1" applyBorder="1" applyAlignment="1">
      <alignment horizontal="center"/>
    </xf>
    <xf numFmtId="0" fontId="37" fillId="0" borderId="51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37" fillId="8" borderId="48" xfId="0" applyFont="1" applyFill="1" applyBorder="1" applyAlignment="1">
      <alignment horizontal="center"/>
    </xf>
    <xf numFmtId="0" fontId="37" fillId="8" borderId="49" xfId="0" applyFont="1" applyFill="1" applyBorder="1" applyAlignment="1">
      <alignment horizontal="center"/>
    </xf>
    <xf numFmtId="0" fontId="37" fillId="8" borderId="50" xfId="0" applyFont="1" applyFill="1" applyBorder="1" applyAlignment="1">
      <alignment horizontal="center"/>
    </xf>
    <xf numFmtId="0" fontId="37" fillId="0" borderId="39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9" fontId="37" fillId="6" borderId="47" xfId="0" applyNumberFormat="1" applyFont="1" applyFill="1" applyBorder="1" applyAlignment="1">
      <alignment horizontal="center" vertical="center"/>
    </xf>
    <xf numFmtId="9" fontId="37" fillId="6" borderId="36" xfId="0" applyNumberFormat="1" applyFont="1" applyFill="1" applyBorder="1" applyAlignment="1">
      <alignment horizontal="center" vertical="center"/>
    </xf>
    <xf numFmtId="0" fontId="10" fillId="8" borderId="53" xfId="0" applyFont="1" applyFill="1" applyBorder="1" applyAlignment="1">
      <alignment horizontal="center"/>
    </xf>
    <xf numFmtId="0" fontId="10" fillId="8" borderId="28" xfId="0" applyFont="1" applyFill="1" applyBorder="1" applyAlignment="1">
      <alignment horizontal="center"/>
    </xf>
    <xf numFmtId="0" fontId="10" fillId="8" borderId="52" xfId="0" applyFont="1" applyFill="1" applyBorder="1" applyAlignment="1">
      <alignment horizontal="center"/>
    </xf>
    <xf numFmtId="0" fontId="10" fillId="8" borderId="39" xfId="0" applyFont="1" applyFill="1" applyBorder="1" applyAlignment="1">
      <alignment horizontal="center"/>
    </xf>
    <xf numFmtId="0" fontId="10" fillId="8" borderId="43" xfId="0" applyFont="1" applyFill="1" applyBorder="1" applyAlignment="1">
      <alignment horizontal="center"/>
    </xf>
    <xf numFmtId="0" fontId="10" fillId="8" borderId="47" xfId="0" applyFont="1" applyFill="1" applyBorder="1" applyAlignment="1">
      <alignment horizontal="center"/>
    </xf>
  </cellXfs>
  <cellStyles count="11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IOCC BPRM Budget - June 2008 draft 1 (051208)" xfId="8" xr:uid="{00000000-0005-0000-0000-000008000000}"/>
    <cellStyle name="Normal_SF 424" xfId="9" xr:uid="{00000000-0005-0000-0000-000009000000}"/>
    <cellStyle name="Percent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171</xdr:row>
      <xdr:rowOff>28575</xdr:rowOff>
    </xdr:from>
    <xdr:to>
      <xdr:col>5</xdr:col>
      <xdr:colOff>133350</xdr:colOff>
      <xdr:row>173</xdr:row>
      <xdr:rowOff>85725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id="{B9BCFA83-8DAE-218F-527A-993B627A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4736425"/>
          <a:ext cx="1066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purekal\AppData\Local\Microsoft\Windows\INetCache\Content.Outlook\YJ9QBE3C\Shared%20Cost%20Calculator-JTIP%20Project%20_Grant_2017_C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purekal\AppData\Local\Microsoft\Windows\INetCache\Content.Outlook\YJ9QBE3C\Shared%20Cost%20Calculator-JTIP%20Project%20_Grant_201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ony.castleman\AppData\Local\Microsoft\Windows\Temporary%20Internet%20Files\Content.Outlook\C826DY4A\ACT_Bihar_Budget_1803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jomey.joseph\AppData\Local\Microsoft\Windows\INetCache\Content.Outlook\C3W73S2J\Shared%20Cost%20Calculator-JTIP%20Proje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C8">
            <v>0.04</v>
          </cell>
          <cell r="D8">
            <v>2986.75</v>
          </cell>
        </row>
        <row r="12">
          <cell r="C12">
            <v>0.65</v>
          </cell>
          <cell r="D12">
            <v>1461</v>
          </cell>
        </row>
        <row r="19">
          <cell r="D19">
            <v>1433.6399999999999</v>
          </cell>
        </row>
        <row r="20">
          <cell r="D20">
            <v>1002.19</v>
          </cell>
        </row>
        <row r="21">
          <cell r="D21">
            <v>2234.56</v>
          </cell>
        </row>
        <row r="35">
          <cell r="D35">
            <v>69.849999999999994</v>
          </cell>
        </row>
        <row r="44">
          <cell r="D44">
            <v>12.1</v>
          </cell>
        </row>
        <row r="50">
          <cell r="D50">
            <v>90.25</v>
          </cell>
        </row>
        <row r="57">
          <cell r="D57">
            <v>65.459999999999994</v>
          </cell>
        </row>
        <row r="58">
          <cell r="D58">
            <v>2.1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1075.23</v>
          </cell>
        </row>
        <row r="12">
          <cell r="I12">
            <v>8941.32</v>
          </cell>
        </row>
        <row r="19">
          <cell r="I19">
            <v>311.81669999999997</v>
          </cell>
        </row>
        <row r="20">
          <cell r="I20">
            <v>360.78840000000002</v>
          </cell>
        </row>
        <row r="21">
          <cell r="I21">
            <v>804.44159999999999</v>
          </cell>
        </row>
        <row r="26">
          <cell r="I26">
            <v>1027.0921403703619</v>
          </cell>
        </row>
        <row r="34">
          <cell r="I34">
            <v>755.92439999999999</v>
          </cell>
        </row>
        <row r="50">
          <cell r="I50">
            <v>851.28</v>
          </cell>
        </row>
        <row r="57">
          <cell r="I57">
            <v>785.52</v>
          </cell>
        </row>
        <row r="58">
          <cell r="I58">
            <v>19.799999999999997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-Sept_2013"/>
      <sheetName val="Year 1"/>
      <sheetName val="Year 2"/>
      <sheetName val="Year 3"/>
      <sheetName val="Summery"/>
    </sheetNames>
    <sheetDataSet>
      <sheetData sheetId="0" refreshError="1"/>
      <sheetData sheetId="1" refreshError="1"/>
      <sheetData sheetId="2" refreshError="1"/>
      <sheetData sheetId="3" refreshError="1">
        <row r="61">
          <cell r="G61">
            <v>7433500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9">
          <cell r="D59">
            <v>86.29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ny.castleman@crs.org" TargetMode="External"/><Relationship Id="rId1" Type="http://schemas.openxmlformats.org/officeDocument/2006/relationships/hyperlink" Target="mailto:chelsea.treadwell@crs.or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"/>
  <sheetViews>
    <sheetView workbookViewId="0">
      <selection activeCell="B106" sqref="B106"/>
    </sheetView>
  </sheetViews>
  <sheetFormatPr defaultColWidth="9.109375" defaultRowHeight="10.199999999999999" x14ac:dyDescent="0.2"/>
  <cols>
    <col min="1" max="1" width="1.44140625" style="50" customWidth="1"/>
    <col min="2" max="2" width="20.88671875" style="50" customWidth="1"/>
    <col min="3" max="3" width="10.88671875" style="50" customWidth="1"/>
    <col min="4" max="4" width="12.5546875" style="50" customWidth="1"/>
    <col min="5" max="5" width="1.44140625" style="50" customWidth="1"/>
    <col min="6" max="6" width="11.44140625" style="50" customWidth="1"/>
    <col min="7" max="7" width="12.88671875" style="50" customWidth="1"/>
    <col min="8" max="8" width="13.5546875" style="50" customWidth="1"/>
    <col min="9" max="9" width="15" style="50" customWidth="1"/>
    <col min="10" max="10" width="1.44140625" style="50" customWidth="1"/>
    <col min="11" max="16384" width="9.109375" style="50"/>
  </cols>
  <sheetData>
    <row r="1" spans="1:10" s="46" customFormat="1" ht="22.5" customHeight="1" thickBot="1" x14ac:dyDescent="0.3">
      <c r="A1" s="42"/>
      <c r="B1" s="43" t="s">
        <v>0</v>
      </c>
      <c r="C1" s="43"/>
      <c r="D1" s="43"/>
      <c r="E1" s="43"/>
      <c r="F1" s="43"/>
      <c r="G1" s="43"/>
      <c r="H1" s="43"/>
      <c r="I1" s="44"/>
      <c r="J1" s="45"/>
    </row>
    <row r="2" spans="1:10" ht="12" customHeight="1" x14ac:dyDescent="0.2">
      <c r="A2" s="47"/>
      <c r="B2" s="49" t="s">
        <v>1</v>
      </c>
      <c r="C2" s="49"/>
      <c r="D2" s="48"/>
      <c r="E2" s="47"/>
      <c r="F2" s="49" t="s">
        <v>2</v>
      </c>
      <c r="G2" s="49"/>
      <c r="H2" s="508" t="s">
        <v>3</v>
      </c>
      <c r="I2" s="508"/>
      <c r="J2" s="48"/>
    </row>
    <row r="3" spans="1:10" ht="18.75" customHeight="1" x14ac:dyDescent="0.2">
      <c r="A3" s="51"/>
      <c r="B3" s="52" t="s">
        <v>4</v>
      </c>
      <c r="D3" s="53"/>
      <c r="E3" s="51"/>
      <c r="F3" s="52" t="s">
        <v>5</v>
      </c>
      <c r="H3" s="509" t="s">
        <v>6</v>
      </c>
      <c r="I3" s="510"/>
      <c r="J3" s="53"/>
    </row>
    <row r="4" spans="1:10" ht="18.75" customHeight="1" x14ac:dyDescent="0.2">
      <c r="A4" s="51"/>
      <c r="B4" s="52" t="s">
        <v>7</v>
      </c>
      <c r="D4" s="53"/>
      <c r="E4" s="51"/>
      <c r="F4" s="52" t="s">
        <v>8</v>
      </c>
      <c r="H4" s="511" t="s">
        <v>9</v>
      </c>
      <c r="I4" s="511"/>
      <c r="J4" s="53"/>
    </row>
    <row r="5" spans="1:10" ht="18.75" customHeight="1" x14ac:dyDescent="0.2">
      <c r="A5" s="51"/>
      <c r="B5" s="52" t="s">
        <v>10</v>
      </c>
      <c r="D5" s="53"/>
      <c r="E5" s="51"/>
      <c r="F5" s="52" t="s">
        <v>11</v>
      </c>
      <c r="H5" s="509"/>
      <c r="I5" s="510"/>
      <c r="J5" s="53"/>
    </row>
    <row r="6" spans="1:10" ht="7.5" customHeight="1" thickBot="1" x14ac:dyDescent="0.25">
      <c r="A6" s="54"/>
      <c r="B6" s="55"/>
      <c r="C6" s="55"/>
      <c r="D6" s="56"/>
      <c r="E6" s="54"/>
      <c r="F6" s="55"/>
      <c r="G6" s="55"/>
      <c r="H6" s="55"/>
      <c r="I6" s="55"/>
      <c r="J6" s="56"/>
    </row>
    <row r="7" spans="1:10" x14ac:dyDescent="0.2">
      <c r="A7" s="47"/>
      <c r="B7" s="49" t="s">
        <v>12</v>
      </c>
      <c r="C7" s="49"/>
      <c r="D7" s="49"/>
      <c r="E7" s="49"/>
      <c r="F7" s="49" t="s">
        <v>13</v>
      </c>
      <c r="G7" s="49"/>
      <c r="H7" s="49"/>
      <c r="I7" s="49"/>
      <c r="J7" s="48"/>
    </row>
    <row r="8" spans="1:10" ht="12" customHeight="1" x14ac:dyDescent="0.2">
      <c r="A8" s="51"/>
      <c r="B8" s="512" t="s">
        <v>14</v>
      </c>
      <c r="C8" s="513"/>
      <c r="D8" s="514"/>
      <c r="F8" s="509"/>
      <c r="G8" s="515"/>
      <c r="H8" s="515"/>
      <c r="I8" s="510"/>
      <c r="J8" s="53"/>
    </row>
    <row r="9" spans="1:10" ht="7.5" customHeight="1" thickBot="1" x14ac:dyDescent="0.25">
      <c r="A9" s="54"/>
      <c r="B9" s="55"/>
      <c r="C9" s="55"/>
      <c r="D9" s="55"/>
      <c r="E9" s="55"/>
      <c r="F9" s="55"/>
      <c r="G9" s="55"/>
      <c r="H9" s="55"/>
      <c r="I9" s="55"/>
      <c r="J9" s="56"/>
    </row>
    <row r="10" spans="1:10" x14ac:dyDescent="0.2">
      <c r="A10" s="47"/>
      <c r="B10" s="49" t="s">
        <v>15</v>
      </c>
      <c r="C10" s="49"/>
      <c r="D10" s="49"/>
      <c r="E10" s="49"/>
      <c r="F10" s="49" t="s">
        <v>16</v>
      </c>
      <c r="G10" s="49"/>
      <c r="H10" s="49"/>
      <c r="I10" s="49"/>
      <c r="J10" s="48"/>
    </row>
    <row r="11" spans="1:10" ht="12" customHeight="1" x14ac:dyDescent="0.2">
      <c r="A11" s="51"/>
      <c r="B11" s="509"/>
      <c r="C11" s="515"/>
      <c r="D11" s="510"/>
      <c r="F11" s="509"/>
      <c r="G11" s="515"/>
      <c r="H11" s="515"/>
      <c r="I11" s="510"/>
      <c r="J11" s="53"/>
    </row>
    <row r="12" spans="1:10" ht="7.5" customHeight="1" thickBot="1" x14ac:dyDescent="0.25">
      <c r="A12" s="54"/>
      <c r="B12" s="55"/>
      <c r="C12" s="55"/>
      <c r="D12" s="55"/>
      <c r="E12" s="55"/>
      <c r="F12" s="55"/>
      <c r="G12" s="55"/>
      <c r="H12" s="55"/>
      <c r="I12" s="55"/>
      <c r="J12" s="56"/>
    </row>
    <row r="13" spans="1:10" s="61" customFormat="1" ht="12.6" thickBot="1" x14ac:dyDescent="0.3">
      <c r="A13" s="57"/>
      <c r="B13" s="58" t="s">
        <v>17</v>
      </c>
      <c r="C13" s="58"/>
      <c r="D13" s="59"/>
      <c r="E13" s="58"/>
      <c r="F13" s="58"/>
      <c r="G13" s="58"/>
      <c r="H13" s="58"/>
      <c r="I13" s="58"/>
      <c r="J13" s="60"/>
    </row>
    <row r="14" spans="1:10" ht="7.5" customHeight="1" x14ac:dyDescent="0.2">
      <c r="A14" s="47"/>
      <c r="B14" s="49"/>
      <c r="C14" s="49"/>
      <c r="D14" s="48"/>
      <c r="E14" s="47"/>
      <c r="F14" s="49"/>
      <c r="G14" s="49"/>
      <c r="H14" s="49"/>
      <c r="I14" s="49"/>
      <c r="J14" s="48"/>
    </row>
    <row r="15" spans="1:10" ht="12" customHeight="1" x14ac:dyDescent="0.2">
      <c r="A15" s="51"/>
      <c r="B15" s="50" t="s">
        <v>18</v>
      </c>
      <c r="C15" s="62"/>
      <c r="E15" s="51"/>
      <c r="F15" s="50" t="s">
        <v>19</v>
      </c>
      <c r="H15" s="509"/>
      <c r="I15" s="510"/>
      <c r="J15" s="53"/>
    </row>
    <row r="16" spans="1:10" ht="7.5" customHeight="1" thickBot="1" x14ac:dyDescent="0.25">
      <c r="A16" s="54"/>
      <c r="B16" s="55"/>
      <c r="C16" s="55"/>
      <c r="D16" s="56"/>
      <c r="E16" s="54"/>
      <c r="F16" s="55"/>
      <c r="G16" s="55"/>
      <c r="H16" s="55"/>
      <c r="I16" s="55"/>
      <c r="J16" s="56"/>
    </row>
    <row r="17" spans="1:10" s="65" customFormat="1" ht="12.6" thickBot="1" x14ac:dyDescent="0.3">
      <c r="A17" s="63"/>
      <c r="B17" s="58" t="s">
        <v>20</v>
      </c>
      <c r="C17" s="58"/>
      <c r="D17" s="58"/>
      <c r="E17" s="58"/>
      <c r="F17" s="58"/>
      <c r="G17" s="58"/>
      <c r="H17" s="58"/>
      <c r="I17" s="58"/>
      <c r="J17" s="64"/>
    </row>
    <row r="18" spans="1:10" ht="7.5" customHeight="1" x14ac:dyDescent="0.2">
      <c r="A18" s="47"/>
      <c r="B18" s="49"/>
      <c r="C18" s="49"/>
      <c r="D18" s="49"/>
      <c r="E18" s="49"/>
      <c r="F18" s="49"/>
      <c r="G18" s="49"/>
      <c r="H18" s="49"/>
      <c r="I18" s="49"/>
      <c r="J18" s="48"/>
    </row>
    <row r="19" spans="1:10" ht="12" customHeight="1" x14ac:dyDescent="0.2">
      <c r="A19" s="51"/>
      <c r="B19" s="50" t="s">
        <v>21</v>
      </c>
      <c r="C19" s="509" t="s">
        <v>22</v>
      </c>
      <c r="D19" s="515"/>
      <c r="E19" s="515"/>
      <c r="F19" s="515"/>
      <c r="G19" s="515"/>
      <c r="H19" s="515"/>
      <c r="I19" s="510"/>
      <c r="J19" s="53"/>
    </row>
    <row r="20" spans="1:10" ht="7.5" customHeight="1" thickBo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6"/>
    </row>
    <row r="21" spans="1:10" x14ac:dyDescent="0.2">
      <c r="A21" s="47"/>
      <c r="B21" s="49" t="s">
        <v>23</v>
      </c>
      <c r="C21" s="49"/>
      <c r="D21" s="48"/>
      <c r="E21" s="47"/>
      <c r="F21" s="49" t="s">
        <v>24</v>
      </c>
      <c r="G21" s="49"/>
      <c r="H21" s="49"/>
      <c r="I21" s="49"/>
      <c r="J21" s="48"/>
    </row>
    <row r="22" spans="1:10" ht="12" customHeight="1" x14ac:dyDescent="0.2">
      <c r="A22" s="51"/>
      <c r="B22" s="509" t="s">
        <v>25</v>
      </c>
      <c r="C22" s="510"/>
      <c r="D22" s="53"/>
      <c r="E22" s="51"/>
      <c r="F22" s="62">
        <v>68205541</v>
      </c>
      <c r="J22" s="53"/>
    </row>
    <row r="23" spans="1:10" ht="7.5" customHeight="1" thickBot="1" x14ac:dyDescent="0.25">
      <c r="A23" s="54"/>
      <c r="B23" s="55"/>
      <c r="C23" s="55"/>
      <c r="D23" s="56"/>
      <c r="E23" s="54"/>
      <c r="F23" s="55"/>
      <c r="G23" s="55"/>
      <c r="H23" s="55"/>
      <c r="I23" s="55"/>
      <c r="J23" s="56"/>
    </row>
    <row r="24" spans="1:10" s="65" customFormat="1" ht="12.6" thickBot="1" x14ac:dyDescent="0.3">
      <c r="A24" s="63"/>
      <c r="B24" s="58" t="s">
        <v>26</v>
      </c>
      <c r="C24" s="58"/>
      <c r="D24" s="58"/>
      <c r="E24" s="58"/>
      <c r="F24" s="58"/>
      <c r="G24" s="58"/>
      <c r="H24" s="58"/>
      <c r="I24" s="58"/>
      <c r="J24" s="64"/>
    </row>
    <row r="25" spans="1:10" ht="7.5" customHeight="1" x14ac:dyDescent="0.2">
      <c r="A25" s="47"/>
      <c r="B25" s="49"/>
      <c r="C25" s="49"/>
      <c r="D25" s="49"/>
      <c r="E25" s="49"/>
      <c r="F25" s="49"/>
      <c r="G25" s="49"/>
      <c r="H25" s="49"/>
      <c r="I25" s="49"/>
      <c r="J25" s="48"/>
    </row>
    <row r="26" spans="1:10" ht="12" customHeight="1" x14ac:dyDescent="0.2">
      <c r="A26" s="51"/>
      <c r="B26" s="50" t="s">
        <v>27</v>
      </c>
      <c r="C26" s="505" t="s">
        <v>28</v>
      </c>
      <c r="D26" s="506"/>
      <c r="E26" s="506"/>
      <c r="F26" s="506"/>
      <c r="G26" s="506"/>
      <c r="H26" s="506"/>
      <c r="I26" s="507"/>
      <c r="J26" s="53"/>
    </row>
    <row r="27" spans="1:10" ht="3.75" customHeight="1" x14ac:dyDescent="0.2">
      <c r="A27" s="51"/>
      <c r="J27" s="53"/>
    </row>
    <row r="28" spans="1:10" ht="12" customHeight="1" x14ac:dyDescent="0.2">
      <c r="A28" s="51"/>
      <c r="B28" s="50" t="s">
        <v>29</v>
      </c>
      <c r="C28" s="505"/>
      <c r="D28" s="506"/>
      <c r="E28" s="506"/>
      <c r="F28" s="506"/>
      <c r="G28" s="506"/>
      <c r="H28" s="506"/>
      <c r="I28" s="507"/>
      <c r="J28" s="53"/>
    </row>
    <row r="29" spans="1:10" ht="3.75" customHeight="1" x14ac:dyDescent="0.2">
      <c r="A29" s="51"/>
      <c r="J29" s="53"/>
    </row>
    <row r="30" spans="1:10" ht="12" customHeight="1" x14ac:dyDescent="0.2">
      <c r="A30" s="51"/>
      <c r="B30" s="50" t="s">
        <v>30</v>
      </c>
      <c r="C30" s="505" t="s">
        <v>31</v>
      </c>
      <c r="D30" s="506"/>
      <c r="E30" s="506"/>
      <c r="F30" s="506"/>
      <c r="G30" s="506"/>
      <c r="H30" s="506"/>
      <c r="I30" s="507"/>
      <c r="J30" s="53"/>
    </row>
    <row r="31" spans="1:10" ht="3.75" customHeight="1" x14ac:dyDescent="0.2">
      <c r="A31" s="51"/>
      <c r="J31" s="53"/>
    </row>
    <row r="32" spans="1:10" ht="12" customHeight="1" x14ac:dyDescent="0.2">
      <c r="A32" s="51"/>
      <c r="B32" s="50" t="s">
        <v>32</v>
      </c>
      <c r="C32" s="505"/>
      <c r="D32" s="506"/>
      <c r="E32" s="506"/>
      <c r="F32" s="506"/>
      <c r="G32" s="506"/>
      <c r="H32" s="506"/>
      <c r="I32" s="507"/>
      <c r="J32" s="53"/>
    </row>
    <row r="33" spans="1:10" ht="3.75" customHeight="1" x14ac:dyDescent="0.2">
      <c r="A33" s="51"/>
      <c r="J33" s="53"/>
    </row>
    <row r="34" spans="1:10" ht="12" customHeight="1" x14ac:dyDescent="0.2">
      <c r="A34" s="51"/>
      <c r="B34" s="50" t="s">
        <v>33</v>
      </c>
      <c r="C34" s="505" t="s">
        <v>34</v>
      </c>
      <c r="D34" s="506"/>
      <c r="E34" s="506"/>
      <c r="F34" s="506"/>
      <c r="G34" s="506"/>
      <c r="H34" s="506"/>
      <c r="I34" s="507"/>
      <c r="J34" s="53"/>
    </row>
    <row r="35" spans="1:10" ht="3.75" customHeight="1" x14ac:dyDescent="0.2">
      <c r="A35" s="51"/>
      <c r="J35" s="53"/>
    </row>
    <row r="36" spans="1:10" ht="12" customHeight="1" x14ac:dyDescent="0.2">
      <c r="A36" s="51"/>
      <c r="B36" s="50" t="s">
        <v>35</v>
      </c>
      <c r="C36" s="505"/>
      <c r="D36" s="506"/>
      <c r="E36" s="506"/>
      <c r="F36" s="506"/>
      <c r="G36" s="506"/>
      <c r="H36" s="506"/>
      <c r="I36" s="507"/>
      <c r="J36" s="53"/>
    </row>
    <row r="37" spans="1:10" ht="3.75" customHeight="1" x14ac:dyDescent="0.2">
      <c r="A37" s="51"/>
      <c r="J37" s="53"/>
    </row>
    <row r="38" spans="1:10" ht="12" customHeight="1" x14ac:dyDescent="0.2">
      <c r="A38" s="51"/>
      <c r="B38" s="50" t="s">
        <v>36</v>
      </c>
      <c r="C38" s="505" t="s">
        <v>37</v>
      </c>
      <c r="D38" s="506"/>
      <c r="E38" s="506"/>
      <c r="F38" s="506"/>
      <c r="G38" s="506"/>
      <c r="H38" s="506"/>
      <c r="I38" s="507"/>
      <c r="J38" s="53"/>
    </row>
    <row r="39" spans="1:10" ht="3.75" customHeight="1" x14ac:dyDescent="0.2">
      <c r="A39" s="51"/>
      <c r="J39" s="53"/>
    </row>
    <row r="40" spans="1:10" ht="12" customHeight="1" x14ac:dyDescent="0.2">
      <c r="A40" s="51"/>
      <c r="B40" s="50" t="s">
        <v>38</v>
      </c>
      <c r="C40" s="505">
        <v>21201</v>
      </c>
      <c r="D40" s="506"/>
      <c r="E40" s="506"/>
      <c r="F40" s="506"/>
      <c r="G40" s="506"/>
      <c r="H40" s="506"/>
      <c r="I40" s="507"/>
      <c r="J40" s="53"/>
    </row>
    <row r="41" spans="1:10" ht="7.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6"/>
    </row>
    <row r="42" spans="1:10" s="65" customFormat="1" ht="12.6" thickBot="1" x14ac:dyDescent="0.3">
      <c r="A42" s="63"/>
      <c r="B42" s="58" t="s">
        <v>39</v>
      </c>
      <c r="C42" s="58"/>
      <c r="D42" s="58"/>
      <c r="E42" s="58"/>
      <c r="F42" s="58"/>
      <c r="G42" s="58"/>
      <c r="H42" s="58"/>
      <c r="I42" s="58"/>
      <c r="J42" s="64"/>
    </row>
    <row r="43" spans="1:10" ht="7.5" customHeight="1" x14ac:dyDescent="0.2">
      <c r="A43" s="47"/>
      <c r="B43" s="49"/>
      <c r="C43" s="49"/>
      <c r="D43" s="49"/>
      <c r="E43" s="49"/>
      <c r="F43" s="49"/>
      <c r="G43" s="49"/>
      <c r="H43" s="49"/>
      <c r="I43" s="49"/>
      <c r="J43" s="48"/>
    </row>
    <row r="44" spans="1:10" x14ac:dyDescent="0.2">
      <c r="A44" s="51"/>
      <c r="B44" s="50" t="s">
        <v>40</v>
      </c>
      <c r="F44" s="50" t="s">
        <v>41</v>
      </c>
      <c r="J44" s="53"/>
    </row>
    <row r="45" spans="1:10" ht="12" customHeight="1" x14ac:dyDescent="0.2">
      <c r="A45" s="51"/>
      <c r="B45" s="509"/>
      <c r="C45" s="515"/>
      <c r="D45" s="510"/>
      <c r="F45" s="509"/>
      <c r="G45" s="515"/>
      <c r="H45" s="515"/>
      <c r="I45" s="510"/>
      <c r="J45" s="53"/>
    </row>
    <row r="46" spans="1:10" ht="7.5" customHeight="1" thickBo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6"/>
    </row>
    <row r="47" spans="1:10" s="65" customFormat="1" ht="12.6" thickBot="1" x14ac:dyDescent="0.3">
      <c r="A47" s="63"/>
      <c r="B47" s="58" t="s">
        <v>42</v>
      </c>
      <c r="C47" s="58"/>
      <c r="D47" s="58"/>
      <c r="E47" s="58"/>
      <c r="F47" s="58"/>
      <c r="G47" s="58"/>
      <c r="H47" s="58"/>
      <c r="I47" s="58"/>
      <c r="J47" s="64"/>
    </row>
    <row r="48" spans="1:10" ht="7.5" customHeight="1" x14ac:dyDescent="0.2">
      <c r="A48" s="47"/>
      <c r="B48" s="49"/>
      <c r="C48" s="49"/>
      <c r="D48" s="49"/>
      <c r="E48" s="49"/>
      <c r="F48" s="49"/>
      <c r="G48" s="49"/>
      <c r="H48" s="49"/>
      <c r="I48" s="49"/>
      <c r="J48" s="48"/>
    </row>
    <row r="49" spans="1:10" ht="12" customHeight="1" x14ac:dyDescent="0.2">
      <c r="A49" s="51"/>
      <c r="B49" s="50" t="s">
        <v>43</v>
      </c>
      <c r="C49" s="509" t="s">
        <v>44</v>
      </c>
      <c r="D49" s="510"/>
      <c r="F49" s="50" t="s">
        <v>45</v>
      </c>
      <c r="G49" s="509" t="s">
        <v>46</v>
      </c>
      <c r="H49" s="515"/>
      <c r="I49" s="510"/>
      <c r="J49" s="53"/>
    </row>
    <row r="50" spans="1:10" ht="3.75" customHeight="1" x14ac:dyDescent="0.2">
      <c r="A50" s="51"/>
      <c r="J50" s="53"/>
    </row>
    <row r="51" spans="1:10" ht="12" customHeight="1" x14ac:dyDescent="0.2">
      <c r="A51" s="51"/>
      <c r="B51" s="50" t="s">
        <v>47</v>
      </c>
      <c r="C51" s="509"/>
      <c r="D51" s="510"/>
      <c r="J51" s="53"/>
    </row>
    <row r="52" spans="1:10" ht="3.75" customHeight="1" x14ac:dyDescent="0.2">
      <c r="A52" s="51"/>
      <c r="J52" s="53"/>
    </row>
    <row r="53" spans="1:10" ht="12" customHeight="1" x14ac:dyDescent="0.2">
      <c r="A53" s="51"/>
      <c r="B53" s="50" t="s">
        <v>48</v>
      </c>
      <c r="C53" s="509" t="s">
        <v>49</v>
      </c>
      <c r="D53" s="515"/>
      <c r="E53" s="515"/>
      <c r="F53" s="515"/>
      <c r="G53" s="515"/>
      <c r="H53" s="515"/>
      <c r="I53" s="510"/>
      <c r="J53" s="53"/>
    </row>
    <row r="54" spans="1:10" ht="3.75" customHeight="1" x14ac:dyDescent="0.2">
      <c r="A54" s="51"/>
      <c r="J54" s="53"/>
    </row>
    <row r="55" spans="1:10" ht="12" customHeight="1" x14ac:dyDescent="0.2">
      <c r="A55" s="51"/>
      <c r="B55" s="50" t="s">
        <v>50</v>
      </c>
      <c r="C55" s="509"/>
      <c r="D55" s="510"/>
      <c r="J55" s="53"/>
    </row>
    <row r="56" spans="1:10" ht="7.5" customHeight="1" thickBo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6"/>
    </row>
    <row r="57" spans="1:10" ht="7.5" customHeight="1" x14ac:dyDescent="0.2">
      <c r="A57" s="47"/>
      <c r="B57" s="49"/>
      <c r="C57" s="49"/>
      <c r="D57" s="49"/>
      <c r="E57" s="49"/>
      <c r="F57" s="49"/>
      <c r="G57" s="49"/>
      <c r="H57" s="49"/>
      <c r="I57" s="49"/>
      <c r="J57" s="48"/>
    </row>
    <row r="58" spans="1:10" ht="12" customHeight="1" x14ac:dyDescent="0.2">
      <c r="A58" s="51"/>
      <c r="B58" s="50" t="s">
        <v>51</v>
      </c>
      <c r="C58" s="509" t="s">
        <v>52</v>
      </c>
      <c r="D58" s="515"/>
      <c r="E58" s="515"/>
      <c r="F58" s="515"/>
      <c r="G58" s="515"/>
      <c r="H58" s="515"/>
      <c r="I58" s="510"/>
      <c r="J58" s="53"/>
    </row>
    <row r="59" spans="1:10" ht="7.5" customHeight="1" thickBo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6"/>
    </row>
    <row r="60" spans="1:10" x14ac:dyDescent="0.2">
      <c r="A60" s="47"/>
      <c r="B60" s="49" t="s">
        <v>53</v>
      </c>
      <c r="C60" s="49"/>
      <c r="D60" s="49"/>
      <c r="E60" s="49"/>
      <c r="F60" s="49"/>
      <c r="G60" s="49"/>
      <c r="H60" s="49"/>
      <c r="I60" s="49"/>
      <c r="J60" s="48"/>
    </row>
    <row r="61" spans="1:10" ht="12" customHeight="1" x14ac:dyDescent="0.2">
      <c r="A61" s="51"/>
      <c r="B61" s="509" t="s">
        <v>54</v>
      </c>
      <c r="C61" s="515"/>
      <c r="D61" s="515"/>
      <c r="E61" s="515"/>
      <c r="F61" s="515"/>
      <c r="G61" s="515"/>
      <c r="H61" s="515"/>
      <c r="I61" s="510"/>
      <c r="J61" s="53"/>
    </row>
    <row r="62" spans="1:10" ht="7.5" customHeight="1" thickBo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6"/>
    </row>
    <row r="63" spans="1:10" ht="7.5" customHeight="1" x14ac:dyDescent="0.2">
      <c r="A63" s="47"/>
      <c r="B63" s="49"/>
      <c r="C63" s="49"/>
      <c r="D63" s="49"/>
      <c r="E63" s="49"/>
      <c r="F63" s="49"/>
      <c r="G63" s="49"/>
      <c r="H63" s="49"/>
      <c r="I63" s="49"/>
      <c r="J63" s="48"/>
    </row>
    <row r="64" spans="1:10" ht="12" customHeight="1" x14ac:dyDescent="0.2">
      <c r="A64" s="51"/>
      <c r="B64" s="50" t="s">
        <v>55</v>
      </c>
      <c r="C64" s="509" t="s">
        <v>56</v>
      </c>
      <c r="D64" s="510"/>
      <c r="G64" s="50" t="s">
        <v>57</v>
      </c>
      <c r="H64" s="509"/>
      <c r="I64" s="510"/>
      <c r="J64" s="53"/>
    </row>
    <row r="65" spans="1:10" ht="7.5" customHeight="1" thickBo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6"/>
    </row>
    <row r="66" spans="1:10" ht="7.5" customHeight="1" x14ac:dyDescent="0.2">
      <c r="A66" s="47"/>
      <c r="B66" s="49"/>
      <c r="C66" s="49"/>
      <c r="D66" s="49"/>
      <c r="E66" s="49"/>
      <c r="F66" s="49"/>
      <c r="G66" s="49"/>
      <c r="H66" s="49"/>
      <c r="I66" s="49"/>
      <c r="J66" s="48"/>
    </row>
    <row r="67" spans="1:10" ht="12" customHeight="1" x14ac:dyDescent="0.2">
      <c r="A67" s="51"/>
      <c r="B67" s="50" t="s">
        <v>58</v>
      </c>
      <c r="C67" s="516" t="s">
        <v>59</v>
      </c>
      <c r="D67" s="515"/>
      <c r="E67" s="515"/>
      <c r="F67" s="515"/>
      <c r="G67" s="515"/>
      <c r="H67" s="515"/>
      <c r="I67" s="510"/>
      <c r="J67" s="53"/>
    </row>
    <row r="68" spans="1:10" ht="7.5" customHeight="1" thickBo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6"/>
    </row>
    <row r="69" spans="1:10" ht="10.8" thickBot="1" x14ac:dyDescent="0.25"/>
    <row r="70" spans="1:10" s="46" customFormat="1" ht="22.5" customHeight="1" thickBot="1" x14ac:dyDescent="0.3">
      <c r="A70" s="42"/>
      <c r="B70" s="43" t="s">
        <v>0</v>
      </c>
      <c r="C70" s="43"/>
      <c r="D70" s="43"/>
      <c r="E70" s="43"/>
      <c r="F70" s="43"/>
      <c r="G70" s="43"/>
      <c r="H70" s="43"/>
      <c r="I70" s="44"/>
      <c r="J70" s="45"/>
    </row>
    <row r="71" spans="1:10" ht="15" customHeight="1" x14ac:dyDescent="0.2">
      <c r="A71" s="47"/>
      <c r="B71" s="66" t="s">
        <v>60</v>
      </c>
      <c r="C71" s="49"/>
      <c r="D71" s="49"/>
      <c r="E71" s="49"/>
      <c r="F71" s="49"/>
      <c r="G71" s="49"/>
      <c r="H71" s="49"/>
      <c r="I71" s="49"/>
      <c r="J71" s="48"/>
    </row>
    <row r="72" spans="1:10" ht="15" customHeight="1" x14ac:dyDescent="0.2">
      <c r="A72" s="51"/>
      <c r="B72" s="505" t="s">
        <v>61</v>
      </c>
      <c r="C72" s="506"/>
      <c r="D72" s="506"/>
      <c r="E72" s="506"/>
      <c r="F72" s="506"/>
      <c r="G72" s="506"/>
      <c r="H72" s="507"/>
      <c r="J72" s="53"/>
    </row>
    <row r="73" spans="1:10" ht="7.5" customHeight="1" x14ac:dyDescent="0.2">
      <c r="A73" s="51"/>
      <c r="J73" s="53"/>
    </row>
    <row r="74" spans="1:10" x14ac:dyDescent="0.2">
      <c r="A74" s="51"/>
      <c r="B74" s="50" t="s">
        <v>62</v>
      </c>
      <c r="J74" s="53"/>
    </row>
    <row r="75" spans="1:10" ht="15" customHeight="1" x14ac:dyDescent="0.2">
      <c r="A75" s="51"/>
      <c r="B75" s="505"/>
      <c r="C75" s="506"/>
      <c r="D75" s="506"/>
      <c r="E75" s="506"/>
      <c r="F75" s="506"/>
      <c r="G75" s="506"/>
      <c r="H75" s="507"/>
      <c r="J75" s="53"/>
    </row>
    <row r="76" spans="1:10" ht="7.5" customHeight="1" x14ac:dyDescent="0.2">
      <c r="A76" s="51"/>
      <c r="J76" s="53"/>
    </row>
    <row r="77" spans="1:10" x14ac:dyDescent="0.2">
      <c r="A77" s="51"/>
      <c r="B77" s="50" t="s">
        <v>63</v>
      </c>
      <c r="J77" s="53"/>
    </row>
    <row r="78" spans="1:10" ht="15" customHeight="1" x14ac:dyDescent="0.2">
      <c r="A78" s="51"/>
      <c r="B78" s="505"/>
      <c r="C78" s="506"/>
      <c r="D78" s="506"/>
      <c r="E78" s="506"/>
      <c r="F78" s="506"/>
      <c r="G78" s="506"/>
      <c r="H78" s="507"/>
      <c r="J78" s="53"/>
    </row>
    <row r="79" spans="1:10" ht="7.5" customHeight="1" x14ac:dyDescent="0.2">
      <c r="A79" s="51"/>
      <c r="J79" s="53"/>
    </row>
    <row r="80" spans="1:10" x14ac:dyDescent="0.2">
      <c r="A80" s="51"/>
      <c r="B80" s="50" t="s">
        <v>64</v>
      </c>
      <c r="J80" s="53"/>
    </row>
    <row r="81" spans="1:10" ht="15" customHeight="1" x14ac:dyDescent="0.2">
      <c r="A81" s="51"/>
      <c r="B81" s="505"/>
      <c r="C81" s="506"/>
      <c r="D81" s="506"/>
      <c r="E81" s="506"/>
      <c r="F81" s="506"/>
      <c r="G81" s="506"/>
      <c r="H81" s="507"/>
      <c r="J81" s="53"/>
    </row>
    <row r="82" spans="1:10" ht="7.5" customHeight="1" thickBo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6"/>
    </row>
    <row r="83" spans="1:10" ht="15" customHeight="1" x14ac:dyDescent="0.2">
      <c r="A83" s="47"/>
      <c r="B83" s="66" t="s">
        <v>65</v>
      </c>
      <c r="C83" s="49"/>
      <c r="D83" s="49"/>
      <c r="E83" s="49"/>
      <c r="F83" s="49"/>
      <c r="G83" s="49"/>
      <c r="H83" s="49"/>
      <c r="I83" s="49"/>
      <c r="J83" s="48"/>
    </row>
    <row r="84" spans="1:10" ht="15" customHeight="1" x14ac:dyDescent="0.2">
      <c r="A84" s="51"/>
      <c r="B84" s="505" t="s">
        <v>66</v>
      </c>
      <c r="C84" s="506"/>
      <c r="D84" s="506"/>
      <c r="E84" s="506"/>
      <c r="F84" s="506"/>
      <c r="G84" s="506"/>
      <c r="H84" s="507"/>
      <c r="J84" s="53"/>
    </row>
    <row r="85" spans="1:10" ht="7.5" customHeight="1" thickBo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6"/>
    </row>
    <row r="86" spans="1:10" ht="15" customHeight="1" x14ac:dyDescent="0.2">
      <c r="A86" s="47"/>
      <c r="B86" s="66" t="s">
        <v>67</v>
      </c>
      <c r="C86" s="49"/>
      <c r="D86" s="49"/>
      <c r="E86" s="49"/>
      <c r="F86" s="49"/>
      <c r="G86" s="49"/>
      <c r="H86" s="49"/>
      <c r="I86" s="49"/>
      <c r="J86" s="48"/>
    </row>
    <row r="87" spans="1:10" ht="15" customHeight="1" x14ac:dyDescent="0.2">
      <c r="A87" s="51"/>
      <c r="B87" s="505">
        <v>19.518999999999998</v>
      </c>
      <c r="C87" s="506"/>
      <c r="D87" s="507"/>
      <c r="J87" s="53"/>
    </row>
    <row r="88" spans="1:10" x14ac:dyDescent="0.2">
      <c r="A88" s="51"/>
      <c r="B88" s="50" t="s">
        <v>68</v>
      </c>
      <c r="J88" s="53"/>
    </row>
    <row r="89" spans="1:10" ht="30" customHeight="1" x14ac:dyDescent="0.2">
      <c r="A89" s="51"/>
      <c r="B89" s="505" t="s">
        <v>69</v>
      </c>
      <c r="C89" s="506"/>
      <c r="D89" s="506"/>
      <c r="E89" s="506"/>
      <c r="F89" s="506"/>
      <c r="G89" s="506"/>
      <c r="H89" s="507"/>
      <c r="J89" s="53"/>
    </row>
    <row r="90" spans="1:10" ht="7.5" customHeight="1" thickBo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6"/>
    </row>
    <row r="91" spans="1:10" ht="15" customHeight="1" x14ac:dyDescent="0.2">
      <c r="A91" s="51"/>
      <c r="B91" s="67" t="s">
        <v>70</v>
      </c>
      <c r="J91" s="53"/>
    </row>
    <row r="92" spans="1:10" ht="15" customHeight="1" x14ac:dyDescent="0.2">
      <c r="A92" s="51"/>
      <c r="B92" s="505" t="s">
        <v>71</v>
      </c>
      <c r="C92" s="506"/>
      <c r="D92" s="507"/>
      <c r="J92" s="53"/>
    </row>
    <row r="93" spans="1:10" ht="11.25" customHeight="1" x14ac:dyDescent="0.2">
      <c r="A93" s="51"/>
      <c r="B93" s="50" t="s">
        <v>72</v>
      </c>
      <c r="J93" s="53"/>
    </row>
    <row r="94" spans="1:10" ht="37.5" customHeight="1" x14ac:dyDescent="0.2">
      <c r="A94" s="51"/>
      <c r="B94" s="505"/>
      <c r="C94" s="506"/>
      <c r="D94" s="506"/>
      <c r="E94" s="506"/>
      <c r="F94" s="506"/>
      <c r="G94" s="506"/>
      <c r="H94" s="507"/>
      <c r="J94" s="53"/>
    </row>
    <row r="95" spans="1:10" ht="7.5" customHeight="1" thickBo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6"/>
    </row>
    <row r="96" spans="1:10" ht="15" customHeight="1" x14ac:dyDescent="0.2">
      <c r="A96" s="47"/>
      <c r="B96" s="66" t="s">
        <v>73</v>
      </c>
      <c r="C96" s="49"/>
      <c r="D96" s="49"/>
      <c r="E96" s="49"/>
      <c r="F96" s="49"/>
      <c r="G96" s="49"/>
      <c r="H96" s="49"/>
      <c r="I96" s="49"/>
      <c r="J96" s="48"/>
    </row>
    <row r="97" spans="1:10" ht="15" customHeight="1" x14ac:dyDescent="0.2">
      <c r="A97" s="51"/>
      <c r="B97" s="505"/>
      <c r="C97" s="506"/>
      <c r="D97" s="507"/>
      <c r="J97" s="53"/>
    </row>
    <row r="98" spans="1:10" x14ac:dyDescent="0.2">
      <c r="A98" s="51"/>
      <c r="B98" s="50" t="s">
        <v>51</v>
      </c>
      <c r="J98" s="53"/>
    </row>
    <row r="99" spans="1:10" ht="37.5" customHeight="1" x14ac:dyDescent="0.2">
      <c r="A99" s="51"/>
      <c r="B99" s="505" t="s">
        <v>74</v>
      </c>
      <c r="C99" s="506"/>
      <c r="D99" s="506"/>
      <c r="E99" s="506"/>
      <c r="F99" s="506"/>
      <c r="G99" s="506"/>
      <c r="H99" s="507"/>
      <c r="J99" s="53"/>
    </row>
    <row r="100" spans="1:10" ht="7.5" customHeight="1" thickBo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6"/>
    </row>
    <row r="101" spans="1:10" ht="15" customHeight="1" x14ac:dyDescent="0.2">
      <c r="A101" s="47"/>
      <c r="B101" s="66" t="s">
        <v>75</v>
      </c>
      <c r="C101" s="49"/>
      <c r="D101" s="49"/>
      <c r="E101" s="49"/>
      <c r="F101" s="49"/>
      <c r="G101" s="49"/>
      <c r="H101" s="49"/>
      <c r="I101" s="49"/>
      <c r="J101" s="48"/>
    </row>
    <row r="102" spans="1:10" ht="37.5" customHeight="1" x14ac:dyDescent="0.2">
      <c r="A102" s="51"/>
      <c r="B102" s="505"/>
      <c r="C102" s="506"/>
      <c r="D102" s="506"/>
      <c r="E102" s="506"/>
      <c r="F102" s="506"/>
      <c r="G102" s="506"/>
      <c r="H102" s="507"/>
      <c r="J102" s="53"/>
    </row>
    <row r="103" spans="1:10" ht="7.5" customHeight="1" thickBo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6"/>
    </row>
    <row r="104" spans="1:10" ht="15" customHeight="1" x14ac:dyDescent="0.2">
      <c r="A104" s="47"/>
      <c r="B104" s="66" t="s">
        <v>76</v>
      </c>
      <c r="C104" s="49"/>
      <c r="D104" s="49"/>
      <c r="E104" s="49"/>
      <c r="F104" s="49"/>
      <c r="G104" s="49"/>
      <c r="H104" s="49"/>
      <c r="I104" s="49"/>
      <c r="J104" s="48"/>
    </row>
    <row r="105" spans="1:10" ht="37.5" customHeight="1" x14ac:dyDescent="0.2">
      <c r="A105" s="51"/>
      <c r="B105" s="505" t="s">
        <v>77</v>
      </c>
      <c r="C105" s="506"/>
      <c r="D105" s="506"/>
      <c r="E105" s="506"/>
      <c r="F105" s="506"/>
      <c r="G105" s="506"/>
      <c r="H105" s="507"/>
      <c r="J105" s="53"/>
    </row>
    <row r="106" spans="1:10" ht="7.5" customHeight="1" thickBo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6"/>
    </row>
    <row r="107" spans="1:10" ht="15" customHeight="1" x14ac:dyDescent="0.2">
      <c r="A107" s="47"/>
      <c r="B107" s="49" t="s">
        <v>78</v>
      </c>
      <c r="C107" s="49"/>
      <c r="D107" s="49"/>
      <c r="E107" s="49"/>
      <c r="F107" s="49"/>
      <c r="G107" s="49"/>
      <c r="H107" s="49"/>
      <c r="I107" s="49"/>
      <c r="J107" s="48"/>
    </row>
    <row r="108" spans="1:10" ht="7.5" customHeight="1" thickBo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6"/>
    </row>
    <row r="111" spans="1:10" ht="10.8" thickBot="1" x14ac:dyDescent="0.25"/>
    <row r="112" spans="1:10" s="46" customFormat="1" ht="22.5" customHeight="1" thickBot="1" x14ac:dyDescent="0.3">
      <c r="A112" s="42"/>
      <c r="B112" s="43" t="s">
        <v>0</v>
      </c>
      <c r="C112" s="43"/>
      <c r="D112" s="43"/>
      <c r="E112" s="43"/>
      <c r="F112" s="43"/>
      <c r="G112" s="43"/>
      <c r="H112" s="43"/>
      <c r="I112" s="44"/>
      <c r="J112" s="45"/>
    </row>
    <row r="113" spans="1:10" s="67" customFormat="1" ht="11.25" customHeight="1" x14ac:dyDescent="0.2">
      <c r="A113" s="68"/>
      <c r="B113" s="66" t="s">
        <v>79</v>
      </c>
      <c r="C113" s="66"/>
      <c r="D113" s="66"/>
      <c r="E113" s="66"/>
      <c r="F113" s="66"/>
      <c r="G113" s="66"/>
      <c r="H113" s="66"/>
      <c r="I113" s="66"/>
      <c r="J113" s="69"/>
    </row>
    <row r="114" spans="1:10" x14ac:dyDescent="0.2">
      <c r="A114" s="51"/>
      <c r="B114" s="50" t="s">
        <v>80</v>
      </c>
      <c r="C114" s="505" t="s">
        <v>81</v>
      </c>
      <c r="D114" s="507"/>
      <c r="F114" s="50" t="s">
        <v>82</v>
      </c>
      <c r="H114" s="517">
        <v>0</v>
      </c>
      <c r="I114" s="518"/>
      <c r="J114" s="53"/>
    </row>
    <row r="115" spans="1:10" ht="7.5" customHeight="1" thickBo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6"/>
    </row>
    <row r="116" spans="1:10" ht="11.25" customHeight="1" x14ac:dyDescent="0.2">
      <c r="A116" s="47"/>
      <c r="B116" s="66" t="s">
        <v>83</v>
      </c>
      <c r="C116" s="49"/>
      <c r="D116" s="49"/>
      <c r="E116" s="49"/>
      <c r="F116" s="49"/>
      <c r="G116" s="49"/>
      <c r="H116" s="49"/>
      <c r="I116" s="49"/>
      <c r="J116" s="48"/>
    </row>
    <row r="117" spans="1:10" ht="7.5" customHeight="1" thickBo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6"/>
    </row>
    <row r="118" spans="1:10" ht="11.25" customHeight="1" x14ac:dyDescent="0.2">
      <c r="A118" s="47"/>
      <c r="B118" s="66" t="s">
        <v>84</v>
      </c>
      <c r="C118" s="49"/>
      <c r="D118" s="49"/>
      <c r="E118" s="49"/>
      <c r="F118" s="49"/>
      <c r="G118" s="49"/>
      <c r="H118" s="49"/>
      <c r="I118" s="49"/>
      <c r="J118" s="48"/>
    </row>
    <row r="119" spans="1:10" ht="12" customHeight="1" x14ac:dyDescent="0.2">
      <c r="A119" s="51"/>
      <c r="B119" s="50" t="s">
        <v>85</v>
      </c>
      <c r="C119" s="519">
        <v>42277</v>
      </c>
      <c r="D119" s="507"/>
      <c r="F119" s="50" t="s">
        <v>86</v>
      </c>
      <c r="G119" s="519">
        <v>43372</v>
      </c>
      <c r="H119" s="507"/>
      <c r="J119" s="53"/>
    </row>
    <row r="120" spans="1:10" ht="7.5" customHeight="1" thickBo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6"/>
    </row>
    <row r="121" spans="1:10" ht="11.25" customHeight="1" x14ac:dyDescent="0.2">
      <c r="A121" s="47"/>
      <c r="B121" s="66" t="s">
        <v>87</v>
      </c>
      <c r="C121" s="49"/>
      <c r="D121" s="49"/>
      <c r="E121" s="49"/>
      <c r="F121" s="49"/>
      <c r="G121" s="49"/>
      <c r="H121" s="49"/>
      <c r="I121" s="49"/>
      <c r="J121" s="48"/>
    </row>
    <row r="122" spans="1:10" ht="7.5" customHeight="1" thickBo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6"/>
    </row>
    <row r="123" spans="1:10" ht="3.75" customHeight="1" x14ac:dyDescent="0.2">
      <c r="A123" s="47"/>
      <c r="B123" s="49"/>
      <c r="C123" s="49"/>
      <c r="D123" s="49"/>
      <c r="E123" s="49"/>
      <c r="F123" s="49"/>
      <c r="G123" s="49"/>
      <c r="H123" s="49"/>
      <c r="I123" s="49"/>
      <c r="J123" s="48"/>
    </row>
    <row r="124" spans="1:10" ht="11.25" customHeight="1" x14ac:dyDescent="0.2">
      <c r="A124" s="51"/>
      <c r="B124" s="50" t="s">
        <v>88</v>
      </c>
      <c r="C124" s="521">
        <f>SF424A!F16</f>
        <v>919876.16004103515</v>
      </c>
      <c r="D124" s="522"/>
      <c r="E124" s="522"/>
      <c r="F124" s="523"/>
      <c r="J124" s="53"/>
    </row>
    <row r="125" spans="1:10" ht="3.75" customHeight="1" x14ac:dyDescent="0.2">
      <c r="A125" s="51"/>
      <c r="J125" s="53"/>
    </row>
    <row r="126" spans="1:10" ht="12" customHeight="1" x14ac:dyDescent="0.2">
      <c r="A126" s="51"/>
      <c r="B126" s="50" t="s">
        <v>89</v>
      </c>
      <c r="C126" s="521">
        <f>SF424A!G16</f>
        <v>162262.76911732552</v>
      </c>
      <c r="D126" s="522"/>
      <c r="E126" s="522"/>
      <c r="F126" s="523"/>
      <c r="J126" s="53"/>
    </row>
    <row r="127" spans="1:10" ht="3.75" customHeight="1" x14ac:dyDescent="0.2">
      <c r="A127" s="51"/>
      <c r="J127" s="53"/>
    </row>
    <row r="128" spans="1:10" ht="12" customHeight="1" x14ac:dyDescent="0.2">
      <c r="A128" s="51"/>
      <c r="B128" s="50" t="s">
        <v>90</v>
      </c>
      <c r="C128" s="524">
        <v>0</v>
      </c>
      <c r="D128" s="525"/>
      <c r="E128" s="525"/>
      <c r="F128" s="526"/>
      <c r="J128" s="53"/>
    </row>
    <row r="129" spans="1:10" ht="3.75" customHeight="1" x14ac:dyDescent="0.2">
      <c r="A129" s="51"/>
      <c r="C129" s="524"/>
      <c r="D129" s="525"/>
      <c r="E129" s="525"/>
      <c r="F129" s="526"/>
      <c r="J129" s="53"/>
    </row>
    <row r="130" spans="1:10" ht="12" customHeight="1" x14ac:dyDescent="0.2">
      <c r="A130" s="51"/>
      <c r="B130" s="50" t="s">
        <v>91</v>
      </c>
      <c r="C130" s="524">
        <v>0</v>
      </c>
      <c r="D130" s="525"/>
      <c r="E130" s="525"/>
      <c r="F130" s="526"/>
      <c r="J130" s="53"/>
    </row>
    <row r="131" spans="1:10" ht="3.75" customHeight="1" x14ac:dyDescent="0.2">
      <c r="A131" s="51"/>
      <c r="C131" s="524"/>
      <c r="D131" s="525"/>
      <c r="E131" s="525"/>
      <c r="F131" s="526"/>
      <c r="J131" s="53"/>
    </row>
    <row r="132" spans="1:10" ht="12" customHeight="1" x14ac:dyDescent="0.2">
      <c r="A132" s="51"/>
      <c r="B132" s="50" t="s">
        <v>92</v>
      </c>
      <c r="C132" s="524">
        <v>0</v>
      </c>
      <c r="D132" s="525"/>
      <c r="E132" s="525"/>
      <c r="F132" s="526"/>
      <c r="J132" s="53"/>
    </row>
    <row r="133" spans="1:10" ht="3.75" customHeight="1" x14ac:dyDescent="0.2">
      <c r="A133" s="51"/>
      <c r="C133" s="524"/>
      <c r="D133" s="525"/>
      <c r="E133" s="525"/>
      <c r="F133" s="526"/>
      <c r="J133" s="53"/>
    </row>
    <row r="134" spans="1:10" ht="12" customHeight="1" x14ac:dyDescent="0.2">
      <c r="A134" s="51"/>
      <c r="B134" s="50" t="s">
        <v>93</v>
      </c>
      <c r="C134" s="524">
        <v>0</v>
      </c>
      <c r="D134" s="525"/>
      <c r="E134" s="525"/>
      <c r="F134" s="526"/>
      <c r="J134" s="53"/>
    </row>
    <row r="135" spans="1:10" ht="3.75" customHeight="1" x14ac:dyDescent="0.2">
      <c r="A135" s="51"/>
      <c r="J135" s="53"/>
    </row>
    <row r="136" spans="1:10" ht="12" customHeight="1" x14ac:dyDescent="0.2">
      <c r="A136" s="51"/>
      <c r="B136" s="50" t="s">
        <v>94</v>
      </c>
      <c r="C136" s="521">
        <f>C124+C126+C128+C132</f>
        <v>1082138.9291583607</v>
      </c>
      <c r="D136" s="522"/>
      <c r="E136" s="522"/>
      <c r="F136" s="523"/>
      <c r="J136" s="53"/>
    </row>
    <row r="137" spans="1:10" ht="7.5" customHeight="1" thickBo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6"/>
    </row>
    <row r="138" spans="1:10" ht="15" customHeight="1" x14ac:dyDescent="0.2">
      <c r="A138" s="47"/>
      <c r="B138" s="66" t="s">
        <v>95</v>
      </c>
      <c r="C138" s="49"/>
      <c r="D138" s="49"/>
      <c r="E138" s="49"/>
      <c r="F138" s="49"/>
      <c r="G138" s="49"/>
      <c r="H138" s="49"/>
      <c r="I138" s="49"/>
      <c r="J138" s="48"/>
    </row>
    <row r="139" spans="1:10" s="52" customFormat="1" ht="18" customHeight="1" x14ac:dyDescent="0.25">
      <c r="A139" s="70"/>
      <c r="B139" s="52" t="s">
        <v>96</v>
      </c>
      <c r="J139" s="71"/>
    </row>
    <row r="140" spans="1:10" s="52" customFormat="1" ht="18" customHeight="1" x14ac:dyDescent="0.25">
      <c r="A140" s="70"/>
      <c r="B140" s="52" t="s">
        <v>97</v>
      </c>
      <c r="J140" s="71"/>
    </row>
    <row r="141" spans="1:10" s="52" customFormat="1" ht="18" customHeight="1" x14ac:dyDescent="0.25">
      <c r="A141" s="70"/>
      <c r="B141" s="52" t="s">
        <v>98</v>
      </c>
      <c r="J141" s="71"/>
    </row>
    <row r="142" spans="1:10" ht="7.5" customHeight="1" thickBo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6"/>
    </row>
    <row r="143" spans="1:10" ht="15" customHeight="1" x14ac:dyDescent="0.2">
      <c r="A143" s="47"/>
      <c r="B143" s="66" t="s">
        <v>99</v>
      </c>
      <c r="C143" s="49"/>
      <c r="D143" s="49"/>
      <c r="E143" s="49"/>
      <c r="F143" s="49"/>
      <c r="G143" s="49"/>
      <c r="H143" s="49"/>
      <c r="I143" s="49"/>
      <c r="J143" s="48"/>
    </row>
    <row r="144" spans="1:10" s="52" customFormat="1" ht="18" customHeight="1" x14ac:dyDescent="0.25">
      <c r="A144" s="70"/>
      <c r="B144" s="52" t="s">
        <v>100</v>
      </c>
      <c r="C144" s="52" t="s">
        <v>101</v>
      </c>
      <c r="J144" s="71"/>
    </row>
    <row r="145" spans="1:10" ht="7.5" customHeight="1" thickBo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6"/>
    </row>
    <row r="146" spans="1:10" ht="48.75" customHeight="1" x14ac:dyDescent="0.2">
      <c r="A146" s="47"/>
      <c r="B146" s="527" t="s">
        <v>102</v>
      </c>
      <c r="C146" s="527"/>
      <c r="D146" s="527"/>
      <c r="E146" s="527"/>
      <c r="F146" s="527"/>
      <c r="G146" s="527"/>
      <c r="H146" s="527"/>
      <c r="I146" s="527"/>
      <c r="J146" s="48"/>
    </row>
    <row r="147" spans="1:10" ht="3.75" customHeight="1" x14ac:dyDescent="0.2">
      <c r="A147" s="51"/>
      <c r="J147" s="53"/>
    </row>
    <row r="148" spans="1:10" s="52" customFormat="1" ht="18" customHeight="1" x14ac:dyDescent="0.25">
      <c r="A148" s="70"/>
      <c r="B148" s="72" t="s">
        <v>103</v>
      </c>
      <c r="J148" s="71"/>
    </row>
    <row r="149" spans="1:10" ht="3.75" customHeight="1" x14ac:dyDescent="0.2">
      <c r="A149" s="51"/>
      <c r="J149" s="53"/>
    </row>
    <row r="150" spans="1:10" ht="22.5" customHeight="1" x14ac:dyDescent="0.2">
      <c r="A150" s="51"/>
      <c r="B150" s="520" t="s">
        <v>104</v>
      </c>
      <c r="C150" s="520"/>
      <c r="D150" s="520"/>
      <c r="E150" s="520"/>
      <c r="F150" s="520"/>
      <c r="G150" s="520"/>
      <c r="H150" s="520"/>
      <c r="I150" s="520"/>
      <c r="J150" s="53"/>
    </row>
    <row r="151" spans="1:10" ht="7.5" customHeight="1" thickBo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6"/>
    </row>
    <row r="152" spans="1:10" ht="15" customHeight="1" x14ac:dyDescent="0.2">
      <c r="A152" s="47"/>
      <c r="B152" s="66" t="s">
        <v>105</v>
      </c>
      <c r="C152" s="49"/>
      <c r="D152" s="49"/>
      <c r="E152" s="49"/>
      <c r="F152" s="49"/>
      <c r="G152" s="49"/>
      <c r="H152" s="49"/>
      <c r="I152" s="49"/>
      <c r="J152" s="48"/>
    </row>
    <row r="153" spans="1:10" ht="7.5" customHeight="1" thickBo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6"/>
    </row>
    <row r="154" spans="1:10" ht="7.5" customHeight="1" x14ac:dyDescent="0.2">
      <c r="A154" s="47"/>
      <c r="B154" s="49"/>
      <c r="C154" s="49"/>
      <c r="D154" s="49"/>
      <c r="E154" s="49"/>
      <c r="F154" s="49"/>
      <c r="G154" s="49"/>
      <c r="H154" s="49"/>
      <c r="I154" s="49"/>
      <c r="J154" s="48"/>
    </row>
    <row r="155" spans="1:10" ht="12" customHeight="1" x14ac:dyDescent="0.2">
      <c r="A155" s="51"/>
      <c r="B155" s="50" t="s">
        <v>43</v>
      </c>
      <c r="C155" s="505" t="s">
        <v>106</v>
      </c>
      <c r="D155" s="507"/>
      <c r="F155" s="50" t="s">
        <v>107</v>
      </c>
      <c r="G155" s="505" t="s">
        <v>108</v>
      </c>
      <c r="H155" s="506"/>
      <c r="I155" s="507"/>
      <c r="J155" s="53"/>
    </row>
    <row r="156" spans="1:10" ht="3.75" customHeight="1" x14ac:dyDescent="0.2">
      <c r="A156" s="51"/>
      <c r="J156" s="53"/>
    </row>
    <row r="157" spans="1:10" ht="12" customHeight="1" x14ac:dyDescent="0.2">
      <c r="A157" s="51"/>
      <c r="B157" s="50" t="s">
        <v>47</v>
      </c>
      <c r="C157" s="505"/>
      <c r="D157" s="507"/>
      <c r="J157" s="53"/>
    </row>
    <row r="158" spans="1:10" ht="3.75" customHeight="1" x14ac:dyDescent="0.2">
      <c r="A158" s="51"/>
      <c r="J158" s="53"/>
    </row>
    <row r="159" spans="1:10" ht="12" customHeight="1" x14ac:dyDescent="0.2">
      <c r="A159" s="51"/>
      <c r="B159" s="50" t="s">
        <v>109</v>
      </c>
      <c r="C159" s="505" t="s">
        <v>110</v>
      </c>
      <c r="D159" s="506"/>
      <c r="E159" s="506"/>
      <c r="F159" s="506"/>
      <c r="G159" s="506"/>
      <c r="H159" s="506"/>
      <c r="I159" s="507"/>
      <c r="J159" s="53"/>
    </row>
    <row r="160" spans="1:10" ht="3.75" customHeight="1" x14ac:dyDescent="0.2">
      <c r="A160" s="51"/>
      <c r="J160" s="53"/>
    </row>
    <row r="161" spans="1:10" ht="12" customHeight="1" x14ac:dyDescent="0.2">
      <c r="A161" s="51"/>
      <c r="B161" s="50" t="s">
        <v>50</v>
      </c>
      <c r="C161" s="505"/>
      <c r="D161" s="507"/>
      <c r="J161" s="53"/>
    </row>
    <row r="162" spans="1:10" ht="7.5" customHeight="1" thickBo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6"/>
    </row>
    <row r="163" spans="1:10" ht="7.5" customHeight="1" x14ac:dyDescent="0.2">
      <c r="A163" s="47"/>
      <c r="B163" s="49"/>
      <c r="C163" s="49"/>
      <c r="D163" s="49"/>
      <c r="E163" s="49"/>
      <c r="F163" s="49"/>
      <c r="G163" s="49"/>
      <c r="H163" s="49"/>
      <c r="I163" s="49"/>
      <c r="J163" s="48"/>
    </row>
    <row r="164" spans="1:10" ht="12" customHeight="1" x14ac:dyDescent="0.2">
      <c r="A164" s="51"/>
      <c r="B164" s="50" t="s">
        <v>72</v>
      </c>
      <c r="C164" s="505" t="s">
        <v>111</v>
      </c>
      <c r="D164" s="506"/>
      <c r="E164" s="506"/>
      <c r="F164" s="506"/>
      <c r="G164" s="506"/>
      <c r="H164" s="506"/>
      <c r="I164" s="507"/>
      <c r="J164" s="53"/>
    </row>
    <row r="165" spans="1:10" ht="7.5" customHeight="1" thickBo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6"/>
    </row>
    <row r="166" spans="1:10" ht="7.5" customHeight="1" x14ac:dyDescent="0.2">
      <c r="A166" s="47"/>
      <c r="B166" s="49"/>
      <c r="C166" s="49"/>
      <c r="D166" s="49"/>
      <c r="E166" s="49"/>
      <c r="F166" s="49"/>
      <c r="G166" s="49"/>
      <c r="H166" s="49"/>
      <c r="I166" s="49"/>
      <c r="J166" s="48"/>
    </row>
    <row r="167" spans="1:10" ht="12" customHeight="1" x14ac:dyDescent="0.2">
      <c r="A167" s="51"/>
      <c r="B167" s="50" t="s">
        <v>55</v>
      </c>
      <c r="C167" s="528" t="s">
        <v>112</v>
      </c>
      <c r="D167" s="529"/>
      <c r="G167" s="50" t="s">
        <v>57</v>
      </c>
      <c r="H167" s="505"/>
      <c r="I167" s="507"/>
      <c r="J167" s="53"/>
    </row>
    <row r="168" spans="1:10" ht="7.5" customHeight="1" thickBo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6"/>
    </row>
    <row r="169" spans="1:10" ht="7.5" customHeight="1" x14ac:dyDescent="0.2">
      <c r="A169" s="47"/>
      <c r="B169" s="49"/>
      <c r="C169" s="49"/>
      <c r="D169" s="49"/>
      <c r="E169" s="49"/>
      <c r="F169" s="49"/>
      <c r="G169" s="49"/>
      <c r="H169" s="49"/>
      <c r="I169" s="49"/>
      <c r="J169" s="48"/>
    </row>
    <row r="170" spans="1:10" ht="12" customHeight="1" x14ac:dyDescent="0.2">
      <c r="A170" s="51"/>
      <c r="B170" s="50" t="s">
        <v>58</v>
      </c>
      <c r="C170" s="530" t="s">
        <v>113</v>
      </c>
      <c r="D170" s="506"/>
      <c r="E170" s="506"/>
      <c r="F170" s="506"/>
      <c r="G170" s="506"/>
      <c r="H170" s="506"/>
      <c r="I170" s="507"/>
      <c r="J170" s="53"/>
    </row>
    <row r="171" spans="1:10" ht="7.5" customHeight="1" thickBo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6"/>
    </row>
    <row r="172" spans="1:10" ht="7.5" customHeight="1" x14ac:dyDescent="0.2">
      <c r="A172" s="47"/>
      <c r="B172" s="49"/>
      <c r="C172" s="49"/>
      <c r="D172" s="49"/>
      <c r="E172" s="49"/>
      <c r="F172" s="49"/>
      <c r="G172" s="49"/>
      <c r="H172" s="49"/>
      <c r="I172" s="49"/>
      <c r="J172" s="48"/>
    </row>
    <row r="173" spans="1:10" ht="13.5" customHeight="1" x14ac:dyDescent="0.2">
      <c r="A173" s="51"/>
      <c r="B173" s="50" t="s">
        <v>114</v>
      </c>
      <c r="D173" s="505"/>
      <c r="E173" s="506"/>
      <c r="F173" s="506"/>
      <c r="G173" s="507"/>
      <c r="H173" s="50" t="s">
        <v>115</v>
      </c>
      <c r="I173" s="73">
        <v>42128</v>
      </c>
      <c r="J173" s="53"/>
    </row>
    <row r="174" spans="1:10" ht="7.5" customHeight="1" thickBo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6"/>
    </row>
  </sheetData>
  <mergeCells count="70">
    <mergeCell ref="C167:D167"/>
    <mergeCell ref="H167:I167"/>
    <mergeCell ref="C170:I170"/>
    <mergeCell ref="D173:G173"/>
    <mergeCell ref="C155:D155"/>
    <mergeCell ref="G155:I155"/>
    <mergeCell ref="C157:D157"/>
    <mergeCell ref="C159:I159"/>
    <mergeCell ref="C161:D161"/>
    <mergeCell ref="C164:I164"/>
    <mergeCell ref="B150:I150"/>
    <mergeCell ref="C124:F124"/>
    <mergeCell ref="C126:F126"/>
    <mergeCell ref="C128:F128"/>
    <mergeCell ref="C129:F129"/>
    <mergeCell ref="C130:F130"/>
    <mergeCell ref="C131:F131"/>
    <mergeCell ref="C132:F132"/>
    <mergeCell ref="C133:F133"/>
    <mergeCell ref="C134:F134"/>
    <mergeCell ref="C136:F136"/>
    <mergeCell ref="B146:I146"/>
    <mergeCell ref="B102:H102"/>
    <mergeCell ref="B105:H105"/>
    <mergeCell ref="C114:D114"/>
    <mergeCell ref="H114:I114"/>
    <mergeCell ref="C119:D119"/>
    <mergeCell ref="G119:H119"/>
    <mergeCell ref="B99:H99"/>
    <mergeCell ref="C67:I67"/>
    <mergeCell ref="B72:H72"/>
    <mergeCell ref="B75:H75"/>
    <mergeCell ref="B78:H78"/>
    <mergeCell ref="B81:H81"/>
    <mergeCell ref="B84:H84"/>
    <mergeCell ref="B87:D87"/>
    <mergeCell ref="B89:H89"/>
    <mergeCell ref="B92:D92"/>
    <mergeCell ref="B94:H94"/>
    <mergeCell ref="B97:D97"/>
    <mergeCell ref="C53:I53"/>
    <mergeCell ref="C55:D55"/>
    <mergeCell ref="C58:I58"/>
    <mergeCell ref="B61:I61"/>
    <mergeCell ref="C64:D64"/>
    <mergeCell ref="H64:I64"/>
    <mergeCell ref="C51:D51"/>
    <mergeCell ref="C28:I28"/>
    <mergeCell ref="C30:I30"/>
    <mergeCell ref="C32:I32"/>
    <mergeCell ref="C34:I34"/>
    <mergeCell ref="C36:I36"/>
    <mergeCell ref="C38:I38"/>
    <mergeCell ref="C40:I40"/>
    <mergeCell ref="B45:D45"/>
    <mergeCell ref="F45:I45"/>
    <mergeCell ref="C49:D49"/>
    <mergeCell ref="G49:I49"/>
    <mergeCell ref="C26:I26"/>
    <mergeCell ref="H2:I2"/>
    <mergeCell ref="H3:I3"/>
    <mergeCell ref="H4:I4"/>
    <mergeCell ref="H5:I5"/>
    <mergeCell ref="B8:D8"/>
    <mergeCell ref="F8:I8"/>
    <mergeCell ref="B11:D11"/>
    <mergeCell ref="F11:I11"/>
    <mergeCell ref="H15:I15"/>
    <mergeCell ref="C19:I19"/>
    <mergeCell ref="B22:C22"/>
  </mergeCells>
  <hyperlinks>
    <hyperlink ref="C67" r:id="rId1" xr:uid="{00000000-0004-0000-0000-000000000000}"/>
    <hyperlink ref="C170" r:id="rId2" xr:uid="{00000000-0004-0000-0000-000001000000}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topLeftCell="A32" workbookViewId="0">
      <selection activeCell="G41" sqref="G41"/>
    </sheetView>
  </sheetViews>
  <sheetFormatPr defaultColWidth="7" defaultRowHeight="13.2" x14ac:dyDescent="0.25"/>
  <cols>
    <col min="1" max="1" width="3" style="1" customWidth="1"/>
    <col min="2" max="2" width="32.88671875" style="1" customWidth="1"/>
    <col min="3" max="3" width="19" style="1" customWidth="1"/>
    <col min="4" max="4" width="16.33203125" style="1" customWidth="1"/>
    <col min="5" max="5" width="14.88671875" style="1" customWidth="1"/>
    <col min="6" max="6" width="14.6640625" style="1" customWidth="1"/>
    <col min="7" max="7" width="16.88671875" style="1" customWidth="1"/>
    <col min="8" max="8" width="17.44140625" style="1" customWidth="1"/>
    <col min="9" max="9" width="13.88671875" style="1" customWidth="1"/>
    <col min="10" max="10" width="7" style="1" customWidth="1"/>
    <col min="11" max="16384" width="7" style="1"/>
  </cols>
  <sheetData>
    <row r="1" spans="1:8" ht="17.399999999999999" x14ac:dyDescent="0.3">
      <c r="B1" s="2" t="s">
        <v>116</v>
      </c>
      <c r="C1" s="3"/>
      <c r="D1" s="3"/>
      <c r="E1" s="3"/>
      <c r="F1" s="3"/>
      <c r="G1" s="3"/>
      <c r="H1" s="3"/>
    </row>
    <row r="2" spans="1:8" x14ac:dyDescent="0.25">
      <c r="B2" s="3" t="s">
        <v>117</v>
      </c>
      <c r="C2" s="3"/>
      <c r="D2" s="3"/>
      <c r="E2" s="3"/>
      <c r="F2" s="3"/>
      <c r="G2" s="3"/>
      <c r="H2" s="3"/>
    </row>
    <row r="4" spans="1:8" ht="15.6" x14ac:dyDescent="0.3">
      <c r="B4" s="4" t="s">
        <v>118</v>
      </c>
      <c r="C4" s="3"/>
      <c r="D4" s="3"/>
      <c r="E4" s="3"/>
      <c r="F4" s="3"/>
      <c r="G4" s="3"/>
      <c r="H4" s="3"/>
    </row>
    <row r="6" spans="1:8" ht="19.95" customHeight="1" x14ac:dyDescent="0.25">
      <c r="A6" s="534" t="s">
        <v>119</v>
      </c>
      <c r="B6" s="535"/>
      <c r="C6" s="536"/>
      <c r="D6" s="536"/>
      <c r="E6" s="536"/>
      <c r="F6" s="536"/>
      <c r="G6" s="536"/>
      <c r="H6" s="537"/>
    </row>
    <row r="7" spans="1:8" x14ac:dyDescent="0.25">
      <c r="A7" s="538" t="s">
        <v>120</v>
      </c>
      <c r="B7" s="539"/>
      <c r="C7" s="496" t="s">
        <v>121</v>
      </c>
      <c r="D7" s="5" t="s">
        <v>122</v>
      </c>
      <c r="E7" s="6"/>
      <c r="F7" s="5" t="s">
        <v>123</v>
      </c>
      <c r="G7" s="7"/>
      <c r="H7" s="6"/>
    </row>
    <row r="8" spans="1:8" x14ac:dyDescent="0.25">
      <c r="A8" s="540" t="s">
        <v>124</v>
      </c>
      <c r="B8" s="541"/>
      <c r="C8" s="497" t="s">
        <v>125</v>
      </c>
      <c r="D8" s="8"/>
      <c r="E8" s="9"/>
      <c r="F8" s="8"/>
      <c r="G8" s="10"/>
      <c r="H8" s="9"/>
    </row>
    <row r="9" spans="1:8" x14ac:dyDescent="0.25">
      <c r="A9" s="540" t="s">
        <v>126</v>
      </c>
      <c r="B9" s="541"/>
      <c r="C9" s="497" t="s">
        <v>127</v>
      </c>
      <c r="D9" s="11" t="s">
        <v>128</v>
      </c>
      <c r="E9" s="11" t="s">
        <v>129</v>
      </c>
      <c r="F9" s="11" t="s">
        <v>128</v>
      </c>
      <c r="G9" s="11" t="s">
        <v>129</v>
      </c>
      <c r="H9" s="11" t="s">
        <v>130</v>
      </c>
    </row>
    <row r="10" spans="1:8" x14ac:dyDescent="0.25">
      <c r="A10" s="542" t="s">
        <v>131</v>
      </c>
      <c r="B10" s="543"/>
      <c r="C10" s="498" t="s">
        <v>132</v>
      </c>
      <c r="D10" s="12" t="s">
        <v>133</v>
      </c>
      <c r="E10" s="12" t="s">
        <v>134</v>
      </c>
      <c r="F10" s="12" t="s">
        <v>135</v>
      </c>
      <c r="G10" s="12" t="s">
        <v>136</v>
      </c>
      <c r="H10" s="12" t="s">
        <v>137</v>
      </c>
    </row>
    <row r="11" spans="1:8" ht="15" customHeight="1" x14ac:dyDescent="0.25">
      <c r="A11" s="8">
        <v>1</v>
      </c>
      <c r="B11" s="8" t="s">
        <v>138</v>
      </c>
      <c r="C11" s="41">
        <v>19.018999999999998</v>
      </c>
      <c r="D11" s="30"/>
      <c r="E11" s="30"/>
      <c r="F11" s="30">
        <f>'Budget Summary'!K15</f>
        <v>919876.16004103515</v>
      </c>
      <c r="G11" s="30">
        <f>'Budget Summary'!L15</f>
        <v>162262.76911732552</v>
      </c>
      <c r="H11" s="30">
        <f>F11+G11</f>
        <v>1082138.9291583607</v>
      </c>
    </row>
    <row r="12" spans="1:8" ht="15" customHeight="1" x14ac:dyDescent="0.25">
      <c r="A12" s="8">
        <v>2</v>
      </c>
      <c r="B12" s="8"/>
      <c r="C12" s="30"/>
      <c r="D12" s="30"/>
      <c r="E12" s="30"/>
      <c r="F12" s="30"/>
      <c r="G12" s="30"/>
      <c r="H12" s="30">
        <f>F12+G12</f>
        <v>0</v>
      </c>
    </row>
    <row r="13" spans="1:8" ht="15" customHeight="1" x14ac:dyDescent="0.25">
      <c r="A13" s="8">
        <v>4</v>
      </c>
      <c r="B13" s="8"/>
      <c r="C13" s="30"/>
      <c r="D13" s="30"/>
      <c r="E13" s="30"/>
      <c r="F13" s="30"/>
      <c r="G13" s="30"/>
      <c r="H13" s="30">
        <f>F13+G13</f>
        <v>0</v>
      </c>
    </row>
    <row r="14" spans="1:8" ht="15" customHeight="1" x14ac:dyDescent="0.25">
      <c r="A14" s="8">
        <v>3</v>
      </c>
      <c r="B14" s="8"/>
      <c r="C14" s="30"/>
      <c r="D14" s="30"/>
      <c r="E14" s="30"/>
      <c r="F14" s="30"/>
      <c r="G14" s="30"/>
      <c r="H14" s="30">
        <f>F14+G14</f>
        <v>0</v>
      </c>
    </row>
    <row r="15" spans="1:8" ht="15" customHeight="1" x14ac:dyDescent="0.25">
      <c r="A15" s="8">
        <v>4</v>
      </c>
      <c r="B15" s="8"/>
      <c r="C15" s="30"/>
      <c r="D15" s="30"/>
      <c r="E15" s="30"/>
      <c r="F15" s="30"/>
      <c r="G15" s="30"/>
      <c r="H15" s="30">
        <f>F15+G15</f>
        <v>0</v>
      </c>
    </row>
    <row r="16" spans="1:8" ht="15" customHeight="1" x14ac:dyDescent="0.25">
      <c r="A16" s="8">
        <v>5</v>
      </c>
      <c r="B16" s="8" t="s">
        <v>139</v>
      </c>
      <c r="C16" s="30"/>
      <c r="D16" s="30">
        <f>SUM(D11:D14)</f>
        <v>0</v>
      </c>
      <c r="E16" s="30">
        <f>SUM(E11:E14)</f>
        <v>0</v>
      </c>
      <c r="F16" s="30">
        <f>SUM(F11:F15)</f>
        <v>919876.16004103515</v>
      </c>
      <c r="G16" s="30">
        <f>SUM(G11:G15)</f>
        <v>162262.76911732552</v>
      </c>
      <c r="H16" s="30">
        <f>SUM(H11:H15)</f>
        <v>1082138.9291583607</v>
      </c>
    </row>
    <row r="17" spans="1:11" ht="19.95" customHeight="1" x14ac:dyDescent="0.25">
      <c r="A17" s="531" t="s">
        <v>140</v>
      </c>
      <c r="B17" s="532"/>
      <c r="C17" s="532"/>
      <c r="D17" s="532"/>
      <c r="E17" s="532"/>
      <c r="F17" s="532"/>
      <c r="G17" s="532"/>
      <c r="H17" s="533"/>
      <c r="I17" s="14"/>
    </row>
    <row r="18" spans="1:11" x14ac:dyDescent="0.25">
      <c r="A18" s="15"/>
      <c r="B18" s="15"/>
      <c r="C18" s="16" t="s">
        <v>141</v>
      </c>
      <c r="D18" s="17"/>
      <c r="E18" s="17"/>
      <c r="F18" s="18"/>
      <c r="G18" s="18"/>
      <c r="H18" s="19" t="s">
        <v>130</v>
      </c>
    </row>
    <row r="19" spans="1:11" x14ac:dyDescent="0.25">
      <c r="A19" s="20" t="s">
        <v>142</v>
      </c>
      <c r="B19" s="21" t="s">
        <v>143</v>
      </c>
      <c r="C19" s="19" t="s">
        <v>144</v>
      </c>
      <c r="D19" s="22" t="s">
        <v>145</v>
      </c>
      <c r="E19" s="22" t="s">
        <v>146</v>
      </c>
      <c r="F19" s="22" t="s">
        <v>147</v>
      </c>
      <c r="G19" s="22" t="s">
        <v>148</v>
      </c>
      <c r="H19" s="22" t="s">
        <v>149</v>
      </c>
    </row>
    <row r="20" spans="1:11" x14ac:dyDescent="0.25">
      <c r="A20" s="23" t="s">
        <v>150</v>
      </c>
      <c r="B20" s="23" t="s">
        <v>150</v>
      </c>
      <c r="C20" s="30">
        <f>'Budget Summary'!M4</f>
        <v>216187.49692644752</v>
      </c>
      <c r="D20" s="13"/>
      <c r="E20" s="13"/>
      <c r="F20" s="13"/>
      <c r="G20" s="13"/>
      <c r="H20" s="30">
        <f t="shared" ref="H20:H30" si="0">SUM(C20:G20)</f>
        <v>216187.49692644752</v>
      </c>
      <c r="K20" s="14"/>
    </row>
    <row r="21" spans="1:11" x14ac:dyDescent="0.25">
      <c r="A21" s="8" t="s">
        <v>151</v>
      </c>
      <c r="B21" s="8" t="s">
        <v>151</v>
      </c>
      <c r="C21" s="30">
        <f>'Budget Summary'!M5</f>
        <v>37566.07054247841</v>
      </c>
      <c r="D21" s="13"/>
      <c r="E21" s="13"/>
      <c r="F21" s="13"/>
      <c r="G21" s="13"/>
      <c r="H21" s="30">
        <f t="shared" si="0"/>
        <v>37566.07054247841</v>
      </c>
      <c r="K21" s="14"/>
    </row>
    <row r="22" spans="1:11" x14ac:dyDescent="0.25">
      <c r="A22" s="8" t="s">
        <v>152</v>
      </c>
      <c r="B22" s="8" t="s">
        <v>152</v>
      </c>
      <c r="C22" s="30">
        <f>'Budget Summary'!M6</f>
        <v>33515.626461538464</v>
      </c>
      <c r="D22" s="13"/>
      <c r="E22" s="13"/>
      <c r="F22" s="13"/>
      <c r="G22" s="13"/>
      <c r="H22" s="30">
        <f t="shared" si="0"/>
        <v>33515.626461538464</v>
      </c>
      <c r="K22" s="14"/>
    </row>
    <row r="23" spans="1:11" x14ac:dyDescent="0.25">
      <c r="A23" s="8" t="s">
        <v>153</v>
      </c>
      <c r="B23" s="8" t="s">
        <v>153</v>
      </c>
      <c r="C23" s="30">
        <v>0</v>
      </c>
      <c r="D23" s="13"/>
      <c r="E23" s="13"/>
      <c r="F23" s="13"/>
      <c r="G23" s="13"/>
      <c r="H23" s="30">
        <f t="shared" si="0"/>
        <v>0</v>
      </c>
      <c r="K23" s="14"/>
    </row>
    <row r="24" spans="1:11" x14ac:dyDescent="0.25">
      <c r="A24" s="8" t="s">
        <v>154</v>
      </c>
      <c r="B24" s="8" t="s">
        <v>154</v>
      </c>
      <c r="C24" s="30">
        <f>'Budget Summary'!M7</f>
        <v>10191.547500000001</v>
      </c>
      <c r="D24" s="13"/>
      <c r="E24" s="13"/>
      <c r="F24" s="13"/>
      <c r="G24" s="13"/>
      <c r="H24" s="30">
        <f t="shared" si="0"/>
        <v>10191.547500000001</v>
      </c>
      <c r="K24" s="14"/>
    </row>
    <row r="25" spans="1:11" x14ac:dyDescent="0.25">
      <c r="A25" s="8" t="s">
        <v>155</v>
      </c>
      <c r="B25" s="8" t="s">
        <v>155</v>
      </c>
      <c r="C25" s="30">
        <f>'Budget Summary'!M8</f>
        <v>473747.73076923081</v>
      </c>
      <c r="D25" s="13"/>
      <c r="E25" s="13"/>
      <c r="F25" s="13"/>
      <c r="G25" s="13"/>
      <c r="H25" s="30">
        <f t="shared" si="0"/>
        <v>473747.73076923081</v>
      </c>
      <c r="K25" s="14"/>
    </row>
    <row r="26" spans="1:11" x14ac:dyDescent="0.25">
      <c r="A26" s="8" t="s">
        <v>156</v>
      </c>
      <c r="B26" s="8" t="s">
        <v>156</v>
      </c>
      <c r="C26" s="30">
        <v>0</v>
      </c>
      <c r="D26" s="13"/>
      <c r="E26" s="13"/>
      <c r="F26" s="13"/>
      <c r="G26" s="13"/>
      <c r="H26" s="30">
        <f t="shared" si="0"/>
        <v>0</v>
      </c>
      <c r="K26" s="14"/>
    </row>
    <row r="27" spans="1:11" x14ac:dyDescent="0.25">
      <c r="A27" s="8" t="s">
        <v>157</v>
      </c>
      <c r="B27" s="8" t="s">
        <v>157</v>
      </c>
      <c r="C27" s="30">
        <f>'Budget Summary'!M9</f>
        <v>146792.02220000001</v>
      </c>
      <c r="D27" s="13"/>
      <c r="E27" s="13"/>
      <c r="F27" s="13"/>
      <c r="G27" s="13"/>
      <c r="H27" s="30">
        <f t="shared" si="0"/>
        <v>146792.02220000001</v>
      </c>
      <c r="K27" s="14"/>
    </row>
    <row r="28" spans="1:11" x14ac:dyDescent="0.25">
      <c r="A28" s="8" t="s">
        <v>158</v>
      </c>
      <c r="B28" s="8" t="s">
        <v>158</v>
      </c>
      <c r="C28" s="30">
        <f>SUM(C20:C27)</f>
        <v>918000.49439969519</v>
      </c>
      <c r="D28" s="13"/>
      <c r="E28" s="13"/>
      <c r="F28" s="13"/>
      <c r="G28" s="13"/>
      <c r="H28" s="30">
        <f t="shared" si="0"/>
        <v>918000.49439969519</v>
      </c>
      <c r="K28" s="14"/>
    </row>
    <row r="29" spans="1:11" x14ac:dyDescent="0.25">
      <c r="A29" s="8" t="s">
        <v>159</v>
      </c>
      <c r="B29" s="8" t="s">
        <v>159</v>
      </c>
      <c r="C29" s="30">
        <f>'Budget Summary'!M13</f>
        <v>164138.43475866551</v>
      </c>
      <c r="D29" s="13"/>
      <c r="E29" s="13"/>
      <c r="F29" s="13"/>
      <c r="G29" s="13"/>
      <c r="H29" s="30">
        <f t="shared" si="0"/>
        <v>164138.43475866551</v>
      </c>
      <c r="K29" s="14"/>
    </row>
    <row r="30" spans="1:11" x14ac:dyDescent="0.25">
      <c r="A30" s="8" t="s">
        <v>160</v>
      </c>
      <c r="B30" s="8" t="s">
        <v>160</v>
      </c>
      <c r="C30" s="30">
        <f>C28+C29</f>
        <v>1082138.9291583607</v>
      </c>
      <c r="D30" s="30">
        <f>D28+D29</f>
        <v>0</v>
      </c>
      <c r="E30" s="30">
        <f>E28+E29</f>
        <v>0</v>
      </c>
      <c r="F30" s="30">
        <f>F28+F29</f>
        <v>0</v>
      </c>
      <c r="G30" s="30">
        <f>G28+G29</f>
        <v>0</v>
      </c>
      <c r="H30" s="30">
        <f t="shared" si="0"/>
        <v>1082138.9291583607</v>
      </c>
      <c r="K30" s="14"/>
    </row>
    <row r="31" spans="1:11" x14ac:dyDescent="0.25">
      <c r="A31" s="23"/>
      <c r="B31" s="23"/>
      <c r="D31" s="24"/>
      <c r="E31" s="24"/>
      <c r="F31" s="24"/>
      <c r="G31" s="24"/>
      <c r="H31" s="24"/>
    </row>
    <row r="32" spans="1:11" x14ac:dyDescent="0.25">
      <c r="A32" s="25" t="s">
        <v>161</v>
      </c>
      <c r="B32" s="23" t="s">
        <v>162</v>
      </c>
      <c r="C32" s="30">
        <v>0</v>
      </c>
      <c r="D32" s="30">
        <v>0</v>
      </c>
      <c r="E32" s="30">
        <v>0</v>
      </c>
      <c r="F32" s="30">
        <v>0</v>
      </c>
      <c r="G32" s="30"/>
      <c r="H32" s="30">
        <v>0</v>
      </c>
    </row>
    <row r="34" spans="1:9" x14ac:dyDescent="0.25">
      <c r="A34" s="547" t="s">
        <v>163</v>
      </c>
      <c r="B34" s="547"/>
      <c r="C34" s="26"/>
      <c r="D34" s="26" t="s">
        <v>164</v>
      </c>
      <c r="E34" s="26"/>
      <c r="F34" s="27"/>
      <c r="G34" s="27" t="s">
        <v>165</v>
      </c>
      <c r="H34" s="27"/>
    </row>
    <row r="35" spans="1:9" x14ac:dyDescent="0.25">
      <c r="A35" s="548"/>
      <c r="B35" s="548"/>
      <c r="F35" s="3"/>
      <c r="G35" s="3"/>
      <c r="H35" s="3"/>
    </row>
    <row r="37" spans="1:9" ht="17.399999999999999" x14ac:dyDescent="0.3">
      <c r="A37" s="549" t="s">
        <v>166</v>
      </c>
      <c r="B37" s="549"/>
      <c r="C37" s="549"/>
      <c r="D37" s="549"/>
      <c r="E37" s="549"/>
      <c r="F37" s="549"/>
      <c r="G37" s="549"/>
      <c r="H37" s="549"/>
    </row>
    <row r="38" spans="1:9" ht="19.95" customHeight="1" x14ac:dyDescent="0.25">
      <c r="A38" s="544" t="s">
        <v>167</v>
      </c>
      <c r="B38" s="536"/>
      <c r="C38" s="536"/>
      <c r="D38" s="536"/>
      <c r="E38" s="536"/>
      <c r="F38" s="536"/>
      <c r="G38" s="536"/>
      <c r="H38" s="537"/>
    </row>
    <row r="39" spans="1:9" ht="15.9" customHeight="1" x14ac:dyDescent="0.25">
      <c r="A39" s="550" t="s">
        <v>168</v>
      </c>
      <c r="B39" s="551"/>
      <c r="C39" s="551"/>
      <c r="D39" s="552"/>
      <c r="E39" s="499" t="s">
        <v>169</v>
      </c>
      <c r="F39" s="500" t="s">
        <v>170</v>
      </c>
      <c r="G39" s="500" t="s">
        <v>171</v>
      </c>
      <c r="H39" s="501" t="s">
        <v>172</v>
      </c>
    </row>
    <row r="40" spans="1:9" ht="15.9" customHeight="1" x14ac:dyDescent="0.25">
      <c r="A40" s="23" t="s">
        <v>173</v>
      </c>
      <c r="B40" s="8" t="s">
        <v>138</v>
      </c>
      <c r="C40" s="28"/>
      <c r="D40" s="29"/>
      <c r="E40" s="30">
        <f>'Budget Summary'!L15</f>
        <v>162262.76911732552</v>
      </c>
      <c r="F40" s="30"/>
      <c r="G40" s="30"/>
      <c r="H40" s="30">
        <f>SUM(E40:G40)</f>
        <v>162262.76911732552</v>
      </c>
    </row>
    <row r="41" spans="1:9" ht="15.9" customHeight="1" x14ac:dyDescent="0.25">
      <c r="A41" s="8" t="s">
        <v>174</v>
      </c>
      <c r="B41" s="23"/>
      <c r="C41" s="10"/>
      <c r="D41" s="9"/>
      <c r="E41" s="30"/>
      <c r="F41" s="30"/>
      <c r="G41" s="30"/>
      <c r="H41" s="30">
        <f>SUM(E41:G41)</f>
        <v>0</v>
      </c>
    </row>
    <row r="42" spans="1:9" ht="15.9" customHeight="1" x14ac:dyDescent="0.25">
      <c r="A42" s="8" t="s">
        <v>175</v>
      </c>
      <c r="B42" s="23"/>
      <c r="C42" s="10"/>
      <c r="D42" s="9"/>
      <c r="E42" s="30"/>
      <c r="F42" s="30"/>
      <c r="G42" s="30"/>
      <c r="H42" s="30">
        <f>SUM(E42:G42)</f>
        <v>0</v>
      </c>
    </row>
    <row r="43" spans="1:9" ht="15.9" customHeight="1" x14ac:dyDescent="0.25">
      <c r="A43" s="8" t="s">
        <v>176</v>
      </c>
      <c r="B43" s="23"/>
      <c r="C43" s="10"/>
      <c r="D43" s="9"/>
      <c r="E43" s="30"/>
      <c r="F43" s="30"/>
      <c r="G43" s="30"/>
      <c r="H43" s="30">
        <f>SUM(E43:G43)</f>
        <v>0</v>
      </c>
    </row>
    <row r="44" spans="1:9" ht="15.9" customHeight="1" x14ac:dyDescent="0.25">
      <c r="A44" s="31" t="s">
        <v>177</v>
      </c>
      <c r="B44" s="8" t="s">
        <v>178</v>
      </c>
      <c r="C44" s="10"/>
      <c r="D44" s="9"/>
      <c r="E44" s="30">
        <f>SUM(E40:E43)</f>
        <v>162262.76911732552</v>
      </c>
      <c r="F44" s="30">
        <f>SUM(F40:F43)</f>
        <v>0</v>
      </c>
      <c r="G44" s="30">
        <f>SUM(G40:G43)</f>
        <v>0</v>
      </c>
      <c r="H44" s="30">
        <f>SUM(H40:H43)</f>
        <v>162262.76911732552</v>
      </c>
    </row>
    <row r="45" spans="1:9" ht="15.9" customHeight="1" x14ac:dyDescent="0.25">
      <c r="A45" s="544" t="s">
        <v>179</v>
      </c>
      <c r="B45" s="536"/>
      <c r="C45" s="536"/>
      <c r="D45" s="536"/>
      <c r="E45" s="536"/>
      <c r="F45" s="536"/>
      <c r="G45" s="536"/>
      <c r="H45" s="537"/>
    </row>
    <row r="46" spans="1:9" ht="15.9" customHeight="1" x14ac:dyDescent="0.25">
      <c r="A46" s="15"/>
      <c r="B46" s="15"/>
      <c r="C46" s="32"/>
      <c r="D46" s="33" t="s">
        <v>180</v>
      </c>
      <c r="E46" s="33" t="s">
        <v>181</v>
      </c>
      <c r="F46" s="33" t="s">
        <v>182</v>
      </c>
      <c r="G46" s="33" t="s">
        <v>183</v>
      </c>
      <c r="H46" s="33" t="s">
        <v>184</v>
      </c>
    </row>
    <row r="47" spans="1:9" ht="15.9" customHeight="1" x14ac:dyDescent="0.25">
      <c r="A47" s="31" t="s">
        <v>185</v>
      </c>
      <c r="B47" s="8" t="s">
        <v>128</v>
      </c>
      <c r="C47" s="10"/>
      <c r="D47" s="30">
        <f>'Budget Summary'!B15</f>
        <v>300804.64274283533</v>
      </c>
      <c r="E47" s="237">
        <f>(SUM('Budget Summary'!B4:B7,'Budget Summary'!B9)*20%+'Budget Summary'!B8*30%)*1.1788</f>
        <v>74930.204425490141</v>
      </c>
      <c r="F47" s="34">
        <f>(SUM('Budget Summary'!$B$4:$B$7,'Budget Summary'!$B$9)*25%+'Budget Summary'!$B$8*30%)*1.1788</f>
        <v>82585.798624170377</v>
      </c>
      <c r="G47" s="34">
        <f>(SUM('Budget Summary'!$B$4:$B$7,'Budget Summary'!$B$9)*25%+'Budget Summary'!$B$8*30%)*1.1788</f>
        <v>82585.798624170377</v>
      </c>
      <c r="H47" s="34">
        <f>(SUM('Budget Summary'!$B$4:$B$7,'Budget Summary'!$B$9)*30%+'Budget Summary'!$B$8*10%)*1.1788</f>
        <v>60702.84106900444</v>
      </c>
      <c r="I47" s="35"/>
    </row>
    <row r="48" spans="1:9" ht="15.9" customHeight="1" x14ac:dyDescent="0.25">
      <c r="A48" s="31" t="s">
        <v>186</v>
      </c>
      <c r="B48" s="8" t="s">
        <v>187</v>
      </c>
      <c r="C48" s="10"/>
      <c r="D48" s="30">
        <f>'Budget Summary'!C15</f>
        <v>45938.090863377576</v>
      </c>
      <c r="E48" s="237">
        <f>(SUM('Budget Summary'!C4:C7,'Budget Summary'!C9)*20%+'Budget Summary'!C8*30%)*1.1788</f>
        <v>13304.350480367821</v>
      </c>
      <c r="F48" s="34">
        <f>(SUM('Budget Summary'!$C$4:$C$7,'Budget Summary'!$C$9)*25%+'Budget Summary'!$C$8*30%)*1.1788</f>
        <v>13542.888869690545</v>
      </c>
      <c r="G48" s="34">
        <f>(SUM('Budget Summary'!$C$4:$C$7,'Budget Summary'!$C$9)*25%+'Budget Summary'!$C$8*30%)*1.1788</f>
        <v>13542.888869690545</v>
      </c>
      <c r="H48" s="34">
        <f>(SUM('Budget Summary'!$C$4:$C$7,'Budget Summary'!$C$9)*30%+'Budget Summary'!$C$8*10%)*1.1788</f>
        <v>5547.9626436286562</v>
      </c>
    </row>
    <row r="49" spans="1:9" ht="15.9" customHeight="1" x14ac:dyDescent="0.25">
      <c r="A49" s="31" t="s">
        <v>188</v>
      </c>
      <c r="B49" s="8" t="s">
        <v>189</v>
      </c>
      <c r="C49" s="10"/>
      <c r="D49" s="30">
        <f>SUM(D47:D48)</f>
        <v>346742.73360621289</v>
      </c>
      <c r="E49" s="30">
        <f>SUM(E47:E48)</f>
        <v>88234.554905857964</v>
      </c>
      <c r="F49" s="30">
        <f>SUM(F47:F48)</f>
        <v>96128.687493860925</v>
      </c>
      <c r="G49" s="30">
        <f>SUM(G47:G48)</f>
        <v>96128.687493860925</v>
      </c>
      <c r="H49" s="30">
        <f>SUM(H47:H48)</f>
        <v>66250.803712633089</v>
      </c>
    </row>
    <row r="50" spans="1:9" x14ac:dyDescent="0.25">
      <c r="A50" s="544" t="s">
        <v>190</v>
      </c>
      <c r="B50" s="536"/>
      <c r="C50" s="536"/>
      <c r="D50" s="536"/>
      <c r="E50" s="536"/>
      <c r="F50" s="536"/>
      <c r="G50" s="536"/>
      <c r="H50" s="537"/>
    </row>
    <row r="51" spans="1:9" x14ac:dyDescent="0.25">
      <c r="A51" s="538" t="s">
        <v>168</v>
      </c>
      <c r="B51" s="545"/>
      <c r="C51" s="545"/>
      <c r="D51" s="539"/>
      <c r="E51" s="16" t="s">
        <v>191</v>
      </c>
      <c r="F51" s="17"/>
      <c r="G51" s="17"/>
      <c r="H51" s="18"/>
    </row>
    <row r="52" spans="1:9" x14ac:dyDescent="0.25">
      <c r="A52" s="542"/>
      <c r="B52" s="546"/>
      <c r="C52" s="546"/>
      <c r="D52" s="543"/>
      <c r="E52" s="22" t="s">
        <v>192</v>
      </c>
      <c r="F52" s="22" t="s">
        <v>193</v>
      </c>
      <c r="G52" s="22" t="s">
        <v>194</v>
      </c>
      <c r="H52" s="22" t="s">
        <v>195</v>
      </c>
    </row>
    <row r="53" spans="1:9" x14ac:dyDescent="0.25">
      <c r="A53" s="23" t="s">
        <v>196</v>
      </c>
      <c r="B53" s="23" t="str">
        <f>B40</f>
        <v>Anti-Trafficking Program</v>
      </c>
      <c r="C53" s="28"/>
      <c r="D53" s="29"/>
      <c r="E53" s="30">
        <f>'Budget Summary'!B15</f>
        <v>300804.64274283533</v>
      </c>
      <c r="F53" s="30">
        <f>'Budget Summary'!E15</f>
        <v>299793.49581335252</v>
      </c>
      <c r="G53" s="30">
        <f>'Budget Summary'!H15</f>
        <v>319278.02148484736</v>
      </c>
      <c r="H53" s="30">
        <v>0</v>
      </c>
    </row>
    <row r="54" spans="1:9" x14ac:dyDescent="0.25">
      <c r="A54" s="8" t="s">
        <v>197</v>
      </c>
      <c r="B54" s="23"/>
      <c r="C54" s="10"/>
      <c r="D54" s="9"/>
      <c r="E54" s="30"/>
      <c r="F54" s="30"/>
      <c r="G54" s="30"/>
      <c r="H54" s="30"/>
    </row>
    <row r="55" spans="1:9" x14ac:dyDescent="0.25">
      <c r="A55" s="8" t="s">
        <v>198</v>
      </c>
      <c r="B55" s="23"/>
      <c r="C55" s="10"/>
      <c r="D55" s="9"/>
      <c r="E55" s="30"/>
      <c r="F55" s="30"/>
      <c r="G55" s="30"/>
      <c r="H55" s="30"/>
    </row>
    <row r="56" spans="1:9" x14ac:dyDescent="0.25">
      <c r="A56" s="8" t="s">
        <v>199</v>
      </c>
      <c r="B56" s="23"/>
      <c r="C56" s="10"/>
      <c r="D56" s="9"/>
      <c r="E56" s="30"/>
      <c r="F56" s="30"/>
      <c r="G56" s="30"/>
      <c r="H56" s="30"/>
    </row>
    <row r="57" spans="1:9" x14ac:dyDescent="0.25">
      <c r="A57" s="31" t="s">
        <v>200</v>
      </c>
      <c r="B57" s="8" t="s">
        <v>201</v>
      </c>
      <c r="C57" s="10"/>
      <c r="D57" s="9"/>
      <c r="E57" s="30">
        <f>SUM(E53:E56)</f>
        <v>300804.64274283533</v>
      </c>
      <c r="F57" s="30">
        <f>SUM(F53:F56)</f>
        <v>299793.49581335252</v>
      </c>
      <c r="G57" s="30">
        <f>SUM(G53:G56)</f>
        <v>319278.02148484736</v>
      </c>
      <c r="H57" s="30">
        <f>SUM(H53:H56)</f>
        <v>0</v>
      </c>
    </row>
    <row r="58" spans="1:9" x14ac:dyDescent="0.25">
      <c r="A58" s="544" t="s">
        <v>202</v>
      </c>
      <c r="B58" s="536"/>
      <c r="C58" s="536"/>
      <c r="D58" s="536"/>
      <c r="E58" s="536"/>
      <c r="F58" s="536"/>
      <c r="G58" s="536"/>
      <c r="H58" s="537"/>
    </row>
    <row r="59" spans="1:9" x14ac:dyDescent="0.25">
      <c r="A59" s="15">
        <v>21</v>
      </c>
      <c r="B59" s="15" t="s">
        <v>203</v>
      </c>
      <c r="C59" s="30"/>
      <c r="D59" s="36"/>
      <c r="E59" s="15" t="s">
        <v>204</v>
      </c>
      <c r="F59" s="32"/>
      <c r="G59" s="30" t="s">
        <v>205</v>
      </c>
      <c r="H59" s="36"/>
    </row>
    <row r="60" spans="1:9" x14ac:dyDescent="0.25">
      <c r="A60" s="23">
        <v>23</v>
      </c>
      <c r="B60" s="23" t="s">
        <v>206</v>
      </c>
      <c r="C60" s="28"/>
      <c r="D60" s="37"/>
      <c r="E60" s="38"/>
      <c r="F60" s="39"/>
      <c r="G60" s="28"/>
      <c r="H60" s="40"/>
    </row>
    <row r="62" spans="1:9" x14ac:dyDescent="0.25">
      <c r="A62" s="26"/>
      <c r="B62" s="26"/>
      <c r="C62" s="26"/>
      <c r="D62" s="26" t="s">
        <v>164</v>
      </c>
      <c r="E62" s="26"/>
      <c r="F62" s="26"/>
      <c r="G62" s="27" t="s">
        <v>207</v>
      </c>
      <c r="H62" s="27"/>
    </row>
    <row r="63" spans="1:9" x14ac:dyDescent="0.25">
      <c r="I63" s="14"/>
    </row>
    <row r="64" spans="1:9" x14ac:dyDescent="0.25">
      <c r="H64" s="14"/>
    </row>
  </sheetData>
  <mergeCells count="16">
    <mergeCell ref="A50:H50"/>
    <mergeCell ref="A51:D51"/>
    <mergeCell ref="A52:D52"/>
    <mergeCell ref="A58:H58"/>
    <mergeCell ref="A34:B34"/>
    <mergeCell ref="A35:B35"/>
    <mergeCell ref="A37:H37"/>
    <mergeCell ref="A38:H38"/>
    <mergeCell ref="A39:D39"/>
    <mergeCell ref="A45:H45"/>
    <mergeCell ref="A17:H17"/>
    <mergeCell ref="A6:H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"/>
  <sheetViews>
    <sheetView zoomScaleNormal="100" zoomScaleSheetLayoutView="100" workbookViewId="0">
      <selection sqref="A1:P17"/>
    </sheetView>
  </sheetViews>
  <sheetFormatPr defaultColWidth="9.109375" defaultRowHeight="13.8" x14ac:dyDescent="0.3"/>
  <cols>
    <col min="1" max="1" width="20.5546875" style="299" customWidth="1"/>
    <col min="2" max="2" width="10" style="299" customWidth="1"/>
    <col min="3" max="3" width="11" style="299" customWidth="1"/>
    <col min="4" max="4" width="10.109375" style="299" customWidth="1"/>
    <col min="5" max="5" width="9.88671875" style="299" customWidth="1"/>
    <col min="6" max="6" width="11.44140625" style="299" customWidth="1"/>
    <col min="7" max="7" width="10" style="299" customWidth="1"/>
    <col min="8" max="8" width="9.44140625" style="299" customWidth="1"/>
    <col min="9" max="9" width="10.88671875" style="299" customWidth="1"/>
    <col min="10" max="11" width="9.6640625" style="299" customWidth="1"/>
    <col min="12" max="12" width="11.109375" style="299" customWidth="1"/>
    <col min="13" max="13" width="10.109375" style="299" customWidth="1"/>
    <col min="14" max="16384" width="9.109375" style="299"/>
  </cols>
  <sheetData>
    <row r="1" spans="1:14" ht="14.4" thickBot="1" x14ac:dyDescent="0.35">
      <c r="A1" s="556" t="s">
        <v>208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8"/>
    </row>
    <row r="2" spans="1:14" s="301" customFormat="1" x14ac:dyDescent="0.3">
      <c r="A2" s="300" t="s">
        <v>209</v>
      </c>
      <c r="B2" s="553">
        <v>2024</v>
      </c>
      <c r="C2" s="554"/>
      <c r="D2" s="555"/>
      <c r="E2" s="553">
        <v>2025</v>
      </c>
      <c r="F2" s="554"/>
      <c r="G2" s="555"/>
      <c r="H2" s="553">
        <v>2026</v>
      </c>
      <c r="I2" s="554"/>
      <c r="J2" s="555"/>
      <c r="K2" s="553" t="s">
        <v>130</v>
      </c>
      <c r="L2" s="554"/>
      <c r="M2" s="555"/>
    </row>
    <row r="3" spans="1:14" s="301" customFormat="1" ht="30.75" customHeight="1" x14ac:dyDescent="0.3">
      <c r="A3" s="302"/>
      <c r="B3" s="303" t="s">
        <v>210</v>
      </c>
      <c r="C3" s="304" t="s">
        <v>211</v>
      </c>
      <c r="D3" s="305" t="s">
        <v>130</v>
      </c>
      <c r="E3" s="303" t="s">
        <v>210</v>
      </c>
      <c r="F3" s="304" t="s">
        <v>211</v>
      </c>
      <c r="G3" s="305" t="s">
        <v>130</v>
      </c>
      <c r="H3" s="303" t="s">
        <v>210</v>
      </c>
      <c r="I3" s="304" t="s">
        <v>211</v>
      </c>
      <c r="J3" s="305" t="s">
        <v>130</v>
      </c>
      <c r="K3" s="303" t="s">
        <v>210</v>
      </c>
      <c r="L3" s="304" t="s">
        <v>211</v>
      </c>
      <c r="M3" s="305" t="s">
        <v>130</v>
      </c>
    </row>
    <row r="4" spans="1:14" x14ac:dyDescent="0.3">
      <c r="A4" s="306" t="s">
        <v>212</v>
      </c>
      <c r="B4" s="307">
        <f>'Line Item Budget'!I14</f>
        <v>63840.543943615383</v>
      </c>
      <c r="C4" s="308">
        <f>'Line Item Budget'!J14</f>
        <v>2812.8899999999994</v>
      </c>
      <c r="D4" s="309">
        <f t="shared" ref="D4:D9" si="0">B4+C4</f>
        <v>66653.433943615382</v>
      </c>
      <c r="E4" s="307">
        <f>'Line Item Budget'!O14</f>
        <v>68827.706985796161</v>
      </c>
      <c r="F4" s="308">
        <f>'Line Item Budget'!P14</f>
        <v>4544.1446645999986</v>
      </c>
      <c r="G4" s="309">
        <f t="shared" ref="G4:G9" si="1">E4+F4</f>
        <v>73371.851650396158</v>
      </c>
      <c r="H4" s="307">
        <f>'Line Item Budget'!U14</f>
        <v>71022.899002836013</v>
      </c>
      <c r="I4" s="308">
        <f>'Line Item Budget'!V14</f>
        <v>5139.3123295999494</v>
      </c>
      <c r="J4" s="309">
        <f t="shared" ref="J4:J9" si="2">H4+I4</f>
        <v>76162.211332435967</v>
      </c>
      <c r="K4" s="310">
        <f>'Line Item Budget'!W14</f>
        <v>203691.14993224759</v>
      </c>
      <c r="L4" s="308">
        <f>'Line Item Budget'!X14</f>
        <v>12496.346994199948</v>
      </c>
      <c r="M4" s="309">
        <f t="shared" ref="M4:M9" si="3">K4+L4</f>
        <v>216187.49692644752</v>
      </c>
      <c r="N4" s="311"/>
    </row>
    <row r="5" spans="1:14" x14ac:dyDescent="0.3">
      <c r="A5" s="306" t="s">
        <v>213</v>
      </c>
      <c r="B5" s="307">
        <f>'Line Item Budget'!I28</f>
        <v>10051.178022758437</v>
      </c>
      <c r="C5" s="308">
        <f>'Line Item Budget'!J28</f>
        <v>774.25675962963805</v>
      </c>
      <c r="D5" s="309">
        <f t="shared" si="0"/>
        <v>10825.434782388074</v>
      </c>
      <c r="E5" s="307">
        <f>'Line Item Budget'!O28</f>
        <v>11920.401220104914</v>
      </c>
      <c r="F5" s="308">
        <f>'Line Item Budget'!P28</f>
        <v>1233.2848814025663</v>
      </c>
      <c r="G5" s="309">
        <f t="shared" si="1"/>
        <v>13153.686101507479</v>
      </c>
      <c r="H5" s="307">
        <f>'Line Item Budget'!U28</f>
        <v>12204.8727812876</v>
      </c>
      <c r="I5" s="308">
        <f>'Line Item Budget'!V28</f>
        <v>1382.0768772952547</v>
      </c>
      <c r="J5" s="309">
        <f t="shared" si="2"/>
        <v>13586.949658582855</v>
      </c>
      <c r="K5" s="307">
        <f>'Line Item Budget'!W28</f>
        <v>34176.452024150953</v>
      </c>
      <c r="L5" s="308">
        <f>'Line Item Budget'!X28</f>
        <v>3389.6185183274592</v>
      </c>
      <c r="M5" s="309">
        <f t="shared" si="3"/>
        <v>37566.07054247841</v>
      </c>
      <c r="N5" s="311"/>
    </row>
    <row r="6" spans="1:14" x14ac:dyDescent="0.3">
      <c r="A6" s="306" t="s">
        <v>214</v>
      </c>
      <c r="B6" s="307">
        <f>'Line Item Budget'!I35</f>
        <v>9269.6936307692304</v>
      </c>
      <c r="C6" s="308">
        <f>'Line Item Budget'!J35</f>
        <v>82.352523076922807</v>
      </c>
      <c r="D6" s="309">
        <f t="shared" si="0"/>
        <v>9352.0461538461532</v>
      </c>
      <c r="E6" s="307">
        <f>'Line Item Budget'!O35</f>
        <v>11531.116904483079</v>
      </c>
      <c r="F6" s="308">
        <f>'Line Item Budget'!P35</f>
        <v>394.95017243999928</v>
      </c>
      <c r="G6" s="309">
        <f t="shared" si="1"/>
        <v>11926.067076923078</v>
      </c>
      <c r="H6" s="307">
        <f>'Line Item Budget'!U35</f>
        <v>11600.199778471462</v>
      </c>
      <c r="I6" s="308">
        <f>'Line Item Budget'!V35</f>
        <v>637.3134522977673</v>
      </c>
      <c r="J6" s="309">
        <f t="shared" si="2"/>
        <v>12237.513230769229</v>
      </c>
      <c r="K6" s="307">
        <f>'Line Item Budget'!W35</f>
        <v>32401.010313723775</v>
      </c>
      <c r="L6" s="308">
        <f>'Line Item Budget'!X35</f>
        <v>1114.6161478146894</v>
      </c>
      <c r="M6" s="309">
        <f t="shared" si="3"/>
        <v>33515.626461538464</v>
      </c>
      <c r="N6" s="311"/>
    </row>
    <row r="7" spans="1:14" x14ac:dyDescent="0.3">
      <c r="A7" s="306" t="s">
        <v>215</v>
      </c>
      <c r="B7" s="307">
        <f>'Line Item Budget'!I39</f>
        <v>3092.3261538461538</v>
      </c>
      <c r="C7" s="308">
        <f>'Line Item Budget'!J39</f>
        <v>140.51999999999998</v>
      </c>
      <c r="D7" s="309">
        <f t="shared" si="0"/>
        <v>3232.8461538461538</v>
      </c>
      <c r="E7" s="307">
        <f>'Line Item Budget'!O39</f>
        <v>3246.9424615384614</v>
      </c>
      <c r="F7" s="308">
        <f>'Line Item Budget'!P39</f>
        <v>147.54600000000028</v>
      </c>
      <c r="G7" s="309">
        <f t="shared" si="1"/>
        <v>3394.4884615384617</v>
      </c>
      <c r="H7" s="307">
        <f>'Line Item Budget'!U39</f>
        <v>3409.2895846153847</v>
      </c>
      <c r="I7" s="308">
        <f>'Line Item Budget'!V39</f>
        <v>154.92330000000038</v>
      </c>
      <c r="J7" s="309">
        <f t="shared" si="2"/>
        <v>3564.2128846153851</v>
      </c>
      <c r="K7" s="307">
        <f>'Line Item Budget'!W39</f>
        <v>9748.5581999999995</v>
      </c>
      <c r="L7" s="308">
        <f>'Line Item Budget'!X39</f>
        <v>442.98930000000064</v>
      </c>
      <c r="M7" s="309">
        <f t="shared" si="3"/>
        <v>10191.547500000001</v>
      </c>
      <c r="N7" s="311"/>
    </row>
    <row r="8" spans="1:14" x14ac:dyDescent="0.3">
      <c r="A8" s="306" t="s">
        <v>216</v>
      </c>
      <c r="B8" s="307">
        <f>'Line Item Budget'!I43</f>
        <v>125290.76923076923</v>
      </c>
      <c r="C8" s="308">
        <f>'Line Item Budget'!J43</f>
        <v>34923.076923076922</v>
      </c>
      <c r="D8" s="309">
        <f t="shared" si="0"/>
        <v>160213.84615384616</v>
      </c>
      <c r="E8" s="307">
        <f>'Line Item Budget'!O43</f>
        <v>113707.3076923077</v>
      </c>
      <c r="F8" s="308">
        <f>'Line Item Budget'!P43</f>
        <v>46246.153846153844</v>
      </c>
      <c r="G8" s="309">
        <f t="shared" si="1"/>
        <v>159953.46153846156</v>
      </c>
      <c r="H8" s="307">
        <f>'Line Item Budget'!U43</f>
        <v>116576</v>
      </c>
      <c r="I8" s="308">
        <f>'Line Item Budget'!V43</f>
        <v>37004.423076923078</v>
      </c>
      <c r="J8" s="309">
        <f t="shared" si="2"/>
        <v>153580.42307692306</v>
      </c>
      <c r="K8" s="307">
        <f>'Line Item Budget'!W43</f>
        <v>355574.07692307694</v>
      </c>
      <c r="L8" s="308">
        <f>'Line Item Budget'!X43</f>
        <v>118173.65384615386</v>
      </c>
      <c r="M8" s="309">
        <f t="shared" si="3"/>
        <v>473747.73076923081</v>
      </c>
      <c r="N8" s="311"/>
    </row>
    <row r="9" spans="1:14" x14ac:dyDescent="0.3">
      <c r="A9" s="306" t="s">
        <v>217</v>
      </c>
      <c r="B9" s="307">
        <f>'Line Item Budget'!I54</f>
        <v>43634.18153846154</v>
      </c>
      <c r="C9" s="308">
        <f>'Line Item Budget'!J54</f>
        <v>237.11999999999989</v>
      </c>
      <c r="D9" s="309">
        <f t="shared" si="0"/>
        <v>43871.301538461543</v>
      </c>
      <c r="E9" s="307">
        <f>'Line Item Budget'!O54</f>
        <v>45087.440763384613</v>
      </c>
      <c r="F9" s="308">
        <f>'Line Item Budget'!P54</f>
        <v>725.83345200000053</v>
      </c>
      <c r="G9" s="309">
        <f t="shared" si="1"/>
        <v>45813.274215384612</v>
      </c>
      <c r="H9" s="307">
        <f>'Line Item Budget'!U54</f>
        <v>56036.774045228762</v>
      </c>
      <c r="I9" s="308">
        <f>'Line Item Budget'!V54</f>
        <v>1070.3724009250809</v>
      </c>
      <c r="J9" s="309">
        <f t="shared" si="2"/>
        <v>57107.146446153842</v>
      </c>
      <c r="K9" s="307">
        <f>'Line Item Budget'!W54</f>
        <v>144758.39634707491</v>
      </c>
      <c r="L9" s="308">
        <f>'Line Item Budget'!X54</f>
        <v>2033.6258529250813</v>
      </c>
      <c r="M9" s="309">
        <f t="shared" si="3"/>
        <v>146792.02220000001</v>
      </c>
      <c r="N9" s="311"/>
    </row>
    <row r="10" spans="1:14" x14ac:dyDescent="0.3">
      <c r="A10" s="306"/>
      <c r="B10" s="307"/>
      <c r="C10" s="308"/>
      <c r="D10" s="309"/>
      <c r="E10" s="307"/>
      <c r="F10" s="308"/>
      <c r="G10" s="309"/>
      <c r="H10" s="307"/>
      <c r="I10" s="308"/>
      <c r="J10" s="309"/>
      <c r="K10" s="307"/>
      <c r="L10" s="308"/>
      <c r="M10" s="309"/>
      <c r="N10" s="311"/>
    </row>
    <row r="11" spans="1:14" x14ac:dyDescent="0.3">
      <c r="A11" s="306" t="s">
        <v>218</v>
      </c>
      <c r="B11" s="307">
        <f>SUM(B4:B10)</f>
        <v>255178.69252021998</v>
      </c>
      <c r="C11" s="308">
        <f>SUM(C4:C10)</f>
        <v>38970.216205783487</v>
      </c>
      <c r="D11" s="309">
        <f>B11+C11</f>
        <v>294148.90872600349</v>
      </c>
      <c r="E11" s="307">
        <f>SUM(E4:E10)</f>
        <v>254320.91602761496</v>
      </c>
      <c r="F11" s="308">
        <f>SUM(F4:F10)</f>
        <v>53291.913016596409</v>
      </c>
      <c r="G11" s="309">
        <f>E11+F11</f>
        <v>307612.82904421136</v>
      </c>
      <c r="H11" s="307">
        <f>SUM(H4:H10)</f>
        <v>270850.03519243922</v>
      </c>
      <c r="I11" s="308">
        <f>SUM(I4:I10)</f>
        <v>45388.421437041128</v>
      </c>
      <c r="J11" s="309">
        <f>H11+I11</f>
        <v>316238.45662948035</v>
      </c>
      <c r="K11" s="307">
        <f>SUM(K4:K10)</f>
        <v>780349.64374027413</v>
      </c>
      <c r="L11" s="308">
        <f>SUM(L4:L10)</f>
        <v>137650.85065942103</v>
      </c>
      <c r="M11" s="309">
        <f>K11+L11</f>
        <v>918000.49439969519</v>
      </c>
      <c r="N11" s="311"/>
    </row>
    <row r="12" spans="1:14" x14ac:dyDescent="0.3">
      <c r="A12" s="306"/>
      <c r="B12" s="307"/>
      <c r="C12" s="308"/>
      <c r="D12" s="309"/>
      <c r="E12" s="307"/>
      <c r="F12" s="308"/>
      <c r="G12" s="309"/>
      <c r="H12" s="307"/>
      <c r="I12" s="308"/>
      <c r="J12" s="309"/>
      <c r="K12" s="307"/>
      <c r="L12" s="308"/>
      <c r="M12" s="309"/>
      <c r="N12" s="311"/>
    </row>
    <row r="13" spans="1:14" x14ac:dyDescent="0.3">
      <c r="A13" s="306" t="s">
        <v>219</v>
      </c>
      <c r="B13" s="307">
        <f>'Line Item Budget'!I58</f>
        <v>45625.950222615327</v>
      </c>
      <c r="C13" s="308">
        <f>'Line Item Budget'!J58</f>
        <v>6967.8746575940868</v>
      </c>
      <c r="D13" s="309">
        <f>B13+C13</f>
        <v>52593.824880209417</v>
      </c>
      <c r="E13" s="307">
        <f>'Line Item Budget'!O58</f>
        <v>45472.579785737551</v>
      </c>
      <c r="F13" s="308">
        <f>'Line Item Budget'!P58</f>
        <v>9528.5940473674382</v>
      </c>
      <c r="G13" s="309">
        <f>E13+F13</f>
        <v>55001.173833104986</v>
      </c>
      <c r="H13" s="307">
        <f>'Line Item Budget'!U58</f>
        <v>48427.986292408124</v>
      </c>
      <c r="I13" s="308">
        <f>'Line Item Budget'!V58</f>
        <v>8115.4497529429536</v>
      </c>
      <c r="J13" s="309">
        <f>H13+I13</f>
        <v>56543.436045351074</v>
      </c>
      <c r="K13" s="307">
        <f>'Line Item Budget'!W58</f>
        <v>139526.51630076102</v>
      </c>
      <c r="L13" s="308">
        <f>'Line Item Budget'!X58</f>
        <v>24611.918457904478</v>
      </c>
      <c r="M13" s="309">
        <f>K13+L13</f>
        <v>164138.43475866551</v>
      </c>
      <c r="N13" s="311"/>
    </row>
    <row r="14" spans="1:14" x14ac:dyDescent="0.3">
      <c r="A14" s="306"/>
      <c r="B14" s="307"/>
      <c r="C14" s="308"/>
      <c r="D14" s="309"/>
      <c r="E14" s="307"/>
      <c r="F14" s="308"/>
      <c r="G14" s="309"/>
      <c r="H14" s="307"/>
      <c r="I14" s="308"/>
      <c r="J14" s="309"/>
      <c r="K14" s="307"/>
      <c r="L14" s="308"/>
      <c r="M14" s="309"/>
      <c r="N14" s="311"/>
    </row>
    <row r="15" spans="1:14" s="301" customFormat="1" ht="14.4" thickBot="1" x14ac:dyDescent="0.35">
      <c r="A15" s="312" t="s">
        <v>220</v>
      </c>
      <c r="B15" s="313">
        <f>B11+B13</f>
        <v>300804.64274283533</v>
      </c>
      <c r="C15" s="314">
        <f t="shared" ref="C15:M15" si="4">C11+C13</f>
        <v>45938.090863377576</v>
      </c>
      <c r="D15" s="315">
        <f t="shared" si="4"/>
        <v>346742.73360621289</v>
      </c>
      <c r="E15" s="313">
        <f t="shared" si="4"/>
        <v>299793.49581335252</v>
      </c>
      <c r="F15" s="314">
        <f t="shared" si="4"/>
        <v>62820.507063963843</v>
      </c>
      <c r="G15" s="315">
        <f t="shared" si="4"/>
        <v>362614.00287731632</v>
      </c>
      <c r="H15" s="313">
        <f t="shared" si="4"/>
        <v>319278.02148484736</v>
      </c>
      <c r="I15" s="314">
        <f t="shared" si="4"/>
        <v>53503.871189984086</v>
      </c>
      <c r="J15" s="315">
        <f t="shared" si="4"/>
        <v>372781.89267483144</v>
      </c>
      <c r="K15" s="313">
        <f t="shared" si="4"/>
        <v>919876.16004103515</v>
      </c>
      <c r="L15" s="314">
        <f t="shared" si="4"/>
        <v>162262.76911732552</v>
      </c>
      <c r="M15" s="315">
        <f t="shared" si="4"/>
        <v>1082138.9291583607</v>
      </c>
      <c r="N15" s="311"/>
    </row>
    <row r="17" spans="1:13" ht="15.6" x14ac:dyDescent="0.3">
      <c r="A17" s="316"/>
      <c r="B17" s="504" t="s">
        <v>221</v>
      </c>
      <c r="C17" s="317"/>
      <c r="D17" s="317"/>
      <c r="E17" s="316"/>
      <c r="F17" s="316"/>
      <c r="G17" s="316"/>
      <c r="L17" s="311"/>
    </row>
    <row r="18" spans="1:13" x14ac:dyDescent="0.3">
      <c r="A18" s="318"/>
      <c r="B18" s="318"/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8"/>
    </row>
  </sheetData>
  <mergeCells count="5">
    <mergeCell ref="K2:M2"/>
    <mergeCell ref="A1:M1"/>
    <mergeCell ref="B2:D2"/>
    <mergeCell ref="E2:G2"/>
    <mergeCell ref="H2:J2"/>
  </mergeCells>
  <phoneticPr fontId="2" type="noConversion"/>
  <printOptions horizontalCentered="1"/>
  <pageMargins left="0.75" right="0.75" top="1" bottom="1" header="0.5" footer="0.5"/>
  <pageSetup scale="6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94"/>
  <sheetViews>
    <sheetView tabSelected="1" topLeftCell="B1" zoomScale="90" zoomScaleNormal="90" zoomScaleSheetLayoutView="100" workbookViewId="0">
      <pane ySplit="2" topLeftCell="A3" activePane="bottomLeft" state="frozen"/>
      <selection activeCell="B1" sqref="B1"/>
      <selection pane="bottomLeft" activeCell="L2" sqref="L2"/>
    </sheetView>
  </sheetViews>
  <sheetFormatPr defaultColWidth="9.109375" defaultRowHeight="12" x14ac:dyDescent="0.25"/>
  <cols>
    <col min="1" max="1" width="9.33203125" style="74" hidden="1" customWidth="1"/>
    <col min="2" max="2" width="38.44140625" style="121" customWidth="1"/>
    <col min="3" max="3" width="6.44140625" style="74" bestFit="1" customWidth="1"/>
    <col min="4" max="4" width="10.44140625" style="74" bestFit="1" customWidth="1"/>
    <col min="5" max="5" width="6" style="85" bestFit="1" customWidth="1"/>
    <col min="6" max="6" width="7.5546875" style="86" bestFit="1" customWidth="1"/>
    <col min="7" max="7" width="12.6640625" style="85" bestFit="1" customWidth="1"/>
    <col min="8" max="8" width="12" style="74" customWidth="1"/>
    <col min="9" max="9" width="12" style="74" bestFit="1" customWidth="1"/>
    <col min="10" max="10" width="10.5546875" style="74" bestFit="1" customWidth="1"/>
    <col min="11" max="12" width="5.33203125" style="74" customWidth="1"/>
    <col min="13" max="13" width="12" style="85" bestFit="1" customWidth="1"/>
    <col min="14" max="14" width="12.109375" style="74" customWidth="1"/>
    <col min="15" max="15" width="12" style="74" bestFit="1" customWidth="1"/>
    <col min="16" max="16" width="13.44140625" style="74" bestFit="1" customWidth="1"/>
    <col min="17" max="18" width="5.33203125" style="74" customWidth="1"/>
    <col min="19" max="19" width="12" style="85" bestFit="1" customWidth="1"/>
    <col min="20" max="21" width="12" style="74" bestFit="1" customWidth="1"/>
    <col min="22" max="22" width="13.44140625" style="74" bestFit="1" customWidth="1"/>
    <col min="23" max="23" width="12" style="74" bestFit="1" customWidth="1"/>
    <col min="24" max="24" width="13.44140625" style="74" bestFit="1" customWidth="1"/>
    <col min="25" max="25" width="14.5546875" style="74" bestFit="1" customWidth="1"/>
    <col min="26" max="27" width="9.5546875" style="74" hidden="1" customWidth="1"/>
    <col min="28" max="28" width="14.33203125" style="74" hidden="1" customWidth="1"/>
    <col min="29" max="16384" width="9.109375" style="74"/>
  </cols>
  <sheetData>
    <row r="1" spans="1:32" ht="21" customHeight="1" x14ac:dyDescent="0.35">
      <c r="A1" s="319">
        <f>'Budget Summary'!B2</f>
        <v>2024</v>
      </c>
      <c r="B1" s="384" t="s">
        <v>222</v>
      </c>
      <c r="C1" s="562">
        <v>2024</v>
      </c>
      <c r="D1" s="563"/>
      <c r="E1" s="563"/>
      <c r="F1" s="563"/>
      <c r="G1" s="563"/>
      <c r="H1" s="563"/>
      <c r="I1" s="563"/>
      <c r="J1" s="564"/>
      <c r="K1" s="559">
        <v>2025</v>
      </c>
      <c r="L1" s="560"/>
      <c r="M1" s="560"/>
      <c r="N1" s="560"/>
      <c r="O1" s="560"/>
      <c r="P1" s="561"/>
      <c r="Q1" s="559">
        <v>2026</v>
      </c>
      <c r="R1" s="560"/>
      <c r="S1" s="560"/>
      <c r="T1" s="560"/>
      <c r="U1" s="560"/>
      <c r="V1" s="561"/>
      <c r="W1" s="559" t="s">
        <v>223</v>
      </c>
      <c r="X1" s="560"/>
      <c r="Y1" s="561"/>
      <c r="Z1" s="320"/>
      <c r="AA1" s="321"/>
      <c r="AB1" s="321"/>
    </row>
    <row r="2" spans="1:32" s="75" customFormat="1" ht="32.25" customHeight="1" x14ac:dyDescent="0.25">
      <c r="A2" s="322" t="s">
        <v>224</v>
      </c>
      <c r="B2" s="385" t="s">
        <v>225</v>
      </c>
      <c r="C2" s="386" t="s">
        <v>226</v>
      </c>
      <c r="D2" s="386" t="s">
        <v>227</v>
      </c>
      <c r="E2" s="386" t="s">
        <v>228</v>
      </c>
      <c r="F2" s="387" t="s">
        <v>229</v>
      </c>
      <c r="G2" s="386" t="s">
        <v>230</v>
      </c>
      <c r="H2" s="386" t="s">
        <v>130</v>
      </c>
      <c r="I2" s="386" t="s">
        <v>231</v>
      </c>
      <c r="J2" s="388" t="s">
        <v>211</v>
      </c>
      <c r="K2" s="385" t="s">
        <v>226</v>
      </c>
      <c r="L2" s="386" t="s">
        <v>232</v>
      </c>
      <c r="M2" s="386" t="s">
        <v>230</v>
      </c>
      <c r="N2" s="386" t="s">
        <v>130</v>
      </c>
      <c r="O2" s="386" t="s">
        <v>231</v>
      </c>
      <c r="P2" s="388" t="s">
        <v>211</v>
      </c>
      <c r="Q2" s="385" t="s">
        <v>226</v>
      </c>
      <c r="R2" s="386" t="s">
        <v>232</v>
      </c>
      <c r="S2" s="386" t="s">
        <v>230</v>
      </c>
      <c r="T2" s="386" t="s">
        <v>130</v>
      </c>
      <c r="U2" s="386" t="s">
        <v>231</v>
      </c>
      <c r="V2" s="388" t="s">
        <v>211</v>
      </c>
      <c r="W2" s="385" t="s">
        <v>231</v>
      </c>
      <c r="X2" s="386" t="s">
        <v>211</v>
      </c>
      <c r="Y2" s="388" t="s">
        <v>233</v>
      </c>
      <c r="Z2" s="324"/>
      <c r="AA2" s="323"/>
      <c r="AB2" s="323"/>
    </row>
    <row r="3" spans="1:32" s="77" customFormat="1" ht="18" x14ac:dyDescent="0.35">
      <c r="A3" s="325" t="s">
        <v>234</v>
      </c>
      <c r="B3" s="389" t="s">
        <v>212</v>
      </c>
      <c r="C3" s="390"/>
      <c r="D3" s="391"/>
      <c r="E3" s="392"/>
      <c r="F3" s="393"/>
      <c r="G3" s="392">
        <v>65</v>
      </c>
      <c r="H3" s="394"/>
      <c r="I3" s="395">
        <v>0.85</v>
      </c>
      <c r="J3" s="396">
        <f>(100%-I3)</f>
        <v>0.15000000000000002</v>
      </c>
      <c r="K3" s="397"/>
      <c r="L3" s="398"/>
      <c r="M3" s="392">
        <v>1.3690899999999999</v>
      </c>
      <c r="N3" s="394"/>
      <c r="O3" s="394">
        <v>1.2999000000000001</v>
      </c>
      <c r="P3" s="396">
        <f>(100%-O3)</f>
        <v>-0.29990000000000006</v>
      </c>
      <c r="Q3" s="397"/>
      <c r="R3" s="398"/>
      <c r="S3" s="392">
        <v>1.3690899999999999</v>
      </c>
      <c r="T3" s="394"/>
      <c r="U3" s="394">
        <v>-4.5710000000000001E-2</v>
      </c>
      <c r="V3" s="396">
        <f>(100%-U3)</f>
        <v>1.0457099999999999</v>
      </c>
      <c r="W3" s="399"/>
      <c r="X3" s="395"/>
      <c r="Y3" s="400"/>
      <c r="Z3" s="327"/>
      <c r="AA3" s="326"/>
      <c r="AB3" s="326"/>
    </row>
    <row r="4" spans="1:32" ht="18" x14ac:dyDescent="0.35">
      <c r="A4" s="328"/>
      <c r="B4" s="401" t="s">
        <v>235</v>
      </c>
      <c r="C4" s="402"/>
      <c r="D4" s="402"/>
      <c r="E4" s="403"/>
      <c r="F4" s="404"/>
      <c r="G4" s="403"/>
      <c r="H4" s="403"/>
      <c r="I4" s="405"/>
      <c r="J4" s="406"/>
      <c r="K4" s="407"/>
      <c r="L4" s="402"/>
      <c r="M4" s="403"/>
      <c r="N4" s="403"/>
      <c r="O4" s="405"/>
      <c r="P4" s="408"/>
      <c r="Q4" s="407"/>
      <c r="R4" s="402"/>
      <c r="S4" s="403"/>
      <c r="T4" s="403"/>
      <c r="U4" s="405"/>
      <c r="V4" s="408"/>
      <c r="W4" s="409"/>
      <c r="X4" s="405"/>
      <c r="Y4" s="410"/>
      <c r="Z4" s="320"/>
      <c r="AA4" s="321"/>
      <c r="AB4" s="321"/>
    </row>
    <row r="5" spans="1:32" ht="18" x14ac:dyDescent="0.35">
      <c r="A5" s="329"/>
      <c r="B5" s="411" t="s">
        <v>236</v>
      </c>
      <c r="C5" s="412">
        <v>0.3</v>
      </c>
      <c r="D5" s="413" t="s">
        <v>237</v>
      </c>
      <c r="E5" s="413">
        <v>12</v>
      </c>
      <c r="F5" s="414">
        <v>1</v>
      </c>
      <c r="G5" s="415">
        <f>(1391532.0682/$G$3)/12</f>
        <v>1784.0154720512821</v>
      </c>
      <c r="H5" s="415">
        <f>C5*G5*E5</f>
        <v>6422.4556993846154</v>
      </c>
      <c r="I5" s="415">
        <f>H5</f>
        <v>6422.4556993846154</v>
      </c>
      <c r="J5" s="416">
        <f>H5-I5</f>
        <v>0</v>
      </c>
      <c r="K5" s="417">
        <f t="shared" ref="K5:K13" si="0">C5</f>
        <v>0.3</v>
      </c>
      <c r="L5" s="413">
        <f t="shared" ref="L5:L13" si="1">E5</f>
        <v>12</v>
      </c>
      <c r="M5" s="415">
        <f>G5*1.05</f>
        <v>1873.2162456538463</v>
      </c>
      <c r="N5" s="418">
        <f>K5*M5*L5</f>
        <v>6743.5784843538459</v>
      </c>
      <c r="O5" s="415">
        <f>N5</f>
        <v>6743.5784843538459</v>
      </c>
      <c r="P5" s="416">
        <f t="shared" ref="P5:P13" si="2">N5-O5</f>
        <v>0</v>
      </c>
      <c r="Q5" s="417">
        <f>K5</f>
        <v>0.3</v>
      </c>
      <c r="R5" s="413">
        <f>L5</f>
        <v>12</v>
      </c>
      <c r="S5" s="415">
        <f t="shared" ref="S5:S11" si="3">M5*1.05</f>
        <v>1966.8770579365387</v>
      </c>
      <c r="T5" s="418">
        <f>Q5*S5*R5</f>
        <v>7080.7574085715387</v>
      </c>
      <c r="U5" s="415">
        <f>T5</f>
        <v>7080.7574085715387</v>
      </c>
      <c r="V5" s="416">
        <f t="shared" ref="V5:V13" si="4">T5-U5</f>
        <v>0</v>
      </c>
      <c r="W5" s="419">
        <f t="shared" ref="W5:X13" si="5">I5+O5+U5</f>
        <v>20246.791592310001</v>
      </c>
      <c r="X5" s="415">
        <f t="shared" si="5"/>
        <v>0</v>
      </c>
      <c r="Y5" s="416">
        <f t="shared" ref="Y5:Y13" si="6">W5+X5</f>
        <v>20246.791592310001</v>
      </c>
      <c r="Z5" s="330">
        <f>H5+N5+T5-Y5</f>
        <v>0</v>
      </c>
      <c r="AA5" s="331">
        <f>I5+O5+U5-W5</f>
        <v>0</v>
      </c>
      <c r="AB5" s="331">
        <f>J5+P5+V5-X5</f>
        <v>0</v>
      </c>
      <c r="AC5" s="149"/>
      <c r="AD5" s="149"/>
      <c r="AE5" s="149"/>
      <c r="AF5" s="149"/>
    </row>
    <row r="6" spans="1:32" ht="18" x14ac:dyDescent="0.35">
      <c r="A6" s="329"/>
      <c r="B6" s="411" t="s">
        <v>238</v>
      </c>
      <c r="C6" s="412">
        <v>0.8</v>
      </c>
      <c r="D6" s="413" t="s">
        <v>237</v>
      </c>
      <c r="E6" s="413">
        <v>12</v>
      </c>
      <c r="F6" s="414">
        <v>1</v>
      </c>
      <c r="G6" s="415">
        <f>(881322/$G$3)/12</f>
        <v>1129.8999999999999</v>
      </c>
      <c r="H6" s="415">
        <f t="shared" ref="H6:H13" si="7">C6*G6*E6</f>
        <v>10847.039999999999</v>
      </c>
      <c r="I6" s="415">
        <f>H6</f>
        <v>10847.039999999999</v>
      </c>
      <c r="J6" s="416">
        <v>0</v>
      </c>
      <c r="K6" s="417">
        <f t="shared" si="0"/>
        <v>0.8</v>
      </c>
      <c r="L6" s="413">
        <f t="shared" si="1"/>
        <v>12</v>
      </c>
      <c r="M6" s="415">
        <f>G6*1.05</f>
        <v>1186.395</v>
      </c>
      <c r="N6" s="418">
        <f t="shared" ref="N6:N13" si="8">K6*M6*L6</f>
        <v>11389.392</v>
      </c>
      <c r="O6" s="415">
        <f>N6</f>
        <v>11389.392</v>
      </c>
      <c r="P6" s="416">
        <v>0</v>
      </c>
      <c r="Q6" s="417">
        <f t="shared" ref="Q6:Q13" si="9">K6</f>
        <v>0.8</v>
      </c>
      <c r="R6" s="413">
        <f t="shared" ref="R6:R13" si="10">L6</f>
        <v>12</v>
      </c>
      <c r="S6" s="415">
        <f t="shared" si="3"/>
        <v>1245.7147500000001</v>
      </c>
      <c r="T6" s="418">
        <f t="shared" ref="T6:T13" si="11">Q6*S6*R6</f>
        <v>11958.861600000002</v>
      </c>
      <c r="U6" s="415">
        <f>T6</f>
        <v>11958.861600000002</v>
      </c>
      <c r="V6" s="416">
        <v>0</v>
      </c>
      <c r="W6" s="419">
        <f t="shared" si="5"/>
        <v>34195.293600000005</v>
      </c>
      <c r="X6" s="415">
        <f t="shared" si="5"/>
        <v>0</v>
      </c>
      <c r="Y6" s="416">
        <f t="shared" si="6"/>
        <v>34195.293600000005</v>
      </c>
      <c r="Z6" s="330">
        <f t="shared" ref="Z6:Z59" si="12">H6+N6+T6-Y6</f>
        <v>0</v>
      </c>
      <c r="AA6" s="331">
        <f t="shared" ref="AA6:AA59" si="13">I6+O6+U6-W6</f>
        <v>0</v>
      </c>
      <c r="AB6" s="331">
        <f t="shared" ref="AB6:AB59" si="14">J6+P6+V6-X6</f>
        <v>0</v>
      </c>
      <c r="AC6" s="149"/>
      <c r="AD6" s="149"/>
      <c r="AE6" s="149"/>
      <c r="AF6" s="149"/>
    </row>
    <row r="7" spans="1:32" ht="18" x14ac:dyDescent="0.35">
      <c r="A7" s="329"/>
      <c r="B7" s="411" t="s">
        <v>239</v>
      </c>
      <c r="C7" s="412">
        <v>0.2</v>
      </c>
      <c r="D7" s="413" t="s">
        <v>237</v>
      </c>
      <c r="E7" s="413">
        <v>12</v>
      </c>
      <c r="F7" s="414">
        <v>1</v>
      </c>
      <c r="G7" s="415">
        <f>(583144.65/$G$3)/12</f>
        <v>747.62134615384628</v>
      </c>
      <c r="H7" s="415">
        <f t="shared" si="7"/>
        <v>1794.2912307692309</v>
      </c>
      <c r="I7" s="415">
        <f>H7</f>
        <v>1794.2912307692309</v>
      </c>
      <c r="J7" s="416">
        <f>H7-I7</f>
        <v>0</v>
      </c>
      <c r="K7" s="417">
        <f t="shared" si="0"/>
        <v>0.2</v>
      </c>
      <c r="L7" s="413">
        <f t="shared" si="1"/>
        <v>12</v>
      </c>
      <c r="M7" s="415">
        <f>G7*1.05</f>
        <v>785.00241346153859</v>
      </c>
      <c r="N7" s="418">
        <f t="shared" si="8"/>
        <v>1884.0057923076929</v>
      </c>
      <c r="O7" s="415">
        <f>N7</f>
        <v>1884.0057923076929</v>
      </c>
      <c r="P7" s="416">
        <f t="shared" si="2"/>
        <v>0</v>
      </c>
      <c r="Q7" s="417">
        <f t="shared" si="9"/>
        <v>0.2</v>
      </c>
      <c r="R7" s="413">
        <f t="shared" si="10"/>
        <v>12</v>
      </c>
      <c r="S7" s="415">
        <f t="shared" si="3"/>
        <v>824.25253413461553</v>
      </c>
      <c r="T7" s="418">
        <f t="shared" si="11"/>
        <v>1978.2060819230774</v>
      </c>
      <c r="U7" s="415">
        <f>T7</f>
        <v>1978.2060819230774</v>
      </c>
      <c r="V7" s="416">
        <f t="shared" si="4"/>
        <v>0</v>
      </c>
      <c r="W7" s="419">
        <f t="shared" si="5"/>
        <v>5656.5031050000016</v>
      </c>
      <c r="X7" s="415">
        <f t="shared" si="5"/>
        <v>0</v>
      </c>
      <c r="Y7" s="416">
        <f t="shared" si="6"/>
        <v>5656.5031050000016</v>
      </c>
      <c r="Z7" s="330">
        <f t="shared" si="12"/>
        <v>0</v>
      </c>
      <c r="AA7" s="331">
        <f t="shared" si="13"/>
        <v>0</v>
      </c>
      <c r="AB7" s="331">
        <f t="shared" si="14"/>
        <v>0</v>
      </c>
      <c r="AC7" s="149"/>
      <c r="AD7" s="149"/>
      <c r="AE7" s="149"/>
      <c r="AF7" s="149"/>
    </row>
    <row r="8" spans="1:32" ht="18" x14ac:dyDescent="0.35">
      <c r="A8" s="329"/>
      <c r="B8" s="411" t="s">
        <v>240</v>
      </c>
      <c r="C8" s="412">
        <v>0.6</v>
      </c>
      <c r="D8" s="413" t="s">
        <v>237</v>
      </c>
      <c r="E8" s="413">
        <v>12</v>
      </c>
      <c r="F8" s="414">
        <v>1</v>
      </c>
      <c r="G8" s="415">
        <f>(1126756.3725/$G$3)/4/12</f>
        <v>361.13986298076924</v>
      </c>
      <c r="H8" s="415">
        <f t="shared" si="7"/>
        <v>2600.2070134615387</v>
      </c>
      <c r="I8" s="415">
        <f>H8</f>
        <v>2600.2070134615387</v>
      </c>
      <c r="J8" s="416">
        <f>H8-I8</f>
        <v>0</v>
      </c>
      <c r="K8" s="417">
        <f t="shared" si="0"/>
        <v>0.6</v>
      </c>
      <c r="L8" s="413">
        <f t="shared" si="1"/>
        <v>12</v>
      </c>
      <c r="M8" s="415">
        <f>G8*1.05</f>
        <v>379.19685612980771</v>
      </c>
      <c r="N8" s="418">
        <f t="shared" si="8"/>
        <v>2730.2173641346153</v>
      </c>
      <c r="O8" s="415">
        <f>N8</f>
        <v>2730.2173641346153</v>
      </c>
      <c r="P8" s="416">
        <f t="shared" si="2"/>
        <v>0</v>
      </c>
      <c r="Q8" s="417">
        <f t="shared" si="9"/>
        <v>0.6</v>
      </c>
      <c r="R8" s="413">
        <f t="shared" si="10"/>
        <v>12</v>
      </c>
      <c r="S8" s="415">
        <f t="shared" si="3"/>
        <v>398.15669893629814</v>
      </c>
      <c r="T8" s="418">
        <f t="shared" si="11"/>
        <v>2866.7282323413465</v>
      </c>
      <c r="U8" s="415">
        <f>T8</f>
        <v>2866.7282323413465</v>
      </c>
      <c r="V8" s="416">
        <f t="shared" si="4"/>
        <v>0</v>
      </c>
      <c r="W8" s="419">
        <f t="shared" si="5"/>
        <v>8197.1526099375005</v>
      </c>
      <c r="X8" s="415">
        <f t="shared" si="5"/>
        <v>0</v>
      </c>
      <c r="Y8" s="416">
        <f t="shared" si="6"/>
        <v>8197.1526099375005</v>
      </c>
      <c r="Z8" s="330">
        <f t="shared" si="12"/>
        <v>0</v>
      </c>
      <c r="AA8" s="331">
        <f t="shared" si="13"/>
        <v>0</v>
      </c>
      <c r="AB8" s="331">
        <f t="shared" si="14"/>
        <v>0</v>
      </c>
      <c r="AC8" s="149"/>
      <c r="AD8" s="149"/>
      <c r="AE8" s="149"/>
      <c r="AF8" s="149"/>
    </row>
    <row r="9" spans="1:32" ht="36" x14ac:dyDescent="0.35">
      <c r="A9" s="329"/>
      <c r="B9" s="411" t="s">
        <v>241</v>
      </c>
      <c r="C9" s="412">
        <v>0.15</v>
      </c>
      <c r="D9" s="413" t="s">
        <v>237</v>
      </c>
      <c r="E9" s="413">
        <v>12</v>
      </c>
      <c r="F9" s="414">
        <v>1</v>
      </c>
      <c r="G9" s="415">
        <v>10000</v>
      </c>
      <c r="H9" s="415">
        <f t="shared" si="7"/>
        <v>18000</v>
      </c>
      <c r="I9" s="415">
        <f>H9</f>
        <v>18000</v>
      </c>
      <c r="J9" s="416">
        <f>H9-I9</f>
        <v>0</v>
      </c>
      <c r="K9" s="417">
        <f t="shared" si="0"/>
        <v>0.15</v>
      </c>
      <c r="L9" s="413">
        <f t="shared" si="1"/>
        <v>12</v>
      </c>
      <c r="M9" s="415">
        <f>G9*1.05</f>
        <v>10500</v>
      </c>
      <c r="N9" s="418">
        <f t="shared" si="8"/>
        <v>18900</v>
      </c>
      <c r="O9" s="415">
        <f>N9</f>
        <v>18900</v>
      </c>
      <c r="P9" s="416">
        <f t="shared" si="2"/>
        <v>0</v>
      </c>
      <c r="Q9" s="417">
        <f t="shared" si="9"/>
        <v>0.15</v>
      </c>
      <c r="R9" s="413">
        <f t="shared" si="10"/>
        <v>12</v>
      </c>
      <c r="S9" s="415">
        <f t="shared" si="3"/>
        <v>11025</v>
      </c>
      <c r="T9" s="418">
        <f t="shared" si="11"/>
        <v>19845</v>
      </c>
      <c r="U9" s="415">
        <f>T9</f>
        <v>19845</v>
      </c>
      <c r="V9" s="416">
        <f t="shared" si="4"/>
        <v>0</v>
      </c>
      <c r="W9" s="419">
        <f t="shared" si="5"/>
        <v>56745</v>
      </c>
      <c r="X9" s="415">
        <f t="shared" si="5"/>
        <v>0</v>
      </c>
      <c r="Y9" s="416">
        <f t="shared" si="6"/>
        <v>56745</v>
      </c>
      <c r="Z9" s="330">
        <f t="shared" si="12"/>
        <v>0</v>
      </c>
      <c r="AA9" s="331">
        <f t="shared" si="13"/>
        <v>0</v>
      </c>
      <c r="AB9" s="331">
        <f t="shared" si="14"/>
        <v>0</v>
      </c>
      <c r="AC9" s="149"/>
      <c r="AD9" s="149"/>
      <c r="AE9" s="149"/>
      <c r="AF9" s="149"/>
    </row>
    <row r="10" spans="1:32" ht="36" x14ac:dyDescent="0.35">
      <c r="A10" s="329"/>
      <c r="B10" s="411" t="s">
        <v>242</v>
      </c>
      <c r="C10" s="412">
        <v>0.3</v>
      </c>
      <c r="D10" s="413" t="s">
        <v>237</v>
      </c>
      <c r="E10" s="413">
        <v>12</v>
      </c>
      <c r="F10" s="414">
        <v>1</v>
      </c>
      <c r="G10" s="415">
        <v>1850</v>
      </c>
      <c r="H10" s="415">
        <v>6660</v>
      </c>
      <c r="I10" s="415">
        <v>6660</v>
      </c>
      <c r="J10" s="416">
        <v>0</v>
      </c>
      <c r="K10" s="417">
        <f t="shared" si="0"/>
        <v>0.3</v>
      </c>
      <c r="L10" s="413">
        <f t="shared" si="1"/>
        <v>12</v>
      </c>
      <c r="M10" s="415">
        <v>1850</v>
      </c>
      <c r="N10" s="415">
        <v>6660</v>
      </c>
      <c r="O10" s="415">
        <v>6660</v>
      </c>
      <c r="P10" s="416">
        <v>0</v>
      </c>
      <c r="Q10" s="417">
        <f t="shared" si="9"/>
        <v>0.3</v>
      </c>
      <c r="R10" s="413">
        <f t="shared" si="10"/>
        <v>12</v>
      </c>
      <c r="S10" s="415">
        <f t="shared" si="3"/>
        <v>1942.5</v>
      </c>
      <c r="T10" s="418">
        <f t="shared" si="11"/>
        <v>6993</v>
      </c>
      <c r="U10" s="415">
        <v>6993</v>
      </c>
      <c r="V10" s="416">
        <v>0</v>
      </c>
      <c r="W10" s="419">
        <f t="shared" si="5"/>
        <v>20313</v>
      </c>
      <c r="X10" s="415">
        <v>0</v>
      </c>
      <c r="Y10" s="416">
        <f t="shared" si="6"/>
        <v>20313</v>
      </c>
      <c r="Z10" s="330"/>
      <c r="AA10" s="331"/>
      <c r="AB10" s="331"/>
      <c r="AC10" s="149"/>
      <c r="AD10" s="149"/>
      <c r="AE10" s="149"/>
      <c r="AF10" s="149"/>
    </row>
    <row r="11" spans="1:32" ht="18" x14ac:dyDescent="0.35">
      <c r="A11" s="329"/>
      <c r="B11" s="411" t="s">
        <v>243</v>
      </c>
      <c r="C11" s="412">
        <v>0.25</v>
      </c>
      <c r="D11" s="413" t="s">
        <v>237</v>
      </c>
      <c r="E11" s="413">
        <v>12</v>
      </c>
      <c r="F11" s="414">
        <v>1</v>
      </c>
      <c r="G11" s="415">
        <v>2500</v>
      </c>
      <c r="H11" s="415">
        <v>7500</v>
      </c>
      <c r="I11" s="415">
        <v>7500</v>
      </c>
      <c r="J11" s="416">
        <v>0</v>
      </c>
      <c r="K11" s="417">
        <f t="shared" si="0"/>
        <v>0.25</v>
      </c>
      <c r="L11" s="413">
        <f t="shared" si="1"/>
        <v>12</v>
      </c>
      <c r="M11" s="415">
        <v>2500</v>
      </c>
      <c r="N11" s="415">
        <v>7500</v>
      </c>
      <c r="O11" s="415">
        <v>7500</v>
      </c>
      <c r="P11" s="416">
        <v>0</v>
      </c>
      <c r="Q11" s="417">
        <f t="shared" si="9"/>
        <v>0.25</v>
      </c>
      <c r="R11" s="413">
        <f t="shared" si="10"/>
        <v>12</v>
      </c>
      <c r="S11" s="415">
        <f t="shared" si="3"/>
        <v>2625</v>
      </c>
      <c r="T11" s="418">
        <f t="shared" si="11"/>
        <v>7875</v>
      </c>
      <c r="U11" s="415">
        <v>7875</v>
      </c>
      <c r="V11" s="416">
        <v>0</v>
      </c>
      <c r="W11" s="419">
        <f t="shared" si="5"/>
        <v>22875</v>
      </c>
      <c r="X11" s="415">
        <v>0</v>
      </c>
      <c r="Y11" s="416">
        <f t="shared" si="6"/>
        <v>22875</v>
      </c>
      <c r="Z11" s="330"/>
      <c r="AA11" s="331"/>
      <c r="AB11" s="331"/>
      <c r="AC11" s="149"/>
      <c r="AD11" s="149"/>
      <c r="AE11" s="149"/>
      <c r="AF11" s="149"/>
    </row>
    <row r="12" spans="1:32" ht="18" x14ac:dyDescent="0.35">
      <c r="A12" s="329"/>
      <c r="B12" s="411" t="s">
        <v>244</v>
      </c>
      <c r="C12" s="420">
        <f>'[1]Completed Example Fair Share'!$C$8</f>
        <v>0.04</v>
      </c>
      <c r="D12" s="413" t="s">
        <v>237</v>
      </c>
      <c r="E12" s="413">
        <v>12</v>
      </c>
      <c r="F12" s="414">
        <v>1</v>
      </c>
      <c r="G12" s="421">
        <v>2986.75</v>
      </c>
      <c r="H12" s="421">
        <f t="shared" si="7"/>
        <v>1433.6399999999999</v>
      </c>
      <c r="I12" s="421">
        <f>'[2]Completed Example Fair Share'!$I$8</f>
        <v>1075.23</v>
      </c>
      <c r="J12" s="422">
        <f>H12-I12</f>
        <v>358.40999999999985</v>
      </c>
      <c r="K12" s="417">
        <f t="shared" si="0"/>
        <v>0.04</v>
      </c>
      <c r="L12" s="413">
        <f t="shared" si="1"/>
        <v>12</v>
      </c>
      <c r="M12" s="421">
        <v>4089.1295574999999</v>
      </c>
      <c r="N12" s="423">
        <f t="shared" si="8"/>
        <v>1962.7821876</v>
      </c>
      <c r="O12" s="423">
        <f>I12*$O$3</f>
        <v>1397.6914770000001</v>
      </c>
      <c r="P12" s="422">
        <f t="shared" si="2"/>
        <v>565.09071059999997</v>
      </c>
      <c r="Q12" s="417">
        <f t="shared" si="9"/>
        <v>0.04</v>
      </c>
      <c r="R12" s="413">
        <f t="shared" si="10"/>
        <v>12</v>
      </c>
      <c r="S12" s="421">
        <v>4089.1295574999999</v>
      </c>
      <c r="T12" s="423">
        <f t="shared" si="11"/>
        <v>1962.7821876</v>
      </c>
      <c r="U12" s="423">
        <f>O12+(O12*$U$3)</f>
        <v>1333.8029995863301</v>
      </c>
      <c r="V12" s="422">
        <f t="shared" si="4"/>
        <v>628.97918801366995</v>
      </c>
      <c r="W12" s="424">
        <f t="shared" si="5"/>
        <v>3806.7244765863297</v>
      </c>
      <c r="X12" s="421">
        <f t="shared" si="5"/>
        <v>1552.4798986136698</v>
      </c>
      <c r="Y12" s="422">
        <f t="shared" si="6"/>
        <v>5359.204375199999</v>
      </c>
      <c r="Z12" s="330">
        <f t="shared" si="12"/>
        <v>0</v>
      </c>
      <c r="AA12" s="331">
        <f t="shared" si="13"/>
        <v>0</v>
      </c>
      <c r="AB12" s="331">
        <f t="shared" si="14"/>
        <v>0</v>
      </c>
      <c r="AC12" s="149"/>
      <c r="AD12" s="149"/>
      <c r="AE12" s="149"/>
      <c r="AF12" s="149"/>
    </row>
    <row r="13" spans="1:32" ht="18" x14ac:dyDescent="0.35">
      <c r="A13" s="329"/>
      <c r="B13" s="411" t="s">
        <v>245</v>
      </c>
      <c r="C13" s="420">
        <f>'[1]Completed Example Fair Share'!$C$12</f>
        <v>0.65</v>
      </c>
      <c r="D13" s="413" t="s">
        <v>237</v>
      </c>
      <c r="E13" s="413">
        <v>12</v>
      </c>
      <c r="F13" s="414">
        <v>1</v>
      </c>
      <c r="G13" s="421">
        <v>1461</v>
      </c>
      <c r="H13" s="421">
        <f t="shared" si="7"/>
        <v>11395.8</v>
      </c>
      <c r="I13" s="421">
        <f>'[2]Completed Example Fair Share'!$I$12</f>
        <v>8941.32</v>
      </c>
      <c r="J13" s="422">
        <f>H13-I13</f>
        <v>2454.4799999999996</v>
      </c>
      <c r="K13" s="425">
        <f t="shared" si="0"/>
        <v>0.65</v>
      </c>
      <c r="L13" s="413">
        <f t="shared" si="1"/>
        <v>12</v>
      </c>
      <c r="M13" s="421">
        <v>2000.2404899999999</v>
      </c>
      <c r="N13" s="423">
        <f t="shared" si="8"/>
        <v>15601.875822</v>
      </c>
      <c r="O13" s="423">
        <f>I13*$O$3</f>
        <v>11622.821868000001</v>
      </c>
      <c r="P13" s="422">
        <f t="shared" si="2"/>
        <v>3979.0539539999991</v>
      </c>
      <c r="Q13" s="417">
        <f t="shared" si="9"/>
        <v>0.65</v>
      </c>
      <c r="R13" s="413">
        <f t="shared" si="10"/>
        <v>12</v>
      </c>
      <c r="S13" s="421">
        <v>2000.2404899999999</v>
      </c>
      <c r="T13" s="423">
        <f t="shared" si="11"/>
        <v>15601.875822</v>
      </c>
      <c r="U13" s="423">
        <f>O13+(O13*$U$3)</f>
        <v>11091.542680413721</v>
      </c>
      <c r="V13" s="422">
        <f t="shared" si="4"/>
        <v>4510.3331415862795</v>
      </c>
      <c r="W13" s="424">
        <f t="shared" si="5"/>
        <v>31655.684548413719</v>
      </c>
      <c r="X13" s="421">
        <f t="shared" si="5"/>
        <v>10943.867095586278</v>
      </c>
      <c r="Y13" s="422">
        <f t="shared" si="6"/>
        <v>42599.551643999999</v>
      </c>
      <c r="Z13" s="330">
        <f t="shared" si="12"/>
        <v>0</v>
      </c>
      <c r="AA13" s="331">
        <f t="shared" si="13"/>
        <v>0</v>
      </c>
      <c r="AB13" s="331">
        <f t="shared" si="14"/>
        <v>0</v>
      </c>
      <c r="AC13" s="149"/>
      <c r="AD13" s="149"/>
      <c r="AE13" s="149"/>
      <c r="AF13" s="149"/>
    </row>
    <row r="14" spans="1:32" s="92" customFormat="1" ht="18" x14ac:dyDescent="0.35">
      <c r="A14" s="328"/>
      <c r="B14" s="426" t="s">
        <v>246</v>
      </c>
      <c r="C14" s="427"/>
      <c r="D14" s="427"/>
      <c r="E14" s="428"/>
      <c r="F14" s="429"/>
      <c r="G14" s="428"/>
      <c r="H14" s="430">
        <f>SUM(H5:H13)</f>
        <v>66653.433943615382</v>
      </c>
      <c r="I14" s="430">
        <f>SUM(I5:I13)</f>
        <v>63840.543943615383</v>
      </c>
      <c r="J14" s="431">
        <f>SUM(J5:J13)</f>
        <v>2812.8899999999994</v>
      </c>
      <c r="K14" s="432"/>
      <c r="L14" s="427"/>
      <c r="M14" s="428"/>
      <c r="N14" s="430">
        <f>SUM(N5:N13)</f>
        <v>73371.851650396158</v>
      </c>
      <c r="O14" s="430">
        <f>SUM(O5:O13)</f>
        <v>68827.706985796161</v>
      </c>
      <c r="P14" s="431">
        <f>SUM(P5:P13)</f>
        <v>4544.1446645999986</v>
      </c>
      <c r="Q14" s="432"/>
      <c r="R14" s="427"/>
      <c r="S14" s="428"/>
      <c r="T14" s="430">
        <f t="shared" ref="T14:Y14" si="15">SUM(T5:T13)</f>
        <v>76162.211332435967</v>
      </c>
      <c r="U14" s="430">
        <f t="shared" si="15"/>
        <v>71022.899002836013</v>
      </c>
      <c r="V14" s="431">
        <f t="shared" si="15"/>
        <v>5139.3123295999494</v>
      </c>
      <c r="W14" s="433">
        <f t="shared" si="15"/>
        <v>203691.14993224759</v>
      </c>
      <c r="X14" s="430">
        <f t="shared" si="15"/>
        <v>12496.346994199948</v>
      </c>
      <c r="Y14" s="431">
        <f t="shared" si="15"/>
        <v>216187.49692644752</v>
      </c>
      <c r="Z14" s="330">
        <f t="shared" si="12"/>
        <v>0</v>
      </c>
      <c r="AA14" s="331">
        <f t="shared" si="13"/>
        <v>0</v>
      </c>
      <c r="AB14" s="331">
        <f t="shared" si="14"/>
        <v>0</v>
      </c>
      <c r="AC14" s="230"/>
      <c r="AD14" s="230"/>
      <c r="AE14" s="230"/>
      <c r="AF14" s="149"/>
    </row>
    <row r="15" spans="1:32" ht="18" x14ac:dyDescent="0.35">
      <c r="A15" s="328" t="s">
        <v>247</v>
      </c>
      <c r="B15" s="434" t="s">
        <v>213</v>
      </c>
      <c r="C15" s="435"/>
      <c r="D15" s="435"/>
      <c r="E15" s="436"/>
      <c r="F15" s="437"/>
      <c r="G15" s="436"/>
      <c r="H15" s="436"/>
      <c r="I15" s="438"/>
      <c r="J15" s="439"/>
      <c r="K15" s="440"/>
      <c r="L15" s="435"/>
      <c r="M15" s="436"/>
      <c r="N15" s="436"/>
      <c r="O15" s="438"/>
      <c r="P15" s="439"/>
      <c r="Q15" s="440"/>
      <c r="R15" s="435"/>
      <c r="S15" s="436"/>
      <c r="T15" s="436"/>
      <c r="U15" s="438"/>
      <c r="V15" s="439"/>
      <c r="W15" s="441"/>
      <c r="X15" s="438"/>
      <c r="Y15" s="442"/>
      <c r="Z15" s="330">
        <f t="shared" si="12"/>
        <v>0</v>
      </c>
      <c r="AA15" s="331">
        <f t="shared" si="13"/>
        <v>0</v>
      </c>
      <c r="AB15" s="331">
        <f t="shared" si="14"/>
        <v>0</v>
      </c>
    </row>
    <row r="16" spans="1:32" ht="18" x14ac:dyDescent="0.35">
      <c r="A16" s="328"/>
      <c r="B16" s="426" t="s">
        <v>248</v>
      </c>
      <c r="C16" s="412"/>
      <c r="D16" s="443"/>
      <c r="E16" s="413"/>
      <c r="F16" s="404"/>
      <c r="G16" s="418"/>
      <c r="H16" s="418"/>
      <c r="I16" s="415"/>
      <c r="J16" s="416"/>
      <c r="K16" s="417"/>
      <c r="L16" s="413"/>
      <c r="M16" s="415"/>
      <c r="N16" s="418"/>
      <c r="O16" s="415"/>
      <c r="P16" s="416"/>
      <c r="Q16" s="417"/>
      <c r="R16" s="413"/>
      <c r="S16" s="415"/>
      <c r="T16" s="418"/>
      <c r="U16" s="415"/>
      <c r="V16" s="416"/>
      <c r="W16" s="419"/>
      <c r="X16" s="415"/>
      <c r="Y16" s="416"/>
      <c r="Z16" s="330"/>
      <c r="AA16" s="331"/>
      <c r="AB16" s="331"/>
      <c r="AC16" s="149"/>
      <c r="AD16" s="149"/>
      <c r="AE16" s="149"/>
      <c r="AF16" s="149"/>
    </row>
    <row r="17" spans="1:32" ht="18" x14ac:dyDescent="0.35">
      <c r="A17" s="328"/>
      <c r="B17" s="411" t="str">
        <f t="shared" ref="B17:C20" si="16">B5</f>
        <v>Head of Office</v>
      </c>
      <c r="C17" s="412">
        <f t="shared" si="16"/>
        <v>0.3</v>
      </c>
      <c r="D17" s="413" t="s">
        <v>249</v>
      </c>
      <c r="E17" s="413">
        <v>12</v>
      </c>
      <c r="F17" s="404">
        <v>0.13500000000000001</v>
      </c>
      <c r="G17" s="423">
        <f t="shared" ref="G17:G23" si="17">G5</f>
        <v>1784.0154720512821</v>
      </c>
      <c r="H17" s="421">
        <f t="shared" ref="H17:H23" si="18">C17*G17*E17*F17</f>
        <v>867.03151941692317</v>
      </c>
      <c r="I17" s="421">
        <f t="shared" ref="I17:I23" si="19">H17</f>
        <v>867.03151941692317</v>
      </c>
      <c r="J17" s="422">
        <v>0</v>
      </c>
      <c r="K17" s="417">
        <f t="shared" ref="K17:K24" si="20">C17</f>
        <v>0.3</v>
      </c>
      <c r="L17" s="413">
        <f t="shared" ref="L17:L27" si="21">E17</f>
        <v>12</v>
      </c>
      <c r="M17" s="423">
        <f t="shared" ref="M17:M23" si="22">M5</f>
        <v>1873.2162456538463</v>
      </c>
      <c r="N17" s="421">
        <f t="shared" ref="N17:N23" si="23">F17*M17*K17*L17</f>
        <v>910.38309538776923</v>
      </c>
      <c r="O17" s="421">
        <f t="shared" ref="O17:O23" si="24">N17</f>
        <v>910.38309538776923</v>
      </c>
      <c r="P17" s="422">
        <f t="shared" ref="P17:P27" si="25">N17-O17</f>
        <v>0</v>
      </c>
      <c r="Q17" s="417">
        <f t="shared" ref="Q17:R24" si="26">K17</f>
        <v>0.3</v>
      </c>
      <c r="R17" s="413">
        <f t="shared" si="26"/>
        <v>12</v>
      </c>
      <c r="S17" s="423">
        <f t="shared" ref="S17:S23" si="27">S5</f>
        <v>1966.8770579365387</v>
      </c>
      <c r="T17" s="421">
        <f t="shared" ref="T17:T23" si="28">F17*S17*Q17*R17</f>
        <v>955.90225015715782</v>
      </c>
      <c r="U17" s="421">
        <f t="shared" ref="U17:U23" si="29">T17</f>
        <v>955.90225015715782</v>
      </c>
      <c r="V17" s="422">
        <f t="shared" ref="V17:V27" si="30">T17-U17</f>
        <v>0</v>
      </c>
      <c r="W17" s="424">
        <f t="shared" ref="W17:X23" si="31">I17+O17+U17</f>
        <v>2733.3168649618501</v>
      </c>
      <c r="X17" s="421">
        <f t="shared" si="31"/>
        <v>0</v>
      </c>
      <c r="Y17" s="422">
        <f t="shared" ref="Y17:Y27" si="32">W17+X17</f>
        <v>2733.3168649618501</v>
      </c>
      <c r="Z17" s="330">
        <f t="shared" si="12"/>
        <v>0</v>
      </c>
      <c r="AA17" s="331">
        <f t="shared" si="13"/>
        <v>0</v>
      </c>
      <c r="AB17" s="331">
        <f t="shared" si="14"/>
        <v>0</v>
      </c>
      <c r="AC17" s="149"/>
      <c r="AD17" s="149"/>
      <c r="AE17" s="149"/>
      <c r="AF17" s="149"/>
    </row>
    <row r="18" spans="1:32" ht="18" x14ac:dyDescent="0.35">
      <c r="A18" s="328"/>
      <c r="B18" s="411" t="str">
        <f t="shared" si="16"/>
        <v xml:space="preserve">Program Coordinator </v>
      </c>
      <c r="C18" s="412">
        <f t="shared" si="16"/>
        <v>0.8</v>
      </c>
      <c r="D18" s="413" t="s">
        <v>249</v>
      </c>
      <c r="E18" s="413">
        <v>12</v>
      </c>
      <c r="F18" s="404">
        <v>0.13500000000000001</v>
      </c>
      <c r="G18" s="423">
        <f t="shared" si="17"/>
        <v>1129.8999999999999</v>
      </c>
      <c r="H18" s="421">
        <f t="shared" si="18"/>
        <v>1464.3504</v>
      </c>
      <c r="I18" s="421">
        <f t="shared" si="19"/>
        <v>1464.3504</v>
      </c>
      <c r="J18" s="422">
        <v>0</v>
      </c>
      <c r="K18" s="417">
        <f t="shared" si="20"/>
        <v>0.8</v>
      </c>
      <c r="L18" s="413">
        <f t="shared" si="21"/>
        <v>12</v>
      </c>
      <c r="M18" s="423">
        <f t="shared" si="22"/>
        <v>1186.395</v>
      </c>
      <c r="N18" s="421">
        <f t="shared" si="23"/>
        <v>1537.56792</v>
      </c>
      <c r="O18" s="421">
        <f t="shared" si="24"/>
        <v>1537.56792</v>
      </c>
      <c r="P18" s="422">
        <f t="shared" si="25"/>
        <v>0</v>
      </c>
      <c r="Q18" s="417">
        <f t="shared" si="26"/>
        <v>0.8</v>
      </c>
      <c r="R18" s="413">
        <f t="shared" si="26"/>
        <v>12</v>
      </c>
      <c r="S18" s="423">
        <f t="shared" si="27"/>
        <v>1245.7147500000001</v>
      </c>
      <c r="T18" s="421">
        <f t="shared" si="28"/>
        <v>1614.4463160000005</v>
      </c>
      <c r="U18" s="421">
        <f t="shared" si="29"/>
        <v>1614.4463160000005</v>
      </c>
      <c r="V18" s="422">
        <f t="shared" si="30"/>
        <v>0</v>
      </c>
      <c r="W18" s="424">
        <f t="shared" si="31"/>
        <v>4616.3646360000002</v>
      </c>
      <c r="X18" s="421">
        <f t="shared" si="31"/>
        <v>0</v>
      </c>
      <c r="Y18" s="422">
        <f t="shared" si="32"/>
        <v>4616.3646360000002</v>
      </c>
      <c r="Z18" s="330"/>
      <c r="AA18" s="331"/>
      <c r="AB18" s="331"/>
      <c r="AC18" s="149"/>
      <c r="AD18" s="149"/>
      <c r="AE18" s="149"/>
      <c r="AF18" s="149"/>
    </row>
    <row r="19" spans="1:32" ht="18" x14ac:dyDescent="0.35">
      <c r="A19" s="328"/>
      <c r="B19" s="411" t="str">
        <f t="shared" si="16"/>
        <v>Finance officer</v>
      </c>
      <c r="C19" s="412">
        <f t="shared" si="16"/>
        <v>0.2</v>
      </c>
      <c r="D19" s="413" t="s">
        <v>249</v>
      </c>
      <c r="E19" s="413">
        <v>12</v>
      </c>
      <c r="F19" s="404">
        <v>0.13500000000000001</v>
      </c>
      <c r="G19" s="423">
        <f t="shared" si="17"/>
        <v>747.62134615384628</v>
      </c>
      <c r="H19" s="421">
        <f t="shared" si="18"/>
        <v>242.22931615384618</v>
      </c>
      <c r="I19" s="421">
        <f t="shared" si="19"/>
        <v>242.22931615384618</v>
      </c>
      <c r="J19" s="422">
        <v>0</v>
      </c>
      <c r="K19" s="417">
        <f t="shared" si="20"/>
        <v>0.2</v>
      </c>
      <c r="L19" s="413">
        <f t="shared" si="21"/>
        <v>12</v>
      </c>
      <c r="M19" s="423">
        <f t="shared" si="22"/>
        <v>785.00241346153859</v>
      </c>
      <c r="N19" s="421">
        <f t="shared" si="23"/>
        <v>254.34078196153854</v>
      </c>
      <c r="O19" s="421">
        <f t="shared" si="24"/>
        <v>254.34078196153854</v>
      </c>
      <c r="P19" s="422">
        <f t="shared" si="25"/>
        <v>0</v>
      </c>
      <c r="Q19" s="417">
        <f t="shared" si="26"/>
        <v>0.2</v>
      </c>
      <c r="R19" s="413">
        <f t="shared" si="26"/>
        <v>12</v>
      </c>
      <c r="S19" s="423">
        <f t="shared" si="27"/>
        <v>824.25253413461553</v>
      </c>
      <c r="T19" s="421">
        <f t="shared" si="28"/>
        <v>267.05782105961549</v>
      </c>
      <c r="U19" s="421">
        <f t="shared" si="29"/>
        <v>267.05782105961549</v>
      </c>
      <c r="V19" s="422">
        <f t="shared" si="30"/>
        <v>0</v>
      </c>
      <c r="W19" s="424">
        <f t="shared" si="31"/>
        <v>763.62791917500022</v>
      </c>
      <c r="X19" s="421">
        <f t="shared" si="31"/>
        <v>0</v>
      </c>
      <c r="Y19" s="422">
        <f t="shared" si="32"/>
        <v>763.62791917500022</v>
      </c>
      <c r="Z19" s="330"/>
      <c r="AA19" s="331"/>
      <c r="AB19" s="331"/>
      <c r="AC19" s="149"/>
      <c r="AD19" s="149"/>
      <c r="AE19" s="149"/>
      <c r="AF19" s="149"/>
    </row>
    <row r="20" spans="1:32" ht="18" x14ac:dyDescent="0.35">
      <c r="A20" s="328"/>
      <c r="B20" s="411" t="str">
        <f t="shared" si="16"/>
        <v>Administrative Staff</v>
      </c>
      <c r="C20" s="412">
        <f t="shared" si="16"/>
        <v>0.6</v>
      </c>
      <c r="D20" s="413" t="s">
        <v>249</v>
      </c>
      <c r="E20" s="413">
        <v>12</v>
      </c>
      <c r="F20" s="404">
        <v>0.13500000000000001</v>
      </c>
      <c r="G20" s="423">
        <f t="shared" si="17"/>
        <v>361.13986298076924</v>
      </c>
      <c r="H20" s="421">
        <f t="shared" si="18"/>
        <v>351.02794681730774</v>
      </c>
      <c r="I20" s="421">
        <f t="shared" si="19"/>
        <v>351.02794681730774</v>
      </c>
      <c r="J20" s="422">
        <v>0</v>
      </c>
      <c r="K20" s="417">
        <f t="shared" si="20"/>
        <v>0.6</v>
      </c>
      <c r="L20" s="413">
        <f t="shared" si="21"/>
        <v>12</v>
      </c>
      <c r="M20" s="423">
        <f t="shared" si="22"/>
        <v>379.19685612980771</v>
      </c>
      <c r="N20" s="421">
        <f t="shared" si="23"/>
        <v>368.57934415817306</v>
      </c>
      <c r="O20" s="421">
        <f t="shared" si="24"/>
        <v>368.57934415817306</v>
      </c>
      <c r="P20" s="422">
        <f t="shared" si="25"/>
        <v>0</v>
      </c>
      <c r="Q20" s="417">
        <f t="shared" si="26"/>
        <v>0.6</v>
      </c>
      <c r="R20" s="413">
        <f t="shared" si="26"/>
        <v>12</v>
      </c>
      <c r="S20" s="423">
        <f t="shared" si="27"/>
        <v>398.15669893629814</v>
      </c>
      <c r="T20" s="421">
        <f t="shared" si="28"/>
        <v>387.00831136608178</v>
      </c>
      <c r="U20" s="421">
        <f t="shared" si="29"/>
        <v>387.00831136608178</v>
      </c>
      <c r="V20" s="422">
        <f t="shared" si="30"/>
        <v>0</v>
      </c>
      <c r="W20" s="424">
        <f t="shared" si="31"/>
        <v>1106.6156023415624</v>
      </c>
      <c r="X20" s="421">
        <f t="shared" si="31"/>
        <v>0</v>
      </c>
      <c r="Y20" s="422">
        <f t="shared" si="32"/>
        <v>1106.6156023415624</v>
      </c>
      <c r="Z20" s="330"/>
      <c r="AA20" s="331"/>
      <c r="AB20" s="331"/>
      <c r="AC20" s="149"/>
      <c r="AD20" s="149"/>
      <c r="AE20" s="149"/>
      <c r="AF20" s="149"/>
    </row>
    <row r="21" spans="1:32" ht="18" x14ac:dyDescent="0.35">
      <c r="A21" s="328"/>
      <c r="B21" s="411" t="s">
        <v>250</v>
      </c>
      <c r="C21" s="412">
        <f>C9</f>
        <v>0.15</v>
      </c>
      <c r="D21" s="413" t="s">
        <v>249</v>
      </c>
      <c r="E21" s="413">
        <v>12</v>
      </c>
      <c r="F21" s="404">
        <v>0.13500000000000001</v>
      </c>
      <c r="G21" s="423">
        <f t="shared" si="17"/>
        <v>10000</v>
      </c>
      <c r="H21" s="421">
        <f t="shared" si="18"/>
        <v>2430</v>
      </c>
      <c r="I21" s="421">
        <f t="shared" si="19"/>
        <v>2430</v>
      </c>
      <c r="J21" s="422">
        <v>0</v>
      </c>
      <c r="K21" s="417">
        <v>0.2</v>
      </c>
      <c r="L21" s="413">
        <f t="shared" si="21"/>
        <v>12</v>
      </c>
      <c r="M21" s="423">
        <f t="shared" si="22"/>
        <v>10500</v>
      </c>
      <c r="N21" s="421">
        <f t="shared" si="23"/>
        <v>3402</v>
      </c>
      <c r="O21" s="421">
        <f t="shared" si="24"/>
        <v>3402</v>
      </c>
      <c r="P21" s="422">
        <f t="shared" si="25"/>
        <v>0</v>
      </c>
      <c r="Q21" s="417">
        <f t="shared" si="26"/>
        <v>0.2</v>
      </c>
      <c r="R21" s="413">
        <f t="shared" si="26"/>
        <v>12</v>
      </c>
      <c r="S21" s="423">
        <f t="shared" si="27"/>
        <v>11025</v>
      </c>
      <c r="T21" s="421">
        <f t="shared" si="28"/>
        <v>3572.1000000000004</v>
      </c>
      <c r="U21" s="421">
        <f t="shared" si="29"/>
        <v>3572.1000000000004</v>
      </c>
      <c r="V21" s="422">
        <f t="shared" si="30"/>
        <v>0</v>
      </c>
      <c r="W21" s="424">
        <f t="shared" si="31"/>
        <v>9404.1</v>
      </c>
      <c r="X21" s="421">
        <f t="shared" si="31"/>
        <v>0</v>
      </c>
      <c r="Y21" s="422">
        <f t="shared" si="32"/>
        <v>9404.1</v>
      </c>
      <c r="Z21" s="330"/>
      <c r="AA21" s="331"/>
      <c r="AB21" s="331"/>
      <c r="AC21" s="149"/>
      <c r="AD21" s="149"/>
      <c r="AE21" s="149"/>
      <c r="AF21" s="149"/>
    </row>
    <row r="22" spans="1:32" ht="18" x14ac:dyDescent="0.35">
      <c r="A22" s="328"/>
      <c r="B22" s="411" t="s">
        <v>251</v>
      </c>
      <c r="C22" s="444">
        <v>0.3</v>
      </c>
      <c r="D22" s="413" t="s">
        <v>249</v>
      </c>
      <c r="E22" s="413">
        <v>12</v>
      </c>
      <c r="F22" s="404">
        <v>0.14000000000000001</v>
      </c>
      <c r="G22" s="423">
        <f t="shared" si="17"/>
        <v>1850</v>
      </c>
      <c r="H22" s="421">
        <f t="shared" si="18"/>
        <v>932.40000000000009</v>
      </c>
      <c r="I22" s="421">
        <f t="shared" si="19"/>
        <v>932.40000000000009</v>
      </c>
      <c r="J22" s="422">
        <v>0</v>
      </c>
      <c r="K22" s="417">
        <v>0.3</v>
      </c>
      <c r="L22" s="413">
        <f t="shared" si="21"/>
        <v>12</v>
      </c>
      <c r="M22" s="423">
        <f t="shared" si="22"/>
        <v>1850</v>
      </c>
      <c r="N22" s="421">
        <f t="shared" si="23"/>
        <v>932.40000000000009</v>
      </c>
      <c r="O22" s="421">
        <f t="shared" si="24"/>
        <v>932.40000000000009</v>
      </c>
      <c r="P22" s="422">
        <v>0</v>
      </c>
      <c r="Q22" s="417">
        <v>0.3</v>
      </c>
      <c r="R22" s="413">
        <f t="shared" si="26"/>
        <v>12</v>
      </c>
      <c r="S22" s="423">
        <f t="shared" si="27"/>
        <v>1942.5</v>
      </c>
      <c r="T22" s="421">
        <f t="shared" si="28"/>
        <v>979.0200000000001</v>
      </c>
      <c r="U22" s="421">
        <f t="shared" si="29"/>
        <v>979.0200000000001</v>
      </c>
      <c r="V22" s="422">
        <v>0</v>
      </c>
      <c r="W22" s="424">
        <f t="shared" si="31"/>
        <v>2843.82</v>
      </c>
      <c r="X22" s="421">
        <v>0</v>
      </c>
      <c r="Y22" s="422">
        <f t="shared" si="32"/>
        <v>2843.82</v>
      </c>
      <c r="Z22" s="330"/>
      <c r="AA22" s="331"/>
      <c r="AB22" s="331"/>
      <c r="AC22" s="149"/>
      <c r="AD22" s="149"/>
      <c r="AE22" s="149"/>
      <c r="AF22" s="149"/>
    </row>
    <row r="23" spans="1:32" ht="18" x14ac:dyDescent="0.35">
      <c r="A23" s="328"/>
      <c r="B23" s="411" t="s">
        <v>243</v>
      </c>
      <c r="C23" s="412">
        <v>0.3</v>
      </c>
      <c r="D23" s="413" t="s">
        <v>249</v>
      </c>
      <c r="E23" s="413">
        <v>12</v>
      </c>
      <c r="F23" s="404">
        <v>0.14000000000000001</v>
      </c>
      <c r="G23" s="423">
        <f t="shared" si="17"/>
        <v>2500</v>
      </c>
      <c r="H23" s="421">
        <f t="shared" si="18"/>
        <v>1260.0000000000002</v>
      </c>
      <c r="I23" s="421">
        <f t="shared" si="19"/>
        <v>1260.0000000000002</v>
      </c>
      <c r="J23" s="422">
        <v>0</v>
      </c>
      <c r="K23" s="417">
        <v>0.3</v>
      </c>
      <c r="L23" s="413">
        <f t="shared" si="21"/>
        <v>12</v>
      </c>
      <c r="M23" s="423">
        <f t="shared" si="22"/>
        <v>2500</v>
      </c>
      <c r="N23" s="421">
        <f t="shared" si="23"/>
        <v>1260.0000000000002</v>
      </c>
      <c r="O23" s="421">
        <f t="shared" si="24"/>
        <v>1260.0000000000002</v>
      </c>
      <c r="P23" s="422">
        <v>0</v>
      </c>
      <c r="Q23" s="417">
        <v>0.3</v>
      </c>
      <c r="R23" s="413">
        <f t="shared" si="26"/>
        <v>12</v>
      </c>
      <c r="S23" s="423">
        <f t="shared" si="27"/>
        <v>2625</v>
      </c>
      <c r="T23" s="421">
        <f t="shared" si="28"/>
        <v>1323.0000000000002</v>
      </c>
      <c r="U23" s="421">
        <f t="shared" si="29"/>
        <v>1323.0000000000002</v>
      </c>
      <c r="V23" s="422">
        <v>0</v>
      </c>
      <c r="W23" s="424">
        <f t="shared" si="31"/>
        <v>3843.0000000000009</v>
      </c>
      <c r="X23" s="421">
        <v>0</v>
      </c>
      <c r="Y23" s="422">
        <f t="shared" si="32"/>
        <v>3843.0000000000009</v>
      </c>
      <c r="Z23" s="330"/>
      <c r="AA23" s="331"/>
      <c r="AB23" s="331"/>
      <c r="AC23" s="149"/>
      <c r="AD23" s="149"/>
      <c r="AE23" s="149"/>
      <c r="AF23" s="149"/>
    </row>
    <row r="24" spans="1:32" s="92" customFormat="1" ht="18" x14ac:dyDescent="0.35">
      <c r="A24" s="328"/>
      <c r="B24" s="411" t="s">
        <v>252</v>
      </c>
      <c r="C24" s="420">
        <f>C12</f>
        <v>0.04</v>
      </c>
      <c r="D24" s="413" t="s">
        <v>249</v>
      </c>
      <c r="E24" s="413">
        <v>12</v>
      </c>
      <c r="F24" s="404">
        <v>0.28999999999999998</v>
      </c>
      <c r="G24" s="421">
        <v>119.46999999999998</v>
      </c>
      <c r="H24" s="423">
        <f>G24*E24*F24</f>
        <v>415.75559999999996</v>
      </c>
      <c r="I24" s="421">
        <f>'[2]Completed Example Fair Share'!$I$19</f>
        <v>311.81669999999997</v>
      </c>
      <c r="J24" s="422">
        <f>H24-I24</f>
        <v>103.93889999999999</v>
      </c>
      <c r="K24" s="445">
        <f t="shared" si="20"/>
        <v>0.04</v>
      </c>
      <c r="L24" s="413">
        <f t="shared" si="21"/>
        <v>12</v>
      </c>
      <c r="M24" s="421">
        <v>163.565</v>
      </c>
      <c r="N24" s="423">
        <f>M24*L24*F24</f>
        <v>569.20619999999997</v>
      </c>
      <c r="O24" s="423">
        <f>I24*$O$3</f>
        <v>405.33052832999999</v>
      </c>
      <c r="P24" s="422">
        <f t="shared" si="25"/>
        <v>163.87567166999997</v>
      </c>
      <c r="Q24" s="445">
        <f t="shared" si="26"/>
        <v>0.04</v>
      </c>
      <c r="R24" s="413">
        <f t="shared" si="26"/>
        <v>12</v>
      </c>
      <c r="S24" s="421">
        <f>M24</f>
        <v>163.565</v>
      </c>
      <c r="T24" s="423">
        <f>F24*S24*R24</f>
        <v>569.20619999999985</v>
      </c>
      <c r="U24" s="423">
        <f>O24+(O24*$U$3)</f>
        <v>386.8028698800357</v>
      </c>
      <c r="V24" s="422">
        <f t="shared" si="30"/>
        <v>182.40333011996415</v>
      </c>
      <c r="W24" s="424">
        <f t="shared" ref="W24:X26" si="33">I24+O24+U24</f>
        <v>1103.9500982100358</v>
      </c>
      <c r="X24" s="421">
        <f t="shared" si="33"/>
        <v>450.21790178996412</v>
      </c>
      <c r="Y24" s="422">
        <f t="shared" si="32"/>
        <v>1554.1679999999999</v>
      </c>
      <c r="Z24" s="330">
        <f t="shared" si="12"/>
        <v>0</v>
      </c>
      <c r="AA24" s="331">
        <f t="shared" si="13"/>
        <v>0</v>
      </c>
      <c r="AB24" s="331">
        <f t="shared" si="14"/>
        <v>0</v>
      </c>
      <c r="AC24" s="149"/>
      <c r="AD24" s="149"/>
      <c r="AE24" s="149"/>
      <c r="AF24" s="149"/>
    </row>
    <row r="25" spans="1:32" s="92" customFormat="1" ht="18" x14ac:dyDescent="0.35">
      <c r="A25" s="328"/>
      <c r="B25" s="411" t="s">
        <v>253</v>
      </c>
      <c r="C25" s="420">
        <f>C12</f>
        <v>0.04</v>
      </c>
      <c r="D25" s="413" t="s">
        <v>237</v>
      </c>
      <c r="E25" s="413">
        <v>12</v>
      </c>
      <c r="F25" s="404">
        <v>1</v>
      </c>
      <c r="G25" s="421">
        <v>2234.56</v>
      </c>
      <c r="H25" s="421">
        <f>C25*G25*E25</f>
        <v>1072.5888</v>
      </c>
      <c r="I25" s="421">
        <f>'[2]Completed Example Fair Share'!$I$21</f>
        <v>804.44159999999999</v>
      </c>
      <c r="J25" s="422">
        <f>H25-I25</f>
        <v>268.1472</v>
      </c>
      <c r="K25" s="417">
        <f>K12</f>
        <v>0.04</v>
      </c>
      <c r="L25" s="413">
        <f t="shared" si="21"/>
        <v>12</v>
      </c>
      <c r="M25" s="421">
        <v>3059.3139999999999</v>
      </c>
      <c r="N25" s="423">
        <f>K25*M25*L25</f>
        <v>1468.4707199999998</v>
      </c>
      <c r="O25" s="423">
        <f>I25*$O$3</f>
        <v>1045.6936358400001</v>
      </c>
      <c r="P25" s="422">
        <f t="shared" si="25"/>
        <v>422.77708415999973</v>
      </c>
      <c r="Q25" s="417">
        <f>Q12</f>
        <v>0.04</v>
      </c>
      <c r="R25" s="413">
        <f>L25</f>
        <v>12</v>
      </c>
      <c r="S25" s="421">
        <f>M25</f>
        <v>3059.3139999999999</v>
      </c>
      <c r="T25" s="423">
        <f>Q25*S25*R25</f>
        <v>1468.4707199999998</v>
      </c>
      <c r="U25" s="423">
        <f>O25+(O25*$U$3)</f>
        <v>997.89497974575363</v>
      </c>
      <c r="V25" s="422">
        <f t="shared" si="30"/>
        <v>470.57574025424617</v>
      </c>
      <c r="W25" s="424">
        <f t="shared" si="33"/>
        <v>2848.0302155857535</v>
      </c>
      <c r="X25" s="421">
        <f t="shared" si="33"/>
        <v>1161.5000244142459</v>
      </c>
      <c r="Y25" s="422">
        <f t="shared" si="32"/>
        <v>4009.5302399999991</v>
      </c>
      <c r="Z25" s="330">
        <f t="shared" si="12"/>
        <v>0</v>
      </c>
      <c r="AA25" s="331">
        <f t="shared" si="13"/>
        <v>0</v>
      </c>
      <c r="AB25" s="331">
        <f t="shared" si="14"/>
        <v>0</v>
      </c>
      <c r="AC25" s="149"/>
      <c r="AD25" s="149"/>
      <c r="AE25" s="149"/>
      <c r="AF25" s="149"/>
    </row>
    <row r="26" spans="1:32" s="92" customFormat="1" ht="36" x14ac:dyDescent="0.35">
      <c r="A26" s="328"/>
      <c r="B26" s="411" t="s">
        <v>254</v>
      </c>
      <c r="C26" s="420">
        <f>C12</f>
        <v>0.04</v>
      </c>
      <c r="D26" s="413" t="s">
        <v>237</v>
      </c>
      <c r="E26" s="413">
        <v>12</v>
      </c>
      <c r="F26" s="404">
        <v>1</v>
      </c>
      <c r="G26" s="421">
        <v>1002.19</v>
      </c>
      <c r="H26" s="421">
        <f>C26*G26*E26</f>
        <v>481.05119999999999</v>
      </c>
      <c r="I26" s="421">
        <f>'[2]Completed Example Fair Share'!$I$20</f>
        <v>360.78840000000002</v>
      </c>
      <c r="J26" s="422">
        <f>H26-I26</f>
        <v>120.26279999999997</v>
      </c>
      <c r="K26" s="417">
        <f>K12</f>
        <v>0.04</v>
      </c>
      <c r="L26" s="413">
        <f t="shared" si="21"/>
        <v>12</v>
      </c>
      <c r="M26" s="421">
        <v>1372.088</v>
      </c>
      <c r="N26" s="423">
        <f>K26*M26*L26</f>
        <v>658.60223999999994</v>
      </c>
      <c r="O26" s="423">
        <f>I26*$O$3</f>
        <v>468.98884116000005</v>
      </c>
      <c r="P26" s="422">
        <f t="shared" si="25"/>
        <v>189.61339883999989</v>
      </c>
      <c r="Q26" s="417">
        <f>Q12</f>
        <v>0.04</v>
      </c>
      <c r="R26" s="413">
        <f>L26</f>
        <v>12</v>
      </c>
      <c r="S26" s="421">
        <f>M26</f>
        <v>1372.088</v>
      </c>
      <c r="T26" s="423">
        <f>Q26*S26*R26</f>
        <v>658.60223999999994</v>
      </c>
      <c r="U26" s="423">
        <f>O26+(O26*$U$3)</f>
        <v>447.55136123057645</v>
      </c>
      <c r="V26" s="422">
        <f t="shared" si="30"/>
        <v>211.05087876942349</v>
      </c>
      <c r="W26" s="424">
        <f t="shared" si="33"/>
        <v>1277.3286023905766</v>
      </c>
      <c r="X26" s="421">
        <f t="shared" si="33"/>
        <v>520.92707760942335</v>
      </c>
      <c r="Y26" s="422">
        <f t="shared" si="32"/>
        <v>1798.25568</v>
      </c>
      <c r="Z26" s="330">
        <f t="shared" si="12"/>
        <v>0</v>
      </c>
      <c r="AA26" s="331">
        <f t="shared" si="13"/>
        <v>0</v>
      </c>
      <c r="AB26" s="331">
        <f t="shared" si="14"/>
        <v>0</v>
      </c>
      <c r="AC26" s="199"/>
      <c r="AD26" s="149"/>
      <c r="AE26" s="149"/>
      <c r="AF26" s="149"/>
    </row>
    <row r="27" spans="1:32" s="92" customFormat="1" ht="36" x14ac:dyDescent="0.35">
      <c r="A27" s="328"/>
      <c r="B27" s="411" t="s">
        <v>255</v>
      </c>
      <c r="C27" s="446">
        <f>C13</f>
        <v>0.65</v>
      </c>
      <c r="D27" s="413" t="s">
        <v>249</v>
      </c>
      <c r="E27" s="413">
        <v>12</v>
      </c>
      <c r="F27" s="404">
        <v>1</v>
      </c>
      <c r="G27" s="421">
        <v>167.82051282051282</v>
      </c>
      <c r="H27" s="421">
        <f>C27*G27*E27</f>
        <v>1309</v>
      </c>
      <c r="I27" s="421">
        <f>'[2]Completed Example Fair Share'!$I$26</f>
        <v>1027.0921403703619</v>
      </c>
      <c r="J27" s="422">
        <f>H27-I27</f>
        <v>281.9078596296381</v>
      </c>
      <c r="K27" s="425">
        <f>C27</f>
        <v>0.65</v>
      </c>
      <c r="L27" s="413">
        <f t="shared" si="21"/>
        <v>12</v>
      </c>
      <c r="M27" s="421">
        <v>229.761</v>
      </c>
      <c r="N27" s="423">
        <f>K27*M27*L27</f>
        <v>1792.1358</v>
      </c>
      <c r="O27" s="423">
        <f>I27*$O$3</f>
        <v>1335.1170732674334</v>
      </c>
      <c r="P27" s="422">
        <f t="shared" si="25"/>
        <v>457.01872673256662</v>
      </c>
      <c r="Q27" s="417">
        <f>K27</f>
        <v>0.65</v>
      </c>
      <c r="R27" s="413">
        <f>L27</f>
        <v>12</v>
      </c>
      <c r="S27" s="421">
        <f>M27</f>
        <v>229.761</v>
      </c>
      <c r="T27" s="423">
        <f>Q27*S27*R27</f>
        <v>1792.1358</v>
      </c>
      <c r="U27" s="423">
        <f>O27+(O27*$U$3)</f>
        <v>1274.0888718483791</v>
      </c>
      <c r="V27" s="422">
        <f t="shared" si="30"/>
        <v>518.04692815162093</v>
      </c>
      <c r="W27" s="424">
        <f>I27+O27+U27</f>
        <v>3636.2980854861744</v>
      </c>
      <c r="X27" s="421">
        <f>J27+P27+V27</f>
        <v>1256.9735145138256</v>
      </c>
      <c r="Y27" s="422">
        <f t="shared" si="32"/>
        <v>4893.2716</v>
      </c>
      <c r="Z27" s="330">
        <f t="shared" si="12"/>
        <v>0</v>
      </c>
      <c r="AA27" s="331">
        <f t="shared" si="13"/>
        <v>0</v>
      </c>
      <c r="AB27" s="331">
        <f t="shared" si="14"/>
        <v>0</v>
      </c>
      <c r="AC27" s="149"/>
      <c r="AD27" s="149"/>
      <c r="AE27" s="149"/>
      <c r="AF27" s="149"/>
    </row>
    <row r="28" spans="1:32" ht="18" x14ac:dyDescent="0.35">
      <c r="A28" s="329"/>
      <c r="B28" s="426" t="s">
        <v>256</v>
      </c>
      <c r="C28" s="443"/>
      <c r="D28" s="447"/>
      <c r="E28" s="448"/>
      <c r="F28" s="413"/>
      <c r="G28" s="449"/>
      <c r="H28" s="430">
        <f>SUM(H17:H27)</f>
        <v>10825.434782388076</v>
      </c>
      <c r="I28" s="430">
        <f>SUM(I17:I27)</f>
        <v>10051.178022758437</v>
      </c>
      <c r="J28" s="431">
        <f>SUM(J17:J27)</f>
        <v>774.25675962963805</v>
      </c>
      <c r="K28" s="417"/>
      <c r="L28" s="413"/>
      <c r="M28" s="448"/>
      <c r="N28" s="430">
        <f>SUM(N17:N27)</f>
        <v>13153.686101507481</v>
      </c>
      <c r="O28" s="430">
        <f>SUM(O17:O27)</f>
        <v>11920.401220104914</v>
      </c>
      <c r="P28" s="430">
        <f>SUM(P17:P27)</f>
        <v>1233.2848814025663</v>
      </c>
      <c r="Q28" s="417"/>
      <c r="R28" s="413"/>
      <c r="S28" s="450"/>
      <c r="T28" s="430">
        <f t="shared" ref="T28:Y28" si="34">SUM(T17:T27)</f>
        <v>13586.949658582857</v>
      </c>
      <c r="U28" s="430">
        <f t="shared" si="34"/>
        <v>12204.8727812876</v>
      </c>
      <c r="V28" s="430">
        <f t="shared" si="34"/>
        <v>1382.0768772952547</v>
      </c>
      <c r="W28" s="433">
        <f t="shared" si="34"/>
        <v>34176.452024150953</v>
      </c>
      <c r="X28" s="430">
        <f t="shared" si="34"/>
        <v>3389.6185183274592</v>
      </c>
      <c r="Y28" s="431">
        <f t="shared" si="34"/>
        <v>37566.07054247841</v>
      </c>
      <c r="Z28" s="330">
        <f t="shared" si="12"/>
        <v>0</v>
      </c>
      <c r="AA28" s="331">
        <f t="shared" si="13"/>
        <v>0</v>
      </c>
      <c r="AB28" s="331">
        <f t="shared" si="14"/>
        <v>0</v>
      </c>
      <c r="AC28" s="230"/>
      <c r="AD28" s="231"/>
      <c r="AE28" s="230"/>
      <c r="AF28" s="149"/>
    </row>
    <row r="29" spans="1:32" ht="18" x14ac:dyDescent="0.35">
      <c r="A29" s="328"/>
      <c r="B29" s="434" t="s">
        <v>214</v>
      </c>
      <c r="C29" s="451"/>
      <c r="D29" s="438"/>
      <c r="E29" s="436"/>
      <c r="F29" s="437"/>
      <c r="G29" s="436"/>
      <c r="H29" s="436"/>
      <c r="I29" s="438"/>
      <c r="J29" s="439"/>
      <c r="K29" s="441"/>
      <c r="L29" s="438"/>
      <c r="M29" s="436"/>
      <c r="N29" s="436"/>
      <c r="O29" s="438"/>
      <c r="P29" s="439"/>
      <c r="Q29" s="441"/>
      <c r="R29" s="438"/>
      <c r="S29" s="436"/>
      <c r="T29" s="436"/>
      <c r="U29" s="438"/>
      <c r="V29" s="439"/>
      <c r="W29" s="441"/>
      <c r="X29" s="438"/>
      <c r="Y29" s="442"/>
      <c r="Z29" s="330">
        <f t="shared" si="12"/>
        <v>0</v>
      </c>
      <c r="AA29" s="331">
        <f t="shared" si="13"/>
        <v>0</v>
      </c>
      <c r="AB29" s="331">
        <f t="shared" si="14"/>
        <v>0</v>
      </c>
    </row>
    <row r="30" spans="1:32" ht="18" x14ac:dyDescent="0.35">
      <c r="A30" s="329"/>
      <c r="B30" s="411" t="s">
        <v>257</v>
      </c>
      <c r="C30" s="452">
        <v>14</v>
      </c>
      <c r="D30" s="453" t="s">
        <v>258</v>
      </c>
      <c r="E30" s="452">
        <v>1</v>
      </c>
      <c r="F30" s="404">
        <v>1</v>
      </c>
      <c r="G30" s="421">
        <f>13000/$G$3</f>
        <v>200</v>
      </c>
      <c r="H30" s="423">
        <f>C30*G30*E30</f>
        <v>2800</v>
      </c>
      <c r="I30" s="421">
        <f>H30</f>
        <v>2800</v>
      </c>
      <c r="J30" s="422">
        <f>H30-I30</f>
        <v>0</v>
      </c>
      <c r="K30" s="417">
        <v>16</v>
      </c>
      <c r="L30" s="413">
        <v>1</v>
      </c>
      <c r="M30" s="421">
        <f>G30*1.05</f>
        <v>210</v>
      </c>
      <c r="N30" s="423">
        <f>K30*M30*L30</f>
        <v>3360</v>
      </c>
      <c r="O30" s="421">
        <f>N30</f>
        <v>3360</v>
      </c>
      <c r="P30" s="422">
        <f>N30-O30</f>
        <v>0</v>
      </c>
      <c r="Q30" s="417">
        <v>16</v>
      </c>
      <c r="R30" s="413">
        <f t="shared" ref="Q30:R34" si="35">L30</f>
        <v>1</v>
      </c>
      <c r="S30" s="415">
        <f>M30*1.05</f>
        <v>220.5</v>
      </c>
      <c r="T30" s="418">
        <f>Q30*S30*R30</f>
        <v>3528</v>
      </c>
      <c r="U30" s="415">
        <f>T30</f>
        <v>3528</v>
      </c>
      <c r="V30" s="416">
        <f>T30-U30</f>
        <v>0</v>
      </c>
      <c r="W30" s="419">
        <f t="shared" ref="W30:X34" si="36">I30+O30+U30</f>
        <v>9688</v>
      </c>
      <c r="X30" s="415">
        <f t="shared" si="36"/>
        <v>0</v>
      </c>
      <c r="Y30" s="416">
        <f>W30+X30</f>
        <v>9688</v>
      </c>
      <c r="Z30" s="330">
        <f t="shared" si="12"/>
        <v>0</v>
      </c>
      <c r="AA30" s="331">
        <f t="shared" si="13"/>
        <v>0</v>
      </c>
      <c r="AB30" s="331">
        <f t="shared" si="14"/>
        <v>0</v>
      </c>
      <c r="AC30" s="149"/>
      <c r="AD30" s="149"/>
      <c r="AE30" s="149"/>
      <c r="AF30" s="149"/>
    </row>
    <row r="31" spans="1:32" ht="18" x14ac:dyDescent="0.35">
      <c r="A31" s="329"/>
      <c r="B31" s="411" t="s">
        <v>259</v>
      </c>
      <c r="C31" s="452">
        <f>C30*3</f>
        <v>42</v>
      </c>
      <c r="D31" s="453" t="s">
        <v>260</v>
      </c>
      <c r="E31" s="452">
        <v>1</v>
      </c>
      <c r="F31" s="404">
        <v>1</v>
      </c>
      <c r="G31" s="421">
        <f>2700/$G$3</f>
        <v>41.53846153846154</v>
      </c>
      <c r="H31" s="423">
        <f>C31*G31*E31</f>
        <v>1744.6153846153848</v>
      </c>
      <c r="I31" s="421">
        <f>H31</f>
        <v>1744.6153846153848</v>
      </c>
      <c r="J31" s="422">
        <f>H31-I31</f>
        <v>0</v>
      </c>
      <c r="K31" s="417">
        <f>K30*3</f>
        <v>48</v>
      </c>
      <c r="L31" s="413">
        <v>1</v>
      </c>
      <c r="M31" s="421">
        <f>G31*1.05</f>
        <v>43.61538461538462</v>
      </c>
      <c r="N31" s="423">
        <f>K31*M31*L31</f>
        <v>2093.5384615384619</v>
      </c>
      <c r="O31" s="421">
        <f>N31</f>
        <v>2093.5384615384619</v>
      </c>
      <c r="P31" s="422">
        <f>N31-O31</f>
        <v>0</v>
      </c>
      <c r="Q31" s="417">
        <f>Q30*3</f>
        <v>48</v>
      </c>
      <c r="R31" s="413">
        <f t="shared" si="35"/>
        <v>1</v>
      </c>
      <c r="S31" s="415">
        <f>M31*1.05</f>
        <v>45.796153846153857</v>
      </c>
      <c r="T31" s="418">
        <f>Q31*S31*R31</f>
        <v>2198.2153846153851</v>
      </c>
      <c r="U31" s="415">
        <f>T31</f>
        <v>2198.2153846153851</v>
      </c>
      <c r="V31" s="416">
        <f>T31-U31</f>
        <v>0</v>
      </c>
      <c r="W31" s="419">
        <f t="shared" si="36"/>
        <v>6036.3692307692318</v>
      </c>
      <c r="X31" s="415">
        <f t="shared" si="36"/>
        <v>0</v>
      </c>
      <c r="Y31" s="416">
        <f>W31+X31</f>
        <v>6036.3692307692318</v>
      </c>
      <c r="Z31" s="330">
        <f t="shared" si="12"/>
        <v>0</v>
      </c>
      <c r="AA31" s="331">
        <f t="shared" si="13"/>
        <v>0</v>
      </c>
      <c r="AB31" s="331">
        <f t="shared" si="14"/>
        <v>0</v>
      </c>
      <c r="AC31" s="149"/>
      <c r="AD31" s="149"/>
      <c r="AE31" s="149"/>
      <c r="AF31" s="149"/>
    </row>
    <row r="32" spans="1:32" ht="18" x14ac:dyDescent="0.35">
      <c r="A32" s="329"/>
      <c r="B32" s="411" t="s">
        <v>261</v>
      </c>
      <c r="C32" s="452">
        <f>C30*3</f>
        <v>42</v>
      </c>
      <c r="D32" s="453" t="s">
        <v>262</v>
      </c>
      <c r="E32" s="452">
        <v>1</v>
      </c>
      <c r="F32" s="404">
        <v>1</v>
      </c>
      <c r="G32" s="421">
        <f>1000/$G$3</f>
        <v>15.384615384615385</v>
      </c>
      <c r="H32" s="423">
        <f>C32*G32*E32</f>
        <v>646.15384615384619</v>
      </c>
      <c r="I32" s="421">
        <f>H32</f>
        <v>646.15384615384619</v>
      </c>
      <c r="J32" s="422">
        <f>H32-I32</f>
        <v>0</v>
      </c>
      <c r="K32" s="417">
        <f>K30*3</f>
        <v>48</v>
      </c>
      <c r="L32" s="413">
        <v>1</v>
      </c>
      <c r="M32" s="421">
        <f>G32*1.05</f>
        <v>16.153846153846153</v>
      </c>
      <c r="N32" s="423">
        <f>K32*M32*L32</f>
        <v>775.38461538461536</v>
      </c>
      <c r="O32" s="421">
        <f>N32</f>
        <v>775.38461538461536</v>
      </c>
      <c r="P32" s="422">
        <f>N32-O32</f>
        <v>0</v>
      </c>
      <c r="Q32" s="417">
        <f>Q30*3</f>
        <v>48</v>
      </c>
      <c r="R32" s="413">
        <f t="shared" si="35"/>
        <v>1</v>
      </c>
      <c r="S32" s="415">
        <f>M32*1.05</f>
        <v>16.961538461538463</v>
      </c>
      <c r="T32" s="418">
        <f>Q32*S32*R32</f>
        <v>814.15384615384619</v>
      </c>
      <c r="U32" s="415">
        <f>T32</f>
        <v>814.15384615384619</v>
      </c>
      <c r="V32" s="416">
        <f>T32-U32</f>
        <v>0</v>
      </c>
      <c r="W32" s="419">
        <f t="shared" si="36"/>
        <v>2235.6923076923076</v>
      </c>
      <c r="X32" s="415">
        <f t="shared" si="36"/>
        <v>0</v>
      </c>
      <c r="Y32" s="416">
        <f>W32+X32</f>
        <v>2235.6923076923076</v>
      </c>
      <c r="Z32" s="330">
        <f t="shared" si="12"/>
        <v>0</v>
      </c>
      <c r="AA32" s="331">
        <f t="shared" si="13"/>
        <v>0</v>
      </c>
      <c r="AB32" s="331">
        <f t="shared" si="14"/>
        <v>0</v>
      </c>
      <c r="AC32" s="149"/>
      <c r="AD32" s="149"/>
      <c r="AE32" s="149"/>
      <c r="AF32" s="149"/>
    </row>
    <row r="33" spans="1:32" ht="36" x14ac:dyDescent="0.35">
      <c r="A33" s="329"/>
      <c r="B33" s="411" t="s">
        <v>263</v>
      </c>
      <c r="C33" s="413">
        <v>1</v>
      </c>
      <c r="D33" s="413" t="s">
        <v>264</v>
      </c>
      <c r="E33" s="413">
        <v>12</v>
      </c>
      <c r="F33" s="414">
        <v>1</v>
      </c>
      <c r="G33" s="454">
        <v>69.849999999999994</v>
      </c>
      <c r="H33" s="423">
        <f>C33*G33*E33</f>
        <v>838.19999999999993</v>
      </c>
      <c r="I33" s="421">
        <f>'[2]Completed Example Fair Share'!$I$34</f>
        <v>755.92439999999999</v>
      </c>
      <c r="J33" s="422">
        <f>H33-I33</f>
        <v>82.27559999999994</v>
      </c>
      <c r="K33" s="417">
        <v>12</v>
      </c>
      <c r="L33" s="413">
        <v>1</v>
      </c>
      <c r="M33" s="421">
        <v>95.63</v>
      </c>
      <c r="N33" s="423">
        <f>K33*M33*L33</f>
        <v>1147.56</v>
      </c>
      <c r="O33" s="423">
        <f>I33*$O$3</f>
        <v>982.62612755999999</v>
      </c>
      <c r="P33" s="422">
        <f>N33-O33</f>
        <v>164.93387243999996</v>
      </c>
      <c r="Q33" s="417">
        <f t="shared" si="35"/>
        <v>12</v>
      </c>
      <c r="R33" s="413">
        <f t="shared" si="35"/>
        <v>1</v>
      </c>
      <c r="S33" s="421">
        <f>M33</f>
        <v>95.63</v>
      </c>
      <c r="T33" s="423">
        <f>Q33*S33*R33</f>
        <v>1147.56</v>
      </c>
      <c r="U33" s="423">
        <f>O33+(O33*$U$3)</f>
        <v>937.71028726923237</v>
      </c>
      <c r="V33" s="422">
        <f>T33-U33</f>
        <v>209.84971273076758</v>
      </c>
      <c r="W33" s="424">
        <f t="shared" si="36"/>
        <v>2676.260814829232</v>
      </c>
      <c r="X33" s="421">
        <f t="shared" si="36"/>
        <v>457.05918517076748</v>
      </c>
      <c r="Y33" s="422">
        <f>W33+X33</f>
        <v>3133.3199999999997</v>
      </c>
      <c r="Z33" s="330">
        <f t="shared" si="12"/>
        <v>0</v>
      </c>
      <c r="AA33" s="331">
        <f t="shared" si="13"/>
        <v>0</v>
      </c>
      <c r="AB33" s="331">
        <f t="shared" si="14"/>
        <v>0</v>
      </c>
      <c r="AC33" s="149"/>
      <c r="AD33" s="149"/>
      <c r="AE33" s="149"/>
      <c r="AF33" s="149"/>
    </row>
    <row r="34" spans="1:32" s="92" customFormat="1" ht="36" x14ac:dyDescent="0.35">
      <c r="A34" s="328"/>
      <c r="B34" s="411" t="s">
        <v>265</v>
      </c>
      <c r="C34" s="413">
        <v>1</v>
      </c>
      <c r="D34" s="413" t="s">
        <v>264</v>
      </c>
      <c r="E34" s="413">
        <v>12</v>
      </c>
      <c r="F34" s="404">
        <v>1</v>
      </c>
      <c r="G34" s="421">
        <f>18000/$G$3</f>
        <v>276.92307692307691</v>
      </c>
      <c r="H34" s="423">
        <f>C34*G34*E34</f>
        <v>3323.0769230769229</v>
      </c>
      <c r="I34" s="421">
        <v>3323</v>
      </c>
      <c r="J34" s="422">
        <f>H34-I34</f>
        <v>7.692307692286704E-2</v>
      </c>
      <c r="K34" s="417">
        <v>12</v>
      </c>
      <c r="L34" s="413">
        <v>1</v>
      </c>
      <c r="M34" s="421">
        <v>379.13200000000001</v>
      </c>
      <c r="N34" s="423">
        <f>K34*M34*L34</f>
        <v>4549.5839999999998</v>
      </c>
      <c r="O34" s="423">
        <f>I34*$O$3</f>
        <v>4319.5677000000005</v>
      </c>
      <c r="P34" s="422">
        <f>N34-O34</f>
        <v>230.01629999999932</v>
      </c>
      <c r="Q34" s="417">
        <f t="shared" si="35"/>
        <v>12</v>
      </c>
      <c r="R34" s="413">
        <f t="shared" si="35"/>
        <v>1</v>
      </c>
      <c r="S34" s="421">
        <f>M34</f>
        <v>379.13200000000001</v>
      </c>
      <c r="T34" s="423">
        <f>Q34*S34*R34</f>
        <v>4549.5839999999998</v>
      </c>
      <c r="U34" s="423">
        <f>O34+(O34*$U$3)</f>
        <v>4122.1202604330001</v>
      </c>
      <c r="V34" s="422">
        <f>T34-U34</f>
        <v>427.46373956699972</v>
      </c>
      <c r="W34" s="424">
        <f t="shared" si="36"/>
        <v>11764.687960433001</v>
      </c>
      <c r="X34" s="421">
        <f t="shared" si="36"/>
        <v>657.55696264392191</v>
      </c>
      <c r="Y34" s="422">
        <f>W34+X34</f>
        <v>12422.244923076923</v>
      </c>
      <c r="Z34" s="330">
        <f t="shared" si="12"/>
        <v>0</v>
      </c>
      <c r="AA34" s="331">
        <f t="shared" si="13"/>
        <v>0</v>
      </c>
      <c r="AB34" s="331">
        <f t="shared" si="14"/>
        <v>0</v>
      </c>
      <c r="AC34" s="149"/>
      <c r="AD34" s="149"/>
      <c r="AE34" s="149"/>
      <c r="AF34" s="149"/>
    </row>
    <row r="35" spans="1:32" s="92" customFormat="1" ht="18" x14ac:dyDescent="0.35">
      <c r="A35" s="328"/>
      <c r="B35" s="426" t="s">
        <v>266</v>
      </c>
      <c r="C35" s="455">
        <f>1969/12</f>
        <v>164.08333333333334</v>
      </c>
      <c r="D35" s="405"/>
      <c r="E35" s="428"/>
      <c r="F35" s="429"/>
      <c r="G35" s="428"/>
      <c r="H35" s="430">
        <f>SUM(H30:H34)</f>
        <v>9352.0461538461532</v>
      </c>
      <c r="I35" s="430">
        <f>SUM(I30:I34)</f>
        <v>9269.6936307692304</v>
      </c>
      <c r="J35" s="431">
        <f>SUM(J30:J34)</f>
        <v>82.352523076922807</v>
      </c>
      <c r="K35" s="409"/>
      <c r="L35" s="405"/>
      <c r="M35" s="428"/>
      <c r="N35" s="430">
        <f>SUM(N30:N34)</f>
        <v>11926.067076923078</v>
      </c>
      <c r="O35" s="430">
        <f>SUM(O30:O34)</f>
        <v>11531.116904483079</v>
      </c>
      <c r="P35" s="431">
        <f>SUM(P30:P34)</f>
        <v>394.95017243999928</v>
      </c>
      <c r="Q35" s="409"/>
      <c r="R35" s="405"/>
      <c r="S35" s="428"/>
      <c r="T35" s="430">
        <f t="shared" ref="T35:Y35" si="37">SUM(T30:T34)</f>
        <v>12237.513230769229</v>
      </c>
      <c r="U35" s="430">
        <f t="shared" si="37"/>
        <v>11600.199778471462</v>
      </c>
      <c r="V35" s="431">
        <f t="shared" si="37"/>
        <v>637.3134522977673</v>
      </c>
      <c r="W35" s="433">
        <f t="shared" si="37"/>
        <v>32401.010313723775</v>
      </c>
      <c r="X35" s="430">
        <f t="shared" si="37"/>
        <v>1114.6161478146894</v>
      </c>
      <c r="Y35" s="431">
        <f t="shared" si="37"/>
        <v>33515.626461538464</v>
      </c>
      <c r="Z35" s="330">
        <f t="shared" si="12"/>
        <v>0</v>
      </c>
      <c r="AA35" s="331">
        <f t="shared" si="13"/>
        <v>0</v>
      </c>
      <c r="AB35" s="331">
        <f t="shared" si="14"/>
        <v>0</v>
      </c>
      <c r="AC35" s="230"/>
      <c r="AD35" s="230"/>
      <c r="AE35" s="230"/>
      <c r="AF35" s="149"/>
    </row>
    <row r="36" spans="1:32" ht="18" x14ac:dyDescent="0.35">
      <c r="A36" s="329"/>
      <c r="B36" s="434" t="s">
        <v>215</v>
      </c>
      <c r="C36" s="438"/>
      <c r="D36" s="438"/>
      <c r="E36" s="436"/>
      <c r="F36" s="437"/>
      <c r="G36" s="436"/>
      <c r="H36" s="456"/>
      <c r="I36" s="457"/>
      <c r="J36" s="458"/>
      <c r="K36" s="441"/>
      <c r="L36" s="438"/>
      <c r="M36" s="436"/>
      <c r="N36" s="456"/>
      <c r="O36" s="457"/>
      <c r="P36" s="458"/>
      <c r="Q36" s="441"/>
      <c r="R36" s="438"/>
      <c r="S36" s="436"/>
      <c r="T36" s="456"/>
      <c r="U36" s="457"/>
      <c r="V36" s="458"/>
      <c r="W36" s="459"/>
      <c r="X36" s="457"/>
      <c r="Y36" s="442"/>
      <c r="Z36" s="330">
        <f t="shared" si="12"/>
        <v>0</v>
      </c>
      <c r="AA36" s="331">
        <f t="shared" si="13"/>
        <v>0</v>
      </c>
      <c r="AB36" s="331">
        <f t="shared" si="14"/>
        <v>0</v>
      </c>
    </row>
    <row r="37" spans="1:32" ht="36" x14ac:dyDescent="0.35">
      <c r="A37" s="329"/>
      <c r="B37" s="460" t="s">
        <v>267</v>
      </c>
      <c r="C37" s="413">
        <v>1</v>
      </c>
      <c r="D37" s="413" t="s">
        <v>264</v>
      </c>
      <c r="E37" s="413">
        <v>12</v>
      </c>
      <c r="F37" s="404">
        <v>1</v>
      </c>
      <c r="G37" s="415">
        <v>223.25</v>
      </c>
      <c r="H37" s="415">
        <f>C37*G37*E37</f>
        <v>2679</v>
      </c>
      <c r="I37" s="415">
        <f>C37*E37*F37*211.54</f>
        <v>2538.48</v>
      </c>
      <c r="J37" s="416">
        <f>H37-I37</f>
        <v>140.51999999999998</v>
      </c>
      <c r="K37" s="417">
        <f>C37</f>
        <v>1</v>
      </c>
      <c r="L37" s="413">
        <f>E37</f>
        <v>12</v>
      </c>
      <c r="M37" s="415">
        <f>G37*1.05</f>
        <v>234.41250000000002</v>
      </c>
      <c r="N37" s="415">
        <f>K37*M37*L37*F37</f>
        <v>2812.9500000000003</v>
      </c>
      <c r="O37" s="415">
        <f>I37*1.05</f>
        <v>2665.404</v>
      </c>
      <c r="P37" s="416">
        <f>N37-O37</f>
        <v>147.54600000000028</v>
      </c>
      <c r="Q37" s="417">
        <f>K37</f>
        <v>1</v>
      </c>
      <c r="R37" s="413">
        <f>L37</f>
        <v>12</v>
      </c>
      <c r="S37" s="415">
        <f>M37*1.05</f>
        <v>246.13312500000004</v>
      </c>
      <c r="T37" s="415">
        <f>Q37*S37*R37*F37</f>
        <v>2953.5975000000003</v>
      </c>
      <c r="U37" s="415">
        <f>O37*1.05</f>
        <v>2798.6741999999999</v>
      </c>
      <c r="V37" s="416">
        <f>T37-U37</f>
        <v>154.92330000000038</v>
      </c>
      <c r="W37" s="419">
        <f>I37+O37+U37</f>
        <v>8002.5581999999995</v>
      </c>
      <c r="X37" s="415">
        <f>J37+P37+V37</f>
        <v>442.98930000000064</v>
      </c>
      <c r="Y37" s="416">
        <f>W37+X37</f>
        <v>8445.5475000000006</v>
      </c>
      <c r="Z37" s="330">
        <f t="shared" si="12"/>
        <v>0</v>
      </c>
      <c r="AA37" s="331">
        <f t="shared" si="13"/>
        <v>0</v>
      </c>
      <c r="AB37" s="331">
        <f t="shared" si="14"/>
        <v>0</v>
      </c>
      <c r="AC37" s="149"/>
      <c r="AD37" s="149"/>
      <c r="AE37" s="149"/>
      <c r="AF37" s="149"/>
    </row>
    <row r="38" spans="1:32" ht="18" x14ac:dyDescent="0.35">
      <c r="A38" s="329"/>
      <c r="B38" s="411" t="s">
        <v>268</v>
      </c>
      <c r="C38" s="413">
        <v>1</v>
      </c>
      <c r="D38" s="413" t="s">
        <v>264</v>
      </c>
      <c r="E38" s="413">
        <v>12</v>
      </c>
      <c r="F38" s="404">
        <v>1</v>
      </c>
      <c r="G38" s="415">
        <f>3000/$G$3</f>
        <v>46.153846153846153</v>
      </c>
      <c r="H38" s="415">
        <f>C38*G38*E38</f>
        <v>553.84615384615381</v>
      </c>
      <c r="I38" s="415">
        <f>H38</f>
        <v>553.84615384615381</v>
      </c>
      <c r="J38" s="416">
        <f>H38-I38</f>
        <v>0</v>
      </c>
      <c r="K38" s="417">
        <f>C38</f>
        <v>1</v>
      </c>
      <c r="L38" s="413">
        <f>E38</f>
        <v>12</v>
      </c>
      <c r="M38" s="415">
        <f>G38*1.05</f>
        <v>48.46153846153846</v>
      </c>
      <c r="N38" s="415">
        <f>K38*M38*L38*F38</f>
        <v>581.53846153846155</v>
      </c>
      <c r="O38" s="415">
        <f>N38</f>
        <v>581.53846153846155</v>
      </c>
      <c r="P38" s="416">
        <f>N38-O38</f>
        <v>0</v>
      </c>
      <c r="Q38" s="417">
        <f>K38</f>
        <v>1</v>
      </c>
      <c r="R38" s="413">
        <f>L38</f>
        <v>12</v>
      </c>
      <c r="S38" s="415">
        <f>M38*1.05</f>
        <v>50.884615384615387</v>
      </c>
      <c r="T38" s="415">
        <f>Q38*S38*R38*F38</f>
        <v>610.61538461538464</v>
      </c>
      <c r="U38" s="415">
        <f>T38</f>
        <v>610.61538461538464</v>
      </c>
      <c r="V38" s="416">
        <f>T38-U38</f>
        <v>0</v>
      </c>
      <c r="W38" s="419">
        <f>I38+O38+U38</f>
        <v>1746</v>
      </c>
      <c r="X38" s="415">
        <f>J38+P38+V38</f>
        <v>0</v>
      </c>
      <c r="Y38" s="416">
        <f>W38+X38</f>
        <v>1746</v>
      </c>
      <c r="Z38" s="330">
        <f t="shared" si="12"/>
        <v>0</v>
      </c>
      <c r="AA38" s="331">
        <f t="shared" si="13"/>
        <v>0</v>
      </c>
      <c r="AB38" s="331">
        <f t="shared" si="14"/>
        <v>0</v>
      </c>
      <c r="AC38" s="149"/>
      <c r="AD38" s="149"/>
      <c r="AE38" s="149"/>
      <c r="AF38" s="149"/>
    </row>
    <row r="39" spans="1:32" ht="18" x14ac:dyDescent="0.35">
      <c r="A39" s="329"/>
      <c r="B39" s="426" t="s">
        <v>269</v>
      </c>
      <c r="C39" s="413"/>
      <c r="D39" s="413"/>
      <c r="E39" s="461"/>
      <c r="F39" s="404"/>
      <c r="G39" s="461"/>
      <c r="H39" s="430">
        <f>SUM(H37:H38)</f>
        <v>3232.8461538461538</v>
      </c>
      <c r="I39" s="430">
        <f>SUM(I37:I38)</f>
        <v>3092.3261538461538</v>
      </c>
      <c r="J39" s="431">
        <f>SUM(J37:J38)</f>
        <v>140.51999999999998</v>
      </c>
      <c r="K39" s="417"/>
      <c r="L39" s="413"/>
      <c r="M39" s="461"/>
      <c r="N39" s="430">
        <f>SUM(N37:N38)</f>
        <v>3394.4884615384617</v>
      </c>
      <c r="O39" s="430">
        <f>SUM(O37:O38)</f>
        <v>3246.9424615384614</v>
      </c>
      <c r="P39" s="431">
        <f>SUM(P37:P38)</f>
        <v>147.54600000000028</v>
      </c>
      <c r="Q39" s="417"/>
      <c r="R39" s="413"/>
      <c r="S39" s="415"/>
      <c r="T39" s="430">
        <f t="shared" ref="T39:Y39" si="38">SUM(T37:T38)</f>
        <v>3564.2128846153851</v>
      </c>
      <c r="U39" s="430">
        <f t="shared" si="38"/>
        <v>3409.2895846153847</v>
      </c>
      <c r="V39" s="431">
        <f t="shared" si="38"/>
        <v>154.92330000000038</v>
      </c>
      <c r="W39" s="433">
        <f t="shared" si="38"/>
        <v>9748.5581999999995</v>
      </c>
      <c r="X39" s="430">
        <f t="shared" si="38"/>
        <v>442.98930000000064</v>
      </c>
      <c r="Y39" s="431">
        <f t="shared" si="38"/>
        <v>10191.547500000001</v>
      </c>
      <c r="Z39" s="330">
        <f t="shared" si="12"/>
        <v>0</v>
      </c>
      <c r="AA39" s="331">
        <f t="shared" si="13"/>
        <v>0</v>
      </c>
      <c r="AB39" s="331">
        <f t="shared" si="14"/>
        <v>0</v>
      </c>
      <c r="AC39" s="230"/>
      <c r="AD39" s="230"/>
      <c r="AE39" s="230"/>
      <c r="AF39" s="149"/>
    </row>
    <row r="40" spans="1:32" ht="18" x14ac:dyDescent="0.35">
      <c r="A40" s="329"/>
      <c r="B40" s="434" t="s">
        <v>270</v>
      </c>
      <c r="C40" s="438"/>
      <c r="D40" s="438"/>
      <c r="E40" s="435"/>
      <c r="F40" s="437"/>
      <c r="G40" s="435"/>
      <c r="H40" s="456"/>
      <c r="I40" s="462"/>
      <c r="J40" s="463"/>
      <c r="K40" s="441"/>
      <c r="L40" s="438"/>
      <c r="M40" s="435"/>
      <c r="N40" s="456"/>
      <c r="O40" s="457"/>
      <c r="P40" s="458"/>
      <c r="Q40" s="441"/>
      <c r="R40" s="438"/>
      <c r="S40" s="435"/>
      <c r="T40" s="456"/>
      <c r="U40" s="457"/>
      <c r="V40" s="458"/>
      <c r="W40" s="459"/>
      <c r="X40" s="457"/>
      <c r="Y40" s="442"/>
      <c r="Z40" s="330">
        <f t="shared" si="12"/>
        <v>0</v>
      </c>
      <c r="AA40" s="331">
        <f t="shared" si="13"/>
        <v>0</v>
      </c>
      <c r="AB40" s="331">
        <f t="shared" si="14"/>
        <v>0</v>
      </c>
    </row>
    <row r="41" spans="1:32" ht="18" x14ac:dyDescent="0.35">
      <c r="A41" s="329"/>
      <c r="B41" s="411" t="s">
        <v>271</v>
      </c>
      <c r="C41" s="413">
        <v>1</v>
      </c>
      <c r="D41" s="464" t="s">
        <v>272</v>
      </c>
      <c r="E41" s="413">
        <v>1</v>
      </c>
      <c r="F41" s="404">
        <v>1</v>
      </c>
      <c r="G41" s="415">
        <f>'Subgrantee Budget'!H51</f>
        <v>154675.38461538462</v>
      </c>
      <c r="H41" s="415">
        <f>'Subgrantee Budget'!H51</f>
        <v>154675.38461538462</v>
      </c>
      <c r="I41" s="415">
        <f>'Subgrantee Budget'!I51</f>
        <v>125290.76923076923</v>
      </c>
      <c r="J41" s="416">
        <f>'Subgrantee Budget'!J51</f>
        <v>29384.615384615387</v>
      </c>
      <c r="K41" s="417">
        <v>1</v>
      </c>
      <c r="L41" s="413">
        <v>1</v>
      </c>
      <c r="M41" s="415">
        <f>'Subgrantee Budget'!K51</f>
        <v>156630.38461538462</v>
      </c>
      <c r="N41" s="415">
        <f>'Subgrantee Budget'!K51</f>
        <v>156630.38461538462</v>
      </c>
      <c r="O41" s="415">
        <f>'Subgrantee Budget'!L51</f>
        <v>113707.3076923077</v>
      </c>
      <c r="P41" s="416">
        <f>'Subgrantee Budget'!M51</f>
        <v>42923.076923076922</v>
      </c>
      <c r="Q41" s="417">
        <v>1</v>
      </c>
      <c r="R41" s="413">
        <f>L41</f>
        <v>1</v>
      </c>
      <c r="S41" s="415">
        <f>'Subgrantee Budget'!N51</f>
        <v>151365.0384615385</v>
      </c>
      <c r="T41" s="415">
        <f>Q41*S41*R41*F41</f>
        <v>151365.0384615385</v>
      </c>
      <c r="U41" s="415">
        <f>'Subgrantee Budget'!O51</f>
        <v>116576</v>
      </c>
      <c r="V41" s="416">
        <f>'Subgrantee Budget'!P51</f>
        <v>34789.038461538461</v>
      </c>
      <c r="W41" s="419">
        <f>I41+O41+U41</f>
        <v>355574.07692307694</v>
      </c>
      <c r="X41" s="415">
        <f>J41+P41+V41</f>
        <v>107096.73076923078</v>
      </c>
      <c r="Y41" s="416">
        <f>W41+X41</f>
        <v>462670.80769230775</v>
      </c>
      <c r="Z41" s="330">
        <f t="shared" si="12"/>
        <v>0</v>
      </c>
      <c r="AA41" s="331">
        <f t="shared" si="13"/>
        <v>0</v>
      </c>
      <c r="AB41" s="331">
        <f t="shared" si="14"/>
        <v>0</v>
      </c>
      <c r="AC41" s="149"/>
      <c r="AD41" s="149"/>
      <c r="AE41" s="149"/>
      <c r="AF41" s="149"/>
    </row>
    <row r="42" spans="1:32" ht="54" x14ac:dyDescent="0.35">
      <c r="A42" s="329"/>
      <c r="B42" s="411" t="s">
        <v>273</v>
      </c>
      <c r="C42" s="413">
        <v>10</v>
      </c>
      <c r="D42" s="464" t="s">
        <v>272</v>
      </c>
      <c r="E42" s="413">
        <v>12</v>
      </c>
      <c r="F42" s="404">
        <v>1</v>
      </c>
      <c r="G42" s="415">
        <f>3000/$G$3</f>
        <v>46.153846153846153</v>
      </c>
      <c r="H42" s="418">
        <f>C42*G42*E42</f>
        <v>5538.461538461539</v>
      </c>
      <c r="I42" s="415">
        <v>0</v>
      </c>
      <c r="J42" s="416">
        <f>H42-I42</f>
        <v>5538.461538461539</v>
      </c>
      <c r="K42" s="417">
        <f>C42</f>
        <v>10</v>
      </c>
      <c r="L42" s="413">
        <f>E42</f>
        <v>12</v>
      </c>
      <c r="M42" s="415">
        <f>G42*1.05</f>
        <v>48.46153846153846</v>
      </c>
      <c r="N42" s="418">
        <f>6*E42*F42*G42</f>
        <v>3323.0769230769229</v>
      </c>
      <c r="O42" s="415">
        <v>0</v>
      </c>
      <c r="P42" s="416">
        <f>N42-O42</f>
        <v>3323.0769230769229</v>
      </c>
      <c r="Q42" s="417">
        <f>K42</f>
        <v>10</v>
      </c>
      <c r="R42" s="413">
        <f>L42</f>
        <v>12</v>
      </c>
      <c r="S42" s="415">
        <f>M42*1.05</f>
        <v>50.884615384615387</v>
      </c>
      <c r="T42" s="418">
        <f>4*E42*F42*G42</f>
        <v>2215.3846153846152</v>
      </c>
      <c r="U42" s="415">
        <v>0</v>
      </c>
      <c r="V42" s="416">
        <f>T42-U42</f>
        <v>2215.3846153846152</v>
      </c>
      <c r="W42" s="419">
        <f>I42+O42+U42</f>
        <v>0</v>
      </c>
      <c r="X42" s="415">
        <f>J42+P42+V42</f>
        <v>11076.923076923076</v>
      </c>
      <c r="Y42" s="416">
        <f>W42+X42</f>
        <v>11076.923076923076</v>
      </c>
      <c r="Z42" s="330">
        <f t="shared" si="12"/>
        <v>0</v>
      </c>
      <c r="AA42" s="331">
        <f t="shared" si="13"/>
        <v>0</v>
      </c>
      <c r="AB42" s="331">
        <f t="shared" si="14"/>
        <v>0</v>
      </c>
      <c r="AC42" s="149"/>
      <c r="AD42" s="149"/>
      <c r="AE42" s="149"/>
      <c r="AF42" s="149"/>
    </row>
    <row r="43" spans="1:32" s="92" customFormat="1" ht="18" x14ac:dyDescent="0.35">
      <c r="A43" s="328"/>
      <c r="B43" s="426" t="s">
        <v>274</v>
      </c>
      <c r="C43" s="405"/>
      <c r="D43" s="405"/>
      <c r="E43" s="465"/>
      <c r="F43" s="429"/>
      <c r="G43" s="465"/>
      <c r="H43" s="430">
        <f>SUM(H41:H42)</f>
        <v>160213.84615384616</v>
      </c>
      <c r="I43" s="430">
        <f t="shared" ref="I43:Y43" si="39">SUM(I41:I42)</f>
        <v>125290.76923076923</v>
      </c>
      <c r="J43" s="431">
        <f t="shared" si="39"/>
        <v>34923.076923076922</v>
      </c>
      <c r="K43" s="433"/>
      <c r="L43" s="430"/>
      <c r="M43" s="430">
        <f t="shared" si="39"/>
        <v>156678.84615384616</v>
      </c>
      <c r="N43" s="430">
        <f t="shared" si="39"/>
        <v>159953.46153846156</v>
      </c>
      <c r="O43" s="430">
        <f t="shared" si="39"/>
        <v>113707.3076923077</v>
      </c>
      <c r="P43" s="431">
        <f t="shared" si="39"/>
        <v>46246.153846153844</v>
      </c>
      <c r="Q43" s="433"/>
      <c r="R43" s="430"/>
      <c r="S43" s="430">
        <f t="shared" si="39"/>
        <v>151415.92307692312</v>
      </c>
      <c r="T43" s="430">
        <f t="shared" si="39"/>
        <v>153580.42307692312</v>
      </c>
      <c r="U43" s="430">
        <f t="shared" si="39"/>
        <v>116576</v>
      </c>
      <c r="V43" s="431">
        <f t="shared" si="39"/>
        <v>37004.423076923078</v>
      </c>
      <c r="W43" s="433">
        <f t="shared" si="39"/>
        <v>355574.07692307694</v>
      </c>
      <c r="X43" s="430">
        <f t="shared" si="39"/>
        <v>118173.65384615386</v>
      </c>
      <c r="Y43" s="431">
        <f t="shared" si="39"/>
        <v>473747.73076923081</v>
      </c>
      <c r="Z43" s="330">
        <f t="shared" si="12"/>
        <v>0</v>
      </c>
      <c r="AA43" s="331">
        <f t="shared" si="13"/>
        <v>0</v>
      </c>
      <c r="AB43" s="331">
        <f t="shared" si="14"/>
        <v>0</v>
      </c>
      <c r="AC43" s="230"/>
      <c r="AD43" s="230"/>
      <c r="AE43" s="230"/>
      <c r="AF43" s="149"/>
    </row>
    <row r="44" spans="1:32" ht="18" x14ac:dyDescent="0.35">
      <c r="A44" s="329"/>
      <c r="B44" s="434" t="s">
        <v>217</v>
      </c>
      <c r="C44" s="457"/>
      <c r="D44" s="457"/>
      <c r="E44" s="466"/>
      <c r="F44" s="467"/>
      <c r="G44" s="466"/>
      <c r="H44" s="468"/>
      <c r="I44" s="457"/>
      <c r="J44" s="458"/>
      <c r="K44" s="459"/>
      <c r="L44" s="457"/>
      <c r="M44" s="466"/>
      <c r="N44" s="468"/>
      <c r="O44" s="457"/>
      <c r="P44" s="458"/>
      <c r="Q44" s="459"/>
      <c r="R44" s="457"/>
      <c r="S44" s="466"/>
      <c r="T44" s="468"/>
      <c r="U44" s="457"/>
      <c r="V44" s="458"/>
      <c r="W44" s="459"/>
      <c r="X44" s="457"/>
      <c r="Y44" s="442"/>
      <c r="Z44" s="330">
        <f t="shared" si="12"/>
        <v>0</v>
      </c>
      <c r="AA44" s="331">
        <f t="shared" si="13"/>
        <v>0</v>
      </c>
      <c r="AB44" s="331">
        <f t="shared" si="14"/>
        <v>0</v>
      </c>
    </row>
    <row r="45" spans="1:32" ht="36" x14ac:dyDescent="0.35">
      <c r="A45" s="329"/>
      <c r="B45" s="411" t="s">
        <v>275</v>
      </c>
      <c r="C45" s="413">
        <v>1</v>
      </c>
      <c r="D45" s="453" t="s">
        <v>276</v>
      </c>
      <c r="E45" s="413">
        <v>1</v>
      </c>
      <c r="F45" s="404">
        <v>1</v>
      </c>
      <c r="G45" s="415">
        <f>60000/$G$3</f>
        <v>923.07692307692309</v>
      </c>
      <c r="H45" s="415">
        <f t="shared" ref="H45:H53" si="40">C45*G45*E45*F45</f>
        <v>923.07692307692309</v>
      </c>
      <c r="I45" s="415">
        <f t="shared" ref="I45:I50" si="41">H45</f>
        <v>923.07692307692309</v>
      </c>
      <c r="J45" s="416">
        <f t="shared" ref="J45:J51" si="42">H45-I45</f>
        <v>0</v>
      </c>
      <c r="K45" s="417">
        <f>C45</f>
        <v>1</v>
      </c>
      <c r="L45" s="413">
        <v>1</v>
      </c>
      <c r="M45" s="415">
        <v>922.5</v>
      </c>
      <c r="N45" s="415">
        <f>K45*M45*L45*F45</f>
        <v>922.5</v>
      </c>
      <c r="O45" s="415">
        <f t="shared" ref="O45:O50" si="43">N45</f>
        <v>922.5</v>
      </c>
      <c r="P45" s="416">
        <f t="shared" ref="P45:P53" si="44">N45-O45</f>
        <v>0</v>
      </c>
      <c r="Q45" s="417">
        <f>K45</f>
        <v>1</v>
      </c>
      <c r="R45" s="413">
        <f>L45</f>
        <v>1</v>
      </c>
      <c r="S45" s="421">
        <v>11385</v>
      </c>
      <c r="T45" s="415">
        <f>Q45*S45*R45*F45</f>
        <v>11385</v>
      </c>
      <c r="U45" s="415">
        <f t="shared" ref="U45:U50" si="45">T45</f>
        <v>11385</v>
      </c>
      <c r="V45" s="416">
        <f>T45-U45</f>
        <v>0</v>
      </c>
      <c r="W45" s="419">
        <f t="shared" ref="W45:X48" si="46">I45+O45+U45</f>
        <v>13230.576923076924</v>
      </c>
      <c r="X45" s="415">
        <f t="shared" si="46"/>
        <v>0</v>
      </c>
      <c r="Y45" s="416">
        <f t="shared" ref="Y45:Y53" si="47">W45+X45</f>
        <v>13230.576923076924</v>
      </c>
      <c r="Z45" s="330">
        <f t="shared" si="12"/>
        <v>0</v>
      </c>
      <c r="AA45" s="331">
        <f t="shared" si="13"/>
        <v>0</v>
      </c>
      <c r="AB45" s="331">
        <f t="shared" si="14"/>
        <v>0</v>
      </c>
      <c r="AC45" s="149"/>
      <c r="AD45" s="149"/>
      <c r="AE45" s="149"/>
      <c r="AF45" s="149"/>
    </row>
    <row r="46" spans="1:32" ht="18" x14ac:dyDescent="0.35">
      <c r="A46" s="329"/>
      <c r="B46" s="411" t="s">
        <v>277</v>
      </c>
      <c r="C46" s="413">
        <v>1</v>
      </c>
      <c r="D46" s="469" t="s">
        <v>276</v>
      </c>
      <c r="E46" s="413">
        <v>1</v>
      </c>
      <c r="F46" s="404">
        <v>1</v>
      </c>
      <c r="G46" s="415">
        <v>20000</v>
      </c>
      <c r="H46" s="415">
        <f t="shared" si="40"/>
        <v>20000</v>
      </c>
      <c r="I46" s="415">
        <f t="shared" si="41"/>
        <v>20000</v>
      </c>
      <c r="J46" s="416">
        <v>0</v>
      </c>
      <c r="K46" s="417">
        <v>1</v>
      </c>
      <c r="L46" s="413">
        <v>1</v>
      </c>
      <c r="M46" s="415">
        <v>20000</v>
      </c>
      <c r="N46" s="415">
        <f>K46*M46*L46*F46</f>
        <v>20000</v>
      </c>
      <c r="O46" s="415">
        <f t="shared" si="43"/>
        <v>20000</v>
      </c>
      <c r="P46" s="416">
        <v>0</v>
      </c>
      <c r="Q46" s="417">
        <v>1</v>
      </c>
      <c r="R46" s="413">
        <v>1</v>
      </c>
      <c r="S46" s="421">
        <v>20000</v>
      </c>
      <c r="T46" s="415">
        <f>Q46*S46*R46*F46</f>
        <v>20000</v>
      </c>
      <c r="U46" s="415">
        <f t="shared" si="45"/>
        <v>20000</v>
      </c>
      <c r="V46" s="416">
        <v>0</v>
      </c>
      <c r="W46" s="419">
        <f t="shared" si="46"/>
        <v>60000</v>
      </c>
      <c r="X46" s="415">
        <v>0</v>
      </c>
      <c r="Y46" s="416">
        <f t="shared" si="47"/>
        <v>60000</v>
      </c>
      <c r="Z46" s="330"/>
      <c r="AA46" s="331"/>
      <c r="AB46" s="331"/>
      <c r="AC46" s="149"/>
      <c r="AD46" s="149"/>
      <c r="AE46" s="149"/>
      <c r="AF46" s="149"/>
    </row>
    <row r="47" spans="1:32" ht="18" x14ac:dyDescent="0.35">
      <c r="A47" s="329"/>
      <c r="B47" s="411" t="s">
        <v>278</v>
      </c>
      <c r="C47" s="413">
        <v>1</v>
      </c>
      <c r="D47" s="470" t="s">
        <v>272</v>
      </c>
      <c r="E47" s="413">
        <v>1</v>
      </c>
      <c r="F47" s="404">
        <v>1</v>
      </c>
      <c r="G47" s="415">
        <f>40000/$G$3</f>
        <v>615.38461538461536</v>
      </c>
      <c r="H47" s="415">
        <f t="shared" si="40"/>
        <v>615.38461538461536</v>
      </c>
      <c r="I47" s="415">
        <f t="shared" si="41"/>
        <v>615.38461538461536</v>
      </c>
      <c r="J47" s="416">
        <f t="shared" si="42"/>
        <v>0</v>
      </c>
      <c r="K47" s="417"/>
      <c r="L47" s="413"/>
      <c r="M47" s="415">
        <v>0</v>
      </c>
      <c r="N47" s="415">
        <v>0</v>
      </c>
      <c r="O47" s="415">
        <f t="shared" si="43"/>
        <v>0</v>
      </c>
      <c r="P47" s="416">
        <f t="shared" si="44"/>
        <v>0</v>
      </c>
      <c r="Q47" s="417"/>
      <c r="R47" s="413"/>
      <c r="S47" s="415">
        <v>0</v>
      </c>
      <c r="T47" s="415">
        <v>0</v>
      </c>
      <c r="U47" s="415">
        <f t="shared" si="45"/>
        <v>0</v>
      </c>
      <c r="V47" s="416">
        <v>0</v>
      </c>
      <c r="W47" s="419">
        <f t="shared" si="46"/>
        <v>615.38461538461536</v>
      </c>
      <c r="X47" s="415">
        <f t="shared" si="46"/>
        <v>0</v>
      </c>
      <c r="Y47" s="416">
        <f t="shared" si="47"/>
        <v>615.38461538461536</v>
      </c>
      <c r="Z47" s="330">
        <f t="shared" si="12"/>
        <v>0</v>
      </c>
      <c r="AA47" s="331">
        <f t="shared" si="13"/>
        <v>0</v>
      </c>
      <c r="AB47" s="331">
        <f t="shared" si="14"/>
        <v>0</v>
      </c>
      <c r="AC47" s="149"/>
      <c r="AD47" s="149"/>
      <c r="AE47" s="149"/>
      <c r="AF47" s="149"/>
    </row>
    <row r="48" spans="1:32" ht="18" x14ac:dyDescent="0.35">
      <c r="A48" s="329"/>
      <c r="B48" s="411" t="s">
        <v>279</v>
      </c>
      <c r="C48" s="413">
        <v>1</v>
      </c>
      <c r="D48" s="471" t="s">
        <v>280</v>
      </c>
      <c r="E48" s="413">
        <v>1</v>
      </c>
      <c r="F48" s="404">
        <v>1</v>
      </c>
      <c r="G48" s="415">
        <f>30000/$G$3</f>
        <v>461.53846153846155</v>
      </c>
      <c r="H48" s="415">
        <f t="shared" si="40"/>
        <v>461.53846153846155</v>
      </c>
      <c r="I48" s="415">
        <f t="shared" si="41"/>
        <v>461.53846153846155</v>
      </c>
      <c r="J48" s="416">
        <f t="shared" si="42"/>
        <v>0</v>
      </c>
      <c r="K48" s="417"/>
      <c r="L48" s="413"/>
      <c r="M48" s="415">
        <v>0</v>
      </c>
      <c r="N48" s="415">
        <v>0</v>
      </c>
      <c r="O48" s="415">
        <f t="shared" si="43"/>
        <v>0</v>
      </c>
      <c r="P48" s="416">
        <f t="shared" si="44"/>
        <v>0</v>
      </c>
      <c r="Q48" s="417"/>
      <c r="R48" s="413"/>
      <c r="S48" s="415">
        <v>0</v>
      </c>
      <c r="T48" s="415">
        <v>0</v>
      </c>
      <c r="U48" s="415">
        <f t="shared" si="45"/>
        <v>0</v>
      </c>
      <c r="V48" s="416">
        <v>0</v>
      </c>
      <c r="W48" s="419">
        <f t="shared" si="46"/>
        <v>461.53846153846155</v>
      </c>
      <c r="X48" s="415">
        <f t="shared" si="46"/>
        <v>0</v>
      </c>
      <c r="Y48" s="416">
        <f t="shared" si="47"/>
        <v>461.53846153846155</v>
      </c>
      <c r="Z48" s="330">
        <f t="shared" si="12"/>
        <v>0</v>
      </c>
      <c r="AA48" s="331">
        <f t="shared" si="13"/>
        <v>0</v>
      </c>
      <c r="AB48" s="331">
        <f t="shared" si="14"/>
        <v>0</v>
      </c>
      <c r="AC48" s="149"/>
      <c r="AD48" s="149"/>
      <c r="AE48" s="149"/>
      <c r="AF48" s="149"/>
    </row>
    <row r="49" spans="1:32" ht="18" x14ac:dyDescent="0.35">
      <c r="A49" s="329"/>
      <c r="B49" s="411" t="s">
        <v>281</v>
      </c>
      <c r="C49" s="413">
        <v>1</v>
      </c>
      <c r="D49" s="413" t="s">
        <v>264</v>
      </c>
      <c r="E49" s="413">
        <v>12</v>
      </c>
      <c r="F49" s="404">
        <v>1</v>
      </c>
      <c r="G49" s="415">
        <f>15750/$G$3</f>
        <v>242.30769230769232</v>
      </c>
      <c r="H49" s="415">
        <f t="shared" si="40"/>
        <v>2907.6923076923076</v>
      </c>
      <c r="I49" s="415">
        <f t="shared" si="41"/>
        <v>2907.6923076923076</v>
      </c>
      <c r="J49" s="416">
        <f t="shared" si="42"/>
        <v>0</v>
      </c>
      <c r="K49" s="417">
        <f>C49</f>
        <v>1</v>
      </c>
      <c r="L49" s="413">
        <f>E49</f>
        <v>12</v>
      </c>
      <c r="M49" s="415">
        <f>G49*1.05</f>
        <v>254.42307692307693</v>
      </c>
      <c r="N49" s="415">
        <f>K49*M49*L49*F49</f>
        <v>3053.0769230769233</v>
      </c>
      <c r="O49" s="415">
        <f t="shared" si="43"/>
        <v>3053.0769230769233</v>
      </c>
      <c r="P49" s="416">
        <f t="shared" si="44"/>
        <v>0</v>
      </c>
      <c r="Q49" s="417">
        <f t="shared" ref="Q49:R53" si="48">K49</f>
        <v>1</v>
      </c>
      <c r="R49" s="413">
        <f t="shared" si="48"/>
        <v>12</v>
      </c>
      <c r="S49" s="415">
        <f>M49*1.05</f>
        <v>267.14423076923077</v>
      </c>
      <c r="T49" s="415">
        <f>Q49*S49*R49*F49</f>
        <v>3205.7307692307695</v>
      </c>
      <c r="U49" s="415">
        <f t="shared" si="45"/>
        <v>3205.7307692307695</v>
      </c>
      <c r="V49" s="416">
        <f>T49-U49</f>
        <v>0</v>
      </c>
      <c r="W49" s="419">
        <f t="shared" ref="W49:X53" si="49">I49+O49+U49</f>
        <v>9166.5</v>
      </c>
      <c r="X49" s="415">
        <f t="shared" si="49"/>
        <v>0</v>
      </c>
      <c r="Y49" s="416">
        <f t="shared" si="47"/>
        <v>9166.5</v>
      </c>
      <c r="Z49" s="330">
        <f t="shared" si="12"/>
        <v>0</v>
      </c>
      <c r="AA49" s="331">
        <f t="shared" si="13"/>
        <v>0</v>
      </c>
      <c r="AB49" s="331">
        <f t="shared" si="14"/>
        <v>0</v>
      </c>
      <c r="AC49" s="149"/>
      <c r="AD49" s="149"/>
      <c r="AE49" s="149"/>
      <c r="AF49" s="149"/>
    </row>
    <row r="50" spans="1:32" ht="36" x14ac:dyDescent="0.35">
      <c r="A50" s="329"/>
      <c r="B50" s="472" t="s">
        <v>282</v>
      </c>
      <c r="C50" s="413">
        <v>1</v>
      </c>
      <c r="D50" s="413" t="s">
        <v>264</v>
      </c>
      <c r="E50" s="413">
        <v>12</v>
      </c>
      <c r="F50" s="404">
        <v>1</v>
      </c>
      <c r="G50" s="415">
        <f>70026.5/$G$3</f>
        <v>1077.3307692307692</v>
      </c>
      <c r="H50" s="415">
        <f t="shared" si="40"/>
        <v>12927.969230769231</v>
      </c>
      <c r="I50" s="415">
        <f t="shared" si="41"/>
        <v>12927.969230769231</v>
      </c>
      <c r="J50" s="416">
        <f t="shared" si="42"/>
        <v>0</v>
      </c>
      <c r="K50" s="417">
        <f>C50</f>
        <v>1</v>
      </c>
      <c r="L50" s="413">
        <f>E50</f>
        <v>12</v>
      </c>
      <c r="M50" s="415">
        <f>G50*1.05</f>
        <v>1131.1973076923077</v>
      </c>
      <c r="N50" s="415">
        <f>K50*M50*L50*F50</f>
        <v>13574.367692307693</v>
      </c>
      <c r="O50" s="415">
        <f t="shared" si="43"/>
        <v>13574.367692307693</v>
      </c>
      <c r="P50" s="416">
        <f t="shared" si="44"/>
        <v>0</v>
      </c>
      <c r="Q50" s="417">
        <f t="shared" si="48"/>
        <v>1</v>
      </c>
      <c r="R50" s="413">
        <f t="shared" si="48"/>
        <v>12</v>
      </c>
      <c r="S50" s="415">
        <f>M50*1.05</f>
        <v>1187.7571730769232</v>
      </c>
      <c r="T50" s="415">
        <f>Q50*S50*R50*F50</f>
        <v>14253.086076923079</v>
      </c>
      <c r="U50" s="415">
        <f t="shared" si="45"/>
        <v>14253.086076923079</v>
      </c>
      <c r="V50" s="416">
        <f>T50-U50</f>
        <v>0</v>
      </c>
      <c r="W50" s="419">
        <f t="shared" si="49"/>
        <v>40755.423000000003</v>
      </c>
      <c r="X50" s="415">
        <f t="shared" si="49"/>
        <v>0</v>
      </c>
      <c r="Y50" s="416">
        <f t="shared" si="47"/>
        <v>40755.423000000003</v>
      </c>
      <c r="Z50" s="330">
        <f t="shared" si="12"/>
        <v>0</v>
      </c>
      <c r="AA50" s="331">
        <f t="shared" si="13"/>
        <v>0</v>
      </c>
      <c r="AB50" s="331">
        <f t="shared" si="14"/>
        <v>0</v>
      </c>
      <c r="AC50" s="149"/>
      <c r="AD50" s="149"/>
      <c r="AE50" s="149"/>
      <c r="AF50" s="149"/>
    </row>
    <row r="51" spans="1:32" ht="18" x14ac:dyDescent="0.35">
      <c r="A51" s="329"/>
      <c r="B51" s="411" t="s">
        <v>283</v>
      </c>
      <c r="C51" s="413">
        <v>1</v>
      </c>
      <c r="D51" s="413" t="s">
        <v>264</v>
      </c>
      <c r="E51" s="413">
        <v>12</v>
      </c>
      <c r="F51" s="414">
        <v>1</v>
      </c>
      <c r="G51" s="421">
        <v>90.25</v>
      </c>
      <c r="H51" s="421">
        <f t="shared" si="40"/>
        <v>1083</v>
      </c>
      <c r="I51" s="421">
        <f>'[2]Completed Example Fair Share'!$I$50</f>
        <v>851.28</v>
      </c>
      <c r="J51" s="422">
        <f t="shared" si="42"/>
        <v>231.72000000000003</v>
      </c>
      <c r="K51" s="417">
        <f>C51</f>
        <v>1</v>
      </c>
      <c r="L51" s="413">
        <f>E51</f>
        <v>12</v>
      </c>
      <c r="M51" s="421">
        <v>123.56</v>
      </c>
      <c r="N51" s="421">
        <f>K51*M51*L51*F51</f>
        <v>1482.72</v>
      </c>
      <c r="O51" s="423">
        <f>I51*$O$3</f>
        <v>1106.578872</v>
      </c>
      <c r="P51" s="422">
        <f t="shared" si="44"/>
        <v>376.14112799999998</v>
      </c>
      <c r="Q51" s="417">
        <f t="shared" si="48"/>
        <v>1</v>
      </c>
      <c r="R51" s="413">
        <f t="shared" si="48"/>
        <v>12</v>
      </c>
      <c r="S51" s="421">
        <f>M51</f>
        <v>123.56</v>
      </c>
      <c r="T51" s="421">
        <f>Q51*S51*R51*F51</f>
        <v>1482.72</v>
      </c>
      <c r="U51" s="423">
        <f>O51+(O51*$U$3)</f>
        <v>1055.9971517608801</v>
      </c>
      <c r="V51" s="422">
        <f>T51-U51</f>
        <v>426.72284823911991</v>
      </c>
      <c r="W51" s="424">
        <f t="shared" si="49"/>
        <v>3013.8560237608799</v>
      </c>
      <c r="X51" s="421">
        <f t="shared" si="49"/>
        <v>1034.5839762391199</v>
      </c>
      <c r="Y51" s="422">
        <f t="shared" si="47"/>
        <v>4048.4399999999996</v>
      </c>
      <c r="Z51" s="330">
        <f t="shared" si="12"/>
        <v>0</v>
      </c>
      <c r="AA51" s="331">
        <f t="shared" si="13"/>
        <v>0</v>
      </c>
      <c r="AB51" s="331">
        <f t="shared" si="14"/>
        <v>0</v>
      </c>
      <c r="AC51" s="149"/>
      <c r="AD51" s="149"/>
      <c r="AE51" s="149"/>
      <c r="AF51" s="149"/>
    </row>
    <row r="52" spans="1:32" ht="54" x14ac:dyDescent="0.35">
      <c r="A52" s="329"/>
      <c r="B52" s="411" t="s">
        <v>284</v>
      </c>
      <c r="C52" s="413">
        <v>1</v>
      </c>
      <c r="D52" s="413" t="s">
        <v>264</v>
      </c>
      <c r="E52" s="413">
        <v>12</v>
      </c>
      <c r="F52" s="414">
        <v>1</v>
      </c>
      <c r="G52" s="421">
        <v>67.559999999999988</v>
      </c>
      <c r="H52" s="421">
        <f>C52*G52*E52*F52</f>
        <v>810.7199999999998</v>
      </c>
      <c r="I52" s="421">
        <f>'[2]Completed Example Fair Share'!$I$57+'[2]Completed Example Fair Share'!$I$58</f>
        <v>805.31999999999994</v>
      </c>
      <c r="J52" s="422">
        <f>H52-I52</f>
        <v>5.3999999999998636</v>
      </c>
      <c r="K52" s="417">
        <f>C52</f>
        <v>1</v>
      </c>
      <c r="L52" s="413">
        <f>E52</f>
        <v>12</v>
      </c>
      <c r="M52" s="421">
        <v>92.495999999999995</v>
      </c>
      <c r="N52" s="421">
        <f>K52*M52*L52*F52</f>
        <v>1109.952</v>
      </c>
      <c r="O52" s="423">
        <f>I52*$O$3</f>
        <v>1046.835468</v>
      </c>
      <c r="P52" s="422">
        <f t="shared" si="44"/>
        <v>63.116532000000007</v>
      </c>
      <c r="Q52" s="417">
        <f>K52</f>
        <v>1</v>
      </c>
      <c r="R52" s="413">
        <f>L52</f>
        <v>12</v>
      </c>
      <c r="S52" s="421">
        <f>M52</f>
        <v>92.495999999999995</v>
      </c>
      <c r="T52" s="421">
        <f>Q52*S52*R52*F52</f>
        <v>1109.952</v>
      </c>
      <c r="U52" s="423">
        <f>O52+(O52*$U$3)</f>
        <v>998.98461875772</v>
      </c>
      <c r="V52" s="422">
        <f>T52-U52</f>
        <v>110.96738124228</v>
      </c>
      <c r="W52" s="424">
        <f>I52+O52+U52</f>
        <v>2851.1400867577199</v>
      </c>
      <c r="X52" s="421">
        <f>J52+P52+V52</f>
        <v>179.48391324227987</v>
      </c>
      <c r="Y52" s="422">
        <f>W52+X52</f>
        <v>3030.6239999999998</v>
      </c>
      <c r="Z52" s="330">
        <f t="shared" si="12"/>
        <v>0</v>
      </c>
      <c r="AA52" s="331">
        <f t="shared" si="13"/>
        <v>0</v>
      </c>
      <c r="AB52" s="331">
        <f t="shared" si="14"/>
        <v>0</v>
      </c>
      <c r="AC52" s="149"/>
      <c r="AD52" s="149"/>
      <c r="AE52" s="149"/>
      <c r="AF52" s="149"/>
    </row>
    <row r="53" spans="1:32" ht="28.5" customHeight="1" x14ac:dyDescent="0.35">
      <c r="A53" s="329"/>
      <c r="B53" s="411" t="s">
        <v>285</v>
      </c>
      <c r="C53" s="413">
        <v>4</v>
      </c>
      <c r="D53" s="413" t="s">
        <v>286</v>
      </c>
      <c r="E53" s="413">
        <v>12</v>
      </c>
      <c r="F53" s="414">
        <v>1</v>
      </c>
      <c r="G53" s="421">
        <v>86.29</v>
      </c>
      <c r="H53" s="421">
        <f t="shared" si="40"/>
        <v>4141.92</v>
      </c>
      <c r="I53" s="421">
        <f>H53</f>
        <v>4141.92</v>
      </c>
      <c r="J53" s="422">
        <f>H53-I53</f>
        <v>0</v>
      </c>
      <c r="K53" s="417">
        <f>C53</f>
        <v>4</v>
      </c>
      <c r="L53" s="413">
        <f>E53</f>
        <v>12</v>
      </c>
      <c r="M53" s="421">
        <v>118.1387</v>
      </c>
      <c r="N53" s="421">
        <f>K53*M53*L53*F53</f>
        <v>5670.6576000000005</v>
      </c>
      <c r="O53" s="423">
        <f>I53*$O$3</f>
        <v>5384.0818079999999</v>
      </c>
      <c r="P53" s="422">
        <f t="shared" si="44"/>
        <v>286.57579200000055</v>
      </c>
      <c r="Q53" s="417">
        <f t="shared" si="48"/>
        <v>4</v>
      </c>
      <c r="R53" s="413">
        <f t="shared" si="48"/>
        <v>12</v>
      </c>
      <c r="S53" s="421">
        <f>M53</f>
        <v>118.1387</v>
      </c>
      <c r="T53" s="421">
        <f>Q53*S53*R53*F53</f>
        <v>5670.6576000000005</v>
      </c>
      <c r="U53" s="423">
        <f>O53+(O53*$U$3)</f>
        <v>5137.9754285563195</v>
      </c>
      <c r="V53" s="422">
        <f>T53-U53</f>
        <v>532.682171443681</v>
      </c>
      <c r="W53" s="424">
        <f t="shared" si="49"/>
        <v>14663.97723655632</v>
      </c>
      <c r="X53" s="421">
        <f>(J53+P53+V53)+0.3</f>
        <v>819.5579634436815</v>
      </c>
      <c r="Y53" s="422">
        <f t="shared" si="47"/>
        <v>15483.535200000002</v>
      </c>
      <c r="Z53" s="330">
        <f t="shared" si="12"/>
        <v>-0.30000000000109139</v>
      </c>
      <c r="AA53" s="331">
        <f t="shared" si="13"/>
        <v>0</v>
      </c>
      <c r="AB53" s="331">
        <f t="shared" si="14"/>
        <v>-0.29999999999995453</v>
      </c>
      <c r="AC53" s="149"/>
      <c r="AD53" s="149"/>
      <c r="AE53" s="149"/>
      <c r="AF53" s="149"/>
    </row>
    <row r="54" spans="1:32" s="92" customFormat="1" ht="18" x14ac:dyDescent="0.35">
      <c r="A54" s="328"/>
      <c r="B54" s="426" t="s">
        <v>287</v>
      </c>
      <c r="C54" s="405"/>
      <c r="D54" s="405"/>
      <c r="E54" s="465"/>
      <c r="F54" s="429"/>
      <c r="G54" s="465"/>
      <c r="H54" s="430">
        <f t="shared" ref="H54:Y54" si="50">SUM(H45:H53)</f>
        <v>43871.301538461543</v>
      </c>
      <c r="I54" s="430">
        <f t="shared" si="50"/>
        <v>43634.18153846154</v>
      </c>
      <c r="J54" s="431">
        <f t="shared" si="50"/>
        <v>237.11999999999989</v>
      </c>
      <c r="K54" s="433"/>
      <c r="L54" s="430"/>
      <c r="M54" s="430">
        <f t="shared" si="50"/>
        <v>22642.315084615388</v>
      </c>
      <c r="N54" s="430">
        <f t="shared" si="50"/>
        <v>45813.274215384612</v>
      </c>
      <c r="O54" s="430">
        <f t="shared" si="50"/>
        <v>45087.440763384613</v>
      </c>
      <c r="P54" s="431">
        <f t="shared" si="50"/>
        <v>725.83345200000053</v>
      </c>
      <c r="Q54" s="433"/>
      <c r="R54" s="430"/>
      <c r="S54" s="430">
        <f t="shared" si="50"/>
        <v>33174.096103846154</v>
      </c>
      <c r="T54" s="430">
        <f t="shared" si="50"/>
        <v>57107.146446153842</v>
      </c>
      <c r="U54" s="430">
        <f t="shared" si="50"/>
        <v>56036.774045228762</v>
      </c>
      <c r="V54" s="431">
        <f t="shared" si="50"/>
        <v>1070.3724009250809</v>
      </c>
      <c r="W54" s="433">
        <f t="shared" si="50"/>
        <v>144758.39634707491</v>
      </c>
      <c r="X54" s="430">
        <f t="shared" si="50"/>
        <v>2033.6258529250813</v>
      </c>
      <c r="Y54" s="431">
        <f t="shared" si="50"/>
        <v>146792.02220000004</v>
      </c>
      <c r="Z54" s="330">
        <f t="shared" si="12"/>
        <v>-0.30000000004656613</v>
      </c>
      <c r="AA54" s="331">
        <f t="shared" si="13"/>
        <v>0</v>
      </c>
      <c r="AB54" s="331">
        <f t="shared" si="14"/>
        <v>-0.29999999999995453</v>
      </c>
      <c r="AC54" s="230"/>
      <c r="AD54" s="232"/>
      <c r="AE54" s="230"/>
      <c r="AF54" s="149"/>
    </row>
    <row r="55" spans="1:32" ht="18" x14ac:dyDescent="0.35">
      <c r="A55" s="332"/>
      <c r="B55" s="473" t="s">
        <v>218</v>
      </c>
      <c r="C55" s="474"/>
      <c r="D55" s="474"/>
      <c r="E55" s="474"/>
      <c r="F55" s="475"/>
      <c r="G55" s="474"/>
      <c r="H55" s="476">
        <f>H14+H28+H35+H39+H43+H54</f>
        <v>294148.90872600349</v>
      </c>
      <c r="I55" s="476">
        <f>I14+I28+I35+I39+I43+I54</f>
        <v>255178.69252021998</v>
      </c>
      <c r="J55" s="477">
        <f>J14+J28+J35+J39+J43+J54</f>
        <v>38970.216205783487</v>
      </c>
      <c r="K55" s="478"/>
      <c r="L55" s="474"/>
      <c r="M55" s="474"/>
      <c r="N55" s="476">
        <f>N14+N28+N35+N39+N43+N54</f>
        <v>307612.82904421136</v>
      </c>
      <c r="O55" s="476">
        <f>O14+O28+O35+O39+O43+O54</f>
        <v>254320.91602761496</v>
      </c>
      <c r="P55" s="477">
        <f>P14+P28+P35+P39+P43+P54</f>
        <v>53291.913016596409</v>
      </c>
      <c r="Q55" s="478"/>
      <c r="R55" s="474"/>
      <c r="S55" s="474"/>
      <c r="T55" s="476">
        <f t="shared" ref="T55:Y55" si="51">T14+T28+T35+T39+T43+T54</f>
        <v>316238.45662948035</v>
      </c>
      <c r="U55" s="476">
        <f t="shared" si="51"/>
        <v>270850.03519243922</v>
      </c>
      <c r="V55" s="477">
        <f t="shared" si="51"/>
        <v>45388.421437041128</v>
      </c>
      <c r="W55" s="479">
        <f t="shared" si="51"/>
        <v>780349.64374027413</v>
      </c>
      <c r="X55" s="476">
        <f t="shared" si="51"/>
        <v>137650.85065942103</v>
      </c>
      <c r="Y55" s="477">
        <f t="shared" si="51"/>
        <v>918000.49439969519</v>
      </c>
      <c r="Z55" s="330">
        <f t="shared" si="12"/>
        <v>-0.29999999993015081</v>
      </c>
      <c r="AA55" s="331">
        <f t="shared" si="13"/>
        <v>0</v>
      </c>
      <c r="AB55" s="331">
        <f t="shared" si="14"/>
        <v>-0.3000000000174623</v>
      </c>
      <c r="AC55" s="230"/>
      <c r="AD55" s="234"/>
    </row>
    <row r="56" spans="1:32" ht="18" x14ac:dyDescent="0.35">
      <c r="A56" s="333"/>
      <c r="B56" s="389" t="s">
        <v>288</v>
      </c>
      <c r="C56" s="390"/>
      <c r="D56" s="390"/>
      <c r="E56" s="390"/>
      <c r="F56" s="480"/>
      <c r="G56" s="390"/>
      <c r="H56" s="476">
        <v>0</v>
      </c>
      <c r="I56" s="476">
        <v>0</v>
      </c>
      <c r="J56" s="477">
        <v>0</v>
      </c>
      <c r="K56" s="481"/>
      <c r="L56" s="390"/>
      <c r="M56" s="390"/>
      <c r="N56" s="476">
        <v>0</v>
      </c>
      <c r="O56" s="476">
        <v>0</v>
      </c>
      <c r="P56" s="477">
        <v>0</v>
      </c>
      <c r="Q56" s="481"/>
      <c r="R56" s="390"/>
      <c r="S56" s="390"/>
      <c r="T56" s="476">
        <v>0</v>
      </c>
      <c r="U56" s="476">
        <v>0</v>
      </c>
      <c r="V56" s="477">
        <v>0</v>
      </c>
      <c r="W56" s="479">
        <v>0</v>
      </c>
      <c r="X56" s="476">
        <v>0</v>
      </c>
      <c r="Y56" s="477">
        <v>0</v>
      </c>
      <c r="Z56" s="330">
        <f t="shared" si="12"/>
        <v>0</v>
      </c>
      <c r="AA56" s="331">
        <f t="shared" si="13"/>
        <v>0</v>
      </c>
      <c r="AB56" s="331">
        <f t="shared" si="14"/>
        <v>0</v>
      </c>
    </row>
    <row r="57" spans="1:32" ht="18" x14ac:dyDescent="0.35">
      <c r="A57" s="333"/>
      <c r="B57" s="389" t="s">
        <v>289</v>
      </c>
      <c r="C57" s="390"/>
      <c r="D57" s="390"/>
      <c r="E57" s="390"/>
      <c r="F57" s="480"/>
      <c r="G57" s="390"/>
      <c r="H57" s="476">
        <f>H55-H56</f>
        <v>294148.90872600349</v>
      </c>
      <c r="I57" s="476">
        <f>I55-I56</f>
        <v>255178.69252021998</v>
      </c>
      <c r="J57" s="477">
        <f>J55-J56</f>
        <v>38970.216205783487</v>
      </c>
      <c r="K57" s="481"/>
      <c r="L57" s="390"/>
      <c r="M57" s="390"/>
      <c r="N57" s="476">
        <f>N55-N56</f>
        <v>307612.82904421136</v>
      </c>
      <c r="O57" s="476">
        <f>O55-O56</f>
        <v>254320.91602761496</v>
      </c>
      <c r="P57" s="477">
        <f>P55-P56</f>
        <v>53291.913016596409</v>
      </c>
      <c r="Q57" s="481"/>
      <c r="R57" s="390"/>
      <c r="S57" s="390"/>
      <c r="T57" s="476">
        <f t="shared" ref="T57:Y57" si="52">T55-T56</f>
        <v>316238.45662948035</v>
      </c>
      <c r="U57" s="476">
        <f t="shared" si="52"/>
        <v>270850.03519243922</v>
      </c>
      <c r="V57" s="477">
        <f t="shared" si="52"/>
        <v>45388.421437041128</v>
      </c>
      <c r="W57" s="479">
        <f t="shared" si="52"/>
        <v>780349.64374027413</v>
      </c>
      <c r="X57" s="476">
        <f t="shared" si="52"/>
        <v>137650.85065942103</v>
      </c>
      <c r="Y57" s="477">
        <f t="shared" si="52"/>
        <v>918000.49439969519</v>
      </c>
      <c r="Z57" s="330">
        <f t="shared" si="12"/>
        <v>-0.29999999993015081</v>
      </c>
      <c r="AA57" s="331">
        <f t="shared" si="13"/>
        <v>0</v>
      </c>
      <c r="AB57" s="331">
        <f t="shared" si="14"/>
        <v>-0.3000000000174623</v>
      </c>
    </row>
    <row r="58" spans="1:32" ht="18" x14ac:dyDescent="0.35">
      <c r="A58" s="333" t="s">
        <v>290</v>
      </c>
      <c r="B58" s="389" t="s">
        <v>291</v>
      </c>
      <c r="C58" s="390"/>
      <c r="D58" s="482">
        <v>0.17879999999999999</v>
      </c>
      <c r="E58" s="390"/>
      <c r="F58" s="480"/>
      <c r="G58" s="390"/>
      <c r="H58" s="476">
        <f>H57*17.88/100</f>
        <v>52593.824880209417</v>
      </c>
      <c r="I58" s="476">
        <f>I57*17.88/100</f>
        <v>45625.950222615327</v>
      </c>
      <c r="J58" s="477">
        <f>J57*17.88/100</f>
        <v>6967.8746575940868</v>
      </c>
      <c r="K58" s="481"/>
      <c r="L58" s="390"/>
      <c r="M58" s="390"/>
      <c r="N58" s="476">
        <f>N57*17.88/100</f>
        <v>55001.173833104986</v>
      </c>
      <c r="O58" s="476">
        <f>O57*17.88/100</f>
        <v>45472.579785737551</v>
      </c>
      <c r="P58" s="476">
        <f>P57*17.88/100</f>
        <v>9528.5940473674382</v>
      </c>
      <c r="Q58" s="481"/>
      <c r="R58" s="390"/>
      <c r="S58" s="390"/>
      <c r="T58" s="476">
        <f>T57*17.88/100</f>
        <v>56543.436045351082</v>
      </c>
      <c r="U58" s="476">
        <f>U57*17.88/100</f>
        <v>48427.986292408124</v>
      </c>
      <c r="V58" s="476">
        <f>V57*17.88/100</f>
        <v>8115.4497529429536</v>
      </c>
      <c r="W58" s="479">
        <f>I58+O58+U58</f>
        <v>139526.51630076102</v>
      </c>
      <c r="X58" s="476">
        <f>J58+P58+V58</f>
        <v>24611.918457904478</v>
      </c>
      <c r="Y58" s="477">
        <f>W58+X58</f>
        <v>164138.43475866551</v>
      </c>
      <c r="Z58" s="330">
        <f t="shared" si="12"/>
        <v>0</v>
      </c>
      <c r="AA58" s="331">
        <f t="shared" si="13"/>
        <v>0</v>
      </c>
      <c r="AB58" s="331">
        <f t="shared" si="14"/>
        <v>0</v>
      </c>
    </row>
    <row r="59" spans="1:32" ht="18.600000000000001" thickBot="1" x14ac:dyDescent="0.4">
      <c r="A59" s="333"/>
      <c r="B59" s="483" t="s">
        <v>292</v>
      </c>
      <c r="C59" s="484"/>
      <c r="D59" s="484"/>
      <c r="E59" s="484"/>
      <c r="F59" s="485"/>
      <c r="G59" s="484"/>
      <c r="H59" s="486">
        <f>H58+H55</f>
        <v>346742.73360621289</v>
      </c>
      <c r="I59" s="486">
        <f>I58+I55</f>
        <v>300804.64274283533</v>
      </c>
      <c r="J59" s="487">
        <f>J58+J55</f>
        <v>45938.090863377576</v>
      </c>
      <c r="K59" s="488"/>
      <c r="L59" s="484"/>
      <c r="M59" s="484"/>
      <c r="N59" s="486">
        <f>N58+N55</f>
        <v>362614.00287731632</v>
      </c>
      <c r="O59" s="486">
        <f>O58+O55</f>
        <v>299793.49581335252</v>
      </c>
      <c r="P59" s="487">
        <f>P58+P55</f>
        <v>62820.507063963843</v>
      </c>
      <c r="Q59" s="488"/>
      <c r="R59" s="484"/>
      <c r="S59" s="484"/>
      <c r="T59" s="486">
        <f t="shared" ref="T59:Y59" si="53">T58+T55</f>
        <v>372781.89267483144</v>
      </c>
      <c r="U59" s="486">
        <f t="shared" si="53"/>
        <v>319278.02148484736</v>
      </c>
      <c r="V59" s="487">
        <f t="shared" si="53"/>
        <v>53503.871189984086</v>
      </c>
      <c r="W59" s="489">
        <f t="shared" si="53"/>
        <v>919876.16004103515</v>
      </c>
      <c r="X59" s="486">
        <f t="shared" si="53"/>
        <v>162262.76911732552</v>
      </c>
      <c r="Y59" s="487">
        <f t="shared" si="53"/>
        <v>1082138.9291583607</v>
      </c>
      <c r="Z59" s="330">
        <f t="shared" si="12"/>
        <v>-0.30000000004656613</v>
      </c>
      <c r="AA59" s="331">
        <f t="shared" si="13"/>
        <v>0</v>
      </c>
      <c r="AB59" s="331">
        <f t="shared" si="14"/>
        <v>-0.3000000000174623</v>
      </c>
    </row>
    <row r="60" spans="1:32" ht="18" x14ac:dyDescent="0.35">
      <c r="B60" s="490"/>
      <c r="C60" s="491"/>
      <c r="D60" s="491"/>
      <c r="E60" s="492"/>
      <c r="F60" s="493"/>
      <c r="G60" s="492"/>
      <c r="H60" s="494"/>
      <c r="I60" s="495"/>
      <c r="J60" s="495"/>
      <c r="K60" s="491"/>
      <c r="L60" s="491"/>
      <c r="M60" s="492"/>
      <c r="N60" s="494"/>
      <c r="O60" s="494"/>
      <c r="P60" s="494"/>
      <c r="Q60" s="491"/>
      <c r="R60" s="491"/>
      <c r="S60" s="492"/>
      <c r="T60" s="494"/>
      <c r="U60" s="494"/>
      <c r="V60" s="494"/>
      <c r="W60" s="494"/>
      <c r="X60" s="494"/>
      <c r="Y60" s="494"/>
    </row>
    <row r="61" spans="1:32" hidden="1" x14ac:dyDescent="0.25">
      <c r="H61" s="85"/>
      <c r="I61" s="197"/>
      <c r="J61" s="85"/>
      <c r="N61" s="85"/>
      <c r="O61" s="197"/>
      <c r="P61" s="85"/>
      <c r="T61" s="85"/>
      <c r="U61" s="197"/>
      <c r="V61" s="85"/>
      <c r="W61" s="85"/>
      <c r="X61" s="85"/>
      <c r="Y61" s="85"/>
      <c r="Z61" s="184"/>
      <c r="AA61" s="149"/>
      <c r="AB61" s="149"/>
    </row>
    <row r="62" spans="1:32" hidden="1" x14ac:dyDescent="0.25">
      <c r="F62" s="123"/>
      <c r="H62" s="85"/>
      <c r="I62" s="198"/>
      <c r="J62" s="85"/>
      <c r="K62" s="85"/>
      <c r="L62" s="85"/>
      <c r="N62" s="85"/>
      <c r="O62" s="198"/>
      <c r="P62" s="85"/>
      <c r="Q62" s="85"/>
      <c r="R62" s="85"/>
      <c r="T62" s="85"/>
      <c r="U62" s="198"/>
      <c r="V62" s="85"/>
      <c r="W62" s="85"/>
      <c r="X62" s="85"/>
      <c r="Y62" s="85"/>
      <c r="Z62" s="184"/>
      <c r="AA62" s="149"/>
      <c r="AB62" s="149"/>
    </row>
    <row r="63" spans="1:32" hidden="1" x14ac:dyDescent="0.25"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</row>
    <row r="64" spans="1:32" hidden="1" x14ac:dyDescent="0.25">
      <c r="H64" s="85"/>
      <c r="N64" s="85"/>
      <c r="T64" s="85"/>
    </row>
    <row r="65" spans="8:27" hidden="1" x14ac:dyDescent="0.25">
      <c r="H65" s="85"/>
      <c r="N65" s="85"/>
      <c r="T65" s="85"/>
    </row>
    <row r="66" spans="8:27" hidden="1" x14ac:dyDescent="0.25">
      <c r="H66" s="85"/>
      <c r="N66" s="85"/>
      <c r="O66" s="85"/>
      <c r="P66" s="85"/>
      <c r="T66" s="85"/>
      <c r="U66" s="85"/>
      <c r="V66" s="85"/>
      <c r="X66" s="122"/>
    </row>
    <row r="67" spans="8:27" hidden="1" x14ac:dyDescent="0.25">
      <c r="H67" s="85"/>
      <c r="N67" s="85"/>
      <c r="O67" s="85"/>
      <c r="T67" s="85"/>
      <c r="U67" s="85"/>
      <c r="X67" s="120"/>
    </row>
    <row r="68" spans="8:27" hidden="1" x14ac:dyDescent="0.25">
      <c r="H68" s="85"/>
      <c r="N68" s="219"/>
      <c r="O68" s="219"/>
      <c r="T68" s="219"/>
      <c r="U68" s="219"/>
      <c r="Y68" s="149"/>
    </row>
    <row r="69" spans="8:27" hidden="1" x14ac:dyDescent="0.25">
      <c r="H69" s="85"/>
      <c r="N69" s="85"/>
      <c r="T69" s="85"/>
    </row>
    <row r="70" spans="8:27" hidden="1" x14ac:dyDescent="0.25">
      <c r="N70" s="85"/>
      <c r="AA70" s="199"/>
    </row>
    <row r="71" spans="8:27" hidden="1" x14ac:dyDescent="0.25"/>
    <row r="72" spans="8:27" hidden="1" x14ac:dyDescent="0.25"/>
    <row r="73" spans="8:27" hidden="1" x14ac:dyDescent="0.25"/>
    <row r="74" spans="8:27" hidden="1" x14ac:dyDescent="0.25">
      <c r="H74" s="85"/>
    </row>
    <row r="75" spans="8:27" hidden="1" x14ac:dyDescent="0.25">
      <c r="H75" s="120"/>
      <c r="N75" s="120"/>
      <c r="T75" s="120"/>
    </row>
    <row r="76" spans="8:27" hidden="1" x14ac:dyDescent="0.25">
      <c r="H76" s="85"/>
    </row>
    <row r="77" spans="8:27" x14ac:dyDescent="0.25">
      <c r="H77" s="149"/>
      <c r="I77" s="149"/>
      <c r="J77" s="149"/>
      <c r="N77" s="149"/>
      <c r="O77" s="149"/>
      <c r="P77" s="149"/>
      <c r="T77" s="149"/>
      <c r="U77" s="149"/>
      <c r="V77" s="149"/>
      <c r="W77" s="149"/>
      <c r="X77" s="149"/>
      <c r="Y77" s="149"/>
    </row>
    <row r="79" spans="8:27" x14ac:dyDescent="0.25">
      <c r="H79" s="120"/>
      <c r="N79" s="120"/>
      <c r="T79" s="120"/>
      <c r="Y79" s="120"/>
      <c r="Z79" s="122"/>
    </row>
    <row r="80" spans="8:27" x14ac:dyDescent="0.25">
      <c r="H80" s="120"/>
      <c r="N80" s="120"/>
      <c r="T80" s="120"/>
      <c r="Y80" s="125"/>
    </row>
    <row r="81" spans="2:26" x14ac:dyDescent="0.25">
      <c r="H81" s="120"/>
      <c r="N81" s="120"/>
      <c r="T81" s="120"/>
      <c r="Y81" s="120"/>
      <c r="Z81" s="120"/>
    </row>
    <row r="82" spans="2:26" x14ac:dyDescent="0.25">
      <c r="H82" s="120"/>
      <c r="N82" s="120"/>
      <c r="T82" s="120"/>
      <c r="Y82" s="120"/>
    </row>
    <row r="83" spans="2:26" x14ac:dyDescent="0.25">
      <c r="H83" s="120"/>
      <c r="N83" s="120"/>
      <c r="T83" s="120"/>
      <c r="U83" s="120"/>
      <c r="Y83" s="120"/>
    </row>
    <row r="84" spans="2:26" s="92" customFormat="1" ht="11.4" x14ac:dyDescent="0.2">
      <c r="B84" s="126"/>
      <c r="E84" s="113"/>
      <c r="F84" s="94"/>
      <c r="G84" s="113"/>
      <c r="H84" s="127"/>
      <c r="M84" s="113"/>
      <c r="N84" s="127"/>
      <c r="S84" s="113"/>
      <c r="T84" s="127"/>
      <c r="U84" s="127"/>
      <c r="Y84" s="127"/>
    </row>
    <row r="85" spans="2:26" x14ac:dyDescent="0.25">
      <c r="H85" s="120"/>
      <c r="N85" s="128"/>
      <c r="T85" s="128"/>
      <c r="Y85" s="128"/>
    </row>
    <row r="86" spans="2:26" x14ac:dyDescent="0.25">
      <c r="H86" s="129"/>
      <c r="N86" s="129"/>
      <c r="T86" s="129"/>
      <c r="Y86" s="129"/>
    </row>
    <row r="87" spans="2:26" x14ac:dyDescent="0.25">
      <c r="H87" s="129"/>
    </row>
    <row r="88" spans="2:26" x14ac:dyDescent="0.25">
      <c r="H88" s="120"/>
    </row>
    <row r="90" spans="2:26" x14ac:dyDescent="0.25">
      <c r="H90" s="120"/>
      <c r="N90" s="120"/>
      <c r="T90" s="120"/>
      <c r="Y90" s="120"/>
    </row>
    <row r="91" spans="2:26" x14ac:dyDescent="0.25">
      <c r="H91" s="120"/>
      <c r="N91" s="120"/>
      <c r="T91" s="120"/>
    </row>
    <row r="92" spans="2:26" x14ac:dyDescent="0.25">
      <c r="H92" s="120"/>
      <c r="N92" s="120"/>
      <c r="T92" s="120"/>
    </row>
    <row r="93" spans="2:26" x14ac:dyDescent="0.25">
      <c r="H93" s="120"/>
      <c r="N93" s="120"/>
      <c r="T93" s="120"/>
    </row>
    <row r="94" spans="2:26" x14ac:dyDescent="0.25">
      <c r="H94" s="120"/>
      <c r="N94" s="120"/>
      <c r="T94" s="120"/>
    </row>
  </sheetData>
  <mergeCells count="4">
    <mergeCell ref="K1:P1"/>
    <mergeCell ref="Q1:V1"/>
    <mergeCell ref="C1:J1"/>
    <mergeCell ref="W1:Y1"/>
  </mergeCells>
  <phoneticPr fontId="2" type="noConversion"/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Q64"/>
  <sheetViews>
    <sheetView zoomScaleNormal="100" zoomScaleSheetLayoutView="106" workbookViewId="0">
      <pane ySplit="3" topLeftCell="A4" activePane="bottomLeft" state="frozen"/>
      <selection pane="bottomLeft" activeCell="D21" sqref="D21"/>
    </sheetView>
  </sheetViews>
  <sheetFormatPr defaultColWidth="9.109375" defaultRowHeight="10.199999999999999" x14ac:dyDescent="0.25"/>
  <cols>
    <col min="1" max="1" width="52.109375" style="130" customWidth="1"/>
    <col min="2" max="2" width="12" style="130" customWidth="1"/>
    <col min="3" max="3" width="8.6640625" style="134" customWidth="1"/>
    <col min="4" max="4" width="8.44140625" style="135" customWidth="1"/>
    <col min="5" max="5" width="12.109375" style="135" customWidth="1"/>
    <col min="6" max="6" width="11" style="134" customWidth="1"/>
    <col min="7" max="7" width="6.33203125" style="134" customWidth="1"/>
    <col min="8" max="9" width="9.5546875" style="130" customWidth="1"/>
    <col min="10" max="10" width="8.44140625" style="130" customWidth="1"/>
    <col min="11" max="12" width="9.5546875" style="130" customWidth="1"/>
    <col min="13" max="13" width="8.44140625" style="130" customWidth="1"/>
    <col min="14" max="15" width="9.5546875" style="130" customWidth="1"/>
    <col min="16" max="16" width="8.44140625" style="130" customWidth="1"/>
    <col min="17" max="19" width="9.5546875" style="130" customWidth="1"/>
    <col min="20" max="20" width="11.5546875" style="130" bestFit="1" customWidth="1"/>
    <col min="21" max="22" width="9.109375" style="130"/>
    <col min="23" max="23" width="11.6640625" style="130" bestFit="1" customWidth="1"/>
    <col min="24" max="16384" width="9.109375" style="130"/>
  </cols>
  <sheetData>
    <row r="1" spans="1:251" s="239" customFormat="1" ht="16.2" thickBot="1" x14ac:dyDescent="0.35">
      <c r="A1" s="568" t="s">
        <v>293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70"/>
      <c r="T1" s="238"/>
    </row>
    <row r="2" spans="1:251" s="241" customFormat="1" ht="15.6" x14ac:dyDescent="0.25">
      <c r="A2" s="571" t="s">
        <v>294</v>
      </c>
      <c r="B2" s="334"/>
      <c r="C2" s="573" t="s">
        <v>127</v>
      </c>
      <c r="D2" s="573" t="s">
        <v>230</v>
      </c>
      <c r="E2" s="573" t="s">
        <v>227</v>
      </c>
      <c r="F2" s="573" t="s">
        <v>295</v>
      </c>
      <c r="G2" s="575" t="s">
        <v>229</v>
      </c>
      <c r="H2" s="565">
        <v>2024</v>
      </c>
      <c r="I2" s="566"/>
      <c r="J2" s="567"/>
      <c r="K2" s="565">
        <v>2025</v>
      </c>
      <c r="L2" s="566"/>
      <c r="M2" s="567"/>
      <c r="N2" s="565">
        <v>2026</v>
      </c>
      <c r="O2" s="566"/>
      <c r="P2" s="567"/>
      <c r="Q2" s="565" t="s">
        <v>130</v>
      </c>
      <c r="R2" s="566"/>
      <c r="S2" s="567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0"/>
      <c r="BQ2" s="240"/>
      <c r="BR2" s="240"/>
      <c r="BS2" s="240"/>
      <c r="BT2" s="240"/>
      <c r="BU2" s="240"/>
      <c r="BV2" s="240"/>
      <c r="BW2" s="240"/>
      <c r="BX2" s="240"/>
      <c r="BY2" s="240"/>
      <c r="BZ2" s="240"/>
      <c r="CA2" s="240"/>
      <c r="CB2" s="240"/>
      <c r="CC2" s="240"/>
      <c r="CD2" s="240"/>
      <c r="CE2" s="240"/>
      <c r="CF2" s="240"/>
      <c r="CG2" s="240"/>
      <c r="CH2" s="240"/>
      <c r="CI2" s="240"/>
      <c r="CJ2" s="240"/>
      <c r="CK2" s="240"/>
      <c r="CL2" s="240"/>
      <c r="CM2" s="240"/>
      <c r="CN2" s="240"/>
      <c r="CO2" s="240"/>
      <c r="CP2" s="240"/>
      <c r="CQ2" s="240"/>
      <c r="CR2" s="240"/>
      <c r="CS2" s="240"/>
      <c r="CT2" s="240"/>
      <c r="CU2" s="240"/>
      <c r="CV2" s="240"/>
      <c r="CW2" s="240"/>
      <c r="CX2" s="240"/>
      <c r="CY2" s="240"/>
      <c r="CZ2" s="240"/>
      <c r="DA2" s="240"/>
      <c r="DB2" s="240"/>
      <c r="DC2" s="240"/>
      <c r="DD2" s="240"/>
      <c r="DE2" s="240"/>
      <c r="DF2" s="240"/>
      <c r="DG2" s="240"/>
      <c r="DH2" s="240"/>
      <c r="DI2" s="240"/>
      <c r="DJ2" s="240"/>
      <c r="DK2" s="240"/>
      <c r="DL2" s="240"/>
      <c r="DM2" s="240"/>
      <c r="DN2" s="240"/>
      <c r="DO2" s="240"/>
      <c r="DP2" s="240"/>
      <c r="DQ2" s="240"/>
      <c r="DR2" s="240"/>
      <c r="DS2" s="240"/>
      <c r="DT2" s="240"/>
      <c r="DU2" s="240"/>
      <c r="DV2" s="240"/>
      <c r="DW2" s="240"/>
      <c r="DX2" s="240"/>
      <c r="DY2" s="240"/>
      <c r="DZ2" s="240"/>
      <c r="EA2" s="240"/>
      <c r="EB2" s="240"/>
      <c r="EC2" s="240"/>
      <c r="ED2" s="240"/>
      <c r="EE2" s="240"/>
      <c r="EF2" s="240"/>
      <c r="EG2" s="240"/>
      <c r="EH2" s="240"/>
      <c r="EI2" s="240"/>
      <c r="EJ2" s="240"/>
      <c r="EK2" s="240"/>
      <c r="EL2" s="240"/>
      <c r="EM2" s="240"/>
      <c r="EN2" s="240"/>
      <c r="EO2" s="240"/>
      <c r="EP2" s="240"/>
      <c r="EQ2" s="240"/>
      <c r="ER2" s="240"/>
      <c r="ES2" s="240"/>
      <c r="ET2" s="240"/>
      <c r="EU2" s="240"/>
      <c r="EV2" s="240"/>
      <c r="EW2" s="240"/>
      <c r="EX2" s="240"/>
      <c r="EY2" s="240"/>
      <c r="EZ2" s="240"/>
      <c r="FA2" s="240"/>
      <c r="FB2" s="240"/>
      <c r="FC2" s="240"/>
      <c r="FD2" s="240"/>
      <c r="FE2" s="240"/>
      <c r="FF2" s="240"/>
      <c r="FG2" s="240"/>
      <c r="FH2" s="240"/>
      <c r="FI2" s="240"/>
      <c r="FJ2" s="240"/>
      <c r="FK2" s="240"/>
      <c r="FL2" s="240"/>
      <c r="FM2" s="240"/>
      <c r="FN2" s="240"/>
      <c r="FO2" s="240"/>
      <c r="FP2" s="240"/>
      <c r="FQ2" s="240"/>
      <c r="FR2" s="240"/>
      <c r="FS2" s="240"/>
      <c r="FT2" s="240"/>
      <c r="FU2" s="240"/>
      <c r="FV2" s="240"/>
      <c r="FW2" s="240"/>
      <c r="FX2" s="240"/>
      <c r="FY2" s="240"/>
      <c r="FZ2" s="240"/>
      <c r="GA2" s="240"/>
      <c r="GB2" s="240"/>
      <c r="GC2" s="240"/>
      <c r="GD2" s="240"/>
      <c r="GE2" s="240"/>
      <c r="GF2" s="240"/>
      <c r="GG2" s="240"/>
      <c r="GH2" s="240"/>
      <c r="GI2" s="240"/>
      <c r="GJ2" s="240"/>
      <c r="GK2" s="240"/>
      <c r="GL2" s="240"/>
      <c r="GM2" s="240"/>
      <c r="GN2" s="240"/>
      <c r="GO2" s="240"/>
      <c r="GP2" s="240"/>
      <c r="GQ2" s="240"/>
      <c r="GR2" s="240"/>
      <c r="GS2" s="240"/>
      <c r="GT2" s="240"/>
      <c r="GU2" s="240"/>
      <c r="GV2" s="240"/>
      <c r="GW2" s="240"/>
      <c r="GX2" s="240"/>
      <c r="GY2" s="240"/>
      <c r="GZ2" s="240"/>
      <c r="HA2" s="240"/>
      <c r="HB2" s="240"/>
      <c r="HC2" s="240"/>
      <c r="HD2" s="240"/>
      <c r="HE2" s="240"/>
      <c r="HF2" s="240"/>
      <c r="HG2" s="240"/>
      <c r="HH2" s="240"/>
      <c r="HI2" s="240"/>
      <c r="HJ2" s="240"/>
      <c r="HK2" s="240"/>
      <c r="HL2" s="240"/>
      <c r="HM2" s="240"/>
      <c r="HN2" s="240"/>
      <c r="HO2" s="240"/>
      <c r="HP2" s="240"/>
      <c r="HQ2" s="240"/>
      <c r="HR2" s="240"/>
      <c r="HS2" s="240"/>
      <c r="HT2" s="240"/>
      <c r="HU2" s="240"/>
      <c r="HV2" s="240"/>
      <c r="HW2" s="240"/>
      <c r="HX2" s="240"/>
      <c r="HY2" s="240"/>
      <c r="HZ2" s="240"/>
      <c r="IA2" s="240"/>
      <c r="IB2" s="240"/>
      <c r="IC2" s="240"/>
      <c r="ID2" s="240"/>
      <c r="IE2" s="240"/>
      <c r="IF2" s="240"/>
      <c r="IG2" s="240"/>
      <c r="IH2" s="240"/>
      <c r="II2" s="240"/>
      <c r="IJ2" s="240"/>
      <c r="IK2" s="240"/>
      <c r="IL2" s="240"/>
      <c r="IM2" s="240"/>
      <c r="IN2" s="240"/>
      <c r="IO2" s="240"/>
      <c r="IP2" s="240"/>
      <c r="IQ2" s="240"/>
    </row>
    <row r="3" spans="1:251" s="242" customFormat="1" ht="15.6" x14ac:dyDescent="0.25">
      <c r="A3" s="572"/>
      <c r="B3" s="335" t="s">
        <v>296</v>
      </c>
      <c r="C3" s="574"/>
      <c r="D3" s="574"/>
      <c r="E3" s="574"/>
      <c r="F3" s="574"/>
      <c r="G3" s="576"/>
      <c r="H3" s="336" t="s">
        <v>130</v>
      </c>
      <c r="I3" s="335" t="s">
        <v>210</v>
      </c>
      <c r="J3" s="337" t="s">
        <v>211</v>
      </c>
      <c r="K3" s="336" t="s">
        <v>130</v>
      </c>
      <c r="L3" s="335" t="s">
        <v>210</v>
      </c>
      <c r="M3" s="337" t="s">
        <v>211</v>
      </c>
      <c r="N3" s="336" t="s">
        <v>130</v>
      </c>
      <c r="O3" s="335" t="s">
        <v>210</v>
      </c>
      <c r="P3" s="337" t="s">
        <v>211</v>
      </c>
      <c r="Q3" s="336" t="s">
        <v>130</v>
      </c>
      <c r="R3" s="335" t="s">
        <v>210</v>
      </c>
      <c r="S3" s="337" t="s">
        <v>211</v>
      </c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0"/>
      <c r="CB3" s="240"/>
      <c r="CC3" s="240"/>
      <c r="CD3" s="240"/>
      <c r="CE3" s="240"/>
      <c r="CF3" s="240"/>
      <c r="CG3" s="240"/>
      <c r="CH3" s="240"/>
      <c r="CI3" s="240"/>
      <c r="CJ3" s="240"/>
      <c r="CK3" s="240"/>
      <c r="CL3" s="240"/>
      <c r="CM3" s="240"/>
      <c r="CN3" s="240"/>
      <c r="CO3" s="240"/>
      <c r="CP3" s="240"/>
      <c r="CQ3" s="240"/>
      <c r="CR3" s="240"/>
      <c r="CS3" s="240"/>
      <c r="CT3" s="240"/>
      <c r="CU3" s="240"/>
      <c r="CV3" s="240"/>
      <c r="CW3" s="240"/>
      <c r="CX3" s="240"/>
      <c r="CY3" s="240"/>
      <c r="CZ3" s="240"/>
      <c r="DA3" s="240"/>
      <c r="DB3" s="240"/>
      <c r="DC3" s="240"/>
      <c r="DD3" s="240"/>
      <c r="DE3" s="240"/>
      <c r="DF3" s="240"/>
      <c r="DG3" s="240"/>
      <c r="DH3" s="240"/>
      <c r="DI3" s="240"/>
      <c r="DJ3" s="240"/>
      <c r="DK3" s="240"/>
      <c r="DL3" s="240"/>
      <c r="DM3" s="240"/>
      <c r="DN3" s="240"/>
      <c r="DO3" s="240"/>
      <c r="DP3" s="240"/>
      <c r="DQ3" s="240"/>
      <c r="DR3" s="240"/>
      <c r="DS3" s="240"/>
      <c r="DT3" s="240"/>
      <c r="DU3" s="240"/>
      <c r="DV3" s="240"/>
      <c r="DW3" s="240"/>
      <c r="DX3" s="240"/>
      <c r="DY3" s="240"/>
      <c r="DZ3" s="240"/>
      <c r="EA3" s="240"/>
      <c r="EB3" s="240"/>
      <c r="EC3" s="240"/>
      <c r="ED3" s="240"/>
      <c r="EE3" s="240"/>
      <c r="EF3" s="240"/>
      <c r="EG3" s="240"/>
      <c r="EH3" s="240"/>
      <c r="EI3" s="240"/>
      <c r="EJ3" s="240"/>
      <c r="EK3" s="240"/>
      <c r="EL3" s="240"/>
      <c r="EM3" s="240"/>
      <c r="EN3" s="240"/>
      <c r="EO3" s="240"/>
      <c r="EP3" s="240"/>
      <c r="EQ3" s="240"/>
      <c r="ER3" s="240"/>
      <c r="ES3" s="240"/>
      <c r="ET3" s="240"/>
      <c r="EU3" s="240"/>
      <c r="EV3" s="240"/>
      <c r="EW3" s="240"/>
      <c r="EX3" s="240"/>
      <c r="EY3" s="240"/>
      <c r="EZ3" s="240"/>
      <c r="FA3" s="240"/>
      <c r="FB3" s="240"/>
      <c r="FC3" s="240"/>
      <c r="FD3" s="240"/>
      <c r="FE3" s="240"/>
      <c r="FF3" s="240"/>
      <c r="FG3" s="240"/>
      <c r="FH3" s="240"/>
      <c r="FI3" s="240"/>
      <c r="FJ3" s="240"/>
      <c r="FK3" s="240"/>
      <c r="FL3" s="240"/>
      <c r="FM3" s="240"/>
      <c r="FN3" s="240"/>
      <c r="FO3" s="240"/>
      <c r="FP3" s="240"/>
      <c r="FQ3" s="240"/>
      <c r="FR3" s="240"/>
      <c r="FS3" s="240"/>
      <c r="FT3" s="240"/>
      <c r="FU3" s="240"/>
      <c r="FV3" s="240"/>
      <c r="FW3" s="240"/>
      <c r="FX3" s="240"/>
      <c r="FY3" s="240"/>
      <c r="FZ3" s="240"/>
      <c r="GA3" s="240"/>
      <c r="GB3" s="240"/>
      <c r="GC3" s="240"/>
      <c r="GD3" s="240"/>
      <c r="GE3" s="240"/>
      <c r="GF3" s="240"/>
      <c r="GG3" s="240"/>
      <c r="GH3" s="240"/>
      <c r="GI3" s="240"/>
      <c r="GJ3" s="240"/>
      <c r="GK3" s="240"/>
      <c r="GL3" s="240"/>
      <c r="GM3" s="240"/>
      <c r="GN3" s="240"/>
      <c r="GO3" s="240"/>
      <c r="GP3" s="240"/>
      <c r="GQ3" s="240"/>
      <c r="GR3" s="240"/>
      <c r="GS3" s="240"/>
      <c r="GT3" s="240"/>
      <c r="GU3" s="240"/>
      <c r="GV3" s="240"/>
      <c r="GW3" s="240"/>
      <c r="GX3" s="240"/>
      <c r="GY3" s="240"/>
      <c r="GZ3" s="240"/>
      <c r="HA3" s="240"/>
      <c r="HB3" s="240"/>
      <c r="HC3" s="240"/>
      <c r="HD3" s="240"/>
      <c r="HE3" s="240"/>
      <c r="HF3" s="240"/>
      <c r="HG3" s="240"/>
      <c r="HH3" s="240"/>
      <c r="HI3" s="240"/>
      <c r="HJ3" s="240"/>
      <c r="HK3" s="240"/>
      <c r="HL3" s="240"/>
      <c r="HM3" s="240"/>
      <c r="HN3" s="240"/>
      <c r="HO3" s="240"/>
      <c r="HP3" s="240"/>
      <c r="HQ3" s="240"/>
      <c r="HR3" s="240"/>
      <c r="HS3" s="240"/>
      <c r="HT3" s="240"/>
      <c r="HU3" s="240"/>
      <c r="HV3" s="240"/>
      <c r="HW3" s="240"/>
      <c r="HX3" s="240"/>
      <c r="HY3" s="240"/>
      <c r="HZ3" s="240"/>
      <c r="IA3" s="240"/>
      <c r="IB3" s="240"/>
      <c r="IC3" s="240"/>
      <c r="ID3" s="240"/>
      <c r="IE3" s="240"/>
      <c r="IF3" s="240"/>
      <c r="IG3" s="240"/>
      <c r="IH3" s="240"/>
      <c r="II3" s="240"/>
      <c r="IJ3" s="240"/>
      <c r="IK3" s="240"/>
      <c r="IL3" s="240"/>
      <c r="IM3" s="240"/>
      <c r="IN3" s="240"/>
      <c r="IO3" s="240"/>
      <c r="IP3" s="240"/>
      <c r="IQ3" s="240"/>
    </row>
    <row r="4" spans="1:251" s="252" customFormat="1" ht="15.6" x14ac:dyDescent="0.25">
      <c r="A4" s="338" t="s">
        <v>212</v>
      </c>
      <c r="B4" s="339"/>
      <c r="C4" s="340"/>
      <c r="D4" s="341">
        <v>65</v>
      </c>
      <c r="E4" s="342"/>
      <c r="F4" s="343"/>
      <c r="G4" s="344"/>
      <c r="H4" s="345"/>
      <c r="I4" s="346"/>
      <c r="J4" s="347"/>
      <c r="K4" s="345"/>
      <c r="L4" s="346"/>
      <c r="M4" s="347"/>
      <c r="N4" s="345"/>
      <c r="O4" s="346"/>
      <c r="P4" s="347"/>
      <c r="Q4" s="345"/>
      <c r="R4" s="346"/>
      <c r="S4" s="347"/>
    </row>
    <row r="5" spans="1:251" s="239" customFormat="1" ht="15.6" x14ac:dyDescent="0.3">
      <c r="A5" s="348" t="s">
        <v>297</v>
      </c>
      <c r="B5" s="349"/>
      <c r="C5" s="350">
        <v>4</v>
      </c>
      <c r="D5" s="351">
        <f>40000/$D$4</f>
        <v>615.38461538461536</v>
      </c>
      <c r="E5" s="352" t="s">
        <v>298</v>
      </c>
      <c r="F5" s="353">
        <v>12</v>
      </c>
      <c r="G5" s="354">
        <v>1</v>
      </c>
      <c r="H5" s="355">
        <f>(C5*D5*10*G5)</f>
        <v>24615.384615384613</v>
      </c>
      <c r="I5" s="351">
        <f t="shared" ref="I5:I10" si="0">H5</f>
        <v>24615.384615384613</v>
      </c>
      <c r="J5" s="356"/>
      <c r="K5" s="355">
        <f t="shared" ref="K5:K10" si="1">(C5*D5*F5*G5)*1.05</f>
        <v>31015.384615384617</v>
      </c>
      <c r="L5" s="351">
        <f t="shared" ref="L5:L10" si="2">K5</f>
        <v>31015.384615384617</v>
      </c>
      <c r="M5" s="356"/>
      <c r="N5" s="355">
        <f t="shared" ref="N5:N10" si="3">((K5)+(K5)*5%)/12*11</f>
        <v>29852.307692307691</v>
      </c>
      <c r="O5" s="351">
        <f t="shared" ref="O5:O10" si="4">N5</f>
        <v>29852.307692307691</v>
      </c>
      <c r="P5" s="356"/>
      <c r="Q5" s="355">
        <f t="shared" ref="Q5:S10" si="5">H5+K5+N5</f>
        <v>85483.076923076922</v>
      </c>
      <c r="R5" s="351">
        <f t="shared" si="5"/>
        <v>85483.076923076922</v>
      </c>
      <c r="S5" s="356">
        <f t="shared" si="5"/>
        <v>0</v>
      </c>
      <c r="T5" s="26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  <c r="CK5" s="240"/>
      <c r="CL5" s="240"/>
      <c r="CM5" s="240"/>
      <c r="CN5" s="240"/>
      <c r="CO5" s="240"/>
      <c r="CP5" s="240"/>
      <c r="CQ5" s="240"/>
      <c r="CR5" s="240"/>
      <c r="CS5" s="240"/>
      <c r="CT5" s="240"/>
      <c r="CU5" s="240"/>
      <c r="CV5" s="240"/>
      <c r="CW5" s="240"/>
      <c r="CX5" s="240"/>
      <c r="CY5" s="240"/>
      <c r="CZ5" s="240"/>
      <c r="DA5" s="240"/>
      <c r="DB5" s="240"/>
      <c r="DC5" s="240"/>
      <c r="DD5" s="240"/>
      <c r="DE5" s="240"/>
      <c r="DF5" s="240"/>
      <c r="DG5" s="240"/>
      <c r="DH5" s="240"/>
      <c r="DI5" s="240"/>
      <c r="DJ5" s="240"/>
      <c r="DK5" s="240"/>
      <c r="DL5" s="240"/>
      <c r="DM5" s="240"/>
      <c r="DN5" s="240"/>
      <c r="DO5" s="240"/>
      <c r="DP5" s="240"/>
      <c r="DQ5" s="240"/>
      <c r="DR5" s="240"/>
      <c r="DS5" s="240"/>
      <c r="DT5" s="240"/>
      <c r="DU5" s="240"/>
      <c r="DV5" s="240"/>
      <c r="DW5" s="240"/>
      <c r="DX5" s="240"/>
      <c r="DY5" s="240"/>
      <c r="DZ5" s="240"/>
      <c r="EA5" s="240"/>
      <c r="EB5" s="240"/>
      <c r="EC5" s="240"/>
      <c r="ED5" s="240"/>
      <c r="EE5" s="240"/>
      <c r="EF5" s="240"/>
      <c r="EG5" s="240"/>
      <c r="EH5" s="240"/>
      <c r="EI5" s="240"/>
      <c r="EJ5" s="240"/>
      <c r="EK5" s="240"/>
      <c r="EL5" s="240"/>
      <c r="EM5" s="240"/>
      <c r="EN5" s="240"/>
      <c r="EO5" s="240"/>
      <c r="EP5" s="240"/>
      <c r="EQ5" s="240"/>
      <c r="ER5" s="240"/>
      <c r="ES5" s="240"/>
      <c r="ET5" s="240"/>
      <c r="EU5" s="240"/>
      <c r="EV5" s="240"/>
      <c r="EW5" s="240"/>
      <c r="EX5" s="240"/>
      <c r="EY5" s="240"/>
      <c r="EZ5" s="240"/>
      <c r="FA5" s="240"/>
      <c r="FB5" s="240"/>
      <c r="FC5" s="240"/>
      <c r="FD5" s="240"/>
      <c r="FE5" s="240"/>
      <c r="FF5" s="240"/>
      <c r="FG5" s="240"/>
      <c r="FH5" s="240"/>
      <c r="FI5" s="240"/>
      <c r="FJ5" s="240"/>
      <c r="FK5" s="240"/>
      <c r="FL5" s="240"/>
      <c r="FM5" s="240"/>
      <c r="FN5" s="240"/>
      <c r="FO5" s="240"/>
      <c r="FP5" s="240"/>
      <c r="FQ5" s="240"/>
      <c r="FR5" s="240"/>
      <c r="FS5" s="240"/>
      <c r="FT5" s="240"/>
      <c r="FU5" s="240"/>
      <c r="FV5" s="240"/>
      <c r="FW5" s="240"/>
      <c r="FX5" s="240"/>
      <c r="FY5" s="240"/>
      <c r="FZ5" s="240"/>
      <c r="GA5" s="240"/>
      <c r="GB5" s="240"/>
      <c r="GC5" s="240"/>
      <c r="GD5" s="240"/>
      <c r="GE5" s="240"/>
      <c r="GF5" s="240"/>
      <c r="GG5" s="240"/>
      <c r="GH5" s="240"/>
      <c r="GI5" s="240"/>
      <c r="GJ5" s="240"/>
      <c r="GK5" s="240"/>
      <c r="GL5" s="240"/>
      <c r="GM5" s="240"/>
      <c r="GN5" s="240"/>
      <c r="GO5" s="240"/>
      <c r="GP5" s="240"/>
      <c r="GQ5" s="240"/>
      <c r="GR5" s="240"/>
      <c r="GS5" s="240"/>
      <c r="GT5" s="240"/>
      <c r="GU5" s="240"/>
      <c r="GV5" s="240"/>
      <c r="GW5" s="240"/>
      <c r="GX5" s="240"/>
      <c r="GY5" s="240"/>
      <c r="GZ5" s="240"/>
      <c r="HA5" s="240"/>
      <c r="HB5" s="240"/>
      <c r="HC5" s="240"/>
      <c r="HD5" s="240"/>
      <c r="HE5" s="240"/>
      <c r="HF5" s="240"/>
      <c r="HG5" s="240"/>
      <c r="HH5" s="240"/>
      <c r="HI5" s="240"/>
      <c r="HJ5" s="240"/>
      <c r="HK5" s="240"/>
      <c r="HL5" s="240"/>
      <c r="HM5" s="240"/>
      <c r="HN5" s="240"/>
      <c r="HO5" s="240"/>
      <c r="HP5" s="240"/>
      <c r="HQ5" s="240"/>
      <c r="HR5" s="240"/>
      <c r="HS5" s="240"/>
      <c r="HT5" s="240"/>
      <c r="HU5" s="240"/>
      <c r="HV5" s="240"/>
      <c r="HW5" s="240"/>
      <c r="HX5" s="240"/>
      <c r="HY5" s="240"/>
      <c r="HZ5" s="240"/>
      <c r="IA5" s="240"/>
      <c r="IB5" s="240"/>
      <c r="IC5" s="240"/>
      <c r="ID5" s="240"/>
      <c r="IE5" s="240"/>
      <c r="IF5" s="240"/>
      <c r="IG5" s="240"/>
      <c r="IH5" s="240"/>
      <c r="II5" s="240"/>
      <c r="IJ5" s="240"/>
      <c r="IK5" s="240"/>
      <c r="IL5" s="240"/>
      <c r="IM5" s="240"/>
      <c r="IN5" s="240"/>
      <c r="IO5" s="240"/>
      <c r="IP5" s="240"/>
      <c r="IQ5" s="240"/>
    </row>
    <row r="6" spans="1:251" s="239" customFormat="1" ht="15.6" x14ac:dyDescent="0.3">
      <c r="A6" s="348" t="s">
        <v>299</v>
      </c>
      <c r="B6" s="349"/>
      <c r="C6" s="350">
        <v>2</v>
      </c>
      <c r="D6" s="351">
        <f>30000/$D$4</f>
        <v>461.53846153846155</v>
      </c>
      <c r="E6" s="352" t="s">
        <v>298</v>
      </c>
      <c r="F6" s="353">
        <v>12</v>
      </c>
      <c r="G6" s="354">
        <v>1</v>
      </c>
      <c r="H6" s="355">
        <f>(C6*D6*10*G6)</f>
        <v>9230.7692307692305</v>
      </c>
      <c r="I6" s="351">
        <f t="shared" si="0"/>
        <v>9230.7692307692305</v>
      </c>
      <c r="J6" s="356"/>
      <c r="K6" s="355">
        <f t="shared" si="1"/>
        <v>11630.769230769232</v>
      </c>
      <c r="L6" s="351">
        <f t="shared" si="2"/>
        <v>11630.769230769232</v>
      </c>
      <c r="M6" s="356"/>
      <c r="N6" s="355">
        <f t="shared" si="3"/>
        <v>11194.615384615385</v>
      </c>
      <c r="O6" s="351">
        <f t="shared" si="4"/>
        <v>11194.615384615385</v>
      </c>
      <c r="P6" s="356"/>
      <c r="Q6" s="355">
        <f t="shared" si="5"/>
        <v>32056.153846153844</v>
      </c>
      <c r="R6" s="351">
        <f t="shared" si="5"/>
        <v>32056.153846153844</v>
      </c>
      <c r="S6" s="356">
        <f t="shared" si="5"/>
        <v>0</v>
      </c>
      <c r="T6" s="26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0"/>
      <c r="BX6" s="240"/>
      <c r="BY6" s="240"/>
      <c r="BZ6" s="240"/>
      <c r="CA6" s="240"/>
      <c r="CB6" s="240"/>
      <c r="CC6" s="240"/>
      <c r="CD6" s="240"/>
      <c r="CE6" s="240"/>
      <c r="CF6" s="240"/>
      <c r="CG6" s="240"/>
      <c r="CH6" s="240"/>
      <c r="CI6" s="240"/>
      <c r="CJ6" s="240"/>
      <c r="CK6" s="240"/>
      <c r="CL6" s="240"/>
      <c r="CM6" s="240"/>
      <c r="CN6" s="240"/>
      <c r="CO6" s="240"/>
      <c r="CP6" s="240"/>
      <c r="CQ6" s="240"/>
      <c r="CR6" s="240"/>
      <c r="CS6" s="240"/>
      <c r="CT6" s="240"/>
      <c r="CU6" s="240"/>
      <c r="CV6" s="240"/>
      <c r="CW6" s="240"/>
      <c r="CX6" s="240"/>
      <c r="CY6" s="240"/>
      <c r="CZ6" s="240"/>
      <c r="DA6" s="240"/>
      <c r="DB6" s="240"/>
      <c r="DC6" s="240"/>
      <c r="DD6" s="240"/>
      <c r="DE6" s="240"/>
      <c r="DF6" s="240"/>
      <c r="DG6" s="240"/>
      <c r="DH6" s="240"/>
      <c r="DI6" s="240"/>
      <c r="DJ6" s="240"/>
      <c r="DK6" s="240"/>
      <c r="DL6" s="240"/>
      <c r="DM6" s="240"/>
      <c r="DN6" s="240"/>
      <c r="DO6" s="240"/>
      <c r="DP6" s="240"/>
      <c r="DQ6" s="240"/>
      <c r="DR6" s="240"/>
      <c r="DS6" s="240"/>
      <c r="DT6" s="240"/>
      <c r="DU6" s="240"/>
      <c r="DV6" s="240"/>
      <c r="DW6" s="240"/>
      <c r="DX6" s="240"/>
      <c r="DY6" s="240"/>
      <c r="DZ6" s="240"/>
      <c r="EA6" s="240"/>
      <c r="EB6" s="240"/>
      <c r="EC6" s="240"/>
      <c r="ED6" s="240"/>
      <c r="EE6" s="240"/>
      <c r="EF6" s="240"/>
      <c r="EG6" s="240"/>
      <c r="EH6" s="240"/>
      <c r="EI6" s="240"/>
      <c r="EJ6" s="240"/>
      <c r="EK6" s="240"/>
      <c r="EL6" s="240"/>
      <c r="EM6" s="240"/>
      <c r="EN6" s="240"/>
      <c r="EO6" s="240"/>
      <c r="EP6" s="240"/>
      <c r="EQ6" s="240"/>
      <c r="ER6" s="240"/>
      <c r="ES6" s="240"/>
      <c r="ET6" s="240"/>
      <c r="EU6" s="240"/>
      <c r="EV6" s="240"/>
      <c r="EW6" s="240"/>
      <c r="EX6" s="240"/>
      <c r="EY6" s="240"/>
      <c r="EZ6" s="240"/>
      <c r="FA6" s="240"/>
      <c r="FB6" s="240"/>
      <c r="FC6" s="240"/>
      <c r="FD6" s="240"/>
      <c r="FE6" s="240"/>
      <c r="FF6" s="240"/>
      <c r="FG6" s="240"/>
      <c r="FH6" s="240"/>
      <c r="FI6" s="240"/>
      <c r="FJ6" s="240"/>
      <c r="FK6" s="240"/>
      <c r="FL6" s="240"/>
      <c r="FM6" s="240"/>
      <c r="FN6" s="240"/>
      <c r="FO6" s="240"/>
      <c r="FP6" s="240"/>
      <c r="FQ6" s="240"/>
      <c r="FR6" s="240"/>
      <c r="FS6" s="240"/>
      <c r="FT6" s="240"/>
      <c r="FU6" s="240"/>
      <c r="FV6" s="240"/>
      <c r="FW6" s="240"/>
      <c r="FX6" s="240"/>
      <c r="FY6" s="240"/>
      <c r="FZ6" s="240"/>
      <c r="GA6" s="240"/>
      <c r="GB6" s="240"/>
      <c r="GC6" s="240"/>
      <c r="GD6" s="240"/>
      <c r="GE6" s="240"/>
      <c r="GF6" s="240"/>
      <c r="GG6" s="240"/>
      <c r="GH6" s="240"/>
      <c r="GI6" s="240"/>
      <c r="GJ6" s="240"/>
      <c r="GK6" s="240"/>
      <c r="GL6" s="240"/>
      <c r="GM6" s="240"/>
      <c r="GN6" s="240"/>
      <c r="GO6" s="240"/>
      <c r="GP6" s="240"/>
      <c r="GQ6" s="240"/>
      <c r="GR6" s="240"/>
      <c r="GS6" s="240"/>
      <c r="GT6" s="240"/>
      <c r="GU6" s="240"/>
      <c r="GV6" s="240"/>
      <c r="GW6" s="240"/>
      <c r="GX6" s="240"/>
      <c r="GY6" s="240"/>
      <c r="GZ6" s="240"/>
      <c r="HA6" s="240"/>
      <c r="HB6" s="240"/>
      <c r="HC6" s="240"/>
      <c r="HD6" s="240"/>
      <c r="HE6" s="240"/>
      <c r="HF6" s="240"/>
      <c r="HG6" s="240"/>
      <c r="HH6" s="240"/>
      <c r="HI6" s="240"/>
      <c r="HJ6" s="240"/>
      <c r="HK6" s="240"/>
      <c r="HL6" s="240"/>
      <c r="HM6" s="240"/>
      <c r="HN6" s="240"/>
      <c r="HO6" s="240"/>
      <c r="HP6" s="240"/>
      <c r="HQ6" s="240"/>
      <c r="HR6" s="240"/>
      <c r="HS6" s="240"/>
      <c r="HT6" s="240"/>
      <c r="HU6" s="240"/>
      <c r="HV6" s="240"/>
      <c r="HW6" s="240"/>
      <c r="HX6" s="240"/>
      <c r="HY6" s="240"/>
      <c r="HZ6" s="240"/>
      <c r="IA6" s="240"/>
      <c r="IB6" s="240"/>
      <c r="IC6" s="240"/>
      <c r="ID6" s="240"/>
      <c r="IE6" s="240"/>
      <c r="IF6" s="240"/>
      <c r="IG6" s="240"/>
      <c r="IH6" s="240"/>
      <c r="II6" s="240"/>
      <c r="IJ6" s="240"/>
      <c r="IK6" s="240"/>
      <c r="IL6" s="240"/>
      <c r="IM6" s="240"/>
      <c r="IN6" s="240"/>
      <c r="IO6" s="240"/>
      <c r="IP6" s="240"/>
      <c r="IQ6" s="240"/>
    </row>
    <row r="7" spans="1:251" s="239" customFormat="1" ht="15.6" x14ac:dyDescent="0.3">
      <c r="A7" s="348" t="s">
        <v>300</v>
      </c>
      <c r="B7" s="349"/>
      <c r="C7" s="350">
        <v>1</v>
      </c>
      <c r="D7" s="351">
        <f>30000/$D$4</f>
        <v>461.53846153846155</v>
      </c>
      <c r="E7" s="352" t="s">
        <v>298</v>
      </c>
      <c r="F7" s="353">
        <v>12</v>
      </c>
      <c r="G7" s="354">
        <v>1</v>
      </c>
      <c r="H7" s="355">
        <f>(C7*D7*10*G7)</f>
        <v>4615.3846153846152</v>
      </c>
      <c r="I7" s="351">
        <f t="shared" si="0"/>
        <v>4615.3846153846152</v>
      </c>
      <c r="J7" s="356"/>
      <c r="K7" s="355">
        <f t="shared" si="1"/>
        <v>5815.3846153846162</v>
      </c>
      <c r="L7" s="351">
        <f t="shared" si="2"/>
        <v>5815.3846153846162</v>
      </c>
      <c r="M7" s="356"/>
      <c r="N7" s="355">
        <f t="shared" si="3"/>
        <v>5597.3076923076924</v>
      </c>
      <c r="O7" s="351">
        <f t="shared" si="4"/>
        <v>5597.3076923076924</v>
      </c>
      <c r="P7" s="356"/>
      <c r="Q7" s="355">
        <f t="shared" si="5"/>
        <v>16028.076923076922</v>
      </c>
      <c r="R7" s="351">
        <f t="shared" si="5"/>
        <v>16028.076923076922</v>
      </c>
      <c r="S7" s="356">
        <f t="shared" si="5"/>
        <v>0</v>
      </c>
      <c r="T7" s="26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/>
      <c r="DZ7" s="240"/>
      <c r="EA7" s="240"/>
      <c r="EB7" s="240"/>
      <c r="EC7" s="240"/>
      <c r="ED7" s="240"/>
      <c r="EE7" s="240"/>
      <c r="EF7" s="240"/>
      <c r="EG7" s="240"/>
      <c r="EH7" s="240"/>
      <c r="EI7" s="240"/>
      <c r="EJ7" s="240"/>
      <c r="EK7" s="240"/>
      <c r="EL7" s="240"/>
      <c r="EM7" s="240"/>
      <c r="EN7" s="240"/>
      <c r="EO7" s="240"/>
      <c r="EP7" s="240"/>
      <c r="EQ7" s="240"/>
      <c r="ER7" s="240"/>
      <c r="ES7" s="240"/>
      <c r="ET7" s="240"/>
      <c r="EU7" s="240"/>
      <c r="EV7" s="240"/>
      <c r="EW7" s="240"/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0"/>
      <c r="FL7" s="240"/>
      <c r="FM7" s="240"/>
      <c r="FN7" s="240"/>
      <c r="FO7" s="240"/>
      <c r="FP7" s="240"/>
      <c r="FQ7" s="240"/>
      <c r="FR7" s="240"/>
      <c r="FS7" s="240"/>
      <c r="FT7" s="240"/>
      <c r="FU7" s="240"/>
      <c r="FV7" s="240"/>
      <c r="FW7" s="240"/>
      <c r="FX7" s="240"/>
      <c r="FY7" s="240"/>
      <c r="FZ7" s="240"/>
      <c r="GA7" s="240"/>
      <c r="GB7" s="240"/>
      <c r="GC7" s="240"/>
      <c r="GD7" s="240"/>
      <c r="GE7" s="240"/>
      <c r="GF7" s="240"/>
      <c r="GG7" s="240"/>
      <c r="GH7" s="240"/>
      <c r="GI7" s="240"/>
      <c r="GJ7" s="240"/>
      <c r="GK7" s="240"/>
      <c r="GL7" s="240"/>
      <c r="GM7" s="240"/>
      <c r="GN7" s="240"/>
      <c r="GO7" s="240"/>
      <c r="GP7" s="240"/>
      <c r="GQ7" s="240"/>
      <c r="GR7" s="240"/>
      <c r="GS7" s="240"/>
      <c r="GT7" s="240"/>
      <c r="GU7" s="240"/>
      <c r="GV7" s="240"/>
      <c r="GW7" s="240"/>
      <c r="GX7" s="240"/>
      <c r="GY7" s="240"/>
      <c r="GZ7" s="240"/>
      <c r="HA7" s="240"/>
      <c r="HB7" s="240"/>
      <c r="HC7" s="240"/>
      <c r="HD7" s="240"/>
      <c r="HE7" s="240"/>
      <c r="HF7" s="240"/>
      <c r="HG7" s="240"/>
      <c r="HH7" s="240"/>
      <c r="HI7" s="240"/>
      <c r="HJ7" s="240"/>
      <c r="HK7" s="240"/>
      <c r="HL7" s="240"/>
      <c r="HM7" s="240"/>
      <c r="HN7" s="240"/>
      <c r="HO7" s="240"/>
      <c r="HP7" s="240"/>
      <c r="HQ7" s="240"/>
      <c r="HR7" s="240"/>
      <c r="HS7" s="240"/>
      <c r="HT7" s="240"/>
      <c r="HU7" s="240"/>
      <c r="HV7" s="240"/>
      <c r="HW7" s="240"/>
      <c r="HX7" s="240"/>
      <c r="HY7" s="240"/>
      <c r="HZ7" s="240"/>
      <c r="IA7" s="240"/>
      <c r="IB7" s="240"/>
      <c r="IC7" s="240"/>
      <c r="ID7" s="240"/>
      <c r="IE7" s="240"/>
      <c r="IF7" s="240"/>
      <c r="IG7" s="240"/>
      <c r="IH7" s="240"/>
      <c r="II7" s="240"/>
      <c r="IJ7" s="240"/>
      <c r="IK7" s="240"/>
      <c r="IL7" s="240"/>
      <c r="IM7" s="240"/>
      <c r="IN7" s="240"/>
      <c r="IO7" s="240"/>
      <c r="IP7" s="240"/>
      <c r="IQ7" s="240"/>
    </row>
    <row r="8" spans="1:251" s="239" customFormat="1" ht="15.6" x14ac:dyDescent="0.3">
      <c r="A8" s="348" t="s">
        <v>301</v>
      </c>
      <c r="B8" s="349"/>
      <c r="C8" s="350">
        <v>1</v>
      </c>
      <c r="D8" s="351">
        <f>20000/$D$4</f>
        <v>307.69230769230768</v>
      </c>
      <c r="E8" s="352" t="s">
        <v>298</v>
      </c>
      <c r="F8" s="353">
        <v>12</v>
      </c>
      <c r="G8" s="354">
        <v>1</v>
      </c>
      <c r="H8" s="355">
        <f>(C8*D8*10*G8)</f>
        <v>3076.9230769230767</v>
      </c>
      <c r="I8" s="351">
        <f t="shared" si="0"/>
        <v>3076.9230769230767</v>
      </c>
      <c r="J8" s="356"/>
      <c r="K8" s="355">
        <f t="shared" si="1"/>
        <v>3876.9230769230771</v>
      </c>
      <c r="L8" s="351">
        <f t="shared" si="2"/>
        <v>3876.9230769230771</v>
      </c>
      <c r="M8" s="356"/>
      <c r="N8" s="355">
        <f t="shared" si="3"/>
        <v>3731.5384615384614</v>
      </c>
      <c r="O8" s="351">
        <f t="shared" si="4"/>
        <v>3731.5384615384614</v>
      </c>
      <c r="P8" s="356"/>
      <c r="Q8" s="355">
        <f t="shared" si="5"/>
        <v>10685.384615384615</v>
      </c>
      <c r="R8" s="351">
        <f t="shared" si="5"/>
        <v>10685.384615384615</v>
      </c>
      <c r="S8" s="356">
        <f t="shared" si="5"/>
        <v>0</v>
      </c>
      <c r="T8" s="26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X8" s="240"/>
      <c r="DY8" s="240"/>
      <c r="DZ8" s="240"/>
      <c r="EA8" s="240"/>
      <c r="EB8" s="240"/>
      <c r="EC8" s="240"/>
      <c r="ED8" s="240"/>
      <c r="EE8" s="240"/>
      <c r="EF8" s="240"/>
      <c r="EG8" s="240"/>
      <c r="EH8" s="240"/>
      <c r="EI8" s="240"/>
      <c r="EJ8" s="240"/>
      <c r="EK8" s="240"/>
      <c r="EL8" s="240"/>
      <c r="EM8" s="240"/>
      <c r="EN8" s="240"/>
      <c r="EO8" s="240"/>
      <c r="EP8" s="240"/>
      <c r="EQ8" s="240"/>
      <c r="ER8" s="240"/>
      <c r="ES8" s="240"/>
      <c r="ET8" s="240"/>
      <c r="EU8" s="240"/>
      <c r="EV8" s="240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0"/>
      <c r="FL8" s="240"/>
      <c r="FM8" s="240"/>
      <c r="FN8" s="240"/>
      <c r="FO8" s="240"/>
      <c r="FP8" s="240"/>
      <c r="FQ8" s="240"/>
      <c r="FR8" s="240"/>
      <c r="FS8" s="240"/>
      <c r="FT8" s="240"/>
      <c r="FU8" s="240"/>
      <c r="FV8" s="240"/>
      <c r="FW8" s="240"/>
      <c r="FX8" s="240"/>
      <c r="FY8" s="240"/>
      <c r="FZ8" s="240"/>
      <c r="GA8" s="240"/>
      <c r="GB8" s="240"/>
      <c r="GC8" s="240"/>
      <c r="GD8" s="240"/>
      <c r="GE8" s="240"/>
      <c r="GF8" s="240"/>
      <c r="GG8" s="240"/>
      <c r="GH8" s="240"/>
      <c r="GI8" s="240"/>
      <c r="GJ8" s="240"/>
      <c r="GK8" s="240"/>
      <c r="GL8" s="240"/>
      <c r="GM8" s="240"/>
      <c r="GN8" s="240"/>
      <c r="GO8" s="240"/>
      <c r="GP8" s="240"/>
      <c r="GQ8" s="240"/>
      <c r="GR8" s="240"/>
      <c r="GS8" s="240"/>
      <c r="GT8" s="240"/>
      <c r="GU8" s="240"/>
      <c r="GV8" s="240"/>
      <c r="GW8" s="240"/>
      <c r="GX8" s="240"/>
      <c r="GY8" s="240"/>
      <c r="GZ8" s="240"/>
      <c r="HA8" s="240"/>
      <c r="HB8" s="240"/>
      <c r="HC8" s="240"/>
      <c r="HD8" s="240"/>
      <c r="HE8" s="240"/>
      <c r="HF8" s="240"/>
      <c r="HG8" s="240"/>
      <c r="HH8" s="240"/>
      <c r="HI8" s="240"/>
      <c r="HJ8" s="240"/>
      <c r="HK8" s="240"/>
      <c r="HL8" s="240"/>
      <c r="HM8" s="240"/>
      <c r="HN8" s="240"/>
      <c r="HO8" s="240"/>
      <c r="HP8" s="240"/>
      <c r="HQ8" s="240"/>
      <c r="HR8" s="240"/>
      <c r="HS8" s="240"/>
      <c r="HT8" s="240"/>
      <c r="HU8" s="240"/>
      <c r="HV8" s="240"/>
      <c r="HW8" s="240"/>
      <c r="HX8" s="240"/>
      <c r="HY8" s="240"/>
      <c r="HZ8" s="240"/>
      <c r="IA8" s="240"/>
      <c r="IB8" s="240"/>
      <c r="IC8" s="240"/>
      <c r="ID8" s="240"/>
      <c r="IE8" s="240"/>
      <c r="IF8" s="240"/>
      <c r="IG8" s="240"/>
      <c r="IH8" s="240"/>
      <c r="II8" s="240"/>
      <c r="IJ8" s="240"/>
      <c r="IK8" s="240"/>
      <c r="IL8" s="240"/>
      <c r="IM8" s="240"/>
      <c r="IN8" s="240"/>
      <c r="IO8" s="240"/>
      <c r="IP8" s="240"/>
      <c r="IQ8" s="240"/>
    </row>
    <row r="9" spans="1:251" s="239" customFormat="1" ht="15.6" x14ac:dyDescent="0.3">
      <c r="A9" s="348" t="s">
        <v>302</v>
      </c>
      <c r="B9" s="349"/>
      <c r="C9" s="350">
        <v>1</v>
      </c>
      <c r="D9" s="351">
        <f>30000/$D$4</f>
        <v>461.53846153846155</v>
      </c>
      <c r="E9" s="352" t="s">
        <v>298</v>
      </c>
      <c r="F9" s="353">
        <v>12</v>
      </c>
      <c r="G9" s="354">
        <v>1</v>
      </c>
      <c r="H9" s="355">
        <f>(C9*D9*9*G9)</f>
        <v>4153.8461538461543</v>
      </c>
      <c r="I9" s="351">
        <f t="shared" si="0"/>
        <v>4153.8461538461543</v>
      </c>
      <c r="J9" s="356"/>
      <c r="K9" s="355">
        <f t="shared" si="1"/>
        <v>5815.3846153846162</v>
      </c>
      <c r="L9" s="351">
        <f t="shared" si="2"/>
        <v>5815.3846153846162</v>
      </c>
      <c r="M9" s="356"/>
      <c r="N9" s="355">
        <f t="shared" si="3"/>
        <v>5597.3076923076924</v>
      </c>
      <c r="O9" s="351">
        <f t="shared" si="4"/>
        <v>5597.3076923076924</v>
      </c>
      <c r="P9" s="356"/>
      <c r="Q9" s="355">
        <f t="shared" si="5"/>
        <v>15566.538461538461</v>
      </c>
      <c r="R9" s="351">
        <f t="shared" si="5"/>
        <v>15566.538461538461</v>
      </c>
      <c r="S9" s="356">
        <f t="shared" si="5"/>
        <v>0</v>
      </c>
      <c r="T9" s="26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  <c r="CO9" s="240"/>
      <c r="CP9" s="240"/>
      <c r="CQ9" s="240"/>
      <c r="CR9" s="240"/>
      <c r="CS9" s="240"/>
      <c r="CT9" s="240"/>
      <c r="CU9" s="240"/>
      <c r="CV9" s="240"/>
      <c r="CW9" s="240"/>
      <c r="CX9" s="240"/>
      <c r="CY9" s="240"/>
      <c r="CZ9" s="240"/>
      <c r="DA9" s="240"/>
      <c r="DB9" s="240"/>
      <c r="DC9" s="240"/>
      <c r="DD9" s="240"/>
      <c r="DE9" s="240"/>
      <c r="DF9" s="240"/>
      <c r="DG9" s="240"/>
      <c r="DH9" s="240"/>
      <c r="DI9" s="240"/>
      <c r="DJ9" s="240"/>
      <c r="DK9" s="240"/>
      <c r="DL9" s="240"/>
      <c r="DM9" s="240"/>
      <c r="DN9" s="240"/>
      <c r="DO9" s="240"/>
      <c r="DP9" s="240"/>
      <c r="DQ9" s="240"/>
      <c r="DR9" s="240"/>
      <c r="DS9" s="240"/>
      <c r="DT9" s="240"/>
      <c r="DU9" s="240"/>
      <c r="DV9" s="240"/>
      <c r="DW9" s="240"/>
      <c r="DX9" s="240"/>
      <c r="DY9" s="240"/>
      <c r="DZ9" s="240"/>
      <c r="EA9" s="240"/>
      <c r="EB9" s="240"/>
      <c r="EC9" s="240"/>
      <c r="ED9" s="240"/>
      <c r="EE9" s="240"/>
      <c r="EF9" s="240"/>
      <c r="EG9" s="240"/>
      <c r="EH9" s="240"/>
      <c r="EI9" s="240"/>
      <c r="EJ9" s="240"/>
      <c r="EK9" s="240"/>
      <c r="EL9" s="240"/>
      <c r="EM9" s="240"/>
      <c r="EN9" s="240"/>
      <c r="EO9" s="240"/>
      <c r="EP9" s="240"/>
      <c r="EQ9" s="240"/>
      <c r="ER9" s="240"/>
      <c r="ES9" s="240"/>
      <c r="ET9" s="240"/>
      <c r="EU9" s="240"/>
      <c r="EV9" s="240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0"/>
      <c r="FL9" s="240"/>
      <c r="FM9" s="240"/>
      <c r="FN9" s="240"/>
      <c r="FO9" s="240"/>
      <c r="FP9" s="240"/>
      <c r="FQ9" s="240"/>
      <c r="FR9" s="240"/>
      <c r="FS9" s="240"/>
      <c r="FT9" s="240"/>
      <c r="FU9" s="240"/>
      <c r="FV9" s="240"/>
      <c r="FW9" s="240"/>
      <c r="FX9" s="240"/>
      <c r="FY9" s="240"/>
      <c r="FZ9" s="240"/>
      <c r="GA9" s="240"/>
      <c r="GB9" s="240"/>
      <c r="GC9" s="240"/>
      <c r="GD9" s="240"/>
      <c r="GE9" s="240"/>
      <c r="GF9" s="240"/>
      <c r="GG9" s="240"/>
      <c r="GH9" s="240"/>
      <c r="GI9" s="240"/>
      <c r="GJ9" s="240"/>
      <c r="GK9" s="240"/>
      <c r="GL9" s="240"/>
      <c r="GM9" s="240"/>
      <c r="GN9" s="240"/>
      <c r="GO9" s="240"/>
      <c r="GP9" s="240"/>
      <c r="GQ9" s="240"/>
      <c r="GR9" s="240"/>
      <c r="GS9" s="240"/>
      <c r="GT9" s="240"/>
      <c r="GU9" s="240"/>
      <c r="GV9" s="240"/>
      <c r="GW9" s="240"/>
      <c r="GX9" s="240"/>
      <c r="GY9" s="240"/>
      <c r="GZ9" s="240"/>
      <c r="HA9" s="240"/>
      <c r="HB9" s="240"/>
      <c r="HC9" s="240"/>
      <c r="HD9" s="240"/>
      <c r="HE9" s="240"/>
      <c r="HF9" s="240"/>
      <c r="HG9" s="240"/>
      <c r="HH9" s="240"/>
      <c r="HI9" s="240"/>
      <c r="HJ9" s="240"/>
      <c r="HK9" s="240"/>
      <c r="HL9" s="240"/>
      <c r="HM9" s="240"/>
      <c r="HN9" s="240"/>
      <c r="HO9" s="240"/>
      <c r="HP9" s="240"/>
      <c r="HQ9" s="240"/>
      <c r="HR9" s="240"/>
      <c r="HS9" s="240"/>
      <c r="HT9" s="240"/>
      <c r="HU9" s="240"/>
      <c r="HV9" s="240"/>
      <c r="HW9" s="240"/>
      <c r="HX9" s="240"/>
      <c r="HY9" s="240"/>
      <c r="HZ9" s="240"/>
      <c r="IA9" s="240"/>
      <c r="IB9" s="240"/>
      <c r="IC9" s="240"/>
      <c r="ID9" s="240"/>
      <c r="IE9" s="240"/>
      <c r="IF9" s="240"/>
      <c r="IG9" s="240"/>
      <c r="IH9" s="240"/>
      <c r="II9" s="240"/>
      <c r="IJ9" s="240"/>
      <c r="IK9" s="240"/>
      <c r="IL9" s="240"/>
      <c r="IM9" s="240"/>
      <c r="IN9" s="240"/>
      <c r="IO9" s="240"/>
      <c r="IP9" s="240"/>
      <c r="IQ9" s="240"/>
    </row>
    <row r="10" spans="1:251" s="239" customFormat="1" ht="15.6" x14ac:dyDescent="0.3">
      <c r="A10" s="348" t="s">
        <v>303</v>
      </c>
      <c r="B10" s="349"/>
      <c r="C10" s="350">
        <v>2</v>
      </c>
      <c r="D10" s="351">
        <f>35000/$D$4</f>
        <v>538.46153846153845</v>
      </c>
      <c r="E10" s="352" t="s">
        <v>298</v>
      </c>
      <c r="F10" s="353">
        <v>12</v>
      </c>
      <c r="G10" s="354">
        <v>1</v>
      </c>
      <c r="H10" s="355">
        <f>(C10*D10*9*G10)</f>
        <v>9692.3076923076915</v>
      </c>
      <c r="I10" s="351">
        <f t="shared" si="0"/>
        <v>9692.3076923076915</v>
      </c>
      <c r="J10" s="356"/>
      <c r="K10" s="355">
        <f t="shared" si="1"/>
        <v>13569.23076923077</v>
      </c>
      <c r="L10" s="351">
        <f t="shared" si="2"/>
        <v>13569.23076923077</v>
      </c>
      <c r="M10" s="356"/>
      <c r="N10" s="355">
        <f t="shared" si="3"/>
        <v>13060.384615384617</v>
      </c>
      <c r="O10" s="351">
        <f t="shared" si="4"/>
        <v>13060.384615384617</v>
      </c>
      <c r="P10" s="356"/>
      <c r="Q10" s="355">
        <f t="shared" si="5"/>
        <v>36321.923076923078</v>
      </c>
      <c r="R10" s="351">
        <f t="shared" si="5"/>
        <v>36321.923076923078</v>
      </c>
      <c r="S10" s="356">
        <f t="shared" si="5"/>
        <v>0</v>
      </c>
      <c r="T10" s="26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G10" s="240"/>
      <c r="EH10" s="240"/>
      <c r="EI10" s="240"/>
      <c r="EJ10" s="240"/>
      <c r="EK10" s="240"/>
      <c r="EL10" s="240"/>
      <c r="EM10" s="240"/>
      <c r="EN10" s="240"/>
      <c r="EO10" s="240"/>
      <c r="EP10" s="240"/>
      <c r="EQ10" s="240"/>
      <c r="ER10" s="240"/>
      <c r="ES10" s="240"/>
      <c r="ET10" s="240"/>
      <c r="EU10" s="240"/>
      <c r="EV10" s="240"/>
      <c r="EW10" s="240"/>
      <c r="EX10" s="240"/>
      <c r="EY10" s="240"/>
      <c r="EZ10" s="240"/>
      <c r="FA10" s="240"/>
      <c r="FB10" s="240"/>
      <c r="FC10" s="240"/>
      <c r="FD10" s="240"/>
      <c r="FE10" s="240"/>
      <c r="FF10" s="240"/>
      <c r="FG10" s="240"/>
      <c r="FH10" s="240"/>
      <c r="FI10" s="240"/>
      <c r="FJ10" s="240"/>
      <c r="FK10" s="240"/>
      <c r="FL10" s="240"/>
      <c r="FM10" s="240"/>
      <c r="FN10" s="240"/>
      <c r="FO10" s="240"/>
      <c r="FP10" s="240"/>
      <c r="FQ10" s="240"/>
      <c r="FR10" s="240"/>
      <c r="FS10" s="240"/>
      <c r="FT10" s="240"/>
      <c r="FU10" s="240"/>
      <c r="FV10" s="240"/>
      <c r="FW10" s="240"/>
      <c r="FX10" s="240"/>
      <c r="FY10" s="240"/>
      <c r="FZ10" s="240"/>
      <c r="GA10" s="240"/>
      <c r="GB10" s="240"/>
      <c r="GC10" s="240"/>
      <c r="GD10" s="240"/>
      <c r="GE10" s="240"/>
      <c r="GF10" s="240"/>
      <c r="GG10" s="240"/>
      <c r="GH10" s="240"/>
      <c r="GI10" s="240"/>
      <c r="GJ10" s="240"/>
      <c r="GK10" s="240"/>
      <c r="GL10" s="240"/>
      <c r="GM10" s="240"/>
      <c r="GN10" s="240"/>
      <c r="GO10" s="240"/>
      <c r="GP10" s="240"/>
      <c r="GQ10" s="240"/>
      <c r="GR10" s="240"/>
      <c r="GS10" s="240"/>
      <c r="GT10" s="240"/>
      <c r="GU10" s="240"/>
      <c r="GV10" s="240"/>
      <c r="GW10" s="240"/>
      <c r="GX10" s="240"/>
      <c r="GY10" s="240"/>
      <c r="GZ10" s="240"/>
      <c r="HA10" s="240"/>
      <c r="HB10" s="240"/>
      <c r="HC10" s="240"/>
      <c r="HD10" s="240"/>
      <c r="HE10" s="240"/>
      <c r="HF10" s="240"/>
      <c r="HG10" s="240"/>
      <c r="HH10" s="240"/>
      <c r="HI10" s="240"/>
      <c r="HJ10" s="240"/>
      <c r="HK10" s="240"/>
      <c r="HL10" s="240"/>
      <c r="HM10" s="240"/>
      <c r="HN10" s="240"/>
      <c r="HO10" s="240"/>
      <c r="HP10" s="240"/>
      <c r="HQ10" s="240"/>
      <c r="HR10" s="240"/>
      <c r="HS10" s="240"/>
      <c r="HT10" s="240"/>
      <c r="HU10" s="240"/>
      <c r="HV10" s="240"/>
      <c r="HW10" s="240"/>
      <c r="HX10" s="240"/>
      <c r="HY10" s="240"/>
      <c r="HZ10" s="240"/>
      <c r="IA10" s="240"/>
      <c r="IB10" s="240"/>
      <c r="IC10" s="240"/>
      <c r="ID10" s="240"/>
      <c r="IE10" s="240"/>
      <c r="IF10" s="240"/>
      <c r="IG10" s="240"/>
      <c r="IH10" s="240"/>
      <c r="II10" s="240"/>
      <c r="IJ10" s="240"/>
      <c r="IK10" s="240"/>
      <c r="IL10" s="240"/>
      <c r="IM10" s="240"/>
      <c r="IN10" s="240"/>
      <c r="IO10" s="240"/>
      <c r="IP10" s="240"/>
      <c r="IQ10" s="240"/>
    </row>
    <row r="11" spans="1:251" s="252" customFormat="1" ht="15.6" x14ac:dyDescent="0.25">
      <c r="A11" s="338" t="s">
        <v>246</v>
      </c>
      <c r="B11" s="339"/>
      <c r="C11" s="340"/>
      <c r="D11" s="342"/>
      <c r="E11" s="342"/>
      <c r="F11" s="343"/>
      <c r="G11" s="344"/>
      <c r="H11" s="345">
        <f>SUM(H5:H10)</f>
        <v>55384.61538461539</v>
      </c>
      <c r="I11" s="346">
        <f t="shared" ref="I11:S11" si="6">SUM(I5:I10)</f>
        <v>55384.61538461539</v>
      </c>
      <c r="J11" s="347">
        <f t="shared" si="6"/>
        <v>0</v>
      </c>
      <c r="K11" s="345">
        <f t="shared" si="6"/>
        <v>71723.076923076937</v>
      </c>
      <c r="L11" s="346">
        <f t="shared" si="6"/>
        <v>71723.076923076937</v>
      </c>
      <c r="M11" s="347">
        <f t="shared" si="6"/>
        <v>0</v>
      </c>
      <c r="N11" s="345">
        <f t="shared" si="6"/>
        <v>69033.461538461546</v>
      </c>
      <c r="O11" s="346">
        <f t="shared" si="6"/>
        <v>69033.461538461546</v>
      </c>
      <c r="P11" s="347">
        <f t="shared" si="6"/>
        <v>0</v>
      </c>
      <c r="Q11" s="345">
        <f t="shared" si="6"/>
        <v>196141.15384615387</v>
      </c>
      <c r="R11" s="346">
        <f t="shared" si="6"/>
        <v>196141.15384615387</v>
      </c>
      <c r="S11" s="347">
        <f t="shared" si="6"/>
        <v>0</v>
      </c>
    </row>
    <row r="12" spans="1:251" s="252" customFormat="1" ht="15.6" x14ac:dyDescent="0.25">
      <c r="A12" s="338" t="s">
        <v>304</v>
      </c>
      <c r="B12" s="339"/>
      <c r="C12" s="340"/>
      <c r="D12" s="339"/>
      <c r="E12" s="339"/>
      <c r="F12" s="340"/>
      <c r="G12" s="344"/>
      <c r="H12" s="357"/>
      <c r="I12" s="342"/>
      <c r="J12" s="358"/>
      <c r="K12" s="357"/>
      <c r="L12" s="342"/>
      <c r="M12" s="358"/>
      <c r="N12" s="357"/>
      <c r="O12" s="342"/>
      <c r="P12" s="358"/>
      <c r="Q12" s="357"/>
      <c r="R12" s="342"/>
      <c r="S12" s="358"/>
    </row>
    <row r="13" spans="1:251" s="240" customFormat="1" ht="15.6" x14ac:dyDescent="0.25">
      <c r="A13" s="359" t="s">
        <v>305</v>
      </c>
      <c r="B13" s="360"/>
      <c r="C13" s="502"/>
      <c r="D13" s="361"/>
      <c r="E13" s="361"/>
      <c r="F13" s="502"/>
      <c r="G13" s="503"/>
      <c r="H13" s="362"/>
      <c r="I13" s="363"/>
      <c r="J13" s="364"/>
      <c r="K13" s="362"/>
      <c r="L13" s="363"/>
      <c r="M13" s="364"/>
      <c r="N13" s="362"/>
      <c r="O13" s="363"/>
      <c r="P13" s="364"/>
      <c r="Q13" s="362"/>
      <c r="R13" s="363"/>
      <c r="S13" s="364"/>
    </row>
    <row r="14" spans="1:251" s="240" customFormat="1" ht="15.6" x14ac:dyDescent="0.3">
      <c r="A14" s="348" t="s">
        <v>306</v>
      </c>
      <c r="B14" s="360"/>
      <c r="C14" s="350">
        <v>1</v>
      </c>
      <c r="D14" s="351">
        <f>15000/$D$4</f>
        <v>230.76923076923077</v>
      </c>
      <c r="E14" s="352" t="s">
        <v>272</v>
      </c>
      <c r="F14" s="353">
        <v>10</v>
      </c>
      <c r="G14" s="354">
        <v>1</v>
      </c>
      <c r="H14" s="355">
        <f t="shared" ref="H14:H19" si="7">(C14*D14*F14*G14)</f>
        <v>2307.6923076923076</v>
      </c>
      <c r="I14" s="351">
        <f t="shared" ref="I14:I19" si="8">H14</f>
        <v>2307.6923076923076</v>
      </c>
      <c r="J14" s="356"/>
      <c r="K14" s="355">
        <f t="shared" ref="K14:K19" si="9">(C14*D14*F14*G14)*105%</f>
        <v>2423.0769230769233</v>
      </c>
      <c r="L14" s="351">
        <f t="shared" ref="L14:L19" si="10">K14</f>
        <v>2423.0769230769233</v>
      </c>
      <c r="M14" s="356"/>
      <c r="N14" s="355">
        <f t="shared" ref="N14:N19" si="11">K14*1.05</f>
        <v>2544.2307692307695</v>
      </c>
      <c r="O14" s="351">
        <f t="shared" ref="O14:O19" si="12">N14</f>
        <v>2544.2307692307695</v>
      </c>
      <c r="P14" s="356"/>
      <c r="Q14" s="355">
        <f t="shared" ref="Q14:Q19" si="13">H14+K14+N14</f>
        <v>7275</v>
      </c>
      <c r="R14" s="351">
        <f t="shared" ref="R14:R19" si="14">I14+L14+O14</f>
        <v>7275</v>
      </c>
      <c r="S14" s="356">
        <f t="shared" ref="S14:S19" si="15">J14+M14+P14</f>
        <v>0</v>
      </c>
    </row>
    <row r="15" spans="1:251" s="240" customFormat="1" ht="15.6" x14ac:dyDescent="0.3">
      <c r="A15" s="365" t="str">
        <f>A5</f>
        <v xml:space="preserve">State Coordinator </v>
      </c>
      <c r="B15" s="360"/>
      <c r="C15" s="350">
        <f>C5</f>
        <v>4</v>
      </c>
      <c r="D15" s="351">
        <f>10000/$D$4</f>
        <v>153.84615384615384</v>
      </c>
      <c r="E15" s="352" t="s">
        <v>272</v>
      </c>
      <c r="F15" s="353">
        <v>4</v>
      </c>
      <c r="G15" s="354">
        <v>1</v>
      </c>
      <c r="H15" s="355">
        <f t="shared" si="7"/>
        <v>2461.5384615384614</v>
      </c>
      <c r="I15" s="351">
        <f t="shared" si="8"/>
        <v>2461.5384615384614</v>
      </c>
      <c r="J15" s="356"/>
      <c r="K15" s="355">
        <f t="shared" si="9"/>
        <v>2584.6153846153848</v>
      </c>
      <c r="L15" s="351">
        <f t="shared" si="10"/>
        <v>2584.6153846153848</v>
      </c>
      <c r="M15" s="356"/>
      <c r="N15" s="355">
        <f t="shared" si="11"/>
        <v>2713.8461538461543</v>
      </c>
      <c r="O15" s="351">
        <f t="shared" si="12"/>
        <v>2713.8461538461543</v>
      </c>
      <c r="P15" s="356"/>
      <c r="Q15" s="355">
        <f t="shared" si="13"/>
        <v>7760</v>
      </c>
      <c r="R15" s="351">
        <f t="shared" si="14"/>
        <v>7760</v>
      </c>
      <c r="S15" s="356">
        <f t="shared" si="15"/>
        <v>0</v>
      </c>
    </row>
    <row r="16" spans="1:251" s="240" customFormat="1" ht="15.6" x14ac:dyDescent="0.3">
      <c r="A16" s="348" t="str">
        <f>A6</f>
        <v xml:space="preserve">Assistant State Coordinator </v>
      </c>
      <c r="B16" s="360"/>
      <c r="C16" s="350">
        <f>C6</f>
        <v>2</v>
      </c>
      <c r="D16" s="351">
        <f>10000/$D$4</f>
        <v>153.84615384615384</v>
      </c>
      <c r="E16" s="352" t="s">
        <v>272</v>
      </c>
      <c r="F16" s="353">
        <v>4</v>
      </c>
      <c r="G16" s="354">
        <v>1</v>
      </c>
      <c r="H16" s="355">
        <f t="shared" si="7"/>
        <v>1230.7692307692307</v>
      </c>
      <c r="I16" s="351">
        <f t="shared" si="8"/>
        <v>1230.7692307692307</v>
      </c>
      <c r="J16" s="356"/>
      <c r="K16" s="355">
        <f t="shared" si="9"/>
        <v>1292.3076923076924</v>
      </c>
      <c r="L16" s="351">
        <f t="shared" si="10"/>
        <v>1292.3076923076924</v>
      </c>
      <c r="M16" s="356"/>
      <c r="N16" s="355">
        <f t="shared" si="11"/>
        <v>1356.9230769230771</v>
      </c>
      <c r="O16" s="351">
        <f t="shared" si="12"/>
        <v>1356.9230769230771</v>
      </c>
      <c r="P16" s="356"/>
      <c r="Q16" s="355">
        <f t="shared" si="13"/>
        <v>3880</v>
      </c>
      <c r="R16" s="351">
        <f t="shared" si="14"/>
        <v>3880</v>
      </c>
      <c r="S16" s="356">
        <f t="shared" si="15"/>
        <v>0</v>
      </c>
    </row>
    <row r="17" spans="1:20" s="240" customFormat="1" ht="15.6" x14ac:dyDescent="0.3">
      <c r="A17" s="348" t="str">
        <f>A7</f>
        <v xml:space="preserve">Finance Coordinator </v>
      </c>
      <c r="B17" s="360"/>
      <c r="C17" s="350">
        <f>C7</f>
        <v>1</v>
      </c>
      <c r="D17" s="351">
        <f>5000/$D$4</f>
        <v>76.92307692307692</v>
      </c>
      <c r="E17" s="352" t="s">
        <v>272</v>
      </c>
      <c r="F17" s="353">
        <v>2</v>
      </c>
      <c r="G17" s="354">
        <v>1</v>
      </c>
      <c r="H17" s="355">
        <f t="shared" si="7"/>
        <v>153.84615384615384</v>
      </c>
      <c r="I17" s="351">
        <f t="shared" si="8"/>
        <v>153.84615384615384</v>
      </c>
      <c r="J17" s="356"/>
      <c r="K17" s="355">
        <f t="shared" si="9"/>
        <v>161.53846153846155</v>
      </c>
      <c r="L17" s="351">
        <f t="shared" si="10"/>
        <v>161.53846153846155</v>
      </c>
      <c r="M17" s="356"/>
      <c r="N17" s="355">
        <f t="shared" si="11"/>
        <v>169.61538461538464</v>
      </c>
      <c r="O17" s="351">
        <f t="shared" si="12"/>
        <v>169.61538461538464</v>
      </c>
      <c r="P17" s="356"/>
      <c r="Q17" s="355">
        <f t="shared" si="13"/>
        <v>485</v>
      </c>
      <c r="R17" s="351">
        <f t="shared" si="14"/>
        <v>485</v>
      </c>
      <c r="S17" s="356">
        <f t="shared" si="15"/>
        <v>0</v>
      </c>
    </row>
    <row r="18" spans="1:20" s="240" customFormat="1" ht="15.6" x14ac:dyDescent="0.3">
      <c r="A18" s="348" t="str">
        <f>A9</f>
        <v>Documentation Officer</v>
      </c>
      <c r="B18" s="360"/>
      <c r="C18" s="350">
        <f>C9</f>
        <v>1</v>
      </c>
      <c r="D18" s="351">
        <f>10000/$D$4</f>
        <v>153.84615384615384</v>
      </c>
      <c r="E18" s="352" t="s">
        <v>272</v>
      </c>
      <c r="F18" s="353">
        <v>2</v>
      </c>
      <c r="G18" s="354">
        <v>1</v>
      </c>
      <c r="H18" s="355">
        <f t="shared" si="7"/>
        <v>307.69230769230768</v>
      </c>
      <c r="I18" s="351">
        <f t="shared" si="8"/>
        <v>307.69230769230768</v>
      </c>
      <c r="J18" s="356"/>
      <c r="K18" s="355">
        <f t="shared" si="9"/>
        <v>323.07692307692309</v>
      </c>
      <c r="L18" s="351">
        <f t="shared" si="10"/>
        <v>323.07692307692309</v>
      </c>
      <c r="M18" s="356"/>
      <c r="N18" s="355">
        <f t="shared" si="11"/>
        <v>339.23076923076928</v>
      </c>
      <c r="O18" s="351">
        <f t="shared" si="12"/>
        <v>339.23076923076928</v>
      </c>
      <c r="P18" s="356"/>
      <c r="Q18" s="355">
        <f t="shared" si="13"/>
        <v>970</v>
      </c>
      <c r="R18" s="351">
        <f t="shared" si="14"/>
        <v>970</v>
      </c>
      <c r="S18" s="356">
        <f t="shared" si="15"/>
        <v>0</v>
      </c>
    </row>
    <row r="19" spans="1:20" s="240" customFormat="1" ht="15.6" x14ac:dyDescent="0.3">
      <c r="A19" s="348" t="str">
        <f>A10</f>
        <v>Monitoring Coordinator</v>
      </c>
      <c r="B19" s="360"/>
      <c r="C19" s="350">
        <f>C9</f>
        <v>1</v>
      </c>
      <c r="D19" s="351">
        <f>10000/$D$4</f>
        <v>153.84615384615384</v>
      </c>
      <c r="E19" s="352" t="s">
        <v>272</v>
      </c>
      <c r="F19" s="353">
        <v>8</v>
      </c>
      <c r="G19" s="354">
        <v>1</v>
      </c>
      <c r="H19" s="355">
        <f t="shared" si="7"/>
        <v>1230.7692307692307</v>
      </c>
      <c r="I19" s="351">
        <f t="shared" si="8"/>
        <v>1230.7692307692307</v>
      </c>
      <c r="J19" s="356"/>
      <c r="K19" s="355">
        <f t="shared" si="9"/>
        <v>1292.3076923076924</v>
      </c>
      <c r="L19" s="351">
        <f t="shared" si="10"/>
        <v>1292.3076923076924</v>
      </c>
      <c r="M19" s="356"/>
      <c r="N19" s="355">
        <f t="shared" si="11"/>
        <v>1356.9230769230771</v>
      </c>
      <c r="O19" s="351">
        <f t="shared" si="12"/>
        <v>1356.9230769230771</v>
      </c>
      <c r="P19" s="356"/>
      <c r="Q19" s="355">
        <f t="shared" si="13"/>
        <v>3880</v>
      </c>
      <c r="R19" s="351">
        <f t="shared" si="14"/>
        <v>3880</v>
      </c>
      <c r="S19" s="356">
        <f t="shared" si="15"/>
        <v>0</v>
      </c>
    </row>
    <row r="20" spans="1:20" s="252" customFormat="1" ht="15.6" x14ac:dyDescent="0.25">
      <c r="A20" s="338" t="s">
        <v>307</v>
      </c>
      <c r="B20" s="339"/>
      <c r="C20" s="340"/>
      <c r="D20" s="366"/>
      <c r="E20" s="366"/>
      <c r="F20" s="367"/>
      <c r="G20" s="344"/>
      <c r="H20" s="345">
        <f>SUM(H14:H19)</f>
        <v>7692.3076923076924</v>
      </c>
      <c r="I20" s="346">
        <f t="shared" ref="I20:S20" si="16">SUM(I14:I19)</f>
        <v>7692.3076923076924</v>
      </c>
      <c r="J20" s="347">
        <f t="shared" si="16"/>
        <v>0</v>
      </c>
      <c r="K20" s="345">
        <f t="shared" si="16"/>
        <v>8076.923076923078</v>
      </c>
      <c r="L20" s="346">
        <f t="shared" si="16"/>
        <v>8076.923076923078</v>
      </c>
      <c r="M20" s="347">
        <f t="shared" si="16"/>
        <v>0</v>
      </c>
      <c r="N20" s="345">
        <f t="shared" si="16"/>
        <v>8480.7692307692323</v>
      </c>
      <c r="O20" s="346">
        <f t="shared" si="16"/>
        <v>8480.7692307692323</v>
      </c>
      <c r="P20" s="347">
        <f t="shared" si="16"/>
        <v>0</v>
      </c>
      <c r="Q20" s="345">
        <f t="shared" si="16"/>
        <v>24250</v>
      </c>
      <c r="R20" s="346">
        <f t="shared" si="16"/>
        <v>24250</v>
      </c>
      <c r="S20" s="347">
        <f t="shared" si="16"/>
        <v>0</v>
      </c>
    </row>
    <row r="21" spans="1:20" s="252" customFormat="1" ht="15.6" x14ac:dyDescent="0.3">
      <c r="A21" s="368" t="s">
        <v>217</v>
      </c>
      <c r="B21" s="339"/>
      <c r="C21" s="340"/>
      <c r="D21" s="339"/>
      <c r="E21" s="339"/>
      <c r="F21" s="340"/>
      <c r="G21" s="344"/>
      <c r="H21" s="357"/>
      <c r="I21" s="342"/>
      <c r="J21" s="358"/>
      <c r="K21" s="357"/>
      <c r="L21" s="342"/>
      <c r="M21" s="358"/>
      <c r="N21" s="357"/>
      <c r="O21" s="342"/>
      <c r="P21" s="358"/>
      <c r="Q21" s="357"/>
      <c r="R21" s="342"/>
      <c r="S21" s="358"/>
    </row>
    <row r="22" spans="1:20" s="240" customFormat="1" ht="15.6" x14ac:dyDescent="0.3">
      <c r="A22" s="365" t="s">
        <v>308</v>
      </c>
      <c r="B22" s="349"/>
      <c r="C22" s="350">
        <v>1</v>
      </c>
      <c r="D22" s="351">
        <f>10000/$D$4</f>
        <v>153.84615384615384</v>
      </c>
      <c r="E22" s="352" t="s">
        <v>272</v>
      </c>
      <c r="F22" s="369">
        <v>12</v>
      </c>
      <c r="G22" s="354">
        <v>1</v>
      </c>
      <c r="H22" s="355">
        <f>(C22*D22*F22*G22)</f>
        <v>1846.1538461538462</v>
      </c>
      <c r="I22" s="351">
        <f>H22</f>
        <v>1846.1538461538462</v>
      </c>
      <c r="J22" s="356"/>
      <c r="K22" s="355">
        <f>(H22)+(H22)*5%</f>
        <v>1938.4615384615386</v>
      </c>
      <c r="L22" s="351">
        <f>K22</f>
        <v>1938.4615384615386</v>
      </c>
      <c r="M22" s="356"/>
      <c r="N22" s="355">
        <f>((K22)+(K22)*5%)/12*11</f>
        <v>1865.7692307692307</v>
      </c>
      <c r="O22" s="351">
        <f>N22</f>
        <v>1865.7692307692307</v>
      </c>
      <c r="P22" s="356"/>
      <c r="Q22" s="355">
        <f t="shared" ref="Q22:S23" si="17">H22+K22+N22</f>
        <v>5650.3846153846152</v>
      </c>
      <c r="R22" s="351">
        <f t="shared" si="17"/>
        <v>5650.3846153846152</v>
      </c>
      <c r="S22" s="356">
        <f t="shared" si="17"/>
        <v>0</v>
      </c>
    </row>
    <row r="23" spans="1:20" s="240" customFormat="1" ht="15.6" x14ac:dyDescent="0.3">
      <c r="A23" s="365" t="s">
        <v>309</v>
      </c>
      <c r="B23" s="349"/>
      <c r="C23" s="350">
        <v>1</v>
      </c>
      <c r="D23" s="351">
        <f>25000/$D$4</f>
        <v>384.61538461538464</v>
      </c>
      <c r="E23" s="352" t="s">
        <v>272</v>
      </c>
      <c r="F23" s="369">
        <v>12</v>
      </c>
      <c r="G23" s="354">
        <v>1</v>
      </c>
      <c r="H23" s="355">
        <f>(C23*D23*F23*G23)</f>
        <v>4615.3846153846152</v>
      </c>
      <c r="I23" s="351">
        <f>H23</f>
        <v>4615.3846153846152</v>
      </c>
      <c r="J23" s="356"/>
      <c r="K23" s="355">
        <f>(H23)+(H23)*5%</f>
        <v>4846.1538461538457</v>
      </c>
      <c r="L23" s="351">
        <f>K23</f>
        <v>4846.1538461538457</v>
      </c>
      <c r="M23" s="356"/>
      <c r="N23" s="355">
        <f>((K23)+(K23)*5%)/12*11</f>
        <v>4664.4230769230762</v>
      </c>
      <c r="O23" s="351">
        <f>N23</f>
        <v>4664.4230769230762</v>
      </c>
      <c r="P23" s="356"/>
      <c r="Q23" s="355">
        <f t="shared" si="17"/>
        <v>14125.961538461537</v>
      </c>
      <c r="R23" s="351">
        <f t="shared" si="17"/>
        <v>14125.961538461537</v>
      </c>
      <c r="S23" s="356">
        <f t="shared" si="17"/>
        <v>0</v>
      </c>
    </row>
    <row r="24" spans="1:20" s="252" customFormat="1" ht="15.6" x14ac:dyDescent="0.25">
      <c r="A24" s="338" t="s">
        <v>287</v>
      </c>
      <c r="B24" s="339"/>
      <c r="C24" s="340"/>
      <c r="D24" s="342"/>
      <c r="E24" s="342"/>
      <c r="F24" s="343"/>
      <c r="G24" s="344"/>
      <c r="H24" s="345">
        <f>SUM(H22:H23)</f>
        <v>6461.538461538461</v>
      </c>
      <c r="I24" s="346">
        <f t="shared" ref="I24:S24" si="18">SUM(I22:I23)</f>
        <v>6461.538461538461</v>
      </c>
      <c r="J24" s="347">
        <f t="shared" si="18"/>
        <v>0</v>
      </c>
      <c r="K24" s="345">
        <f t="shared" si="18"/>
        <v>6784.6153846153848</v>
      </c>
      <c r="L24" s="346">
        <f t="shared" si="18"/>
        <v>6784.6153846153848</v>
      </c>
      <c r="M24" s="347">
        <f t="shared" si="18"/>
        <v>0</v>
      </c>
      <c r="N24" s="345">
        <f t="shared" si="18"/>
        <v>6530.1923076923067</v>
      </c>
      <c r="O24" s="346">
        <f t="shared" si="18"/>
        <v>6530.1923076923067</v>
      </c>
      <c r="P24" s="347">
        <f t="shared" si="18"/>
        <v>0</v>
      </c>
      <c r="Q24" s="345">
        <f t="shared" si="18"/>
        <v>19776.346153846152</v>
      </c>
      <c r="R24" s="346">
        <f t="shared" si="18"/>
        <v>19776.346153846152</v>
      </c>
      <c r="S24" s="347">
        <f t="shared" si="18"/>
        <v>0</v>
      </c>
    </row>
    <row r="25" spans="1:20" s="252" customFormat="1" ht="15.6" x14ac:dyDescent="0.25">
      <c r="A25" s="370" t="s">
        <v>310</v>
      </c>
      <c r="B25" s="371"/>
      <c r="C25" s="371"/>
      <c r="D25" s="371"/>
      <c r="E25" s="371"/>
      <c r="F25" s="371"/>
      <c r="G25" s="372"/>
      <c r="H25" s="370"/>
      <c r="I25" s="371"/>
      <c r="J25" s="372"/>
      <c r="K25" s="370"/>
      <c r="L25" s="371"/>
      <c r="M25" s="372"/>
      <c r="N25" s="370"/>
      <c r="O25" s="371"/>
      <c r="P25" s="372"/>
      <c r="Q25" s="370"/>
      <c r="R25" s="371"/>
      <c r="S25" s="372"/>
    </row>
    <row r="26" spans="1:20" s="252" customFormat="1" ht="15.6" x14ac:dyDescent="0.25">
      <c r="A26" s="357" t="s">
        <v>311</v>
      </c>
      <c r="B26" s="342"/>
      <c r="C26" s="343"/>
      <c r="D26" s="342"/>
      <c r="E26" s="342"/>
      <c r="F26" s="343"/>
      <c r="G26" s="373"/>
      <c r="H26" s="357"/>
      <c r="I26" s="342"/>
      <c r="J26" s="358"/>
      <c r="K26" s="357"/>
      <c r="L26" s="342"/>
      <c r="M26" s="358"/>
      <c r="N26" s="357"/>
      <c r="O26" s="342"/>
      <c r="P26" s="358"/>
      <c r="Q26" s="357"/>
      <c r="R26" s="342"/>
      <c r="S26" s="358"/>
    </row>
    <row r="27" spans="1:20" s="240" customFormat="1" ht="15.6" x14ac:dyDescent="0.3">
      <c r="A27" s="348" t="s">
        <v>312</v>
      </c>
      <c r="B27" s="374"/>
      <c r="C27" s="375">
        <f>(23*6)+12</f>
        <v>150</v>
      </c>
      <c r="D27" s="376">
        <f>550/$D$4</f>
        <v>8.4615384615384617</v>
      </c>
      <c r="E27" s="377" t="s">
        <v>313</v>
      </c>
      <c r="F27" s="353">
        <v>1</v>
      </c>
      <c r="G27" s="378">
        <v>1</v>
      </c>
      <c r="H27" s="379">
        <f>(C27*D27*F27*G27)</f>
        <v>1269.2307692307693</v>
      </c>
      <c r="I27" s="351">
        <f>H27</f>
        <v>1269.2307692307693</v>
      </c>
      <c r="J27" s="380"/>
      <c r="K27" s="379"/>
      <c r="L27" s="381"/>
      <c r="M27" s="380"/>
      <c r="N27" s="379"/>
      <c r="O27" s="381"/>
      <c r="P27" s="380"/>
      <c r="Q27" s="355">
        <f t="shared" ref="Q27:S30" si="19">H27+K27+N27</f>
        <v>1269.2307692307693</v>
      </c>
      <c r="R27" s="351">
        <f t="shared" si="19"/>
        <v>1269.2307692307693</v>
      </c>
      <c r="S27" s="356">
        <f t="shared" si="19"/>
        <v>0</v>
      </c>
      <c r="T27" s="192"/>
    </row>
    <row r="28" spans="1:20" s="240" customFormat="1" ht="15.6" x14ac:dyDescent="0.3">
      <c r="A28" s="382" t="s">
        <v>314</v>
      </c>
      <c r="B28" s="383"/>
      <c r="C28" s="375">
        <v>7</v>
      </c>
      <c r="D28" s="376">
        <f>12000/$D$4</f>
        <v>184.61538461538461</v>
      </c>
      <c r="E28" s="377" t="s">
        <v>315</v>
      </c>
      <c r="F28" s="353">
        <v>15</v>
      </c>
      <c r="G28" s="378">
        <v>1</v>
      </c>
      <c r="H28" s="379">
        <f>(C28*D28*F28*G28)</f>
        <v>19384.615384615387</v>
      </c>
      <c r="I28" s="351"/>
      <c r="J28" s="380">
        <f>H28</f>
        <v>19384.615384615387</v>
      </c>
      <c r="K28" s="379">
        <f>C28*D28*10*G28</f>
        <v>12923.076923076924</v>
      </c>
      <c r="L28" s="351"/>
      <c r="M28" s="380">
        <f>K28</f>
        <v>12923.076923076924</v>
      </c>
      <c r="N28" s="379">
        <f>C28*D28*5*G28</f>
        <v>6461.5384615384619</v>
      </c>
      <c r="O28" s="381"/>
      <c r="P28" s="380">
        <f>N28</f>
        <v>6461.5384615384619</v>
      </c>
      <c r="Q28" s="355">
        <f t="shared" si="19"/>
        <v>38769.230769230773</v>
      </c>
      <c r="R28" s="351">
        <f t="shared" si="19"/>
        <v>0</v>
      </c>
      <c r="S28" s="356">
        <f t="shared" si="19"/>
        <v>38769.230769230773</v>
      </c>
    </row>
    <row r="29" spans="1:20" s="240" customFormat="1" ht="15.6" x14ac:dyDescent="0.3">
      <c r="A29" s="348" t="s">
        <v>316</v>
      </c>
      <c r="B29" s="374"/>
      <c r="C29" s="375">
        <v>1</v>
      </c>
      <c r="D29" s="376">
        <f>50000/$D$4</f>
        <v>769.23076923076928</v>
      </c>
      <c r="E29" s="377" t="s">
        <v>317</v>
      </c>
      <c r="F29" s="353">
        <v>1</v>
      </c>
      <c r="G29" s="378">
        <v>1</v>
      </c>
      <c r="H29" s="379">
        <f>(C29*D29*F29*G29)</f>
        <v>769.23076923076928</v>
      </c>
      <c r="I29" s="351">
        <f>H29</f>
        <v>769.23076923076928</v>
      </c>
      <c r="J29" s="380"/>
      <c r="K29" s="379"/>
      <c r="L29" s="381"/>
      <c r="M29" s="380"/>
      <c r="N29" s="379"/>
      <c r="O29" s="381"/>
      <c r="P29" s="380"/>
      <c r="Q29" s="355">
        <f t="shared" si="19"/>
        <v>769.23076923076928</v>
      </c>
      <c r="R29" s="351">
        <f t="shared" si="19"/>
        <v>769.23076923076928</v>
      </c>
      <c r="S29" s="356">
        <f t="shared" si="19"/>
        <v>0</v>
      </c>
    </row>
    <row r="30" spans="1:20" s="240" customFormat="1" ht="15.6" x14ac:dyDescent="0.3">
      <c r="A30" s="348" t="s">
        <v>318</v>
      </c>
      <c r="B30" s="374"/>
      <c r="C30" s="375">
        <f>(23*3)+500+500+500+350</f>
        <v>1919</v>
      </c>
      <c r="D30" s="376">
        <f>600/$D$4</f>
        <v>9.2307692307692299</v>
      </c>
      <c r="E30" s="377" t="s">
        <v>319</v>
      </c>
      <c r="F30" s="353">
        <v>1</v>
      </c>
      <c r="G30" s="378">
        <v>1</v>
      </c>
      <c r="H30" s="379">
        <f>(C30*D30*F30*G30)</f>
        <v>17713.846153846152</v>
      </c>
      <c r="I30" s="351">
        <f>H30</f>
        <v>17713.846153846152</v>
      </c>
      <c r="J30" s="380"/>
      <c r="K30" s="379"/>
      <c r="L30" s="381"/>
      <c r="M30" s="380"/>
      <c r="N30" s="379"/>
      <c r="O30" s="381"/>
      <c r="P30" s="380"/>
      <c r="Q30" s="355">
        <f t="shared" si="19"/>
        <v>17713.846153846152</v>
      </c>
      <c r="R30" s="351">
        <f t="shared" si="19"/>
        <v>17713.846153846152</v>
      </c>
      <c r="S30" s="356">
        <f t="shared" si="19"/>
        <v>0</v>
      </c>
    </row>
    <row r="31" spans="1:20" s="240" customFormat="1" ht="15.6" x14ac:dyDescent="0.3">
      <c r="A31" s="272"/>
      <c r="B31" s="266"/>
      <c r="C31" s="267"/>
      <c r="D31" s="255"/>
      <c r="E31" s="268"/>
      <c r="F31" s="256"/>
      <c r="G31" s="257"/>
      <c r="H31" s="258"/>
      <c r="I31" s="255"/>
      <c r="J31" s="259"/>
      <c r="K31" s="258"/>
      <c r="L31" s="255"/>
      <c r="M31" s="259"/>
      <c r="N31" s="258"/>
      <c r="O31" s="255"/>
      <c r="P31" s="259"/>
      <c r="Q31" s="258"/>
      <c r="R31" s="255"/>
      <c r="S31" s="259"/>
    </row>
    <row r="32" spans="1:20" s="240" customFormat="1" ht="15.6" x14ac:dyDescent="0.25">
      <c r="A32" s="243" t="s">
        <v>320</v>
      </c>
      <c r="B32" s="244"/>
      <c r="C32" s="245"/>
      <c r="D32" s="244"/>
      <c r="E32" s="244"/>
      <c r="F32" s="245"/>
      <c r="G32" s="273"/>
      <c r="H32" s="249">
        <f>SUM(H25:H31)</f>
        <v>39136.923076923078</v>
      </c>
      <c r="I32" s="250">
        <f t="shared" ref="I32:S32" si="20">SUM(I25:I31)</f>
        <v>19752.307692307691</v>
      </c>
      <c r="J32" s="251">
        <f t="shared" si="20"/>
        <v>19384.615384615387</v>
      </c>
      <c r="K32" s="249">
        <f t="shared" si="20"/>
        <v>12923.076923076924</v>
      </c>
      <c r="L32" s="250">
        <f t="shared" si="20"/>
        <v>0</v>
      </c>
      <c r="M32" s="251">
        <f t="shared" si="20"/>
        <v>12923.076923076924</v>
      </c>
      <c r="N32" s="249">
        <f t="shared" si="20"/>
        <v>6461.5384615384619</v>
      </c>
      <c r="O32" s="250">
        <f t="shared" si="20"/>
        <v>0</v>
      </c>
      <c r="P32" s="251">
        <f t="shared" si="20"/>
        <v>6461.5384615384619</v>
      </c>
      <c r="Q32" s="249">
        <f t="shared" si="20"/>
        <v>58521.538461538454</v>
      </c>
      <c r="R32" s="250">
        <f t="shared" si="20"/>
        <v>19752.307692307691</v>
      </c>
      <c r="S32" s="251">
        <f t="shared" si="20"/>
        <v>38769.230769230773</v>
      </c>
    </row>
    <row r="33" spans="1:20" s="252" customFormat="1" ht="15.6" x14ac:dyDescent="0.3">
      <c r="A33" s="274" t="s">
        <v>321</v>
      </c>
      <c r="B33" s="275"/>
      <c r="C33" s="276"/>
      <c r="D33" s="277"/>
      <c r="E33" s="278"/>
      <c r="F33" s="279"/>
      <c r="G33" s="280"/>
      <c r="H33" s="281"/>
      <c r="I33" s="282"/>
      <c r="J33" s="283"/>
      <c r="K33" s="281"/>
      <c r="L33" s="282"/>
      <c r="M33" s="283"/>
      <c r="N33" s="281"/>
      <c r="O33" s="282"/>
      <c r="P33" s="283"/>
      <c r="Q33" s="281"/>
      <c r="R33" s="282"/>
      <c r="S33" s="283"/>
    </row>
    <row r="34" spans="1:20" s="240" customFormat="1" ht="15.6" x14ac:dyDescent="0.3">
      <c r="A34" s="253" t="s">
        <v>322</v>
      </c>
      <c r="B34" s="266"/>
      <c r="C34" s="267">
        <v>2</v>
      </c>
      <c r="D34" s="255">
        <f>35000/$D$4</f>
        <v>538.46153846153845</v>
      </c>
      <c r="E34" s="268" t="s">
        <v>323</v>
      </c>
      <c r="F34" s="256">
        <v>1</v>
      </c>
      <c r="G34" s="257">
        <v>1</v>
      </c>
      <c r="H34" s="258">
        <f>C34*D34*F34*G34</f>
        <v>1076.9230769230769</v>
      </c>
      <c r="I34" s="255">
        <f>H34</f>
        <v>1076.9230769230769</v>
      </c>
      <c r="J34" s="284"/>
      <c r="K34" s="258"/>
      <c r="L34" s="255">
        <f t="shared" ref="L34:L40" si="21">K34</f>
        <v>0</v>
      </c>
      <c r="M34" s="259"/>
      <c r="N34" s="258"/>
      <c r="O34" s="255"/>
      <c r="P34" s="259"/>
      <c r="Q34" s="258">
        <f t="shared" ref="Q34:Q40" si="22">H34+K34+N34</f>
        <v>1076.9230769230769</v>
      </c>
      <c r="R34" s="255">
        <f t="shared" ref="R34:R40" si="23">I34+L34+O34</f>
        <v>1076.9230769230769</v>
      </c>
      <c r="S34" s="259">
        <f t="shared" ref="S34:S40" si="24">J34+M34+P34</f>
        <v>0</v>
      </c>
    </row>
    <row r="35" spans="1:20" s="240" customFormat="1" ht="15.6" x14ac:dyDescent="0.3">
      <c r="A35" s="253" t="s">
        <v>324</v>
      </c>
      <c r="B35" s="266"/>
      <c r="C35" s="267">
        <v>2</v>
      </c>
      <c r="D35" s="255">
        <f>35000/$D$4</f>
        <v>538.46153846153845</v>
      </c>
      <c r="E35" s="268" t="s">
        <v>323</v>
      </c>
      <c r="F35" s="256">
        <v>1</v>
      </c>
      <c r="G35" s="257">
        <v>1</v>
      </c>
      <c r="H35" s="258">
        <f>C35*D35*F35*G35</f>
        <v>1076.9230769230769</v>
      </c>
      <c r="I35" s="255">
        <f>H35</f>
        <v>1076.9230769230769</v>
      </c>
      <c r="J35" s="284"/>
      <c r="K35" s="258"/>
      <c r="L35" s="255">
        <f t="shared" si="21"/>
        <v>0</v>
      </c>
      <c r="M35" s="259"/>
      <c r="N35" s="258"/>
      <c r="O35" s="255"/>
      <c r="P35" s="259"/>
      <c r="Q35" s="258">
        <f t="shared" si="22"/>
        <v>1076.9230769230769</v>
      </c>
      <c r="R35" s="255">
        <f t="shared" si="23"/>
        <v>1076.9230769230769</v>
      </c>
      <c r="S35" s="259">
        <f t="shared" si="24"/>
        <v>0</v>
      </c>
    </row>
    <row r="36" spans="1:20" s="240" customFormat="1" ht="15.6" x14ac:dyDescent="0.3">
      <c r="A36" s="253" t="s">
        <v>325</v>
      </c>
      <c r="B36" s="266"/>
      <c r="C36" s="267">
        <v>2</v>
      </c>
      <c r="D36" s="255">
        <f>25000/$D$4</f>
        <v>384.61538461538464</v>
      </c>
      <c r="E36" s="268" t="s">
        <v>323</v>
      </c>
      <c r="F36" s="256">
        <v>1</v>
      </c>
      <c r="G36" s="257">
        <v>1</v>
      </c>
      <c r="H36" s="285"/>
      <c r="I36" s="255"/>
      <c r="J36" s="284"/>
      <c r="K36" s="258"/>
      <c r="L36" s="255">
        <f t="shared" si="21"/>
        <v>0</v>
      </c>
      <c r="M36" s="259"/>
      <c r="N36" s="269">
        <f>C36*D36*G36</f>
        <v>769.23076923076928</v>
      </c>
      <c r="O36" s="271">
        <f>N36</f>
        <v>769.23076923076928</v>
      </c>
      <c r="P36" s="270"/>
      <c r="Q36" s="258">
        <f t="shared" si="22"/>
        <v>769.23076923076928</v>
      </c>
      <c r="R36" s="255">
        <f t="shared" si="23"/>
        <v>769.23076923076928</v>
      </c>
      <c r="S36" s="259">
        <f t="shared" si="24"/>
        <v>0</v>
      </c>
    </row>
    <row r="37" spans="1:20" s="240" customFormat="1" ht="15.6" x14ac:dyDescent="0.3">
      <c r="A37" s="253" t="s">
        <v>326</v>
      </c>
      <c r="B37" s="266"/>
      <c r="C37" s="267">
        <v>2</v>
      </c>
      <c r="D37" s="255">
        <f>25000/$D$4</f>
        <v>384.61538461538464</v>
      </c>
      <c r="E37" s="268" t="s">
        <v>323</v>
      </c>
      <c r="F37" s="256">
        <v>1</v>
      </c>
      <c r="G37" s="257">
        <v>1</v>
      </c>
      <c r="H37" s="285"/>
      <c r="I37" s="255"/>
      <c r="J37" s="284"/>
      <c r="K37" s="258"/>
      <c r="L37" s="255">
        <f t="shared" si="21"/>
        <v>0</v>
      </c>
      <c r="M37" s="259"/>
      <c r="N37" s="269">
        <f>C37*D37*G37</f>
        <v>769.23076923076928</v>
      </c>
      <c r="O37" s="271">
        <f>N37</f>
        <v>769.23076923076928</v>
      </c>
      <c r="P37" s="270"/>
      <c r="Q37" s="258">
        <f t="shared" si="22"/>
        <v>769.23076923076928</v>
      </c>
      <c r="R37" s="255">
        <f t="shared" si="23"/>
        <v>769.23076923076928</v>
      </c>
      <c r="S37" s="259">
        <f t="shared" si="24"/>
        <v>0</v>
      </c>
    </row>
    <row r="38" spans="1:20" s="240" customFormat="1" ht="15.6" x14ac:dyDescent="0.3">
      <c r="A38" s="253" t="s">
        <v>327</v>
      </c>
      <c r="B38" s="266"/>
      <c r="C38" s="267">
        <v>4</v>
      </c>
      <c r="D38" s="255">
        <f>62000/$D$4</f>
        <v>953.84615384615381</v>
      </c>
      <c r="E38" s="268" t="s">
        <v>323</v>
      </c>
      <c r="F38" s="256">
        <v>1</v>
      </c>
      <c r="G38" s="257">
        <v>1</v>
      </c>
      <c r="H38" s="258"/>
      <c r="I38" s="255">
        <f>H38</f>
        <v>0</v>
      </c>
      <c r="J38" s="284"/>
      <c r="K38" s="258">
        <f>C38*D38*F38*G38</f>
        <v>3815.3846153846152</v>
      </c>
      <c r="L38" s="255">
        <f t="shared" si="21"/>
        <v>3815.3846153846152</v>
      </c>
      <c r="M38" s="259"/>
      <c r="N38" s="258"/>
      <c r="O38" s="255"/>
      <c r="P38" s="259"/>
      <c r="Q38" s="258">
        <f t="shared" si="22"/>
        <v>3815.3846153846152</v>
      </c>
      <c r="R38" s="255">
        <f t="shared" si="23"/>
        <v>3815.3846153846152</v>
      </c>
      <c r="S38" s="259">
        <f t="shared" si="24"/>
        <v>0</v>
      </c>
    </row>
    <row r="39" spans="1:20" s="240" customFormat="1" ht="15.6" x14ac:dyDescent="0.3">
      <c r="A39" s="253" t="s">
        <v>328</v>
      </c>
      <c r="B39" s="266"/>
      <c r="C39" s="267">
        <v>1</v>
      </c>
      <c r="D39" s="255">
        <f>25000/$D$4</f>
        <v>384.61538461538464</v>
      </c>
      <c r="E39" s="268" t="s">
        <v>323</v>
      </c>
      <c r="F39" s="256">
        <v>1</v>
      </c>
      <c r="G39" s="257">
        <v>1</v>
      </c>
      <c r="H39" s="258">
        <f>C39*D39*F39*G39</f>
        <v>384.61538461538464</v>
      </c>
      <c r="I39" s="255">
        <f>H39</f>
        <v>384.61538461538464</v>
      </c>
      <c r="J39" s="284"/>
      <c r="K39" s="258"/>
      <c r="L39" s="255">
        <f>K39</f>
        <v>0</v>
      </c>
      <c r="M39" s="259"/>
      <c r="N39" s="258"/>
      <c r="O39" s="255"/>
      <c r="P39" s="259"/>
      <c r="Q39" s="258">
        <f>H39+K39+N39</f>
        <v>384.61538461538464</v>
      </c>
      <c r="R39" s="255">
        <f>I39+L39+O39</f>
        <v>384.61538461538464</v>
      </c>
      <c r="S39" s="259">
        <f>J39+M39+P39</f>
        <v>0</v>
      </c>
    </row>
    <row r="40" spans="1:20" s="240" customFormat="1" ht="15.6" x14ac:dyDescent="0.3">
      <c r="A40" s="253" t="s">
        <v>329</v>
      </c>
      <c r="B40" s="266"/>
      <c r="C40" s="267">
        <v>1</v>
      </c>
      <c r="D40" s="255">
        <f>40000/$D$4</f>
        <v>615.38461538461536</v>
      </c>
      <c r="E40" s="268" t="s">
        <v>323</v>
      </c>
      <c r="F40" s="256">
        <v>1</v>
      </c>
      <c r="G40" s="257">
        <v>1</v>
      </c>
      <c r="H40" s="258"/>
      <c r="I40" s="255">
        <f>H40</f>
        <v>0</v>
      </c>
      <c r="J40" s="284"/>
      <c r="K40" s="286">
        <f>C40*D40*F40*G40</f>
        <v>615.38461538461536</v>
      </c>
      <c r="L40" s="255">
        <f t="shared" si="21"/>
        <v>615.38461538461536</v>
      </c>
      <c r="M40" s="259"/>
      <c r="N40" s="258"/>
      <c r="O40" s="255"/>
      <c r="P40" s="259"/>
      <c r="Q40" s="258">
        <f t="shared" si="22"/>
        <v>615.38461538461536</v>
      </c>
      <c r="R40" s="255">
        <f t="shared" si="23"/>
        <v>615.38461538461536</v>
      </c>
      <c r="S40" s="259">
        <f t="shared" si="24"/>
        <v>0</v>
      </c>
    </row>
    <row r="41" spans="1:20" s="252" customFormat="1" ht="15.6" x14ac:dyDescent="0.25">
      <c r="A41" s="243" t="s">
        <v>320</v>
      </c>
      <c r="B41" s="244"/>
      <c r="C41" s="245"/>
      <c r="D41" s="244"/>
      <c r="E41" s="244"/>
      <c r="F41" s="245"/>
      <c r="G41" s="273"/>
      <c r="H41" s="249">
        <f>SUM(H34:H40)</f>
        <v>2538.4615384615386</v>
      </c>
      <c r="I41" s="250">
        <f t="shared" ref="I41:S41" si="25">SUM(I34:I40)</f>
        <v>2538.4615384615386</v>
      </c>
      <c r="J41" s="251">
        <f t="shared" si="25"/>
        <v>0</v>
      </c>
      <c r="K41" s="249">
        <f t="shared" si="25"/>
        <v>4430.7692307692305</v>
      </c>
      <c r="L41" s="250">
        <f t="shared" si="25"/>
        <v>4430.7692307692305</v>
      </c>
      <c r="M41" s="251">
        <f t="shared" si="25"/>
        <v>0</v>
      </c>
      <c r="N41" s="249">
        <f t="shared" si="25"/>
        <v>1538.4615384615386</v>
      </c>
      <c r="O41" s="250">
        <f t="shared" si="25"/>
        <v>1538.4615384615386</v>
      </c>
      <c r="P41" s="251">
        <f t="shared" si="25"/>
        <v>0</v>
      </c>
      <c r="Q41" s="249">
        <f t="shared" si="25"/>
        <v>8507.6923076923085</v>
      </c>
      <c r="R41" s="250">
        <f t="shared" si="25"/>
        <v>8507.6923076923085</v>
      </c>
      <c r="S41" s="251">
        <f t="shared" si="25"/>
        <v>0</v>
      </c>
    </row>
    <row r="42" spans="1:20" s="240" customFormat="1" ht="15.6" x14ac:dyDescent="0.25">
      <c r="A42" s="261" t="s">
        <v>330</v>
      </c>
      <c r="B42" s="246"/>
      <c r="C42" s="247"/>
      <c r="D42" s="246"/>
      <c r="E42" s="246"/>
      <c r="F42" s="247"/>
      <c r="G42" s="265"/>
      <c r="H42" s="261"/>
      <c r="I42" s="246"/>
      <c r="J42" s="262"/>
      <c r="K42" s="287">
        <v>0.6</v>
      </c>
      <c r="L42" s="288"/>
      <c r="M42" s="262"/>
      <c r="N42" s="261"/>
      <c r="O42" s="246"/>
      <c r="P42" s="262"/>
      <c r="Q42" s="261"/>
      <c r="R42" s="246"/>
      <c r="S42" s="262"/>
    </row>
    <row r="43" spans="1:20" s="240" customFormat="1" ht="15.6" x14ac:dyDescent="0.3">
      <c r="A43" s="253" t="s">
        <v>331</v>
      </c>
      <c r="B43" s="266"/>
      <c r="C43" s="267">
        <v>2</v>
      </c>
      <c r="D43" s="255">
        <f>1400000/$D$4</f>
        <v>21538.461538461539</v>
      </c>
      <c r="E43" s="268" t="s">
        <v>332</v>
      </c>
      <c r="F43" s="256">
        <v>1</v>
      </c>
      <c r="G43" s="257">
        <v>1</v>
      </c>
      <c r="H43" s="258">
        <f>(C43*D43*F43*G43)</f>
        <v>43076.923076923078</v>
      </c>
      <c r="I43" s="255">
        <f>H43-J43</f>
        <v>33076.923076923078</v>
      </c>
      <c r="J43" s="259">
        <v>10000</v>
      </c>
      <c r="K43" s="258">
        <f>(C43*12307.5*F43*G43)</f>
        <v>24615</v>
      </c>
      <c r="L43" s="255">
        <f>K43-M43</f>
        <v>9615</v>
      </c>
      <c r="M43" s="259">
        <v>15000</v>
      </c>
      <c r="N43" s="258">
        <f>(22076*C43*F43*G43)</f>
        <v>44152</v>
      </c>
      <c r="O43" s="271">
        <f>N43-P43</f>
        <v>19152</v>
      </c>
      <c r="P43" s="259">
        <v>25000</v>
      </c>
      <c r="Q43" s="258">
        <f t="shared" ref="Q43:S44" si="26">H43+K43+N43</f>
        <v>111843.92307692308</v>
      </c>
      <c r="R43" s="255">
        <f t="shared" si="26"/>
        <v>61843.923076923078</v>
      </c>
      <c r="S43" s="259">
        <f t="shared" si="26"/>
        <v>50000</v>
      </c>
      <c r="T43" s="289"/>
    </row>
    <row r="44" spans="1:20" s="240" customFormat="1" ht="15.6" x14ac:dyDescent="0.3">
      <c r="A44" s="253" t="s">
        <v>333</v>
      </c>
      <c r="B44" s="266"/>
      <c r="C44" s="267">
        <v>2</v>
      </c>
      <c r="D44" s="255">
        <f>900000/$D$4</f>
        <v>13846.153846153846</v>
      </c>
      <c r="E44" s="268" t="s">
        <v>332</v>
      </c>
      <c r="F44" s="256">
        <v>1</v>
      </c>
      <c r="G44" s="257">
        <v>1</v>
      </c>
      <c r="H44" s="258"/>
      <c r="I44" s="255"/>
      <c r="J44" s="259"/>
      <c r="K44" s="258">
        <f>C44*D44*F44*G44</f>
        <v>27692.307692307691</v>
      </c>
      <c r="L44" s="255">
        <f>K44-M44</f>
        <v>12692.307692307691</v>
      </c>
      <c r="M44" s="259">
        <v>15000</v>
      </c>
      <c r="N44" s="258">
        <f>(7392*C44*F44*G44)</f>
        <v>14784</v>
      </c>
      <c r="O44" s="271">
        <f>N44-P44</f>
        <v>11456.5</v>
      </c>
      <c r="P44" s="259">
        <v>3327.5</v>
      </c>
      <c r="Q44" s="258">
        <f t="shared" si="26"/>
        <v>42476.307692307688</v>
      </c>
      <c r="R44" s="255">
        <f t="shared" si="26"/>
        <v>24148.807692307691</v>
      </c>
      <c r="S44" s="259">
        <f t="shared" si="26"/>
        <v>18327.5</v>
      </c>
      <c r="T44" s="289"/>
    </row>
    <row r="45" spans="1:20" s="252" customFormat="1" ht="15.6" x14ac:dyDescent="0.25">
      <c r="A45" s="243" t="s">
        <v>320</v>
      </c>
      <c r="B45" s="244"/>
      <c r="C45" s="245"/>
      <c r="D45" s="244"/>
      <c r="E45" s="244"/>
      <c r="F45" s="245"/>
      <c r="G45" s="273"/>
      <c r="H45" s="249">
        <f>SUM(H43:H44)</f>
        <v>43076.923076923078</v>
      </c>
      <c r="I45" s="250">
        <f t="shared" ref="I45:S45" si="27">SUM(I43:I44)</f>
        <v>33076.923076923078</v>
      </c>
      <c r="J45" s="251">
        <f t="shared" si="27"/>
        <v>10000</v>
      </c>
      <c r="K45" s="249">
        <f t="shared" si="27"/>
        <v>52307.307692307688</v>
      </c>
      <c r="L45" s="250">
        <f t="shared" si="27"/>
        <v>22307.307692307691</v>
      </c>
      <c r="M45" s="251">
        <f t="shared" si="27"/>
        <v>30000</v>
      </c>
      <c r="N45" s="249">
        <f t="shared" si="27"/>
        <v>58936</v>
      </c>
      <c r="O45" s="250">
        <f t="shared" si="27"/>
        <v>30608.5</v>
      </c>
      <c r="P45" s="251">
        <f t="shared" si="27"/>
        <v>28327.5</v>
      </c>
      <c r="Q45" s="249">
        <f t="shared" si="27"/>
        <v>154320.23076923075</v>
      </c>
      <c r="R45" s="250">
        <f t="shared" si="27"/>
        <v>85992.730769230766</v>
      </c>
      <c r="S45" s="251">
        <f t="shared" si="27"/>
        <v>68327.5</v>
      </c>
    </row>
    <row r="46" spans="1:20" s="252" customFormat="1" ht="15.6" x14ac:dyDescent="0.3">
      <c r="A46" s="274" t="s">
        <v>334</v>
      </c>
      <c r="B46" s="275"/>
      <c r="C46" s="276"/>
      <c r="D46" s="277"/>
      <c r="E46" s="278"/>
      <c r="F46" s="279"/>
      <c r="G46" s="280"/>
      <c r="H46" s="281"/>
      <c r="I46" s="282"/>
      <c r="J46" s="283"/>
      <c r="K46" s="281"/>
      <c r="L46" s="282"/>
      <c r="M46" s="283"/>
      <c r="N46" s="281"/>
      <c r="O46" s="282"/>
      <c r="P46" s="283"/>
      <c r="Q46" s="281"/>
      <c r="R46" s="282"/>
      <c r="S46" s="283"/>
    </row>
    <row r="47" spans="1:20" s="240" customFormat="1" ht="15.6" x14ac:dyDescent="0.3">
      <c r="A47" s="263" t="s">
        <v>335</v>
      </c>
      <c r="B47" s="242"/>
      <c r="C47" s="254">
        <v>1</v>
      </c>
      <c r="D47" s="255">
        <f>25000/$D$4</f>
        <v>384.61538461538464</v>
      </c>
      <c r="E47" s="290" t="s">
        <v>336</v>
      </c>
      <c r="F47" s="264">
        <v>1</v>
      </c>
      <c r="G47" s="257">
        <v>1</v>
      </c>
      <c r="H47" s="258">
        <f>(C47*D47*F47*G47)</f>
        <v>384.61538461538464</v>
      </c>
      <c r="I47" s="255">
        <f>H47</f>
        <v>384.61538461538464</v>
      </c>
      <c r="J47" s="259"/>
      <c r="K47" s="258">
        <f>(C47*D47*F47*G47)</f>
        <v>384.61538461538464</v>
      </c>
      <c r="L47" s="255">
        <f>K47</f>
        <v>384.61538461538464</v>
      </c>
      <c r="M47" s="259"/>
      <c r="N47" s="258">
        <f>(C47*D47*F47*G47)</f>
        <v>384.61538461538464</v>
      </c>
      <c r="O47" s="271">
        <f>N47</f>
        <v>384.61538461538464</v>
      </c>
      <c r="P47" s="259"/>
      <c r="Q47" s="258">
        <f>H47+K47+N47</f>
        <v>1153.8461538461538</v>
      </c>
      <c r="R47" s="255">
        <f>I47+L47+O47</f>
        <v>1153.8461538461538</v>
      </c>
      <c r="S47" s="259">
        <f>J47+M47+P47</f>
        <v>0</v>
      </c>
    </row>
    <row r="48" spans="1:20" s="252" customFormat="1" ht="15.6" x14ac:dyDescent="0.25">
      <c r="A48" s="243" t="s">
        <v>337</v>
      </c>
      <c r="B48" s="244"/>
      <c r="C48" s="245"/>
      <c r="D48" s="244"/>
      <c r="E48" s="244"/>
      <c r="F48" s="245"/>
      <c r="G48" s="273"/>
      <c r="H48" s="249">
        <f>SUM(H47:H47)</f>
        <v>384.61538461538464</v>
      </c>
      <c r="I48" s="250">
        <f t="shared" ref="I48:S48" si="28">SUM(I47:I47)</f>
        <v>384.61538461538464</v>
      </c>
      <c r="J48" s="251">
        <f t="shared" si="28"/>
        <v>0</v>
      </c>
      <c r="K48" s="249">
        <f t="shared" si="28"/>
        <v>384.61538461538464</v>
      </c>
      <c r="L48" s="250">
        <f t="shared" si="28"/>
        <v>384.61538461538464</v>
      </c>
      <c r="M48" s="251">
        <f t="shared" si="28"/>
        <v>0</v>
      </c>
      <c r="N48" s="249">
        <f t="shared" si="28"/>
        <v>384.61538461538464</v>
      </c>
      <c r="O48" s="250">
        <f t="shared" si="28"/>
        <v>384.61538461538464</v>
      </c>
      <c r="P48" s="251">
        <f t="shared" si="28"/>
        <v>0</v>
      </c>
      <c r="Q48" s="249">
        <f t="shared" si="28"/>
        <v>1153.8461538461538</v>
      </c>
      <c r="R48" s="250">
        <f t="shared" si="28"/>
        <v>1153.8461538461538</v>
      </c>
      <c r="S48" s="251">
        <f t="shared" si="28"/>
        <v>0</v>
      </c>
    </row>
    <row r="49" spans="1:23" s="252" customFormat="1" ht="15.6" x14ac:dyDescent="0.25">
      <c r="A49" s="243" t="s">
        <v>218</v>
      </c>
      <c r="B49" s="244"/>
      <c r="C49" s="245"/>
      <c r="D49" s="244"/>
      <c r="E49" s="244"/>
      <c r="F49" s="245"/>
      <c r="G49" s="248"/>
      <c r="H49" s="249">
        <f>H48+H45+H41+H32+H24+H20+H11</f>
        <v>154675.38461538462</v>
      </c>
      <c r="I49" s="250">
        <f t="shared" ref="I49:S49" si="29">I48+I45+I41+I32+I24+I20+I11</f>
        <v>125290.76923076923</v>
      </c>
      <c r="J49" s="251">
        <f t="shared" si="29"/>
        <v>29384.615384615387</v>
      </c>
      <c r="K49" s="249">
        <f t="shared" si="29"/>
        <v>156630.38461538462</v>
      </c>
      <c r="L49" s="250">
        <f t="shared" si="29"/>
        <v>113707.3076923077</v>
      </c>
      <c r="M49" s="251">
        <f t="shared" si="29"/>
        <v>42923.076923076922</v>
      </c>
      <c r="N49" s="249">
        <f t="shared" si="29"/>
        <v>151365.0384615385</v>
      </c>
      <c r="O49" s="250">
        <f t="shared" si="29"/>
        <v>116576</v>
      </c>
      <c r="P49" s="251">
        <f t="shared" si="29"/>
        <v>34789.038461538461</v>
      </c>
      <c r="Q49" s="249">
        <f t="shared" si="29"/>
        <v>462670.80769230775</v>
      </c>
      <c r="R49" s="250">
        <f t="shared" si="29"/>
        <v>355574.07692307694</v>
      </c>
      <c r="S49" s="251">
        <f t="shared" si="29"/>
        <v>107096.73076923078</v>
      </c>
    </row>
    <row r="50" spans="1:23" s="252" customFormat="1" ht="15.6" x14ac:dyDescent="0.25">
      <c r="A50" s="243" t="s">
        <v>338</v>
      </c>
      <c r="B50" s="244"/>
      <c r="C50" s="245"/>
      <c r="D50" s="244"/>
      <c r="E50" s="244"/>
      <c r="F50" s="245"/>
      <c r="G50" s="248"/>
      <c r="H50" s="249"/>
      <c r="I50" s="250"/>
      <c r="J50" s="251"/>
      <c r="K50" s="249"/>
      <c r="L50" s="250"/>
      <c r="M50" s="251"/>
      <c r="N50" s="249"/>
      <c r="O50" s="250"/>
      <c r="P50" s="251"/>
      <c r="Q50" s="249"/>
      <c r="R50" s="250"/>
      <c r="S50" s="251"/>
    </row>
    <row r="51" spans="1:23" s="252" customFormat="1" ht="16.2" thickBot="1" x14ac:dyDescent="0.3">
      <c r="A51" s="291" t="s">
        <v>292</v>
      </c>
      <c r="B51" s="292"/>
      <c r="C51" s="293"/>
      <c r="D51" s="292"/>
      <c r="E51" s="292"/>
      <c r="F51" s="293"/>
      <c r="G51" s="294"/>
      <c r="H51" s="295">
        <f>H50+H49</f>
        <v>154675.38461538462</v>
      </c>
      <c r="I51" s="296">
        <f t="shared" ref="I51:S51" si="30">I50+I49</f>
        <v>125290.76923076923</v>
      </c>
      <c r="J51" s="297">
        <f t="shared" si="30"/>
        <v>29384.615384615387</v>
      </c>
      <c r="K51" s="295">
        <f t="shared" si="30"/>
        <v>156630.38461538462</v>
      </c>
      <c r="L51" s="296">
        <f t="shared" si="30"/>
        <v>113707.3076923077</v>
      </c>
      <c r="M51" s="297">
        <f t="shared" si="30"/>
        <v>42923.076923076922</v>
      </c>
      <c r="N51" s="295">
        <f t="shared" si="30"/>
        <v>151365.0384615385</v>
      </c>
      <c r="O51" s="296">
        <f t="shared" si="30"/>
        <v>116576</v>
      </c>
      <c r="P51" s="297">
        <f t="shared" si="30"/>
        <v>34789.038461538461</v>
      </c>
      <c r="Q51" s="295">
        <f t="shared" si="30"/>
        <v>462670.80769230775</v>
      </c>
      <c r="R51" s="296">
        <f t="shared" si="30"/>
        <v>355574.07692307694</v>
      </c>
      <c r="S51" s="297">
        <f t="shared" si="30"/>
        <v>107096.73076923078</v>
      </c>
      <c r="U51" s="298"/>
    </row>
    <row r="52" spans="1:23" ht="32.25" customHeight="1" x14ac:dyDescent="0.25">
      <c r="K52" s="233"/>
      <c r="W52" s="151"/>
    </row>
    <row r="53" spans="1:23" ht="12.75" hidden="1" customHeight="1" x14ac:dyDescent="0.25">
      <c r="D53" s="136"/>
      <c r="E53" s="137"/>
      <c r="F53" s="138"/>
      <c r="G53" s="138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</row>
    <row r="54" spans="1:23" ht="13.5" hidden="1" customHeight="1" x14ac:dyDescent="0.25">
      <c r="D54" s="140"/>
      <c r="E54" s="141"/>
      <c r="F54" s="142"/>
      <c r="G54" s="150"/>
      <c r="H54" s="143"/>
      <c r="I54" s="143"/>
      <c r="J54" s="143"/>
      <c r="K54" s="143"/>
      <c r="L54" s="143"/>
      <c r="M54" s="143"/>
      <c r="N54" s="143"/>
      <c r="O54" s="195"/>
      <c r="P54" s="195"/>
      <c r="Q54" s="195"/>
      <c r="R54" s="195"/>
      <c r="S54" s="195"/>
    </row>
    <row r="55" spans="1:23" ht="12.75" hidden="1" customHeight="1" x14ac:dyDescent="0.25">
      <c r="D55" s="144" t="s">
        <v>339</v>
      </c>
      <c r="E55" s="144"/>
      <c r="F55" s="145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</row>
    <row r="56" spans="1:23" ht="12.75" hidden="1" customHeight="1" x14ac:dyDescent="0.25">
      <c r="D56" s="133" t="s">
        <v>340</v>
      </c>
      <c r="E56" s="133"/>
      <c r="F56" s="132"/>
      <c r="G56" s="132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</row>
    <row r="57" spans="1:23" ht="12.75" hidden="1" customHeight="1" x14ac:dyDescent="0.25">
      <c r="D57" s="133"/>
      <c r="E57" s="133"/>
      <c r="F57" s="132"/>
      <c r="G57" s="132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</row>
    <row r="58" spans="1:23" ht="12.75" hidden="1" customHeight="1" x14ac:dyDescent="0.25">
      <c r="D58" s="133" t="s">
        <v>130</v>
      </c>
      <c r="E58" s="133"/>
      <c r="F58" s="132"/>
      <c r="G58" s="132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</row>
    <row r="59" spans="1:23" hidden="1" x14ac:dyDescent="0.25">
      <c r="N59" s="130">
        <f>'[3]Year 3'!$G$61</f>
        <v>7433500</v>
      </c>
    </row>
    <row r="60" spans="1:23" hidden="1" x14ac:dyDescent="0.25"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</row>
    <row r="61" spans="1:23" hidden="1" x14ac:dyDescent="0.25">
      <c r="H61" s="148"/>
      <c r="I61" s="148"/>
      <c r="J61" s="148"/>
      <c r="K61" s="148"/>
      <c r="L61" s="148"/>
      <c r="M61" s="148"/>
      <c r="N61" s="148">
        <f>N59-N51</f>
        <v>7282134.961538462</v>
      </c>
      <c r="O61" s="148"/>
      <c r="P61" s="148"/>
      <c r="Q61" s="148"/>
      <c r="R61" s="148"/>
      <c r="S61" s="148"/>
    </row>
    <row r="62" spans="1:23" hidden="1" x14ac:dyDescent="0.25"/>
    <row r="63" spans="1:23" x14ac:dyDescent="0.25">
      <c r="K63" s="194"/>
      <c r="S63" s="196"/>
    </row>
    <row r="64" spans="1:23" x14ac:dyDescent="0.25">
      <c r="K64" s="194"/>
    </row>
  </sheetData>
  <mergeCells count="11">
    <mergeCell ref="Q2:S2"/>
    <mergeCell ref="A1:S1"/>
    <mergeCell ref="A2:A3"/>
    <mergeCell ref="C2:C3"/>
    <mergeCell ref="D2:D3"/>
    <mergeCell ref="E2:E3"/>
    <mergeCell ref="F2:F3"/>
    <mergeCell ref="G2:G3"/>
    <mergeCell ref="H2:J2"/>
    <mergeCell ref="K2:M2"/>
    <mergeCell ref="N2:P2"/>
  </mergeCells>
  <pageMargins left="0.7" right="0.7" top="0.75" bottom="0.75" header="0.3" footer="0.3"/>
  <pageSetup scale="66" orientation="landscape" r:id="rId1"/>
  <ignoredErrors>
    <ignoredError sqref="D8 C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4"/>
  <sheetViews>
    <sheetView topLeftCell="J1" zoomScale="90" zoomScaleNormal="90" zoomScaleSheetLayoutView="100" workbookViewId="0">
      <pane ySplit="2" topLeftCell="A40" activePane="bottomLeft" state="frozen"/>
      <selection activeCell="B1" sqref="B1"/>
      <selection pane="bottomLeft" activeCell="AJ75" sqref="AJ75"/>
    </sheetView>
  </sheetViews>
  <sheetFormatPr defaultColWidth="9.109375" defaultRowHeight="12" x14ac:dyDescent="0.25"/>
  <cols>
    <col min="1" max="1" width="9.33203125" style="74" hidden="1" customWidth="1"/>
    <col min="2" max="2" width="38.44140625" style="121" customWidth="1"/>
    <col min="3" max="3" width="4.44140625" style="74" bestFit="1" customWidth="1"/>
    <col min="4" max="4" width="10.33203125" style="74" bestFit="1" customWidth="1"/>
    <col min="5" max="5" width="5.88671875" style="85" bestFit="1" customWidth="1"/>
    <col min="6" max="6" width="5.44140625" style="86" bestFit="1" customWidth="1"/>
    <col min="7" max="7" width="9" style="85" bestFit="1" customWidth="1"/>
    <col min="8" max="8" width="8.33203125" style="74" bestFit="1" customWidth="1"/>
    <col min="9" max="9" width="9.88671875" style="74" customWidth="1"/>
    <col min="10" max="10" width="10" style="74" bestFit="1" customWidth="1"/>
    <col min="11" max="12" width="5.33203125" style="74" customWidth="1"/>
    <col min="13" max="13" width="7.6640625" style="85" customWidth="1"/>
    <col min="14" max="14" width="8.109375" style="74" customWidth="1"/>
    <col min="15" max="15" width="7.88671875" style="74" customWidth="1"/>
    <col min="16" max="16" width="8.5546875" style="74" customWidth="1"/>
    <col min="17" max="18" width="5.33203125" style="74" customWidth="1"/>
    <col min="19" max="19" width="7" style="85" customWidth="1"/>
    <col min="20" max="20" width="9" style="74" customWidth="1"/>
    <col min="21" max="21" width="8.88671875" style="74" customWidth="1"/>
    <col min="22" max="22" width="7.88671875" style="74" customWidth="1"/>
    <col min="23" max="23" width="9.88671875" style="74" customWidth="1"/>
    <col min="24" max="24" width="11" style="74" customWidth="1"/>
    <col min="25" max="25" width="10.33203125" style="74" customWidth="1"/>
    <col min="26" max="27" width="9.5546875" style="74" hidden="1" customWidth="1"/>
    <col min="28" max="28" width="14.33203125" style="74" hidden="1" customWidth="1"/>
    <col min="29" max="16384" width="9.109375" style="74"/>
  </cols>
  <sheetData>
    <row r="1" spans="1:32" ht="21" customHeight="1" x14ac:dyDescent="0.25">
      <c r="A1" s="200">
        <f>'Budget Summary'!B2</f>
        <v>2024</v>
      </c>
      <c r="B1" s="207"/>
      <c r="C1" s="577">
        <v>2017</v>
      </c>
      <c r="D1" s="578"/>
      <c r="E1" s="578"/>
      <c r="F1" s="578"/>
      <c r="G1" s="578"/>
      <c r="H1" s="578"/>
      <c r="I1" s="578"/>
      <c r="J1" s="579"/>
      <c r="K1" s="580">
        <v>2018</v>
      </c>
      <c r="L1" s="581"/>
      <c r="M1" s="581"/>
      <c r="N1" s="581"/>
      <c r="O1" s="581"/>
      <c r="P1" s="582"/>
      <c r="Q1" s="580">
        <v>2019</v>
      </c>
      <c r="R1" s="581"/>
      <c r="S1" s="581"/>
      <c r="T1" s="581"/>
      <c r="U1" s="581"/>
      <c r="V1" s="582"/>
      <c r="W1" s="580" t="s">
        <v>223</v>
      </c>
      <c r="X1" s="581"/>
      <c r="Y1" s="582"/>
      <c r="Z1" s="155"/>
    </row>
    <row r="2" spans="1:32" s="75" customFormat="1" ht="32.25" customHeight="1" x14ac:dyDescent="0.25">
      <c r="A2" s="152" t="s">
        <v>224</v>
      </c>
      <c r="B2" s="160" t="s">
        <v>225</v>
      </c>
      <c r="C2" s="75" t="s">
        <v>226</v>
      </c>
      <c r="D2" s="75" t="s">
        <v>227</v>
      </c>
      <c r="E2" s="75" t="s">
        <v>228</v>
      </c>
      <c r="F2" s="76" t="s">
        <v>229</v>
      </c>
      <c r="G2" s="75" t="s">
        <v>230</v>
      </c>
      <c r="H2" s="75" t="s">
        <v>130</v>
      </c>
      <c r="I2" s="75" t="s">
        <v>210</v>
      </c>
      <c r="J2" s="161" t="s">
        <v>341</v>
      </c>
      <c r="K2" s="160" t="s">
        <v>226</v>
      </c>
      <c r="L2" s="75" t="s">
        <v>232</v>
      </c>
      <c r="M2" s="75" t="s">
        <v>230</v>
      </c>
      <c r="N2" s="75" t="s">
        <v>130</v>
      </c>
      <c r="O2" s="75" t="s">
        <v>210</v>
      </c>
      <c r="P2" s="161" t="s">
        <v>341</v>
      </c>
      <c r="Q2" s="160" t="s">
        <v>226</v>
      </c>
      <c r="R2" s="75" t="s">
        <v>232</v>
      </c>
      <c r="S2" s="75" t="s">
        <v>230</v>
      </c>
      <c r="T2" s="75" t="s">
        <v>130</v>
      </c>
      <c r="U2" s="75" t="s">
        <v>210</v>
      </c>
      <c r="V2" s="161" t="s">
        <v>341</v>
      </c>
      <c r="W2" s="160" t="s">
        <v>210</v>
      </c>
      <c r="X2" s="75" t="s">
        <v>341</v>
      </c>
      <c r="Y2" s="161" t="s">
        <v>233</v>
      </c>
      <c r="Z2" s="154"/>
    </row>
    <row r="3" spans="1:32" s="77" customFormat="1" ht="11.4" x14ac:dyDescent="0.2">
      <c r="A3" s="201" t="s">
        <v>234</v>
      </c>
      <c r="B3" s="208" t="s">
        <v>212</v>
      </c>
      <c r="D3" s="78"/>
      <c r="E3" s="79"/>
      <c r="F3" s="80"/>
      <c r="G3" s="79">
        <v>65</v>
      </c>
      <c r="H3" s="81"/>
      <c r="I3" s="82">
        <v>0.85</v>
      </c>
      <c r="J3" s="163">
        <f>(100%-I3)</f>
        <v>0.15000000000000002</v>
      </c>
      <c r="K3" s="162"/>
      <c r="L3" s="83"/>
      <c r="M3" s="79">
        <v>1.3690899999999999</v>
      </c>
      <c r="N3" s="81"/>
      <c r="O3" s="81">
        <v>1.2999000000000001</v>
      </c>
      <c r="P3" s="163">
        <f>(100%-O3)</f>
        <v>-0.29990000000000006</v>
      </c>
      <c r="Q3" s="162"/>
      <c r="R3" s="83"/>
      <c r="S3" s="79">
        <v>1.3690899999999999</v>
      </c>
      <c r="T3" s="81"/>
      <c r="U3" s="81">
        <v>-4.5710000000000001E-2</v>
      </c>
      <c r="V3" s="163">
        <f>(100%-U3)</f>
        <v>1.0457099999999999</v>
      </c>
      <c r="W3" s="185"/>
      <c r="X3" s="82"/>
      <c r="Y3" s="186"/>
      <c r="Z3" s="156"/>
    </row>
    <row r="4" spans="1:32" x14ac:dyDescent="0.25">
      <c r="A4" s="153"/>
      <c r="B4" s="209" t="s">
        <v>235</v>
      </c>
      <c r="H4" s="85"/>
      <c r="I4" s="84"/>
      <c r="J4" s="165"/>
      <c r="K4" s="164"/>
      <c r="N4" s="85"/>
      <c r="O4" s="84"/>
      <c r="P4" s="220"/>
      <c r="Q4" s="164"/>
      <c r="T4" s="85"/>
      <c r="U4" s="84"/>
      <c r="V4" s="220"/>
      <c r="W4" s="173"/>
      <c r="X4" s="84"/>
      <c r="Y4" s="187"/>
      <c r="Z4" s="155"/>
    </row>
    <row r="5" spans="1:32" ht="13.2" x14ac:dyDescent="0.3">
      <c r="A5" s="202"/>
      <c r="B5" s="210" t="s">
        <v>236</v>
      </c>
      <c r="C5" s="88">
        <v>0.3</v>
      </c>
      <c r="D5" s="87" t="s">
        <v>237</v>
      </c>
      <c r="E5" s="87">
        <v>12</v>
      </c>
      <c r="F5" s="89">
        <v>1</v>
      </c>
      <c r="G5" s="90">
        <f>(1391532.0682/$G$3)/12</f>
        <v>1784.0154720512821</v>
      </c>
      <c r="H5" s="90">
        <f>C5*G5*E5</f>
        <v>6422.4556993846154</v>
      </c>
      <c r="I5" s="90">
        <f>H5</f>
        <v>6422.4556993846154</v>
      </c>
      <c r="J5" s="167">
        <f>H5-I5</f>
        <v>0</v>
      </c>
      <c r="K5" s="166">
        <f t="shared" ref="K5:K11" si="0">C5</f>
        <v>0.3</v>
      </c>
      <c r="L5" s="87">
        <f t="shared" ref="L5:L11" si="1">E5</f>
        <v>12</v>
      </c>
      <c r="M5" s="90">
        <f>G5*1.05</f>
        <v>1873.2162456538463</v>
      </c>
      <c r="N5" s="91">
        <f>K5*M5*L5</f>
        <v>6743.5784843538459</v>
      </c>
      <c r="O5" s="90">
        <f>N5</f>
        <v>6743.5784843538459</v>
      </c>
      <c r="P5" s="167">
        <f t="shared" ref="P5:P11" si="2">N5-O5</f>
        <v>0</v>
      </c>
      <c r="Q5" s="166">
        <f>K5</f>
        <v>0.3</v>
      </c>
      <c r="R5" s="87">
        <f>L5</f>
        <v>12</v>
      </c>
      <c r="S5" s="90">
        <f>M5*1.05</f>
        <v>1966.8770579365387</v>
      </c>
      <c r="T5" s="91">
        <f>Q5*S5*R5</f>
        <v>7080.7574085715387</v>
      </c>
      <c r="U5" s="90">
        <f>T5</f>
        <v>7080.7574085715387</v>
      </c>
      <c r="V5" s="167">
        <f t="shared" ref="V5:V11" si="3">T5-U5</f>
        <v>0</v>
      </c>
      <c r="W5" s="188">
        <f t="shared" ref="W5:X11" si="4">I5+O5+U5</f>
        <v>20246.791592310001</v>
      </c>
      <c r="X5" s="90">
        <f t="shared" si="4"/>
        <v>0</v>
      </c>
      <c r="Y5" s="167">
        <f t="shared" ref="Y5:Y11" si="5">W5+X5</f>
        <v>20246.791592310001</v>
      </c>
      <c r="Z5" s="184">
        <f>H5+N5+T5-Y5</f>
        <v>0</v>
      </c>
      <c r="AA5" s="149">
        <f>I5+O5+U5-W5</f>
        <v>0</v>
      </c>
      <c r="AB5" s="149">
        <f>J5+P5+V5-X5</f>
        <v>0</v>
      </c>
      <c r="AC5" s="149"/>
      <c r="AD5" s="149"/>
      <c r="AE5" s="149"/>
      <c r="AF5" s="149"/>
    </row>
    <row r="6" spans="1:32" ht="13.2" x14ac:dyDescent="0.3">
      <c r="A6" s="202"/>
      <c r="B6" s="210" t="s">
        <v>238</v>
      </c>
      <c r="C6" s="88">
        <v>0.8</v>
      </c>
      <c r="D6" s="87" t="s">
        <v>237</v>
      </c>
      <c r="E6" s="87">
        <v>12</v>
      </c>
      <c r="F6" s="89">
        <v>1</v>
      </c>
      <c r="G6" s="90">
        <f>(881322/$G$3)/12</f>
        <v>1129.8999999999999</v>
      </c>
      <c r="H6" s="90">
        <f t="shared" ref="H6:H11" si="6">C6*G6*E6</f>
        <v>10847.039999999999</v>
      </c>
      <c r="I6" s="90">
        <f>H6</f>
        <v>10847.039999999999</v>
      </c>
      <c r="J6" s="167">
        <v>0</v>
      </c>
      <c r="K6" s="166">
        <f t="shared" si="0"/>
        <v>0.8</v>
      </c>
      <c r="L6" s="87">
        <f t="shared" si="1"/>
        <v>12</v>
      </c>
      <c r="M6" s="90">
        <f>G6*1.05</f>
        <v>1186.395</v>
      </c>
      <c r="N6" s="91">
        <f t="shared" ref="N6:N11" si="7">K6*M6*L6</f>
        <v>11389.392</v>
      </c>
      <c r="O6" s="90">
        <f>N6</f>
        <v>11389.392</v>
      </c>
      <c r="P6" s="167">
        <v>0</v>
      </c>
      <c r="Q6" s="166">
        <f t="shared" ref="Q6:R11" si="8">K6</f>
        <v>0.8</v>
      </c>
      <c r="R6" s="87">
        <f t="shared" si="8"/>
        <v>12</v>
      </c>
      <c r="S6" s="90">
        <f>M6*1.05</f>
        <v>1245.7147500000001</v>
      </c>
      <c r="T6" s="91">
        <f t="shared" ref="T6:T11" si="9">Q6*S6*R6</f>
        <v>11958.861600000002</v>
      </c>
      <c r="U6" s="90">
        <f>T6</f>
        <v>11958.861600000002</v>
      </c>
      <c r="V6" s="167">
        <v>0</v>
      </c>
      <c r="W6" s="188">
        <f t="shared" si="4"/>
        <v>34195.293600000005</v>
      </c>
      <c r="X6" s="90">
        <f t="shared" si="4"/>
        <v>0</v>
      </c>
      <c r="Y6" s="167">
        <f t="shared" si="5"/>
        <v>34195.293600000005</v>
      </c>
      <c r="Z6" s="184">
        <f t="shared" ref="Z6:Z49" si="10">H6+N6+T6-Y6</f>
        <v>0</v>
      </c>
      <c r="AA6" s="149">
        <f t="shared" ref="AA6:AB49" si="11">I6+O6+U6-W6</f>
        <v>0</v>
      </c>
      <c r="AB6" s="149">
        <f t="shared" si="11"/>
        <v>0</v>
      </c>
      <c r="AC6" s="149"/>
      <c r="AD6" s="149"/>
      <c r="AE6" s="149"/>
      <c r="AF6" s="149"/>
    </row>
    <row r="7" spans="1:32" ht="13.2" x14ac:dyDescent="0.3">
      <c r="A7" s="202"/>
      <c r="B7" s="210" t="s">
        <v>239</v>
      </c>
      <c r="C7" s="88">
        <v>0.2</v>
      </c>
      <c r="D7" s="87" t="s">
        <v>237</v>
      </c>
      <c r="E7" s="87">
        <v>12</v>
      </c>
      <c r="F7" s="89">
        <v>1</v>
      </c>
      <c r="G7" s="90">
        <f>(583144.65/$G$3)/12</f>
        <v>747.62134615384628</v>
      </c>
      <c r="H7" s="90">
        <f t="shared" si="6"/>
        <v>1794.2912307692309</v>
      </c>
      <c r="I7" s="90">
        <f>H7</f>
        <v>1794.2912307692309</v>
      </c>
      <c r="J7" s="167">
        <f>H7-I7</f>
        <v>0</v>
      </c>
      <c r="K7" s="166">
        <f t="shared" si="0"/>
        <v>0.2</v>
      </c>
      <c r="L7" s="87">
        <f t="shared" si="1"/>
        <v>12</v>
      </c>
      <c r="M7" s="90">
        <f>G7*1.05</f>
        <v>785.00241346153859</v>
      </c>
      <c r="N7" s="91">
        <f t="shared" si="7"/>
        <v>1884.0057923076929</v>
      </c>
      <c r="O7" s="90">
        <f>N7</f>
        <v>1884.0057923076929</v>
      </c>
      <c r="P7" s="167">
        <f t="shared" si="2"/>
        <v>0</v>
      </c>
      <c r="Q7" s="166">
        <f t="shared" si="8"/>
        <v>0.2</v>
      </c>
      <c r="R7" s="87">
        <f t="shared" si="8"/>
        <v>12</v>
      </c>
      <c r="S7" s="90">
        <f>M7*1.05</f>
        <v>824.25253413461553</v>
      </c>
      <c r="T7" s="91">
        <f t="shared" si="9"/>
        <v>1978.2060819230774</v>
      </c>
      <c r="U7" s="90">
        <f>T7</f>
        <v>1978.2060819230774</v>
      </c>
      <c r="V7" s="167">
        <f t="shared" si="3"/>
        <v>0</v>
      </c>
      <c r="W7" s="188">
        <f t="shared" si="4"/>
        <v>5656.5031050000016</v>
      </c>
      <c r="X7" s="90">
        <f t="shared" si="4"/>
        <v>0</v>
      </c>
      <c r="Y7" s="167">
        <f t="shared" si="5"/>
        <v>5656.5031050000016</v>
      </c>
      <c r="Z7" s="184">
        <f t="shared" si="10"/>
        <v>0</v>
      </c>
      <c r="AA7" s="149">
        <f t="shared" si="11"/>
        <v>0</v>
      </c>
      <c r="AB7" s="149">
        <f t="shared" si="11"/>
        <v>0</v>
      </c>
      <c r="AC7" s="149"/>
      <c r="AD7" s="149"/>
      <c r="AE7" s="149"/>
      <c r="AF7" s="149"/>
    </row>
    <row r="8" spans="1:32" ht="13.2" x14ac:dyDescent="0.3">
      <c r="A8" s="202"/>
      <c r="B8" s="210" t="s">
        <v>240</v>
      </c>
      <c r="C8" s="88">
        <v>0.6</v>
      </c>
      <c r="D8" s="87" t="s">
        <v>237</v>
      </c>
      <c r="E8" s="87">
        <v>12</v>
      </c>
      <c r="F8" s="89">
        <v>1</v>
      </c>
      <c r="G8" s="90">
        <f>(1126756.3725/$G$3)/4/12</f>
        <v>361.13986298076924</v>
      </c>
      <c r="H8" s="90">
        <f t="shared" si="6"/>
        <v>2600.2070134615387</v>
      </c>
      <c r="I8" s="90">
        <f>H8</f>
        <v>2600.2070134615387</v>
      </c>
      <c r="J8" s="167">
        <f>H8-I8</f>
        <v>0</v>
      </c>
      <c r="K8" s="166">
        <f t="shared" si="0"/>
        <v>0.6</v>
      </c>
      <c r="L8" s="87">
        <f t="shared" si="1"/>
        <v>12</v>
      </c>
      <c r="M8" s="90">
        <f>G8*1.05</f>
        <v>379.19685612980771</v>
      </c>
      <c r="N8" s="91">
        <f t="shared" si="7"/>
        <v>2730.2173641346153</v>
      </c>
      <c r="O8" s="90">
        <f>N8</f>
        <v>2730.2173641346153</v>
      </c>
      <c r="P8" s="167">
        <f t="shared" si="2"/>
        <v>0</v>
      </c>
      <c r="Q8" s="166">
        <f t="shared" si="8"/>
        <v>0.6</v>
      </c>
      <c r="R8" s="87">
        <f t="shared" si="8"/>
        <v>12</v>
      </c>
      <c r="S8" s="90">
        <f>M8*1.05</f>
        <v>398.15669893629814</v>
      </c>
      <c r="T8" s="91">
        <f t="shared" si="9"/>
        <v>2866.7282323413465</v>
      </c>
      <c r="U8" s="90">
        <f>T8</f>
        <v>2866.7282323413465</v>
      </c>
      <c r="V8" s="167">
        <f t="shared" si="3"/>
        <v>0</v>
      </c>
      <c r="W8" s="188">
        <f t="shared" si="4"/>
        <v>8197.1526099375005</v>
      </c>
      <c r="X8" s="90">
        <f t="shared" si="4"/>
        <v>0</v>
      </c>
      <c r="Y8" s="167">
        <f t="shared" si="5"/>
        <v>8197.1526099375005</v>
      </c>
      <c r="Z8" s="184">
        <f t="shared" si="10"/>
        <v>0</v>
      </c>
      <c r="AA8" s="149">
        <f t="shared" si="11"/>
        <v>0</v>
      </c>
      <c r="AB8" s="149">
        <f t="shared" si="11"/>
        <v>0</v>
      </c>
      <c r="AC8" s="149"/>
      <c r="AD8" s="149"/>
      <c r="AE8" s="149"/>
      <c r="AF8" s="149"/>
    </row>
    <row r="9" spans="1:32" ht="13.2" x14ac:dyDescent="0.3">
      <c r="A9" s="202"/>
      <c r="B9" s="210" t="s">
        <v>342</v>
      </c>
      <c r="C9" s="88">
        <v>0.4</v>
      </c>
      <c r="D9" s="87" t="s">
        <v>237</v>
      </c>
      <c r="E9" s="87">
        <v>12</v>
      </c>
      <c r="F9" s="89">
        <v>1</v>
      </c>
      <c r="G9" s="90">
        <f>(856059.4813/$G$3)/12</f>
        <v>1097.5121555128205</v>
      </c>
      <c r="H9" s="90">
        <f t="shared" si="6"/>
        <v>5268.0583464615393</v>
      </c>
      <c r="I9" s="90">
        <f>H9</f>
        <v>5268.0583464615393</v>
      </c>
      <c r="J9" s="167">
        <f>H9-I9</f>
        <v>0</v>
      </c>
      <c r="K9" s="166">
        <f t="shared" si="0"/>
        <v>0.4</v>
      </c>
      <c r="L9" s="87">
        <f t="shared" si="1"/>
        <v>12</v>
      </c>
      <c r="M9" s="90">
        <f>G9*1.05</f>
        <v>1152.3877632884617</v>
      </c>
      <c r="N9" s="91">
        <f t="shared" si="7"/>
        <v>5531.4612637846167</v>
      </c>
      <c r="O9" s="90">
        <f>N9</f>
        <v>5531.4612637846167</v>
      </c>
      <c r="P9" s="167">
        <f t="shared" si="2"/>
        <v>0</v>
      </c>
      <c r="Q9" s="166">
        <f t="shared" si="8"/>
        <v>0.4</v>
      </c>
      <c r="R9" s="87">
        <f t="shared" si="8"/>
        <v>12</v>
      </c>
      <c r="S9" s="90">
        <f>M9*1.05</f>
        <v>1210.0071514528847</v>
      </c>
      <c r="T9" s="91">
        <f t="shared" si="9"/>
        <v>5808.0343269738469</v>
      </c>
      <c r="U9" s="90">
        <f>T9</f>
        <v>5808.0343269738469</v>
      </c>
      <c r="V9" s="167">
        <f t="shared" si="3"/>
        <v>0</v>
      </c>
      <c r="W9" s="188">
        <f t="shared" si="4"/>
        <v>16607.553937220004</v>
      </c>
      <c r="X9" s="90">
        <f t="shared" si="4"/>
        <v>0</v>
      </c>
      <c r="Y9" s="167">
        <f t="shared" si="5"/>
        <v>16607.553937220004</v>
      </c>
      <c r="Z9" s="184">
        <f t="shared" si="10"/>
        <v>0</v>
      </c>
      <c r="AA9" s="149">
        <f t="shared" si="11"/>
        <v>0</v>
      </c>
      <c r="AB9" s="149">
        <f t="shared" si="11"/>
        <v>0</v>
      </c>
      <c r="AC9" s="149"/>
      <c r="AD9" s="149"/>
      <c r="AE9" s="149"/>
      <c r="AF9" s="149"/>
    </row>
    <row r="10" spans="1:32" ht="13.2" x14ac:dyDescent="0.3">
      <c r="A10" s="202"/>
      <c r="B10" s="210" t="s">
        <v>244</v>
      </c>
      <c r="C10" s="123">
        <f>'[1]Completed Example Fair Share'!$C$8</f>
        <v>0.04</v>
      </c>
      <c r="D10" s="87" t="s">
        <v>237</v>
      </c>
      <c r="E10" s="87">
        <v>12</v>
      </c>
      <c r="F10" s="89">
        <v>1</v>
      </c>
      <c r="G10" s="223">
        <f>'[1]Completed Example Fair Share'!$D$8</f>
        <v>2986.75</v>
      </c>
      <c r="H10" s="223">
        <f t="shared" si="6"/>
        <v>1433.6399999999999</v>
      </c>
      <c r="I10" s="223">
        <f>'[2]Completed Example Fair Share'!$I$8</f>
        <v>1075.23</v>
      </c>
      <c r="J10" s="224">
        <f>H10-I10</f>
        <v>358.40999999999985</v>
      </c>
      <c r="K10" s="166">
        <f t="shared" si="0"/>
        <v>0.04</v>
      </c>
      <c r="L10" s="87">
        <f t="shared" si="1"/>
        <v>12</v>
      </c>
      <c r="M10" s="223">
        <f>G10*$M$3</f>
        <v>4089.1295574999999</v>
      </c>
      <c r="N10" s="225">
        <f t="shared" si="7"/>
        <v>1962.7821876</v>
      </c>
      <c r="O10" s="225">
        <f>I10*$O$3</f>
        <v>1397.6914770000001</v>
      </c>
      <c r="P10" s="224">
        <f t="shared" si="2"/>
        <v>565.09071059999997</v>
      </c>
      <c r="Q10" s="166">
        <f t="shared" si="8"/>
        <v>0.04</v>
      </c>
      <c r="R10" s="87">
        <f t="shared" si="8"/>
        <v>12</v>
      </c>
      <c r="S10" s="223">
        <f>M10</f>
        <v>4089.1295574999999</v>
      </c>
      <c r="T10" s="225">
        <f t="shared" si="9"/>
        <v>1962.7821876</v>
      </c>
      <c r="U10" s="225">
        <f>O10+(O10*$U$3)</f>
        <v>1333.8029995863301</v>
      </c>
      <c r="V10" s="224">
        <f t="shared" si="3"/>
        <v>628.97918801366995</v>
      </c>
      <c r="W10" s="226">
        <f t="shared" si="4"/>
        <v>3806.7244765863297</v>
      </c>
      <c r="X10" s="223">
        <f t="shared" si="4"/>
        <v>1552.4798986136698</v>
      </c>
      <c r="Y10" s="224">
        <f t="shared" si="5"/>
        <v>5359.204375199999</v>
      </c>
      <c r="Z10" s="184">
        <f t="shared" si="10"/>
        <v>0</v>
      </c>
      <c r="AA10" s="149">
        <f t="shared" si="11"/>
        <v>0</v>
      </c>
      <c r="AB10" s="149">
        <f t="shared" si="11"/>
        <v>0</v>
      </c>
      <c r="AC10" s="149"/>
      <c r="AD10" s="149"/>
      <c r="AE10" s="149"/>
      <c r="AF10" s="149"/>
    </row>
    <row r="11" spans="1:32" ht="13.2" x14ac:dyDescent="0.3">
      <c r="A11" s="202"/>
      <c r="B11" s="210" t="s">
        <v>245</v>
      </c>
      <c r="C11" s="227">
        <f>'[1]Completed Example Fair Share'!$C$12</f>
        <v>0.65</v>
      </c>
      <c r="D11" s="87" t="s">
        <v>237</v>
      </c>
      <c r="E11" s="87">
        <v>12</v>
      </c>
      <c r="F11" s="89">
        <v>1</v>
      </c>
      <c r="G11" s="223">
        <f>'[1]Completed Example Fair Share'!$D$12</f>
        <v>1461</v>
      </c>
      <c r="H11" s="223">
        <f t="shared" si="6"/>
        <v>11395.8</v>
      </c>
      <c r="I11" s="223">
        <f>'[2]Completed Example Fair Share'!$I$12</f>
        <v>8941.32</v>
      </c>
      <c r="J11" s="224">
        <f>H11-I11</f>
        <v>2454.4799999999996</v>
      </c>
      <c r="K11" s="228">
        <f t="shared" si="0"/>
        <v>0.65</v>
      </c>
      <c r="L11" s="87">
        <f t="shared" si="1"/>
        <v>12</v>
      </c>
      <c r="M11" s="223">
        <f>G11*$M$3</f>
        <v>2000.2404899999999</v>
      </c>
      <c r="N11" s="225">
        <f t="shared" si="7"/>
        <v>15601.875822</v>
      </c>
      <c r="O11" s="225">
        <f>I11*$O$3</f>
        <v>11622.821868000001</v>
      </c>
      <c r="P11" s="224">
        <f t="shared" si="2"/>
        <v>3979.0539539999991</v>
      </c>
      <c r="Q11" s="166">
        <f t="shared" si="8"/>
        <v>0.65</v>
      </c>
      <c r="R11" s="87">
        <f t="shared" si="8"/>
        <v>12</v>
      </c>
      <c r="S11" s="223">
        <f>M11</f>
        <v>2000.2404899999999</v>
      </c>
      <c r="T11" s="225">
        <f t="shared" si="9"/>
        <v>15601.875822</v>
      </c>
      <c r="U11" s="225">
        <f>O11+(O11*$U$3)</f>
        <v>11091.542680413721</v>
      </c>
      <c r="V11" s="224">
        <f t="shared" si="3"/>
        <v>4510.3331415862795</v>
      </c>
      <c r="W11" s="226">
        <f t="shared" si="4"/>
        <v>31655.684548413719</v>
      </c>
      <c r="X11" s="223">
        <f t="shared" si="4"/>
        <v>10943.867095586278</v>
      </c>
      <c r="Y11" s="224">
        <f t="shared" si="5"/>
        <v>42599.551643999999</v>
      </c>
      <c r="Z11" s="184">
        <f t="shared" si="10"/>
        <v>0</v>
      </c>
      <c r="AA11" s="149">
        <f t="shared" si="11"/>
        <v>0</v>
      </c>
      <c r="AB11" s="149">
        <f t="shared" si="11"/>
        <v>0</v>
      </c>
      <c r="AC11" s="149"/>
      <c r="AD11" s="149"/>
      <c r="AE11" s="149"/>
      <c r="AF11" s="149"/>
    </row>
    <row r="12" spans="1:32" s="92" customFormat="1" ht="13.2" x14ac:dyDescent="0.3">
      <c r="A12" s="153"/>
      <c r="B12" s="211" t="s">
        <v>246</v>
      </c>
      <c r="E12" s="93"/>
      <c r="F12" s="94"/>
      <c r="G12" s="93"/>
      <c r="H12" s="95">
        <f>SUM(H5:H11)</f>
        <v>39761.492290076916</v>
      </c>
      <c r="I12" s="95">
        <f>SUM(I5:I11)</f>
        <v>36948.602290076917</v>
      </c>
      <c r="J12" s="169">
        <f>SUM(J5:J11)</f>
        <v>2812.8899999999994</v>
      </c>
      <c r="K12" s="168"/>
      <c r="M12" s="93"/>
      <c r="N12" s="95">
        <f>SUM(N5:N11)</f>
        <v>45843.312914180773</v>
      </c>
      <c r="O12" s="95">
        <f>SUM(O5:O11)</f>
        <v>41299.168249580769</v>
      </c>
      <c r="P12" s="169">
        <f>SUM(P5:P11)</f>
        <v>4544.1446645999986</v>
      </c>
      <c r="Q12" s="168"/>
      <c r="S12" s="93"/>
      <c r="T12" s="95">
        <f t="shared" ref="T12:Y12" si="12">SUM(T5:T11)</f>
        <v>47257.245659409811</v>
      </c>
      <c r="U12" s="95">
        <f t="shared" si="12"/>
        <v>42117.933329809865</v>
      </c>
      <c r="V12" s="169">
        <f t="shared" si="12"/>
        <v>5139.3123295999494</v>
      </c>
      <c r="W12" s="175">
        <f t="shared" si="12"/>
        <v>120365.70386946756</v>
      </c>
      <c r="X12" s="95">
        <f t="shared" si="12"/>
        <v>12496.346994199948</v>
      </c>
      <c r="Y12" s="169">
        <f t="shared" si="12"/>
        <v>132862.05086366751</v>
      </c>
      <c r="Z12" s="184">
        <f t="shared" si="10"/>
        <v>0</v>
      </c>
      <c r="AA12" s="149">
        <f t="shared" si="11"/>
        <v>0</v>
      </c>
      <c r="AB12" s="149">
        <f t="shared" si="11"/>
        <v>0</v>
      </c>
      <c r="AC12" s="230"/>
      <c r="AD12" s="230"/>
      <c r="AE12" s="230"/>
      <c r="AF12" s="149"/>
    </row>
    <row r="13" spans="1:32" x14ac:dyDescent="0.25">
      <c r="A13" s="153" t="s">
        <v>247</v>
      </c>
      <c r="B13" s="212" t="s">
        <v>213</v>
      </c>
      <c r="C13" s="96"/>
      <c r="D13" s="96"/>
      <c r="E13" s="97"/>
      <c r="F13" s="98"/>
      <c r="G13" s="97"/>
      <c r="H13" s="97"/>
      <c r="I13" s="99"/>
      <c r="J13" s="171"/>
      <c r="K13" s="170"/>
      <c r="L13" s="96"/>
      <c r="M13" s="97"/>
      <c r="N13" s="97"/>
      <c r="O13" s="99"/>
      <c r="P13" s="171"/>
      <c r="Q13" s="170"/>
      <c r="R13" s="96"/>
      <c r="S13" s="97"/>
      <c r="T13" s="97"/>
      <c r="U13" s="99"/>
      <c r="V13" s="171"/>
      <c r="W13" s="172"/>
      <c r="X13" s="99"/>
      <c r="Y13" s="189"/>
      <c r="Z13" s="184">
        <f t="shared" si="10"/>
        <v>0</v>
      </c>
      <c r="AA13" s="149">
        <f t="shared" si="11"/>
        <v>0</v>
      </c>
      <c r="AB13" s="149">
        <f t="shared" si="11"/>
        <v>0</v>
      </c>
    </row>
    <row r="14" spans="1:32" ht="13.2" x14ac:dyDescent="0.3">
      <c r="A14" s="153"/>
      <c r="B14" s="210" t="s">
        <v>343</v>
      </c>
      <c r="C14" s="88">
        <f>SUM(C5:C9)</f>
        <v>2.2999999999999998</v>
      </c>
      <c r="D14" s="87" t="s">
        <v>249</v>
      </c>
      <c r="E14" s="87">
        <v>12</v>
      </c>
      <c r="F14" s="86">
        <v>0.13500000000000001</v>
      </c>
      <c r="G14" s="91">
        <f>SUM(H5:H9)/12</f>
        <v>2244.3376908397436</v>
      </c>
      <c r="H14" s="91">
        <f>SUM(H5:H9)*$F$14</f>
        <v>3635.8270591603846</v>
      </c>
      <c r="I14" s="90">
        <f>H14</f>
        <v>3635.8270591603846</v>
      </c>
      <c r="J14" s="167">
        <v>0</v>
      </c>
      <c r="K14" s="166">
        <f>C14</f>
        <v>2.2999999999999998</v>
      </c>
      <c r="L14" s="87">
        <f>E14</f>
        <v>12</v>
      </c>
      <c r="M14" s="90">
        <f>G14*1.05</f>
        <v>2356.554575381731</v>
      </c>
      <c r="N14" s="91">
        <f>SUM(N5:N9)*$F$14</f>
        <v>3817.6184121184042</v>
      </c>
      <c r="O14" s="90">
        <f>N14</f>
        <v>3817.6184121184042</v>
      </c>
      <c r="P14" s="167">
        <f>N14-O14</f>
        <v>0</v>
      </c>
      <c r="Q14" s="166">
        <f>K14</f>
        <v>2.2999999999999998</v>
      </c>
      <c r="R14" s="87">
        <f>L14</f>
        <v>12</v>
      </c>
      <c r="S14" s="90">
        <f>M14*1.05001</f>
        <v>2474.4058696965717</v>
      </c>
      <c r="T14" s="91">
        <f>SUM(T5:T9)*$F$14</f>
        <v>4008.4993327243246</v>
      </c>
      <c r="U14" s="90">
        <f>T14</f>
        <v>4008.4993327243246</v>
      </c>
      <c r="V14" s="167">
        <f>T14-U14</f>
        <v>0</v>
      </c>
      <c r="W14" s="188">
        <f>I14+O14+U14</f>
        <v>11461.944804003113</v>
      </c>
      <c r="X14" s="90">
        <f>J14+P14+V14</f>
        <v>0</v>
      </c>
      <c r="Y14" s="167">
        <f>W14+X14</f>
        <v>11461.944804003113</v>
      </c>
      <c r="Z14" s="184">
        <f t="shared" si="10"/>
        <v>0</v>
      </c>
      <c r="AA14" s="149">
        <f t="shared" si="11"/>
        <v>0</v>
      </c>
      <c r="AB14" s="149">
        <f t="shared" si="11"/>
        <v>0</v>
      </c>
      <c r="AC14" s="149"/>
      <c r="AD14" s="149"/>
      <c r="AE14" s="149"/>
      <c r="AF14" s="149"/>
    </row>
    <row r="15" spans="1:32" s="92" customFormat="1" ht="13.2" x14ac:dyDescent="0.3">
      <c r="A15" s="153"/>
      <c r="B15" s="210" t="s">
        <v>252</v>
      </c>
      <c r="C15" s="123">
        <f>C10</f>
        <v>0.04</v>
      </c>
      <c r="D15" s="87" t="s">
        <v>249</v>
      </c>
      <c r="E15" s="87">
        <v>12</v>
      </c>
      <c r="F15" s="86">
        <v>0.28999999999999998</v>
      </c>
      <c r="G15" s="223">
        <f>'[1]Completed Example Fair Share'!$D$19/12</f>
        <v>119.46999999999998</v>
      </c>
      <c r="H15" s="225">
        <f>G15*E15*F15</f>
        <v>415.75559999999996</v>
      </c>
      <c r="I15" s="223">
        <f>'[2]Completed Example Fair Share'!$I$19</f>
        <v>311.81669999999997</v>
      </c>
      <c r="J15" s="224">
        <f>H15-I15</f>
        <v>103.93889999999999</v>
      </c>
      <c r="K15" s="229">
        <f>C15</f>
        <v>0.04</v>
      </c>
      <c r="L15" s="87">
        <f>E15</f>
        <v>12</v>
      </c>
      <c r="M15" s="223">
        <f>G15*$M$3</f>
        <v>163.56518229999998</v>
      </c>
      <c r="N15" s="225">
        <f>M15*L15*F15</f>
        <v>569.20683440399989</v>
      </c>
      <c r="O15" s="225">
        <f>I15*$O$3</f>
        <v>405.33052832999999</v>
      </c>
      <c r="P15" s="224">
        <f>N15-O15</f>
        <v>163.8763060739999</v>
      </c>
      <c r="Q15" s="229">
        <f>K15</f>
        <v>0.04</v>
      </c>
      <c r="R15" s="87">
        <f>L15</f>
        <v>12</v>
      </c>
      <c r="S15" s="223">
        <f>M15</f>
        <v>163.56518229999998</v>
      </c>
      <c r="T15" s="225">
        <f>F15*S15*R15</f>
        <v>569.20683440399989</v>
      </c>
      <c r="U15" s="225">
        <f>O15+(O15*$U$3)</f>
        <v>386.8028698800357</v>
      </c>
      <c r="V15" s="224">
        <f>T15-U15</f>
        <v>182.40396452396419</v>
      </c>
      <c r="W15" s="226">
        <f t="shared" ref="W15:X17" si="13">I15+O15+U15</f>
        <v>1103.9500982100358</v>
      </c>
      <c r="X15" s="223">
        <f t="shared" si="13"/>
        <v>450.21917059796408</v>
      </c>
      <c r="Y15" s="224">
        <f>W15+X15</f>
        <v>1554.1692688079997</v>
      </c>
      <c r="Z15" s="184">
        <f t="shared" si="10"/>
        <v>0</v>
      </c>
      <c r="AA15" s="149">
        <f t="shared" si="11"/>
        <v>0</v>
      </c>
      <c r="AB15" s="149">
        <f t="shared" si="11"/>
        <v>0</v>
      </c>
      <c r="AC15" s="149"/>
      <c r="AD15" s="149"/>
      <c r="AE15" s="149"/>
      <c r="AF15" s="149"/>
    </row>
    <row r="16" spans="1:32" s="92" customFormat="1" ht="13.2" x14ac:dyDescent="0.3">
      <c r="A16" s="153"/>
      <c r="B16" s="210" t="s">
        <v>253</v>
      </c>
      <c r="C16" s="123">
        <f>C10</f>
        <v>0.04</v>
      </c>
      <c r="D16" s="87" t="s">
        <v>237</v>
      </c>
      <c r="E16" s="87">
        <v>12</v>
      </c>
      <c r="F16" s="86">
        <v>1</v>
      </c>
      <c r="G16" s="223">
        <f>'[1]Completed Example Fair Share'!$D$21</f>
        <v>2234.56</v>
      </c>
      <c r="H16" s="223">
        <f>C16*G16*E16</f>
        <v>1072.5888</v>
      </c>
      <c r="I16" s="223">
        <f>'[2]Completed Example Fair Share'!$I$21</f>
        <v>804.44159999999999</v>
      </c>
      <c r="J16" s="224">
        <f>H16-I16</f>
        <v>268.1472</v>
      </c>
      <c r="K16" s="166">
        <f>K10</f>
        <v>0.04</v>
      </c>
      <c r="L16" s="87">
        <f>E16</f>
        <v>12</v>
      </c>
      <c r="M16" s="223">
        <f>G16*$M$3</f>
        <v>3059.3137503999997</v>
      </c>
      <c r="N16" s="225">
        <f>K16*M16*L16</f>
        <v>1468.4706001919999</v>
      </c>
      <c r="O16" s="225">
        <f>I16*$O$3</f>
        <v>1045.6936358400001</v>
      </c>
      <c r="P16" s="224">
        <f>N16-O16</f>
        <v>422.77696435199982</v>
      </c>
      <c r="Q16" s="166">
        <f>Q10</f>
        <v>0.04</v>
      </c>
      <c r="R16" s="87">
        <f>L16</f>
        <v>12</v>
      </c>
      <c r="S16" s="223">
        <f>M16</f>
        <v>3059.3137503999997</v>
      </c>
      <c r="T16" s="225">
        <f>Q16*S16*R16</f>
        <v>1468.4706001919999</v>
      </c>
      <c r="U16" s="225">
        <f>O16+(O16*$U$3)</f>
        <v>997.89497974575363</v>
      </c>
      <c r="V16" s="224">
        <f>T16-U16</f>
        <v>470.57562044624626</v>
      </c>
      <c r="W16" s="226">
        <f t="shared" si="13"/>
        <v>2848.0302155857535</v>
      </c>
      <c r="X16" s="223">
        <f t="shared" si="13"/>
        <v>1161.4997847982461</v>
      </c>
      <c r="Y16" s="224">
        <f>W16+X16</f>
        <v>4009.5300003839993</v>
      </c>
      <c r="Z16" s="184">
        <f t="shared" si="10"/>
        <v>0</v>
      </c>
      <c r="AA16" s="149">
        <f t="shared" si="11"/>
        <v>0</v>
      </c>
      <c r="AB16" s="149">
        <f t="shared" si="11"/>
        <v>0</v>
      </c>
      <c r="AC16" s="149"/>
      <c r="AD16" s="149"/>
      <c r="AE16" s="149"/>
      <c r="AF16" s="149"/>
    </row>
    <row r="17" spans="1:32" s="92" customFormat="1" ht="13.2" x14ac:dyDescent="0.3">
      <c r="A17" s="153"/>
      <c r="B17" s="210" t="s">
        <v>344</v>
      </c>
      <c r="C17" s="123">
        <f>C10</f>
        <v>0.04</v>
      </c>
      <c r="D17" s="87" t="s">
        <v>237</v>
      </c>
      <c r="E17" s="87">
        <v>12</v>
      </c>
      <c r="F17" s="86">
        <v>1</v>
      </c>
      <c r="G17" s="223">
        <f>'[1]Completed Example Fair Share'!$D$20</f>
        <v>1002.19</v>
      </c>
      <c r="H17" s="223">
        <f>C17*G17*E17</f>
        <v>481.05119999999999</v>
      </c>
      <c r="I17" s="223">
        <f>'[2]Completed Example Fair Share'!$I$20</f>
        <v>360.78840000000002</v>
      </c>
      <c r="J17" s="224">
        <f>H17-I17</f>
        <v>120.26279999999997</v>
      </c>
      <c r="K17" s="166">
        <f>K10</f>
        <v>0.04</v>
      </c>
      <c r="L17" s="87">
        <f>E17</f>
        <v>12</v>
      </c>
      <c r="M17" s="223">
        <f>G17*$M$3</f>
        <v>1372.0883071000001</v>
      </c>
      <c r="N17" s="225">
        <f>K17*M17*L17</f>
        <v>658.60238740800003</v>
      </c>
      <c r="O17" s="225">
        <f>I17*$O$3</f>
        <v>468.98884116000005</v>
      </c>
      <c r="P17" s="224">
        <f>N17-O17</f>
        <v>189.61354624799998</v>
      </c>
      <c r="Q17" s="166">
        <f>Q10</f>
        <v>0.04</v>
      </c>
      <c r="R17" s="87">
        <f>L17</f>
        <v>12</v>
      </c>
      <c r="S17" s="223">
        <f>M17</f>
        <v>1372.0883071000001</v>
      </c>
      <c r="T17" s="225">
        <f>Q17*S17*R17</f>
        <v>658.60238740800003</v>
      </c>
      <c r="U17" s="225">
        <f>O17+(O17*$U$3)</f>
        <v>447.55136123057645</v>
      </c>
      <c r="V17" s="224">
        <f>T17-U17</f>
        <v>211.05102617742358</v>
      </c>
      <c r="W17" s="226">
        <f t="shared" si="13"/>
        <v>1277.3286023905766</v>
      </c>
      <c r="X17" s="223">
        <f t="shared" si="13"/>
        <v>520.92737242542353</v>
      </c>
      <c r="Y17" s="224">
        <f>W17+X17</f>
        <v>1798.2559748160002</v>
      </c>
      <c r="Z17" s="184">
        <f t="shared" si="10"/>
        <v>0</v>
      </c>
      <c r="AA17" s="149">
        <f t="shared" si="11"/>
        <v>0</v>
      </c>
      <c r="AB17" s="149">
        <f t="shared" si="11"/>
        <v>0</v>
      </c>
      <c r="AC17" s="149"/>
      <c r="AD17" s="149"/>
      <c r="AE17" s="149"/>
      <c r="AF17" s="149"/>
    </row>
    <row r="18" spans="1:32" s="92" customFormat="1" ht="13.2" x14ac:dyDescent="0.3">
      <c r="A18" s="153"/>
      <c r="B18" s="210" t="s">
        <v>255</v>
      </c>
      <c r="C18" s="227">
        <f>C11</f>
        <v>0.65</v>
      </c>
      <c r="D18" s="87" t="s">
        <v>249</v>
      </c>
      <c r="E18" s="87">
        <v>12</v>
      </c>
      <c r="F18" s="86">
        <v>1</v>
      </c>
      <c r="G18" s="223">
        <f>1309/(C18*12)</f>
        <v>167.82051282051282</v>
      </c>
      <c r="H18" s="223">
        <f>C18*G18*E18</f>
        <v>1309</v>
      </c>
      <c r="I18" s="223">
        <f>'[2]Completed Example Fair Share'!$I$26</f>
        <v>1027.0921403703619</v>
      </c>
      <c r="J18" s="224">
        <f>H18-I18</f>
        <v>281.9078596296381</v>
      </c>
      <c r="K18" s="228">
        <f>C18</f>
        <v>0.65</v>
      </c>
      <c r="L18" s="87">
        <f>E18</f>
        <v>12</v>
      </c>
      <c r="M18" s="223">
        <f>G18*$M$3</f>
        <v>229.76138589743587</v>
      </c>
      <c r="N18" s="225">
        <f>K18*M18*L18</f>
        <v>1792.1388099999999</v>
      </c>
      <c r="O18" s="225">
        <f>I18*$O$3</f>
        <v>1335.1170732674334</v>
      </c>
      <c r="P18" s="224">
        <f>N18-O18</f>
        <v>457.02173673256652</v>
      </c>
      <c r="Q18" s="166">
        <f>K18</f>
        <v>0.65</v>
      </c>
      <c r="R18" s="87">
        <f>L18</f>
        <v>12</v>
      </c>
      <c r="S18" s="223">
        <f>M18</f>
        <v>229.76138589743587</v>
      </c>
      <c r="T18" s="225">
        <f>Q18*S18*R18</f>
        <v>1792.1388099999999</v>
      </c>
      <c r="U18" s="225">
        <f>O18+(O18*$U$3)</f>
        <v>1274.0888718483791</v>
      </c>
      <c r="V18" s="224">
        <f>T18-U18</f>
        <v>518.04993815162084</v>
      </c>
      <c r="W18" s="226">
        <f>I18+O18+U18</f>
        <v>3636.2980854861744</v>
      </c>
      <c r="X18" s="223">
        <f>J18+P18+V18</f>
        <v>1256.9795345138255</v>
      </c>
      <c r="Y18" s="224">
        <f>W18+X18</f>
        <v>4893.2776199999998</v>
      </c>
      <c r="Z18" s="184">
        <f t="shared" si="10"/>
        <v>0</v>
      </c>
      <c r="AA18" s="149">
        <f t="shared" si="11"/>
        <v>0</v>
      </c>
      <c r="AB18" s="149">
        <f t="shared" si="11"/>
        <v>0</v>
      </c>
      <c r="AC18" s="149"/>
      <c r="AD18" s="149"/>
      <c r="AE18" s="149"/>
      <c r="AF18" s="149"/>
    </row>
    <row r="19" spans="1:32" ht="13.2" x14ac:dyDescent="0.3">
      <c r="A19" s="202"/>
      <c r="B19" s="211" t="s">
        <v>256</v>
      </c>
      <c r="C19" s="87"/>
      <c r="D19" s="87"/>
      <c r="E19" s="101"/>
      <c r="F19" s="87"/>
      <c r="G19" s="102"/>
      <c r="H19" s="95">
        <f>SUM(H14:H18)</f>
        <v>6914.2226591603849</v>
      </c>
      <c r="I19" s="95">
        <f>SUM(I14:I18)</f>
        <v>6139.9658995307473</v>
      </c>
      <c r="J19" s="169">
        <f>SUM(J14:J18)</f>
        <v>774.25675962963805</v>
      </c>
      <c r="K19" s="166"/>
      <c r="L19" s="87"/>
      <c r="M19" s="101"/>
      <c r="N19" s="95">
        <f>SUM(N14:N18)</f>
        <v>8306.037044122404</v>
      </c>
      <c r="O19" s="95">
        <f>SUM(O14:O18)</f>
        <v>7072.7484907158378</v>
      </c>
      <c r="P19" s="95">
        <f>SUM(P14:P18)</f>
        <v>1233.2885534065663</v>
      </c>
      <c r="Q19" s="166"/>
      <c r="R19" s="87"/>
      <c r="S19" s="103"/>
      <c r="T19" s="95">
        <f t="shared" ref="T19:Y19" si="14">SUM(T14:T18)</f>
        <v>8496.9179647283254</v>
      </c>
      <c r="U19" s="95">
        <f t="shared" si="14"/>
        <v>7114.8374154290696</v>
      </c>
      <c r="V19" s="95">
        <f t="shared" si="14"/>
        <v>1382.0805492992549</v>
      </c>
      <c r="W19" s="175">
        <f t="shared" si="14"/>
        <v>20327.551805675655</v>
      </c>
      <c r="X19" s="95">
        <f t="shared" si="14"/>
        <v>3389.6258623354593</v>
      </c>
      <c r="Y19" s="169">
        <f t="shared" si="14"/>
        <v>23717.177668011114</v>
      </c>
      <c r="Z19" s="184">
        <f t="shared" si="10"/>
        <v>0</v>
      </c>
      <c r="AA19" s="149">
        <f t="shared" si="11"/>
        <v>0</v>
      </c>
      <c r="AB19" s="149">
        <f t="shared" si="11"/>
        <v>0</v>
      </c>
      <c r="AC19" s="230"/>
      <c r="AD19" s="231"/>
      <c r="AE19" s="230"/>
      <c r="AF19" s="149"/>
    </row>
    <row r="20" spans="1:32" x14ac:dyDescent="0.25">
      <c r="A20" s="153"/>
      <c r="B20" s="212" t="s">
        <v>214</v>
      </c>
      <c r="C20" s="99"/>
      <c r="D20" s="99"/>
      <c r="E20" s="97"/>
      <c r="F20" s="98"/>
      <c r="G20" s="97"/>
      <c r="H20" s="97"/>
      <c r="I20" s="99"/>
      <c r="J20" s="171"/>
      <c r="K20" s="172"/>
      <c r="L20" s="99"/>
      <c r="M20" s="97"/>
      <c r="N20" s="97"/>
      <c r="O20" s="99"/>
      <c r="P20" s="171"/>
      <c r="Q20" s="172"/>
      <c r="R20" s="99"/>
      <c r="S20" s="97"/>
      <c r="T20" s="97"/>
      <c r="U20" s="99"/>
      <c r="V20" s="171"/>
      <c r="W20" s="172"/>
      <c r="X20" s="99"/>
      <c r="Y20" s="189"/>
      <c r="Z20" s="184">
        <f t="shared" si="10"/>
        <v>0</v>
      </c>
      <c r="AA20" s="149">
        <f t="shared" si="11"/>
        <v>0</v>
      </c>
      <c r="AB20" s="149">
        <f t="shared" si="11"/>
        <v>0</v>
      </c>
    </row>
    <row r="21" spans="1:32" ht="13.2" x14ac:dyDescent="0.3">
      <c r="A21" s="202"/>
      <c r="B21" s="210" t="s">
        <v>257</v>
      </c>
      <c r="C21" s="104">
        <v>14</v>
      </c>
      <c r="D21" s="105" t="s">
        <v>258</v>
      </c>
      <c r="E21" s="104">
        <v>1</v>
      </c>
      <c r="F21" s="86">
        <v>1</v>
      </c>
      <c r="G21" s="223">
        <f>13000/$G$3</f>
        <v>200</v>
      </c>
      <c r="H21" s="225">
        <f>C21*G21*E21</f>
        <v>2800</v>
      </c>
      <c r="I21" s="223">
        <f>H21</f>
        <v>2800</v>
      </c>
      <c r="J21" s="224">
        <f>H21-I21</f>
        <v>0</v>
      </c>
      <c r="K21" s="166">
        <v>16</v>
      </c>
      <c r="L21" s="87">
        <v>1</v>
      </c>
      <c r="M21" s="223">
        <f>G21*1.05</f>
        <v>210</v>
      </c>
      <c r="N21" s="225">
        <f>K21*M21*L21</f>
        <v>3360</v>
      </c>
      <c r="O21" s="223">
        <f>N21</f>
        <v>3360</v>
      </c>
      <c r="P21" s="224">
        <f>N21-O21</f>
        <v>0</v>
      </c>
      <c r="Q21" s="166">
        <v>16</v>
      </c>
      <c r="R21" s="87">
        <f t="shared" ref="Q21:R25" si="15">L21</f>
        <v>1</v>
      </c>
      <c r="S21" s="90">
        <f>M21*1.05</f>
        <v>220.5</v>
      </c>
      <c r="T21" s="91">
        <f>Q21*S21*R21</f>
        <v>3528</v>
      </c>
      <c r="U21" s="90">
        <f>T21</f>
        <v>3528</v>
      </c>
      <c r="V21" s="167">
        <f>T21-U21</f>
        <v>0</v>
      </c>
      <c r="W21" s="188">
        <f t="shared" ref="W21:X25" si="16">I21+O21+U21</f>
        <v>9688</v>
      </c>
      <c r="X21" s="90">
        <f t="shared" si="16"/>
        <v>0</v>
      </c>
      <c r="Y21" s="167">
        <f>W21+X21</f>
        <v>9688</v>
      </c>
      <c r="Z21" s="184">
        <f t="shared" si="10"/>
        <v>0</v>
      </c>
      <c r="AA21" s="149">
        <f t="shared" si="11"/>
        <v>0</v>
      </c>
      <c r="AB21" s="149">
        <f t="shared" si="11"/>
        <v>0</v>
      </c>
      <c r="AC21" s="149"/>
      <c r="AD21" s="149"/>
      <c r="AE21" s="149"/>
      <c r="AF21" s="149"/>
    </row>
    <row r="22" spans="1:32" ht="13.2" x14ac:dyDescent="0.3">
      <c r="A22" s="202"/>
      <c r="B22" s="210" t="s">
        <v>259</v>
      </c>
      <c r="C22" s="104">
        <f>C21*3</f>
        <v>42</v>
      </c>
      <c r="D22" s="105" t="s">
        <v>260</v>
      </c>
      <c r="E22" s="104">
        <v>1</v>
      </c>
      <c r="F22" s="86">
        <v>1</v>
      </c>
      <c r="G22" s="223">
        <f>2700/$G$3</f>
        <v>41.53846153846154</v>
      </c>
      <c r="H22" s="225">
        <f>C22*G22*E22</f>
        <v>1744.6153846153848</v>
      </c>
      <c r="I22" s="223">
        <f>H22</f>
        <v>1744.6153846153848</v>
      </c>
      <c r="J22" s="224">
        <f>H22-I22</f>
        <v>0</v>
      </c>
      <c r="K22" s="166">
        <f>K21*3</f>
        <v>48</v>
      </c>
      <c r="L22" s="87">
        <v>1</v>
      </c>
      <c r="M22" s="223">
        <f>G22*1.05</f>
        <v>43.61538461538462</v>
      </c>
      <c r="N22" s="225">
        <f>K22*M22*L22</f>
        <v>2093.5384615384619</v>
      </c>
      <c r="O22" s="223">
        <f>N22</f>
        <v>2093.5384615384619</v>
      </c>
      <c r="P22" s="224">
        <f>N22-O22</f>
        <v>0</v>
      </c>
      <c r="Q22" s="166">
        <f>Q21*3</f>
        <v>48</v>
      </c>
      <c r="R22" s="87">
        <f t="shared" si="15"/>
        <v>1</v>
      </c>
      <c r="S22" s="90">
        <f>M22*1.05</f>
        <v>45.796153846153857</v>
      </c>
      <c r="T22" s="91">
        <f>Q22*S22*R22</f>
        <v>2198.2153846153851</v>
      </c>
      <c r="U22" s="90">
        <f>T22</f>
        <v>2198.2153846153851</v>
      </c>
      <c r="V22" s="167">
        <f>T22-U22</f>
        <v>0</v>
      </c>
      <c r="W22" s="188">
        <f t="shared" si="16"/>
        <v>6036.3692307692318</v>
      </c>
      <c r="X22" s="90">
        <f t="shared" si="16"/>
        <v>0</v>
      </c>
      <c r="Y22" s="167">
        <f>W22+X22</f>
        <v>6036.3692307692318</v>
      </c>
      <c r="Z22" s="184">
        <f t="shared" si="10"/>
        <v>0</v>
      </c>
      <c r="AA22" s="149">
        <f t="shared" si="11"/>
        <v>0</v>
      </c>
      <c r="AB22" s="149">
        <f t="shared" si="11"/>
        <v>0</v>
      </c>
      <c r="AC22" s="149"/>
      <c r="AD22" s="149"/>
      <c r="AE22" s="149"/>
      <c r="AF22" s="149"/>
    </row>
    <row r="23" spans="1:32" ht="13.2" x14ac:dyDescent="0.3">
      <c r="A23" s="202"/>
      <c r="B23" s="210" t="s">
        <v>261</v>
      </c>
      <c r="C23" s="104">
        <f>C21*3</f>
        <v>42</v>
      </c>
      <c r="D23" s="105" t="s">
        <v>262</v>
      </c>
      <c r="E23" s="104">
        <v>1</v>
      </c>
      <c r="F23" s="86">
        <v>1</v>
      </c>
      <c r="G23" s="223">
        <f>1000/$G$3</f>
        <v>15.384615384615385</v>
      </c>
      <c r="H23" s="225">
        <f>C23*G23*E23</f>
        <v>646.15384615384619</v>
      </c>
      <c r="I23" s="223">
        <f>H23</f>
        <v>646.15384615384619</v>
      </c>
      <c r="J23" s="224">
        <f>H23-I23</f>
        <v>0</v>
      </c>
      <c r="K23" s="166">
        <f>K21*3</f>
        <v>48</v>
      </c>
      <c r="L23" s="87">
        <v>1</v>
      </c>
      <c r="M23" s="223">
        <f>G23*1.05</f>
        <v>16.153846153846153</v>
      </c>
      <c r="N23" s="225">
        <f>K23*M23*L23</f>
        <v>775.38461538461536</v>
      </c>
      <c r="O23" s="223">
        <f>N23</f>
        <v>775.38461538461536</v>
      </c>
      <c r="P23" s="224">
        <f>N23-O23</f>
        <v>0</v>
      </c>
      <c r="Q23" s="166">
        <f>Q21*3</f>
        <v>48</v>
      </c>
      <c r="R23" s="87">
        <f t="shared" si="15"/>
        <v>1</v>
      </c>
      <c r="S23" s="90">
        <f>M23*1.05</f>
        <v>16.961538461538463</v>
      </c>
      <c r="T23" s="91">
        <f>Q23*S23*R23</f>
        <v>814.15384615384619</v>
      </c>
      <c r="U23" s="90">
        <f>T23</f>
        <v>814.15384615384619</v>
      </c>
      <c r="V23" s="167">
        <f>T23-U23</f>
        <v>0</v>
      </c>
      <c r="W23" s="188">
        <f t="shared" si="16"/>
        <v>2235.6923076923076</v>
      </c>
      <c r="X23" s="90">
        <f t="shared" si="16"/>
        <v>0</v>
      </c>
      <c r="Y23" s="167">
        <f>W23+X23</f>
        <v>2235.6923076923076</v>
      </c>
      <c r="Z23" s="184">
        <f t="shared" si="10"/>
        <v>0</v>
      </c>
      <c r="AA23" s="149">
        <f t="shared" si="11"/>
        <v>0</v>
      </c>
      <c r="AB23" s="149">
        <f t="shared" si="11"/>
        <v>0</v>
      </c>
      <c r="AC23" s="149"/>
      <c r="AD23" s="149"/>
      <c r="AE23" s="149"/>
      <c r="AF23" s="149"/>
    </row>
    <row r="24" spans="1:32" ht="13.2" x14ac:dyDescent="0.3">
      <c r="A24" s="202"/>
      <c r="B24" s="210" t="s">
        <v>263</v>
      </c>
      <c r="C24" s="87">
        <v>1</v>
      </c>
      <c r="D24" s="87" t="s">
        <v>264</v>
      </c>
      <c r="E24" s="87">
        <v>12</v>
      </c>
      <c r="F24" s="89">
        <v>1</v>
      </c>
      <c r="G24" s="223">
        <f>'[1]Completed Example Fair Share'!$D$35</f>
        <v>69.849999999999994</v>
      </c>
      <c r="H24" s="225">
        <f>C24*G24*E24</f>
        <v>838.19999999999993</v>
      </c>
      <c r="I24" s="223">
        <f>'[2]Completed Example Fair Share'!$I$34</f>
        <v>755.92439999999999</v>
      </c>
      <c r="J24" s="224">
        <f>H24-I24</f>
        <v>82.27559999999994</v>
      </c>
      <c r="K24" s="166">
        <v>12</v>
      </c>
      <c r="L24" s="87">
        <v>1</v>
      </c>
      <c r="M24" s="223">
        <f>G24*$M$3</f>
        <v>95.63093649999999</v>
      </c>
      <c r="N24" s="225">
        <f>K24*M24*L24</f>
        <v>1147.571238</v>
      </c>
      <c r="O24" s="225">
        <f>I24*$O$3</f>
        <v>982.62612755999999</v>
      </c>
      <c r="P24" s="224">
        <f>N24-O24</f>
        <v>164.94511044000001</v>
      </c>
      <c r="Q24" s="166">
        <f t="shared" si="15"/>
        <v>12</v>
      </c>
      <c r="R24" s="87">
        <f t="shared" si="15"/>
        <v>1</v>
      </c>
      <c r="S24" s="223">
        <f>M24</f>
        <v>95.63093649999999</v>
      </c>
      <c r="T24" s="225">
        <f>Q24*S24*R24</f>
        <v>1147.571238</v>
      </c>
      <c r="U24" s="225">
        <f>O24+(O24*$U$3)</f>
        <v>937.71028726923237</v>
      </c>
      <c r="V24" s="224">
        <f>T24-U24</f>
        <v>209.86095073076763</v>
      </c>
      <c r="W24" s="226">
        <f t="shared" si="16"/>
        <v>2676.260814829232</v>
      </c>
      <c r="X24" s="223">
        <f t="shared" si="16"/>
        <v>457.08166117076757</v>
      </c>
      <c r="Y24" s="224">
        <f>W24+X24</f>
        <v>3133.3424759999998</v>
      </c>
      <c r="Z24" s="184">
        <f t="shared" si="10"/>
        <v>0</v>
      </c>
      <c r="AA24" s="149">
        <f t="shared" si="11"/>
        <v>0</v>
      </c>
      <c r="AB24" s="149">
        <f t="shared" si="11"/>
        <v>0</v>
      </c>
      <c r="AC24" s="149"/>
      <c r="AD24" s="149"/>
      <c r="AE24" s="149"/>
      <c r="AF24" s="149"/>
    </row>
    <row r="25" spans="1:32" s="92" customFormat="1" ht="13.2" x14ac:dyDescent="0.3">
      <c r="A25" s="153"/>
      <c r="B25" s="210" t="s">
        <v>265</v>
      </c>
      <c r="C25" s="87">
        <v>1</v>
      </c>
      <c r="D25" s="87" t="s">
        <v>264</v>
      </c>
      <c r="E25" s="87">
        <v>12</v>
      </c>
      <c r="F25" s="86">
        <v>1</v>
      </c>
      <c r="G25" s="223">
        <f>18000/$G$3</f>
        <v>276.92307692307691</v>
      </c>
      <c r="H25" s="225">
        <f>C25*G25*E25</f>
        <v>3323.0769230769229</v>
      </c>
      <c r="I25" s="223">
        <v>3323</v>
      </c>
      <c r="J25" s="224">
        <f>H25-I25</f>
        <v>7.692307692286704E-2</v>
      </c>
      <c r="K25" s="166">
        <v>12</v>
      </c>
      <c r="L25" s="87">
        <v>1</v>
      </c>
      <c r="M25" s="223">
        <f>G25*$M$3</f>
        <v>379.13261538461535</v>
      </c>
      <c r="N25" s="225">
        <f>K25*M25*L25</f>
        <v>4549.5913846153844</v>
      </c>
      <c r="O25" s="225">
        <f>I25*$O$3</f>
        <v>4319.5677000000005</v>
      </c>
      <c r="P25" s="224">
        <f>N25-O25</f>
        <v>230.0236846153839</v>
      </c>
      <c r="Q25" s="166">
        <f t="shared" si="15"/>
        <v>12</v>
      </c>
      <c r="R25" s="87">
        <f t="shared" si="15"/>
        <v>1</v>
      </c>
      <c r="S25" s="223">
        <f>M25</f>
        <v>379.13261538461535</v>
      </c>
      <c r="T25" s="225">
        <f>Q25*S25*R25</f>
        <v>4549.5913846153844</v>
      </c>
      <c r="U25" s="225">
        <f>O25+(O25*$U$3)</f>
        <v>4122.1202604330001</v>
      </c>
      <c r="V25" s="224">
        <f>T25-U25</f>
        <v>427.4711241823843</v>
      </c>
      <c r="W25" s="226">
        <f t="shared" si="16"/>
        <v>11764.687960433001</v>
      </c>
      <c r="X25" s="223">
        <f t="shared" si="16"/>
        <v>657.57173187469107</v>
      </c>
      <c r="Y25" s="224">
        <f>W25+X25</f>
        <v>12422.259692307693</v>
      </c>
      <c r="Z25" s="184">
        <f t="shared" si="10"/>
        <v>0</v>
      </c>
      <c r="AA25" s="149">
        <f t="shared" si="11"/>
        <v>0</v>
      </c>
      <c r="AB25" s="149">
        <f t="shared" si="11"/>
        <v>0</v>
      </c>
      <c r="AC25" s="149"/>
      <c r="AD25" s="149"/>
      <c r="AE25" s="149"/>
      <c r="AF25" s="149"/>
    </row>
    <row r="26" spans="1:32" s="92" customFormat="1" ht="13.2" x14ac:dyDescent="0.3">
      <c r="A26" s="153"/>
      <c r="B26" s="211" t="s">
        <v>266</v>
      </c>
      <c r="C26" s="106"/>
      <c r="D26" s="84"/>
      <c r="E26" s="93"/>
      <c r="F26" s="94"/>
      <c r="G26" s="93"/>
      <c r="H26" s="95">
        <f>SUM(H21:H25)</f>
        <v>9352.0461538461532</v>
      </c>
      <c r="I26" s="95">
        <f>SUM(I21:I25)</f>
        <v>9269.6936307692304</v>
      </c>
      <c r="J26" s="169">
        <f>SUM(J21:J25)</f>
        <v>82.352523076922807</v>
      </c>
      <c r="K26" s="173"/>
      <c r="L26" s="84"/>
      <c r="M26" s="93"/>
      <c r="N26" s="95">
        <f>SUM(N21:N25)</f>
        <v>11926.08569953846</v>
      </c>
      <c r="O26" s="95">
        <f>SUM(O21:O25)</f>
        <v>11531.116904483079</v>
      </c>
      <c r="P26" s="169">
        <f>SUM(P21:P25)</f>
        <v>394.96879505538391</v>
      </c>
      <c r="Q26" s="173"/>
      <c r="R26" s="84"/>
      <c r="S26" s="93"/>
      <c r="T26" s="95">
        <f t="shared" ref="T26:Y26" si="17">SUM(T21:T25)</f>
        <v>12237.531853384615</v>
      </c>
      <c r="U26" s="95">
        <f t="shared" si="17"/>
        <v>11600.199778471462</v>
      </c>
      <c r="V26" s="169">
        <f t="shared" si="17"/>
        <v>637.33207491315193</v>
      </c>
      <c r="W26" s="175">
        <f t="shared" si="17"/>
        <v>32401.010313723775</v>
      </c>
      <c r="X26" s="95">
        <f t="shared" si="17"/>
        <v>1114.6533930454586</v>
      </c>
      <c r="Y26" s="169">
        <f t="shared" si="17"/>
        <v>33515.663706769235</v>
      </c>
      <c r="Z26" s="184">
        <f t="shared" si="10"/>
        <v>0</v>
      </c>
      <c r="AA26" s="149">
        <f t="shared" si="11"/>
        <v>0</v>
      </c>
      <c r="AB26" s="149">
        <f t="shared" si="11"/>
        <v>0</v>
      </c>
      <c r="AC26" s="230"/>
      <c r="AD26" s="230"/>
      <c r="AE26" s="230"/>
      <c r="AF26" s="149"/>
    </row>
    <row r="27" spans="1:32" x14ac:dyDescent="0.25">
      <c r="A27" s="202"/>
      <c r="B27" s="212" t="s">
        <v>215</v>
      </c>
      <c r="C27" s="99"/>
      <c r="D27" s="99"/>
      <c r="E27" s="97"/>
      <c r="F27" s="98"/>
      <c r="G27" s="97"/>
      <c r="H27" s="107"/>
      <c r="I27" s="108"/>
      <c r="J27" s="174"/>
      <c r="K27" s="172"/>
      <c r="L27" s="99"/>
      <c r="M27" s="97"/>
      <c r="N27" s="107"/>
      <c r="O27" s="108"/>
      <c r="P27" s="174"/>
      <c r="Q27" s="172"/>
      <c r="R27" s="99"/>
      <c r="S27" s="97"/>
      <c r="T27" s="107"/>
      <c r="U27" s="108"/>
      <c r="V27" s="174"/>
      <c r="W27" s="176"/>
      <c r="X27" s="108"/>
      <c r="Y27" s="189"/>
      <c r="Z27" s="184">
        <f t="shared" si="10"/>
        <v>0</v>
      </c>
      <c r="AA27" s="149">
        <f t="shared" si="11"/>
        <v>0</v>
      </c>
      <c r="AB27" s="149">
        <f t="shared" si="11"/>
        <v>0</v>
      </c>
    </row>
    <row r="28" spans="1:32" ht="13.2" x14ac:dyDescent="0.3">
      <c r="A28" s="202"/>
      <c r="B28" s="213" t="s">
        <v>267</v>
      </c>
      <c r="C28" s="87">
        <v>1</v>
      </c>
      <c r="D28" s="87" t="s">
        <v>264</v>
      </c>
      <c r="E28" s="87">
        <v>12</v>
      </c>
      <c r="F28" s="86">
        <v>1</v>
      </c>
      <c r="G28" s="90">
        <f>((11000-300+3025)/$G$3)+'[1]Completed Example Fair Share'!$D$44</f>
        <v>223.25384615384615</v>
      </c>
      <c r="H28" s="90">
        <f>C28*G28*E28</f>
        <v>2679.0461538461541</v>
      </c>
      <c r="I28" s="90">
        <f>C28*E28*F28*211.54</f>
        <v>2538.48</v>
      </c>
      <c r="J28" s="167">
        <f>H28-I28</f>
        <v>140.56615384615407</v>
      </c>
      <c r="K28" s="166">
        <f>C28</f>
        <v>1</v>
      </c>
      <c r="L28" s="87">
        <f>E28</f>
        <v>12</v>
      </c>
      <c r="M28" s="90">
        <f>G28*1.05</f>
        <v>234.41653846153847</v>
      </c>
      <c r="N28" s="90">
        <f>K28*M28*L28*F28</f>
        <v>2812.9984615384615</v>
      </c>
      <c r="O28" s="90">
        <f>I28*1.05</f>
        <v>2665.404</v>
      </c>
      <c r="P28" s="167">
        <f>N28-O28</f>
        <v>147.59446153846147</v>
      </c>
      <c r="Q28" s="166">
        <f>K28</f>
        <v>1</v>
      </c>
      <c r="R28" s="87">
        <f>L28</f>
        <v>12</v>
      </c>
      <c r="S28" s="90">
        <f>M28*1.05</f>
        <v>246.13736538461541</v>
      </c>
      <c r="T28" s="90">
        <f>Q28*S28*R28*F28</f>
        <v>2953.6483846153851</v>
      </c>
      <c r="U28" s="90">
        <f>O28*1.05</f>
        <v>2798.6741999999999</v>
      </c>
      <c r="V28" s="167">
        <f>T28-U28</f>
        <v>154.97418461538518</v>
      </c>
      <c r="W28" s="188">
        <f>I28+O28+U28</f>
        <v>8002.5581999999995</v>
      </c>
      <c r="X28" s="90">
        <f>J28+P28+V28</f>
        <v>443.13480000000072</v>
      </c>
      <c r="Y28" s="167">
        <f>W28+X28</f>
        <v>8445.6929999999993</v>
      </c>
      <c r="Z28" s="184">
        <f t="shared" si="10"/>
        <v>0</v>
      </c>
      <c r="AA28" s="149">
        <f t="shared" si="11"/>
        <v>0</v>
      </c>
      <c r="AB28" s="149">
        <f t="shared" si="11"/>
        <v>0</v>
      </c>
      <c r="AC28" s="149"/>
      <c r="AD28" s="149"/>
      <c r="AE28" s="149"/>
      <c r="AF28" s="149"/>
    </row>
    <row r="29" spans="1:32" ht="13.2" x14ac:dyDescent="0.3">
      <c r="A29" s="202"/>
      <c r="B29" s="210" t="s">
        <v>268</v>
      </c>
      <c r="C29" s="87">
        <v>1</v>
      </c>
      <c r="D29" s="87" t="s">
        <v>264</v>
      </c>
      <c r="E29" s="87">
        <v>12</v>
      </c>
      <c r="F29" s="86">
        <v>1</v>
      </c>
      <c r="G29" s="90">
        <f>3000/$G$3</f>
        <v>46.153846153846153</v>
      </c>
      <c r="H29" s="90">
        <f>C29*G29*E29</f>
        <v>553.84615384615381</v>
      </c>
      <c r="I29" s="90">
        <f>H29</f>
        <v>553.84615384615381</v>
      </c>
      <c r="J29" s="167">
        <f>H29-I29</f>
        <v>0</v>
      </c>
      <c r="K29" s="166">
        <f>C29</f>
        <v>1</v>
      </c>
      <c r="L29" s="87">
        <f>E29</f>
        <v>12</v>
      </c>
      <c r="M29" s="90">
        <f>G29*1.05</f>
        <v>48.46153846153846</v>
      </c>
      <c r="N29" s="90">
        <f>K29*M29*L29*F29</f>
        <v>581.53846153846155</v>
      </c>
      <c r="O29" s="90">
        <f>N29</f>
        <v>581.53846153846155</v>
      </c>
      <c r="P29" s="167">
        <f>N29-O29</f>
        <v>0</v>
      </c>
      <c r="Q29" s="166">
        <f>K29</f>
        <v>1</v>
      </c>
      <c r="R29" s="87">
        <f>L29</f>
        <v>12</v>
      </c>
      <c r="S29" s="90">
        <f>M29*1.05</f>
        <v>50.884615384615387</v>
      </c>
      <c r="T29" s="90">
        <f>Q29*S29*R29*F29</f>
        <v>610.61538461538464</v>
      </c>
      <c r="U29" s="90">
        <f>T29</f>
        <v>610.61538461538464</v>
      </c>
      <c r="V29" s="167">
        <f>T29-U29</f>
        <v>0</v>
      </c>
      <c r="W29" s="188">
        <f>I29+O29+U29</f>
        <v>1746</v>
      </c>
      <c r="X29" s="90">
        <f>J29+P29+V29</f>
        <v>0</v>
      </c>
      <c r="Y29" s="167">
        <f>W29+X29</f>
        <v>1746</v>
      </c>
      <c r="Z29" s="184">
        <f t="shared" si="10"/>
        <v>0</v>
      </c>
      <c r="AA29" s="149">
        <f t="shared" si="11"/>
        <v>0</v>
      </c>
      <c r="AB29" s="149">
        <f t="shared" si="11"/>
        <v>0</v>
      </c>
      <c r="AC29" s="149"/>
      <c r="AD29" s="149"/>
      <c r="AE29" s="149"/>
      <c r="AF29" s="149"/>
    </row>
    <row r="30" spans="1:32" ht="13.2" x14ac:dyDescent="0.3">
      <c r="A30" s="202"/>
      <c r="B30" s="211" t="s">
        <v>269</v>
      </c>
      <c r="C30" s="87"/>
      <c r="D30" s="87"/>
      <c r="E30" s="109"/>
      <c r="G30" s="109"/>
      <c r="H30" s="95">
        <f>SUM(H28:H29)</f>
        <v>3232.8923076923079</v>
      </c>
      <c r="I30" s="95">
        <f>SUM(I28:I29)</f>
        <v>3092.3261538461538</v>
      </c>
      <c r="J30" s="169">
        <f>SUM(J28:J29)</f>
        <v>140.56615384615407</v>
      </c>
      <c r="K30" s="166"/>
      <c r="L30" s="87"/>
      <c r="M30" s="109"/>
      <c r="N30" s="95">
        <f>SUM(N28:N29)</f>
        <v>3394.5369230769229</v>
      </c>
      <c r="O30" s="95">
        <f>SUM(O28:O29)</f>
        <v>3246.9424615384614</v>
      </c>
      <c r="P30" s="169">
        <f>SUM(P28:P29)</f>
        <v>147.59446153846147</v>
      </c>
      <c r="Q30" s="166"/>
      <c r="R30" s="87"/>
      <c r="S30" s="90"/>
      <c r="T30" s="95">
        <f t="shared" ref="T30:Y30" si="18">SUM(T28:T29)</f>
        <v>3564.2637692307699</v>
      </c>
      <c r="U30" s="95">
        <f t="shared" si="18"/>
        <v>3409.2895846153847</v>
      </c>
      <c r="V30" s="169">
        <f t="shared" si="18"/>
        <v>154.97418461538518</v>
      </c>
      <c r="W30" s="175">
        <f t="shared" si="18"/>
        <v>9748.5581999999995</v>
      </c>
      <c r="X30" s="95">
        <f t="shared" si="18"/>
        <v>443.13480000000072</v>
      </c>
      <c r="Y30" s="169">
        <f t="shared" si="18"/>
        <v>10191.692999999999</v>
      </c>
      <c r="Z30" s="184">
        <f t="shared" si="10"/>
        <v>0</v>
      </c>
      <c r="AA30" s="149">
        <f t="shared" si="11"/>
        <v>0</v>
      </c>
      <c r="AB30" s="149">
        <f t="shared" si="11"/>
        <v>0</v>
      </c>
      <c r="AC30" s="230"/>
      <c r="AD30" s="230"/>
      <c r="AE30" s="230"/>
      <c r="AF30" s="149"/>
    </row>
    <row r="31" spans="1:32" x14ac:dyDescent="0.25">
      <c r="A31" s="202"/>
      <c r="B31" s="212" t="s">
        <v>270</v>
      </c>
      <c r="C31" s="99"/>
      <c r="D31" s="99"/>
      <c r="E31" s="96"/>
      <c r="F31" s="98"/>
      <c r="G31" s="96"/>
      <c r="H31" s="107"/>
      <c r="I31" s="110"/>
      <c r="J31" s="214"/>
      <c r="K31" s="172"/>
      <c r="L31" s="99"/>
      <c r="M31" s="96"/>
      <c r="N31" s="107"/>
      <c r="O31" s="108"/>
      <c r="P31" s="174"/>
      <c r="Q31" s="172"/>
      <c r="R31" s="99"/>
      <c r="S31" s="96"/>
      <c r="T31" s="107"/>
      <c r="U31" s="108"/>
      <c r="V31" s="174"/>
      <c r="W31" s="176"/>
      <c r="X31" s="108"/>
      <c r="Y31" s="189"/>
      <c r="Z31" s="184">
        <f t="shared" si="10"/>
        <v>0</v>
      </c>
      <c r="AA31" s="149">
        <f t="shared" si="11"/>
        <v>0</v>
      </c>
      <c r="AB31" s="149">
        <f t="shared" si="11"/>
        <v>0</v>
      </c>
    </row>
    <row r="32" spans="1:32" ht="13.2" x14ac:dyDescent="0.3">
      <c r="A32" s="202"/>
      <c r="B32" s="210" t="s">
        <v>345</v>
      </c>
      <c r="C32" s="87">
        <v>1</v>
      </c>
      <c r="D32" s="193" t="s">
        <v>272</v>
      </c>
      <c r="E32" s="87">
        <v>1</v>
      </c>
      <c r="F32" s="86">
        <v>1</v>
      </c>
      <c r="G32" s="90">
        <f>'Subgrantee Budget'!H51</f>
        <v>154675.38461538462</v>
      </c>
      <c r="H32" s="90">
        <f>'Subgrantee Budget'!H51</f>
        <v>154675.38461538462</v>
      </c>
      <c r="I32" s="90">
        <f>'Subgrantee Budget'!I51</f>
        <v>125290.76923076923</v>
      </c>
      <c r="J32" s="167">
        <f>'Subgrantee Budget'!J51</f>
        <v>29384.615384615387</v>
      </c>
      <c r="K32" s="166">
        <v>1</v>
      </c>
      <c r="L32" s="87">
        <v>1</v>
      </c>
      <c r="M32" s="90">
        <f>'Subgrantee Budget'!K51</f>
        <v>156630.38461538462</v>
      </c>
      <c r="N32" s="90">
        <f>'Subgrantee Budget'!K51</f>
        <v>156630.38461538462</v>
      </c>
      <c r="O32" s="90">
        <f>'Subgrantee Budget'!L51</f>
        <v>113707.3076923077</v>
      </c>
      <c r="P32" s="167">
        <f>'Subgrantee Budget'!M51</f>
        <v>42923.076923076922</v>
      </c>
      <c r="Q32" s="166">
        <v>1</v>
      </c>
      <c r="R32" s="87">
        <f>L32</f>
        <v>1</v>
      </c>
      <c r="S32" s="90">
        <f>'Subgrantee Budget'!N51</f>
        <v>151365.0384615385</v>
      </c>
      <c r="T32" s="90">
        <f>Q32*S32*R32*F32</f>
        <v>151365.0384615385</v>
      </c>
      <c r="U32" s="90">
        <f>'Subgrantee Budget'!O51</f>
        <v>116576</v>
      </c>
      <c r="V32" s="167">
        <f>'Subgrantee Budget'!P51</f>
        <v>34789.038461538461</v>
      </c>
      <c r="W32" s="188">
        <f>I32+O32+U32</f>
        <v>355574.07692307694</v>
      </c>
      <c r="X32" s="90">
        <f>J32+P32+V32</f>
        <v>107096.73076923078</v>
      </c>
      <c r="Y32" s="167">
        <f>W32+X32</f>
        <v>462670.80769230775</v>
      </c>
      <c r="Z32" s="184">
        <f t="shared" si="10"/>
        <v>0</v>
      </c>
      <c r="AA32" s="149">
        <f t="shared" si="11"/>
        <v>0</v>
      </c>
      <c r="AB32" s="149">
        <f t="shared" si="11"/>
        <v>0</v>
      </c>
      <c r="AC32" s="149"/>
      <c r="AD32" s="149"/>
      <c r="AE32" s="149"/>
      <c r="AF32" s="149"/>
    </row>
    <row r="33" spans="1:32" ht="24.6" x14ac:dyDescent="0.3">
      <c r="A33" s="202"/>
      <c r="B33" s="210" t="s">
        <v>273</v>
      </c>
      <c r="C33" s="87">
        <v>10</v>
      </c>
      <c r="D33" s="193" t="s">
        <v>272</v>
      </c>
      <c r="E33" s="87">
        <v>12</v>
      </c>
      <c r="F33" s="86">
        <v>1</v>
      </c>
      <c r="G33" s="90">
        <f>3000/$G$3</f>
        <v>46.153846153846153</v>
      </c>
      <c r="H33" s="91">
        <f>C33*G33*E33</f>
        <v>5538.461538461539</v>
      </c>
      <c r="I33" s="90">
        <v>0</v>
      </c>
      <c r="J33" s="167">
        <f>H33-I33</f>
        <v>5538.461538461539</v>
      </c>
      <c r="K33" s="166">
        <f>C33</f>
        <v>10</v>
      </c>
      <c r="L33" s="87">
        <f>E33</f>
        <v>12</v>
      </c>
      <c r="M33" s="90">
        <f>G33*1.05</f>
        <v>48.46153846153846</v>
      </c>
      <c r="N33" s="91">
        <f>6*E33*F33*G33</f>
        <v>3323.0769230769229</v>
      </c>
      <c r="O33" s="90">
        <v>0</v>
      </c>
      <c r="P33" s="167">
        <f>N33-O33</f>
        <v>3323.0769230769229</v>
      </c>
      <c r="Q33" s="166">
        <f>K33</f>
        <v>10</v>
      </c>
      <c r="R33" s="87">
        <f>L33</f>
        <v>12</v>
      </c>
      <c r="S33" s="90">
        <f>M33*1.05</f>
        <v>50.884615384615387</v>
      </c>
      <c r="T33" s="91">
        <f>4*E33*F33*G33</f>
        <v>2215.3846153846152</v>
      </c>
      <c r="U33" s="90">
        <v>0</v>
      </c>
      <c r="V33" s="167">
        <f>T33-U33</f>
        <v>2215.3846153846152</v>
      </c>
      <c r="W33" s="188">
        <f>I33+O33+U33</f>
        <v>0</v>
      </c>
      <c r="X33" s="90">
        <f>J33+P33+V33</f>
        <v>11076.923076923076</v>
      </c>
      <c r="Y33" s="167">
        <f>W33+X33</f>
        <v>11076.923076923076</v>
      </c>
      <c r="Z33" s="184">
        <f t="shared" si="10"/>
        <v>0</v>
      </c>
      <c r="AA33" s="149">
        <f t="shared" si="11"/>
        <v>0</v>
      </c>
      <c r="AB33" s="149">
        <f t="shared" si="11"/>
        <v>0</v>
      </c>
      <c r="AC33" s="149"/>
      <c r="AD33" s="149"/>
      <c r="AE33" s="149"/>
      <c r="AF33" s="149"/>
    </row>
    <row r="34" spans="1:32" s="92" customFormat="1" ht="13.2" x14ac:dyDescent="0.3">
      <c r="A34" s="153"/>
      <c r="B34" s="211" t="s">
        <v>274</v>
      </c>
      <c r="C34" s="84"/>
      <c r="D34" s="84"/>
      <c r="E34" s="113"/>
      <c r="F34" s="94"/>
      <c r="G34" s="113"/>
      <c r="H34" s="95">
        <f>SUM(H32:H33)</f>
        <v>160213.84615384616</v>
      </c>
      <c r="I34" s="95">
        <f t="shared" ref="I34:Y34" si="19">SUM(I32:I33)</f>
        <v>125290.76923076923</v>
      </c>
      <c r="J34" s="169">
        <f t="shared" si="19"/>
        <v>34923.076923076922</v>
      </c>
      <c r="K34" s="175"/>
      <c r="L34" s="95"/>
      <c r="M34" s="95">
        <f t="shared" si="19"/>
        <v>156678.84615384616</v>
      </c>
      <c r="N34" s="95">
        <f t="shared" si="19"/>
        <v>159953.46153846156</v>
      </c>
      <c r="O34" s="95">
        <f t="shared" si="19"/>
        <v>113707.3076923077</v>
      </c>
      <c r="P34" s="169">
        <f t="shared" si="19"/>
        <v>46246.153846153844</v>
      </c>
      <c r="Q34" s="175"/>
      <c r="R34" s="95"/>
      <c r="S34" s="95">
        <f t="shared" si="19"/>
        <v>151415.92307692312</v>
      </c>
      <c r="T34" s="95">
        <f t="shared" si="19"/>
        <v>153580.42307692312</v>
      </c>
      <c r="U34" s="95">
        <f t="shared" si="19"/>
        <v>116576</v>
      </c>
      <c r="V34" s="169">
        <f t="shared" si="19"/>
        <v>37004.423076923078</v>
      </c>
      <c r="W34" s="175">
        <f t="shared" si="19"/>
        <v>355574.07692307694</v>
      </c>
      <c r="X34" s="95">
        <f t="shared" si="19"/>
        <v>118173.65384615386</v>
      </c>
      <c r="Y34" s="169">
        <f t="shared" si="19"/>
        <v>473747.73076923081</v>
      </c>
      <c r="Z34" s="184">
        <f t="shared" si="10"/>
        <v>0</v>
      </c>
      <c r="AA34" s="149">
        <f t="shared" si="11"/>
        <v>0</v>
      </c>
      <c r="AB34" s="149">
        <f t="shared" si="11"/>
        <v>0</v>
      </c>
      <c r="AC34" s="230"/>
      <c r="AD34" s="230"/>
      <c r="AE34" s="230"/>
      <c r="AF34" s="149"/>
    </row>
    <row r="35" spans="1:32" x14ac:dyDescent="0.25">
      <c r="A35" s="202"/>
      <c r="B35" s="212" t="s">
        <v>217</v>
      </c>
      <c r="C35" s="108"/>
      <c r="D35" s="108"/>
      <c r="E35" s="100"/>
      <c r="F35" s="114"/>
      <c r="G35" s="100"/>
      <c r="H35" s="115"/>
      <c r="I35" s="108"/>
      <c r="J35" s="174"/>
      <c r="K35" s="176"/>
      <c r="L35" s="108"/>
      <c r="M35" s="100"/>
      <c r="N35" s="115"/>
      <c r="O35" s="108"/>
      <c r="P35" s="174"/>
      <c r="Q35" s="176"/>
      <c r="R35" s="108"/>
      <c r="S35" s="100"/>
      <c r="T35" s="115"/>
      <c r="U35" s="108"/>
      <c r="V35" s="174"/>
      <c r="W35" s="176"/>
      <c r="X35" s="108"/>
      <c r="Y35" s="189"/>
      <c r="Z35" s="184">
        <f t="shared" si="10"/>
        <v>0</v>
      </c>
      <c r="AA35" s="149">
        <f t="shared" si="11"/>
        <v>0</v>
      </c>
      <c r="AB35" s="149">
        <f t="shared" si="11"/>
        <v>0</v>
      </c>
    </row>
    <row r="36" spans="1:32" ht="13.2" x14ac:dyDescent="0.3">
      <c r="A36" s="202"/>
      <c r="B36" s="210" t="s">
        <v>275</v>
      </c>
      <c r="C36" s="87">
        <v>1</v>
      </c>
      <c r="D36" s="105" t="s">
        <v>276</v>
      </c>
      <c r="E36" s="87">
        <v>1</v>
      </c>
      <c r="F36" s="86">
        <v>1</v>
      </c>
      <c r="G36" s="90">
        <f>60000/$G$3</f>
        <v>923.07692307692309</v>
      </c>
      <c r="H36" s="90">
        <f t="shared" ref="H36:H43" si="20">C36*G36*E36*F36</f>
        <v>923.07692307692309</v>
      </c>
      <c r="I36" s="90">
        <f>H36</f>
        <v>923.07692307692309</v>
      </c>
      <c r="J36" s="167">
        <f t="shared" ref="J36:J41" si="21">H36-I36</f>
        <v>0</v>
      </c>
      <c r="K36" s="166">
        <f>C36</f>
        <v>1</v>
      </c>
      <c r="L36" s="87">
        <v>1</v>
      </c>
      <c r="M36" s="90">
        <v>922.5</v>
      </c>
      <c r="N36" s="90">
        <f>K36*M36*L36*F36</f>
        <v>922.5</v>
      </c>
      <c r="O36" s="90">
        <f>N36</f>
        <v>922.5</v>
      </c>
      <c r="P36" s="167">
        <f t="shared" ref="P36:P43" si="22">N36-O36</f>
        <v>0</v>
      </c>
      <c r="Q36" s="166">
        <f>K36</f>
        <v>1</v>
      </c>
      <c r="R36" s="87">
        <f>L36</f>
        <v>1</v>
      </c>
      <c r="S36" s="223">
        <v>11385</v>
      </c>
      <c r="T36" s="90">
        <f>Q36*S36*R36*F36</f>
        <v>11385</v>
      </c>
      <c r="U36" s="90">
        <f>T36</f>
        <v>11385</v>
      </c>
      <c r="V36" s="167">
        <f>T36-U36</f>
        <v>0</v>
      </c>
      <c r="W36" s="188">
        <f t="shared" ref="W36:X43" si="23">I36+O36+U36</f>
        <v>13230.576923076924</v>
      </c>
      <c r="X36" s="90">
        <f t="shared" si="23"/>
        <v>0</v>
      </c>
      <c r="Y36" s="167">
        <f t="shared" ref="Y36:Y43" si="24">W36+X36</f>
        <v>13230.576923076924</v>
      </c>
      <c r="Z36" s="184">
        <f t="shared" si="10"/>
        <v>0</v>
      </c>
      <c r="AA36" s="149">
        <f t="shared" si="11"/>
        <v>0</v>
      </c>
      <c r="AB36" s="149">
        <f t="shared" si="11"/>
        <v>0</v>
      </c>
      <c r="AC36" s="149"/>
      <c r="AD36" s="149"/>
      <c r="AE36" s="149"/>
      <c r="AF36" s="149"/>
    </row>
    <row r="37" spans="1:32" ht="13.2" x14ac:dyDescent="0.3">
      <c r="A37" s="202"/>
      <c r="B37" s="210" t="s">
        <v>278</v>
      </c>
      <c r="C37" s="87">
        <v>1</v>
      </c>
      <c r="D37" s="111" t="s">
        <v>272</v>
      </c>
      <c r="E37" s="87">
        <v>1</v>
      </c>
      <c r="F37" s="86">
        <v>1</v>
      </c>
      <c r="G37" s="90">
        <f>40000/$G$3</f>
        <v>615.38461538461536</v>
      </c>
      <c r="H37" s="90">
        <f t="shared" si="20"/>
        <v>615.38461538461536</v>
      </c>
      <c r="I37" s="90">
        <f>H37</f>
        <v>615.38461538461536</v>
      </c>
      <c r="J37" s="167">
        <f t="shared" si="21"/>
        <v>0</v>
      </c>
      <c r="K37" s="166"/>
      <c r="L37" s="87"/>
      <c r="M37" s="90">
        <v>0</v>
      </c>
      <c r="N37" s="90">
        <v>0</v>
      </c>
      <c r="O37" s="90">
        <f>N37</f>
        <v>0</v>
      </c>
      <c r="P37" s="167">
        <f t="shared" si="22"/>
        <v>0</v>
      </c>
      <c r="Q37" s="166"/>
      <c r="R37" s="87"/>
      <c r="S37" s="90">
        <v>0</v>
      </c>
      <c r="T37" s="90">
        <v>0</v>
      </c>
      <c r="U37" s="90">
        <f>T37</f>
        <v>0</v>
      </c>
      <c r="V37" s="167">
        <v>0</v>
      </c>
      <c r="W37" s="188">
        <f t="shared" si="23"/>
        <v>615.38461538461536</v>
      </c>
      <c r="X37" s="90">
        <f t="shared" si="23"/>
        <v>0</v>
      </c>
      <c r="Y37" s="167">
        <f t="shared" si="24"/>
        <v>615.38461538461536</v>
      </c>
      <c r="Z37" s="184">
        <f t="shared" si="10"/>
        <v>0</v>
      </c>
      <c r="AA37" s="149">
        <f t="shared" si="11"/>
        <v>0</v>
      </c>
      <c r="AB37" s="149">
        <f t="shared" si="11"/>
        <v>0</v>
      </c>
      <c r="AC37" s="149"/>
      <c r="AD37" s="149"/>
      <c r="AE37" s="149"/>
      <c r="AF37" s="149"/>
    </row>
    <row r="38" spans="1:32" ht="13.2" x14ac:dyDescent="0.3">
      <c r="A38" s="202"/>
      <c r="B38" s="210" t="s">
        <v>279</v>
      </c>
      <c r="C38" s="87">
        <v>1</v>
      </c>
      <c r="D38" s="112" t="s">
        <v>280</v>
      </c>
      <c r="E38" s="87">
        <v>1</v>
      </c>
      <c r="F38" s="86">
        <v>1</v>
      </c>
      <c r="G38" s="90">
        <f>30000/$G$3</f>
        <v>461.53846153846155</v>
      </c>
      <c r="H38" s="90">
        <f t="shared" si="20"/>
        <v>461.53846153846155</v>
      </c>
      <c r="I38" s="90">
        <f>H38</f>
        <v>461.53846153846155</v>
      </c>
      <c r="J38" s="167">
        <f t="shared" si="21"/>
        <v>0</v>
      </c>
      <c r="K38" s="166"/>
      <c r="L38" s="87"/>
      <c r="M38" s="90">
        <v>0</v>
      </c>
      <c r="N38" s="90">
        <v>0</v>
      </c>
      <c r="O38" s="90">
        <f>N38</f>
        <v>0</v>
      </c>
      <c r="P38" s="167">
        <f t="shared" si="22"/>
        <v>0</v>
      </c>
      <c r="Q38" s="166"/>
      <c r="R38" s="87"/>
      <c r="S38" s="90">
        <v>0</v>
      </c>
      <c r="T38" s="90">
        <v>0</v>
      </c>
      <c r="U38" s="90">
        <f>T38</f>
        <v>0</v>
      </c>
      <c r="V38" s="167">
        <v>0</v>
      </c>
      <c r="W38" s="188">
        <f t="shared" si="23"/>
        <v>461.53846153846155</v>
      </c>
      <c r="X38" s="90">
        <f t="shared" si="23"/>
        <v>0</v>
      </c>
      <c r="Y38" s="167">
        <f t="shared" si="24"/>
        <v>461.53846153846155</v>
      </c>
      <c r="Z38" s="184">
        <f t="shared" si="10"/>
        <v>0</v>
      </c>
      <c r="AA38" s="149">
        <f t="shared" si="11"/>
        <v>0</v>
      </c>
      <c r="AB38" s="149">
        <f t="shared" si="11"/>
        <v>0</v>
      </c>
      <c r="AC38" s="149"/>
      <c r="AD38" s="149"/>
      <c r="AE38" s="149"/>
      <c r="AF38" s="149"/>
    </row>
    <row r="39" spans="1:32" ht="13.2" x14ac:dyDescent="0.3">
      <c r="A39" s="202"/>
      <c r="B39" s="210" t="s">
        <v>281</v>
      </c>
      <c r="C39" s="87">
        <v>1</v>
      </c>
      <c r="D39" s="87" t="s">
        <v>264</v>
      </c>
      <c r="E39" s="87">
        <v>12</v>
      </c>
      <c r="F39" s="86">
        <v>1</v>
      </c>
      <c r="G39" s="90">
        <f>15750/$G$3</f>
        <v>242.30769230769232</v>
      </c>
      <c r="H39" s="90">
        <f t="shared" si="20"/>
        <v>2907.6923076923076</v>
      </c>
      <c r="I39" s="90">
        <f>H39</f>
        <v>2907.6923076923076</v>
      </c>
      <c r="J39" s="167">
        <f t="shared" si="21"/>
        <v>0</v>
      </c>
      <c r="K39" s="166">
        <f>C39</f>
        <v>1</v>
      </c>
      <c r="L39" s="87">
        <f>E39</f>
        <v>12</v>
      </c>
      <c r="M39" s="90">
        <f>G39*1.05</f>
        <v>254.42307692307693</v>
      </c>
      <c r="N39" s="90">
        <f>K39*M39*L39*F39</f>
        <v>3053.0769230769233</v>
      </c>
      <c r="O39" s="90">
        <f>N39</f>
        <v>3053.0769230769233</v>
      </c>
      <c r="P39" s="167">
        <f t="shared" si="22"/>
        <v>0</v>
      </c>
      <c r="Q39" s="166">
        <f t="shared" ref="Q39:R43" si="25">K39</f>
        <v>1</v>
      </c>
      <c r="R39" s="87">
        <f t="shared" si="25"/>
        <v>12</v>
      </c>
      <c r="S39" s="90">
        <f>M39*1.05</f>
        <v>267.14423076923077</v>
      </c>
      <c r="T39" s="90">
        <f>Q39*S39*R39*F39</f>
        <v>3205.7307692307695</v>
      </c>
      <c r="U39" s="90">
        <f>T39</f>
        <v>3205.7307692307695</v>
      </c>
      <c r="V39" s="167">
        <f>T39-U39</f>
        <v>0</v>
      </c>
      <c r="W39" s="188">
        <f t="shared" si="23"/>
        <v>9166.5</v>
      </c>
      <c r="X39" s="90">
        <f t="shared" si="23"/>
        <v>0</v>
      </c>
      <c r="Y39" s="167">
        <f t="shared" si="24"/>
        <v>9166.5</v>
      </c>
      <c r="Z39" s="184">
        <f t="shared" si="10"/>
        <v>0</v>
      </c>
      <c r="AA39" s="149">
        <f t="shared" si="11"/>
        <v>0</v>
      </c>
      <c r="AB39" s="149">
        <f t="shared" si="11"/>
        <v>0</v>
      </c>
      <c r="AC39" s="149"/>
      <c r="AD39" s="149"/>
      <c r="AE39" s="149"/>
      <c r="AF39" s="149"/>
    </row>
    <row r="40" spans="1:32" ht="13.2" x14ac:dyDescent="0.3">
      <c r="A40" s="202"/>
      <c r="B40" s="215" t="s">
        <v>282</v>
      </c>
      <c r="C40" s="87">
        <v>1</v>
      </c>
      <c r="D40" s="87" t="s">
        <v>264</v>
      </c>
      <c r="E40" s="87">
        <v>12</v>
      </c>
      <c r="F40" s="86">
        <v>1</v>
      </c>
      <c r="G40" s="90">
        <f>70026.5/$G$3</f>
        <v>1077.3307692307692</v>
      </c>
      <c r="H40" s="90">
        <f t="shared" si="20"/>
        <v>12927.969230769231</v>
      </c>
      <c r="I40" s="90">
        <f>H40</f>
        <v>12927.969230769231</v>
      </c>
      <c r="J40" s="167">
        <f t="shared" si="21"/>
        <v>0</v>
      </c>
      <c r="K40" s="166">
        <f>C40</f>
        <v>1</v>
      </c>
      <c r="L40" s="87">
        <f>E40</f>
        <v>12</v>
      </c>
      <c r="M40" s="90">
        <f>G40*1.05</f>
        <v>1131.1973076923077</v>
      </c>
      <c r="N40" s="90">
        <f>K40*M40*L40*F40</f>
        <v>13574.367692307693</v>
      </c>
      <c r="O40" s="90">
        <f>N40</f>
        <v>13574.367692307693</v>
      </c>
      <c r="P40" s="167">
        <f t="shared" si="22"/>
        <v>0</v>
      </c>
      <c r="Q40" s="166">
        <f t="shared" si="25"/>
        <v>1</v>
      </c>
      <c r="R40" s="87">
        <f t="shared" si="25"/>
        <v>12</v>
      </c>
      <c r="S40" s="90">
        <f>M40*1.05</f>
        <v>1187.7571730769232</v>
      </c>
      <c r="T40" s="90">
        <f>Q40*S40*R40*F40</f>
        <v>14253.086076923079</v>
      </c>
      <c r="U40" s="90">
        <f>T40</f>
        <v>14253.086076923079</v>
      </c>
      <c r="V40" s="167">
        <f>T40-U40</f>
        <v>0</v>
      </c>
      <c r="W40" s="188">
        <f t="shared" si="23"/>
        <v>40755.423000000003</v>
      </c>
      <c r="X40" s="90">
        <f t="shared" si="23"/>
        <v>0</v>
      </c>
      <c r="Y40" s="167">
        <f t="shared" si="24"/>
        <v>40755.423000000003</v>
      </c>
      <c r="Z40" s="184">
        <f t="shared" si="10"/>
        <v>0</v>
      </c>
      <c r="AA40" s="149">
        <f t="shared" si="11"/>
        <v>0</v>
      </c>
      <c r="AB40" s="149">
        <f t="shared" si="11"/>
        <v>0</v>
      </c>
      <c r="AC40" s="149"/>
      <c r="AD40" s="149"/>
      <c r="AE40" s="149"/>
      <c r="AF40" s="149"/>
    </row>
    <row r="41" spans="1:32" ht="13.2" x14ac:dyDescent="0.3">
      <c r="A41" s="202"/>
      <c r="B41" s="210" t="s">
        <v>283</v>
      </c>
      <c r="C41" s="87">
        <v>1</v>
      </c>
      <c r="D41" s="87" t="s">
        <v>264</v>
      </c>
      <c r="E41" s="87">
        <v>12</v>
      </c>
      <c r="F41" s="89">
        <v>1</v>
      </c>
      <c r="G41" s="223">
        <f>'[1]Completed Example Fair Share'!$D$50</f>
        <v>90.25</v>
      </c>
      <c r="H41" s="223">
        <f t="shared" si="20"/>
        <v>1083</v>
      </c>
      <c r="I41" s="223">
        <f>'[2]Completed Example Fair Share'!$I$50</f>
        <v>851.28</v>
      </c>
      <c r="J41" s="224">
        <f t="shared" si="21"/>
        <v>231.72000000000003</v>
      </c>
      <c r="K41" s="166">
        <f>C41</f>
        <v>1</v>
      </c>
      <c r="L41" s="87">
        <f>E41</f>
        <v>12</v>
      </c>
      <c r="M41" s="223">
        <f>G41*$M$3</f>
        <v>123.5603725</v>
      </c>
      <c r="N41" s="223">
        <f>K41*M41*L41*F41</f>
        <v>1482.7244700000001</v>
      </c>
      <c r="O41" s="225">
        <f>I41*$O$3</f>
        <v>1106.578872</v>
      </c>
      <c r="P41" s="224">
        <f t="shared" si="22"/>
        <v>376.14559800000006</v>
      </c>
      <c r="Q41" s="166">
        <f t="shared" si="25"/>
        <v>1</v>
      </c>
      <c r="R41" s="87">
        <f t="shared" si="25"/>
        <v>12</v>
      </c>
      <c r="S41" s="223">
        <f>M41</f>
        <v>123.5603725</v>
      </c>
      <c r="T41" s="223">
        <f>Q41*S41*R41*F41</f>
        <v>1482.7244700000001</v>
      </c>
      <c r="U41" s="225">
        <f>O41+(O41*$U$3)</f>
        <v>1055.9971517608801</v>
      </c>
      <c r="V41" s="224">
        <f>T41-U41</f>
        <v>426.72731823912</v>
      </c>
      <c r="W41" s="226">
        <f t="shared" si="23"/>
        <v>3013.8560237608799</v>
      </c>
      <c r="X41" s="223">
        <f t="shared" si="23"/>
        <v>1034.5929162391201</v>
      </c>
      <c r="Y41" s="224">
        <f t="shared" si="24"/>
        <v>4048.4489400000002</v>
      </c>
      <c r="Z41" s="184">
        <f t="shared" si="10"/>
        <v>0</v>
      </c>
      <c r="AA41" s="149">
        <f t="shared" si="11"/>
        <v>0</v>
      </c>
      <c r="AB41" s="149">
        <f t="shared" si="11"/>
        <v>0</v>
      </c>
      <c r="AC41" s="149"/>
      <c r="AD41" s="149"/>
      <c r="AE41" s="149"/>
      <c r="AF41" s="149"/>
    </row>
    <row r="42" spans="1:32" ht="24.6" x14ac:dyDescent="0.3">
      <c r="A42" s="202"/>
      <c r="B42" s="210" t="s">
        <v>284</v>
      </c>
      <c r="C42" s="87">
        <v>1</v>
      </c>
      <c r="D42" s="87" t="s">
        <v>264</v>
      </c>
      <c r="E42" s="87">
        <v>12</v>
      </c>
      <c r="F42" s="89">
        <v>1</v>
      </c>
      <c r="G42" s="223">
        <f>'[1]Completed Example Fair Share'!$D$57+'[1]Completed Example Fair Share'!$D$58</f>
        <v>67.559999999999988</v>
      </c>
      <c r="H42" s="223">
        <f>C42*G42*E42*F42</f>
        <v>810.7199999999998</v>
      </c>
      <c r="I42" s="223">
        <f>'[2]Completed Example Fair Share'!$I$57+'[2]Completed Example Fair Share'!$I$58</f>
        <v>805.31999999999994</v>
      </c>
      <c r="J42" s="224">
        <f>H42-I42</f>
        <v>5.3999999999998636</v>
      </c>
      <c r="K42" s="166">
        <f>C42</f>
        <v>1</v>
      </c>
      <c r="L42" s="87">
        <f>E42</f>
        <v>12</v>
      </c>
      <c r="M42" s="223">
        <f>G42*$M$3</f>
        <v>92.495720399999982</v>
      </c>
      <c r="N42" s="223">
        <f>K42*M42*L42*F42</f>
        <v>1109.9486447999998</v>
      </c>
      <c r="O42" s="225">
        <f>I42*$O$3</f>
        <v>1046.835468</v>
      </c>
      <c r="P42" s="224">
        <f t="shared" si="22"/>
        <v>63.113176799999792</v>
      </c>
      <c r="Q42" s="166">
        <f>K42</f>
        <v>1</v>
      </c>
      <c r="R42" s="87">
        <f>L42</f>
        <v>12</v>
      </c>
      <c r="S42" s="223">
        <f>M42</f>
        <v>92.495720399999982</v>
      </c>
      <c r="T42" s="223">
        <f>Q42*S42*R42*F42</f>
        <v>1109.9486447999998</v>
      </c>
      <c r="U42" s="225">
        <f>O42+(O42*$U$3)</f>
        <v>998.98461875772</v>
      </c>
      <c r="V42" s="224">
        <f>T42-U42</f>
        <v>110.96402604227978</v>
      </c>
      <c r="W42" s="226">
        <f>I42+O42+U42</f>
        <v>2851.1400867577199</v>
      </c>
      <c r="X42" s="223">
        <f>J42+P42+V42</f>
        <v>179.47720284227944</v>
      </c>
      <c r="Y42" s="224">
        <f>W42+X42</f>
        <v>3030.6172895999994</v>
      </c>
      <c r="Z42" s="184">
        <f t="shared" si="10"/>
        <v>0</v>
      </c>
      <c r="AA42" s="149">
        <f t="shared" si="11"/>
        <v>0</v>
      </c>
      <c r="AB42" s="149">
        <f t="shared" si="11"/>
        <v>0</v>
      </c>
      <c r="AC42" s="149"/>
      <c r="AD42" s="149"/>
      <c r="AE42" s="149"/>
      <c r="AF42" s="149"/>
    </row>
    <row r="43" spans="1:32" ht="28.5" customHeight="1" x14ac:dyDescent="0.3">
      <c r="A43" s="202"/>
      <c r="B43" s="210" t="s">
        <v>285</v>
      </c>
      <c r="C43" s="87">
        <v>4</v>
      </c>
      <c r="D43" s="87" t="s">
        <v>286</v>
      </c>
      <c r="E43" s="87">
        <v>12</v>
      </c>
      <c r="F43" s="89">
        <v>1</v>
      </c>
      <c r="G43" s="223">
        <f>'[4]Completed Example Fair Share'!$D$59</f>
        <v>86.29</v>
      </c>
      <c r="H43" s="223">
        <f t="shared" si="20"/>
        <v>4141.92</v>
      </c>
      <c r="I43" s="223">
        <f>H43</f>
        <v>4141.92</v>
      </c>
      <c r="J43" s="224">
        <f>H43-I43</f>
        <v>0</v>
      </c>
      <c r="K43" s="166">
        <f>C43</f>
        <v>4</v>
      </c>
      <c r="L43" s="87">
        <f>E43</f>
        <v>12</v>
      </c>
      <c r="M43" s="223">
        <f>G43*$M$3</f>
        <v>118.1387761</v>
      </c>
      <c r="N43" s="223">
        <f>K43*M43*L43*F43</f>
        <v>5670.6612528000005</v>
      </c>
      <c r="O43" s="225">
        <f>I43*$O$3</f>
        <v>5384.0818079999999</v>
      </c>
      <c r="P43" s="224">
        <f t="shared" si="22"/>
        <v>286.5794448000006</v>
      </c>
      <c r="Q43" s="166">
        <f t="shared" si="25"/>
        <v>4</v>
      </c>
      <c r="R43" s="87">
        <f t="shared" si="25"/>
        <v>12</v>
      </c>
      <c r="S43" s="223">
        <f>M43</f>
        <v>118.1387761</v>
      </c>
      <c r="T43" s="223">
        <f>Q43*S43*R43*F43</f>
        <v>5670.6612528000005</v>
      </c>
      <c r="U43" s="225">
        <f>O43+(O43*$U$3)</f>
        <v>5137.9754285563195</v>
      </c>
      <c r="V43" s="224">
        <f>T43-U43</f>
        <v>532.68582424368105</v>
      </c>
      <c r="W43" s="226">
        <f t="shared" si="23"/>
        <v>14663.97723655632</v>
      </c>
      <c r="X43" s="223">
        <f t="shared" si="23"/>
        <v>819.26526904368166</v>
      </c>
      <c r="Y43" s="224">
        <f t="shared" si="24"/>
        <v>15483.242505600003</v>
      </c>
      <c r="Z43" s="184">
        <f t="shared" si="10"/>
        <v>0</v>
      </c>
      <c r="AA43" s="149">
        <f t="shared" si="11"/>
        <v>0</v>
      </c>
      <c r="AB43" s="149">
        <f t="shared" si="11"/>
        <v>0</v>
      </c>
      <c r="AC43" s="149"/>
      <c r="AD43" s="149"/>
      <c r="AE43" s="149"/>
      <c r="AF43" s="149"/>
    </row>
    <row r="44" spans="1:32" s="92" customFormat="1" ht="13.2" x14ac:dyDescent="0.3">
      <c r="A44" s="153"/>
      <c r="B44" s="211" t="s">
        <v>287</v>
      </c>
      <c r="C44" s="84"/>
      <c r="D44" s="84"/>
      <c r="E44" s="113"/>
      <c r="F44" s="94"/>
      <c r="G44" s="113"/>
      <c r="H44" s="95">
        <f t="shared" ref="H44:Y44" si="26">SUM(H36:H43)</f>
        <v>23871.301538461543</v>
      </c>
      <c r="I44" s="95">
        <f t="shared" si="26"/>
        <v>23634.18153846154</v>
      </c>
      <c r="J44" s="169">
        <f t="shared" si="26"/>
        <v>237.11999999999989</v>
      </c>
      <c r="K44" s="175"/>
      <c r="L44" s="95"/>
      <c r="M44" s="95">
        <f t="shared" si="26"/>
        <v>2642.3152536153852</v>
      </c>
      <c r="N44" s="95">
        <f t="shared" si="26"/>
        <v>25813.278982984615</v>
      </c>
      <c r="O44" s="95">
        <f t="shared" si="26"/>
        <v>25087.440763384613</v>
      </c>
      <c r="P44" s="169">
        <f t="shared" si="26"/>
        <v>725.83821960000046</v>
      </c>
      <c r="Q44" s="175"/>
      <c r="R44" s="95"/>
      <c r="S44" s="95">
        <f t="shared" si="26"/>
        <v>13174.096272846155</v>
      </c>
      <c r="T44" s="95">
        <f t="shared" si="26"/>
        <v>37107.151213753852</v>
      </c>
      <c r="U44" s="95">
        <f t="shared" si="26"/>
        <v>36036.774045228769</v>
      </c>
      <c r="V44" s="169">
        <f t="shared" si="26"/>
        <v>1070.3771685250808</v>
      </c>
      <c r="W44" s="175">
        <f t="shared" si="26"/>
        <v>84758.39634707493</v>
      </c>
      <c r="X44" s="95">
        <f t="shared" si="26"/>
        <v>2033.3353881250812</v>
      </c>
      <c r="Y44" s="169">
        <f t="shared" si="26"/>
        <v>86791.73173520001</v>
      </c>
      <c r="Z44" s="184">
        <f t="shared" si="10"/>
        <v>0</v>
      </c>
      <c r="AA44" s="149">
        <f t="shared" si="11"/>
        <v>0</v>
      </c>
      <c r="AB44" s="149">
        <f t="shared" si="11"/>
        <v>0</v>
      </c>
      <c r="AC44" s="230"/>
      <c r="AD44" s="232"/>
      <c r="AE44" s="230"/>
      <c r="AF44" s="149"/>
    </row>
    <row r="45" spans="1:32" x14ac:dyDescent="0.25">
      <c r="A45" s="203"/>
      <c r="B45" s="216" t="s">
        <v>218</v>
      </c>
      <c r="C45" s="116"/>
      <c r="D45" s="116"/>
      <c r="E45" s="116"/>
      <c r="F45" s="117"/>
      <c r="G45" s="116"/>
      <c r="H45" s="118">
        <f>H12+H19+H26+H30+H34+H44</f>
        <v>243345.80110308348</v>
      </c>
      <c r="I45" s="118">
        <f>I12+I19+I26+I30+I34+I44</f>
        <v>204375.5387434538</v>
      </c>
      <c r="J45" s="178">
        <f>J12+J19+J26+J30+J34+J44</f>
        <v>38970.26235962964</v>
      </c>
      <c r="K45" s="177"/>
      <c r="L45" s="116"/>
      <c r="M45" s="116"/>
      <c r="N45" s="118">
        <f>N12+N19+N26+N30+N34+N44</f>
        <v>255236.71310236474</v>
      </c>
      <c r="O45" s="118">
        <f>O12+O19+O26+O30+O34+O44</f>
        <v>201944.72456201049</v>
      </c>
      <c r="P45" s="178">
        <f>P12+P19+P26+P30+P34+P44</f>
        <v>53291.988540354258</v>
      </c>
      <c r="Q45" s="177"/>
      <c r="R45" s="116"/>
      <c r="S45" s="116"/>
      <c r="T45" s="118">
        <f t="shared" ref="T45:Y45" si="27">T12+T19+T26+T30+T34+T44</f>
        <v>262243.53353743051</v>
      </c>
      <c r="U45" s="118">
        <f t="shared" si="27"/>
        <v>216855.03415355453</v>
      </c>
      <c r="V45" s="178">
        <f t="shared" si="27"/>
        <v>45388.499383875904</v>
      </c>
      <c r="W45" s="190">
        <f t="shared" si="27"/>
        <v>623175.29745901877</v>
      </c>
      <c r="X45" s="118">
        <f t="shared" si="27"/>
        <v>137650.75028385982</v>
      </c>
      <c r="Y45" s="178">
        <f t="shared" si="27"/>
        <v>760826.04774287867</v>
      </c>
      <c r="Z45" s="184">
        <f t="shared" si="10"/>
        <v>0</v>
      </c>
      <c r="AA45" s="149">
        <f t="shared" si="11"/>
        <v>0</v>
      </c>
      <c r="AB45" s="149">
        <f t="shared" si="11"/>
        <v>0</v>
      </c>
      <c r="AC45" s="230"/>
      <c r="AD45" s="234"/>
    </row>
    <row r="46" spans="1:32" x14ac:dyDescent="0.25">
      <c r="A46" s="204"/>
      <c r="B46" s="208" t="s">
        <v>288</v>
      </c>
      <c r="C46" s="77"/>
      <c r="D46" s="77"/>
      <c r="E46" s="77"/>
      <c r="F46" s="119"/>
      <c r="G46" s="77"/>
      <c r="H46" s="118">
        <v>0</v>
      </c>
      <c r="I46" s="118">
        <v>0</v>
      </c>
      <c r="J46" s="178">
        <v>0</v>
      </c>
      <c r="K46" s="179"/>
      <c r="L46" s="77"/>
      <c r="M46" s="77"/>
      <c r="N46" s="118">
        <v>0</v>
      </c>
      <c r="O46" s="118">
        <v>0</v>
      </c>
      <c r="P46" s="178">
        <v>0</v>
      </c>
      <c r="Q46" s="179"/>
      <c r="R46" s="77"/>
      <c r="S46" s="77"/>
      <c r="T46" s="118">
        <v>0</v>
      </c>
      <c r="U46" s="118">
        <v>0</v>
      </c>
      <c r="V46" s="178">
        <v>0</v>
      </c>
      <c r="W46" s="190">
        <v>0</v>
      </c>
      <c r="X46" s="118">
        <v>0</v>
      </c>
      <c r="Y46" s="178">
        <v>0</v>
      </c>
      <c r="Z46" s="184">
        <f t="shared" si="10"/>
        <v>0</v>
      </c>
      <c r="AA46" s="149">
        <f t="shared" si="11"/>
        <v>0</v>
      </c>
      <c r="AB46" s="149">
        <f t="shared" si="11"/>
        <v>0</v>
      </c>
    </row>
    <row r="47" spans="1:32" x14ac:dyDescent="0.25">
      <c r="A47" s="204"/>
      <c r="B47" s="208" t="s">
        <v>289</v>
      </c>
      <c r="C47" s="77"/>
      <c r="D47" s="77"/>
      <c r="E47" s="77"/>
      <c r="F47" s="119"/>
      <c r="G47" s="77"/>
      <c r="H47" s="118">
        <f>H45-H46</f>
        <v>243345.80110308348</v>
      </c>
      <c r="I47" s="118">
        <f>I45-I46</f>
        <v>204375.5387434538</v>
      </c>
      <c r="J47" s="178">
        <f>J45-J46</f>
        <v>38970.26235962964</v>
      </c>
      <c r="K47" s="179"/>
      <c r="L47" s="77"/>
      <c r="M47" s="77"/>
      <c r="N47" s="118">
        <f>N45-N46</f>
        <v>255236.71310236474</v>
      </c>
      <c r="O47" s="118">
        <f>O45-O46</f>
        <v>201944.72456201049</v>
      </c>
      <c r="P47" s="178">
        <f>P45-P46</f>
        <v>53291.988540354258</v>
      </c>
      <c r="Q47" s="179"/>
      <c r="R47" s="77"/>
      <c r="S47" s="77"/>
      <c r="T47" s="118">
        <f t="shared" ref="T47:Y47" si="28">T45-T46</f>
        <v>262243.53353743051</v>
      </c>
      <c r="U47" s="118">
        <f t="shared" si="28"/>
        <v>216855.03415355453</v>
      </c>
      <c r="V47" s="178">
        <f t="shared" si="28"/>
        <v>45388.499383875904</v>
      </c>
      <c r="W47" s="190">
        <f t="shared" si="28"/>
        <v>623175.29745901877</v>
      </c>
      <c r="X47" s="118">
        <f t="shared" si="28"/>
        <v>137650.75028385982</v>
      </c>
      <c r="Y47" s="178">
        <f t="shared" si="28"/>
        <v>760826.04774287867</v>
      </c>
      <c r="Z47" s="184">
        <f t="shared" si="10"/>
        <v>0</v>
      </c>
      <c r="AA47" s="149">
        <f t="shared" si="11"/>
        <v>0</v>
      </c>
      <c r="AB47" s="149">
        <f t="shared" si="11"/>
        <v>0</v>
      </c>
    </row>
    <row r="48" spans="1:32" x14ac:dyDescent="0.25">
      <c r="A48" s="204" t="s">
        <v>290</v>
      </c>
      <c r="B48" s="208" t="s">
        <v>346</v>
      </c>
      <c r="C48" s="77"/>
      <c r="D48" s="221">
        <v>0.17879999999999999</v>
      </c>
      <c r="E48" s="77"/>
      <c r="F48" s="119"/>
      <c r="G48" s="77"/>
      <c r="H48" s="118">
        <f>H47*17.88/100</f>
        <v>43510.229237231324</v>
      </c>
      <c r="I48" s="118">
        <f>I47*17.88/100</f>
        <v>36542.346327329542</v>
      </c>
      <c r="J48" s="178">
        <f>J47*17.88/100</f>
        <v>6967.8829099017785</v>
      </c>
      <c r="K48" s="179"/>
      <c r="L48" s="77"/>
      <c r="M48" s="77"/>
      <c r="N48" s="118">
        <f>N47*17.88/100</f>
        <v>45636.324302702815</v>
      </c>
      <c r="O48" s="118">
        <f>O47*17.88/100</f>
        <v>36107.716751687476</v>
      </c>
      <c r="P48" s="118">
        <f>P47*17.88/100</f>
        <v>9528.6075510153405</v>
      </c>
      <c r="Q48" s="179"/>
      <c r="R48" s="77"/>
      <c r="S48" s="77"/>
      <c r="T48" s="118">
        <f>T47*17.88/100</f>
        <v>46889.143796492572</v>
      </c>
      <c r="U48" s="118">
        <f>U47*17.88/100</f>
        <v>38773.680106655549</v>
      </c>
      <c r="V48" s="118">
        <f>V47*17.88/100</f>
        <v>8115.4636898370109</v>
      </c>
      <c r="W48" s="190">
        <f>I48+O48+U48</f>
        <v>111423.74318567256</v>
      </c>
      <c r="X48" s="118">
        <f>J48+P48+V48</f>
        <v>24611.954150754133</v>
      </c>
      <c r="Y48" s="178">
        <f>W48+X48</f>
        <v>136035.6973364267</v>
      </c>
      <c r="Z48" s="184">
        <f t="shared" si="10"/>
        <v>0</v>
      </c>
      <c r="AA48" s="149">
        <f t="shared" si="11"/>
        <v>0</v>
      </c>
      <c r="AB48" s="149">
        <f t="shared" si="11"/>
        <v>0</v>
      </c>
    </row>
    <row r="49" spans="1:28" ht="12.6" thickBot="1" x14ac:dyDescent="0.3">
      <c r="A49" s="204"/>
      <c r="B49" s="217" t="s">
        <v>292</v>
      </c>
      <c r="C49" s="181"/>
      <c r="D49" s="181"/>
      <c r="E49" s="181"/>
      <c r="F49" s="218"/>
      <c r="G49" s="181"/>
      <c r="H49" s="182">
        <f>H48+H45</f>
        <v>286856.03034031478</v>
      </c>
      <c r="I49" s="182">
        <f>I48+I45</f>
        <v>240917.88507078335</v>
      </c>
      <c r="J49" s="183">
        <f>J48+J45</f>
        <v>45938.145269531422</v>
      </c>
      <c r="K49" s="180"/>
      <c r="L49" s="181"/>
      <c r="M49" s="181"/>
      <c r="N49" s="182">
        <f>N48+N45</f>
        <v>300873.03740506753</v>
      </c>
      <c r="O49" s="182">
        <f>O48+O45</f>
        <v>238052.44131369796</v>
      </c>
      <c r="P49" s="183">
        <f>P48+P45</f>
        <v>62820.596091369596</v>
      </c>
      <c r="Q49" s="180"/>
      <c r="R49" s="181"/>
      <c r="S49" s="181"/>
      <c r="T49" s="182">
        <f t="shared" ref="T49:Y49" si="29">T48+T45</f>
        <v>309132.67733392306</v>
      </c>
      <c r="U49" s="182">
        <f t="shared" si="29"/>
        <v>255628.71426021008</v>
      </c>
      <c r="V49" s="183">
        <f t="shared" si="29"/>
        <v>53503.963073712912</v>
      </c>
      <c r="W49" s="191">
        <f t="shared" si="29"/>
        <v>734599.04064469133</v>
      </c>
      <c r="X49" s="182">
        <f t="shared" si="29"/>
        <v>162262.70443461396</v>
      </c>
      <c r="Y49" s="183">
        <f t="shared" si="29"/>
        <v>896861.74507930537</v>
      </c>
      <c r="Z49" s="184">
        <f t="shared" si="10"/>
        <v>0</v>
      </c>
      <c r="AA49" s="149">
        <f t="shared" si="11"/>
        <v>0</v>
      </c>
      <c r="AB49" s="149">
        <f t="shared" si="11"/>
        <v>0</v>
      </c>
    </row>
    <row r="50" spans="1:28" x14ac:dyDescent="0.25">
      <c r="B50" s="205"/>
      <c r="C50" s="157"/>
      <c r="D50" s="157"/>
      <c r="E50" s="158"/>
      <c r="F50" s="206"/>
      <c r="G50" s="158"/>
      <c r="H50" s="159"/>
      <c r="I50" s="222"/>
      <c r="J50" s="222"/>
      <c r="K50" s="157"/>
      <c r="L50" s="157"/>
      <c r="M50" s="158"/>
      <c r="N50" s="159"/>
      <c r="O50" s="159"/>
      <c r="P50" s="159"/>
      <c r="Q50" s="157"/>
      <c r="R50" s="157"/>
      <c r="S50" s="158"/>
      <c r="T50" s="159"/>
      <c r="U50" s="159"/>
      <c r="V50" s="159"/>
      <c r="W50" s="159"/>
      <c r="X50" s="159"/>
      <c r="Y50" s="159"/>
    </row>
    <row r="51" spans="1:28" hidden="1" x14ac:dyDescent="0.25">
      <c r="H51" s="85"/>
      <c r="I51" s="197"/>
      <c r="J51" s="85"/>
      <c r="N51" s="85"/>
      <c r="O51" s="197"/>
      <c r="P51" s="85"/>
      <c r="T51" s="85"/>
      <c r="U51" s="197"/>
      <c r="V51" s="85"/>
      <c r="W51" s="85"/>
      <c r="X51" s="85"/>
      <c r="Y51" s="85"/>
      <c r="Z51" s="184"/>
      <c r="AA51" s="149"/>
      <c r="AB51" s="149"/>
    </row>
    <row r="52" spans="1:28" hidden="1" x14ac:dyDescent="0.25">
      <c r="F52" s="123"/>
      <c r="H52" s="85"/>
      <c r="I52" s="198"/>
      <c r="J52" s="85"/>
      <c r="K52" s="85"/>
      <c r="L52" s="85"/>
      <c r="N52" s="85"/>
      <c r="O52" s="198"/>
      <c r="P52" s="85"/>
      <c r="Q52" s="85"/>
      <c r="R52" s="85"/>
      <c r="T52" s="85"/>
      <c r="U52" s="198"/>
      <c r="V52" s="85"/>
      <c r="W52" s="85"/>
      <c r="X52" s="85"/>
      <c r="Y52" s="85"/>
      <c r="Z52" s="184"/>
      <c r="AA52" s="149"/>
      <c r="AB52" s="149"/>
    </row>
    <row r="53" spans="1:28" hidden="1" x14ac:dyDescent="0.25"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</row>
    <row r="54" spans="1:28" hidden="1" x14ac:dyDescent="0.25">
      <c r="H54" s="85"/>
      <c r="N54" s="85"/>
      <c r="T54" s="85"/>
    </row>
    <row r="55" spans="1:28" hidden="1" x14ac:dyDescent="0.25">
      <c r="H55" s="85"/>
      <c r="N55" s="85"/>
      <c r="T55" s="85"/>
    </row>
    <row r="56" spans="1:28" hidden="1" x14ac:dyDescent="0.25">
      <c r="H56" s="85"/>
      <c r="N56" s="85"/>
      <c r="O56" s="85"/>
      <c r="P56" s="85"/>
      <c r="T56" s="85"/>
      <c r="U56" s="85"/>
      <c r="V56" s="85"/>
      <c r="X56" s="122"/>
    </row>
    <row r="57" spans="1:28" hidden="1" x14ac:dyDescent="0.25">
      <c r="H57" s="85"/>
      <c r="N57" s="85"/>
      <c r="O57" s="85"/>
      <c r="T57" s="85"/>
      <c r="U57" s="85"/>
      <c r="X57" s="120"/>
    </row>
    <row r="58" spans="1:28" hidden="1" x14ac:dyDescent="0.25">
      <c r="H58" s="85"/>
      <c r="N58" s="219"/>
      <c r="O58" s="219"/>
      <c r="T58" s="219"/>
      <c r="U58" s="219"/>
      <c r="Y58" s="149"/>
    </row>
    <row r="59" spans="1:28" hidden="1" x14ac:dyDescent="0.25">
      <c r="H59" s="85"/>
      <c r="N59" s="85"/>
      <c r="T59" s="85"/>
    </row>
    <row r="60" spans="1:28" hidden="1" x14ac:dyDescent="0.25">
      <c r="N60" s="85"/>
      <c r="AA60" s="199"/>
    </row>
    <row r="61" spans="1:28" hidden="1" x14ac:dyDescent="0.25"/>
    <row r="62" spans="1:28" hidden="1" x14ac:dyDescent="0.25"/>
    <row r="63" spans="1:28" hidden="1" x14ac:dyDescent="0.25"/>
    <row r="64" spans="1:28" hidden="1" x14ac:dyDescent="0.25">
      <c r="H64" s="85"/>
    </row>
    <row r="65" spans="2:26" hidden="1" x14ac:dyDescent="0.25">
      <c r="H65" s="120"/>
      <c r="N65" s="120"/>
      <c r="T65" s="120"/>
    </row>
    <row r="66" spans="2:26" hidden="1" x14ac:dyDescent="0.25">
      <c r="H66" s="85"/>
    </row>
    <row r="67" spans="2:26" x14ac:dyDescent="0.25">
      <c r="H67" s="149"/>
      <c r="I67" s="149"/>
      <c r="J67" s="149"/>
      <c r="N67" s="149"/>
      <c r="O67" s="149"/>
      <c r="P67" s="149"/>
      <c r="T67" s="149"/>
      <c r="U67" s="149"/>
      <c r="V67" s="149"/>
      <c r="W67" s="149"/>
      <c r="X67" s="149"/>
      <c r="Y67" s="149"/>
    </row>
    <row r="69" spans="2:26" x14ac:dyDescent="0.25">
      <c r="H69" s="120"/>
      <c r="N69" s="120"/>
      <c r="T69" s="120"/>
      <c r="Y69" s="120"/>
      <c r="Z69" s="122"/>
    </row>
    <row r="70" spans="2:26" x14ac:dyDescent="0.25">
      <c r="H70" s="120"/>
      <c r="I70" s="149">
        <f>I47-I34</f>
        <v>79084.769512684565</v>
      </c>
      <c r="N70" s="120"/>
      <c r="T70" s="120"/>
      <c r="Y70" s="125"/>
    </row>
    <row r="71" spans="2:26" x14ac:dyDescent="0.25">
      <c r="H71" s="120"/>
      <c r="N71" s="120"/>
      <c r="T71" s="120"/>
      <c r="Y71" s="120"/>
      <c r="Z71" s="120"/>
    </row>
    <row r="72" spans="2:26" x14ac:dyDescent="0.25">
      <c r="H72" s="120"/>
      <c r="N72" s="120"/>
      <c r="T72" s="120"/>
      <c r="Y72" s="120"/>
    </row>
    <row r="73" spans="2:26" x14ac:dyDescent="0.25">
      <c r="H73" s="120"/>
      <c r="N73" s="120"/>
      <c r="T73" s="120"/>
      <c r="U73" s="120"/>
      <c r="Y73" s="120"/>
    </row>
    <row r="74" spans="2:26" s="92" customFormat="1" ht="11.4" x14ac:dyDescent="0.2">
      <c r="B74" s="126"/>
      <c r="E74" s="113"/>
      <c r="F74" s="94"/>
      <c r="G74" s="113"/>
      <c r="H74" s="127"/>
      <c r="M74" s="113"/>
      <c r="N74" s="127"/>
      <c r="S74" s="113"/>
      <c r="T74" s="127"/>
      <c r="U74" s="127"/>
      <c r="Y74" s="127"/>
    </row>
    <row r="75" spans="2:26" x14ac:dyDescent="0.25">
      <c r="H75" s="120"/>
      <c r="N75" s="128"/>
      <c r="T75" s="128"/>
      <c r="Y75" s="128"/>
    </row>
    <row r="76" spans="2:26" x14ac:dyDescent="0.25">
      <c r="H76" s="129"/>
      <c r="N76" s="129"/>
      <c r="T76" s="129"/>
      <c r="Y76" s="129"/>
    </row>
    <row r="77" spans="2:26" x14ac:dyDescent="0.25">
      <c r="H77" s="129"/>
    </row>
    <row r="78" spans="2:26" x14ac:dyDescent="0.25">
      <c r="H78" s="120"/>
    </row>
    <row r="80" spans="2:26" x14ac:dyDescent="0.25">
      <c r="H80" s="120"/>
      <c r="N80" s="120"/>
      <c r="T80" s="120"/>
      <c r="Y80" s="120"/>
    </row>
    <row r="81" spans="8:20" x14ac:dyDescent="0.25">
      <c r="H81" s="120"/>
      <c r="N81" s="120"/>
      <c r="T81" s="120"/>
    </row>
    <row r="82" spans="8:20" x14ac:dyDescent="0.25">
      <c r="H82" s="120"/>
      <c r="N82" s="120"/>
      <c r="T82" s="120"/>
    </row>
    <row r="83" spans="8:20" x14ac:dyDescent="0.25">
      <c r="H83" s="120"/>
      <c r="N83" s="120"/>
      <c r="T83" s="120"/>
    </row>
    <row r="84" spans="8:20" x14ac:dyDescent="0.25">
      <c r="H84" s="120"/>
      <c r="N84" s="120"/>
      <c r="T84" s="120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4" workbookViewId="0">
      <selection activeCell="F4" sqref="F4"/>
    </sheetView>
  </sheetViews>
  <sheetFormatPr defaultRowHeight="13.2" x14ac:dyDescent="0.25"/>
  <sheetData/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91"/>
  <sheetViews>
    <sheetView topLeftCell="B1" zoomScale="90" zoomScaleNormal="90" zoomScaleSheetLayoutView="100" workbookViewId="0">
      <pane ySplit="2" topLeftCell="A9" activePane="bottomLeft" state="frozen"/>
      <selection activeCell="B1" sqref="B1"/>
      <selection pane="bottomLeft" activeCell="B14" sqref="B14:Y21"/>
    </sheetView>
  </sheetViews>
  <sheetFormatPr defaultColWidth="9.109375" defaultRowHeight="12" x14ac:dyDescent="0.25"/>
  <cols>
    <col min="1" max="1" width="9.33203125" style="74" hidden="1" customWidth="1"/>
    <col min="2" max="2" width="38.44140625" style="121" customWidth="1"/>
    <col min="3" max="3" width="4.44140625" style="74" hidden="1" customWidth="1"/>
    <col min="4" max="4" width="10.33203125" style="74" hidden="1" customWidth="1"/>
    <col min="5" max="5" width="5.88671875" style="85" hidden="1" customWidth="1"/>
    <col min="6" max="6" width="5.44140625" style="86" hidden="1" customWidth="1"/>
    <col min="7" max="7" width="9" style="85" hidden="1" customWidth="1"/>
    <col min="8" max="8" width="8.33203125" style="74" hidden="1" customWidth="1"/>
    <col min="9" max="9" width="9.88671875" style="74" hidden="1" customWidth="1"/>
    <col min="10" max="10" width="10" style="74" hidden="1" customWidth="1"/>
    <col min="11" max="12" width="5.33203125" style="74" hidden="1" customWidth="1"/>
    <col min="13" max="13" width="7.6640625" style="85" hidden="1" customWidth="1"/>
    <col min="14" max="14" width="8.109375" style="74" hidden="1" customWidth="1"/>
    <col min="15" max="15" width="7.88671875" style="74" hidden="1" customWidth="1"/>
    <col min="16" max="16" width="8.5546875" style="74" hidden="1" customWidth="1"/>
    <col min="17" max="18" width="5.33203125" style="74" hidden="1" customWidth="1"/>
    <col min="19" max="19" width="7" style="85" hidden="1" customWidth="1"/>
    <col min="20" max="20" width="9" style="74" hidden="1" customWidth="1"/>
    <col min="21" max="21" width="8.88671875" style="74" hidden="1" customWidth="1"/>
    <col min="22" max="22" width="7.88671875" style="74" hidden="1" customWidth="1"/>
    <col min="23" max="23" width="9.88671875" style="74" customWidth="1"/>
    <col min="24" max="24" width="11" style="74" customWidth="1"/>
    <col min="25" max="25" width="10.109375" style="74" customWidth="1"/>
    <col min="26" max="26" width="9.5546875" style="74" hidden="1" customWidth="1"/>
    <col min="27" max="27" width="3.109375" style="74" customWidth="1"/>
    <col min="28" max="28" width="2" style="74" customWidth="1"/>
    <col min="29" max="16384" width="9.109375" style="74"/>
  </cols>
  <sheetData>
    <row r="1" spans="1:32" ht="21" customHeight="1" x14ac:dyDescent="0.25">
      <c r="A1" s="200">
        <f>'Budget Summary'!B2</f>
        <v>2024</v>
      </c>
      <c r="B1" s="207"/>
      <c r="C1" s="577">
        <v>2017</v>
      </c>
      <c r="D1" s="578"/>
      <c r="E1" s="578"/>
      <c r="F1" s="578"/>
      <c r="G1" s="578"/>
      <c r="H1" s="578"/>
      <c r="I1" s="578"/>
      <c r="J1" s="579"/>
      <c r="K1" s="580">
        <v>2018</v>
      </c>
      <c r="L1" s="581"/>
      <c r="M1" s="581"/>
      <c r="N1" s="581"/>
      <c r="O1" s="581"/>
      <c r="P1" s="582"/>
      <c r="Q1" s="580">
        <v>2019</v>
      </c>
      <c r="R1" s="581"/>
      <c r="S1" s="581"/>
      <c r="T1" s="581"/>
      <c r="U1" s="581"/>
      <c r="V1" s="582"/>
      <c r="W1" s="580" t="s">
        <v>223</v>
      </c>
      <c r="X1" s="581"/>
      <c r="Y1" s="582"/>
      <c r="Z1" s="155"/>
    </row>
    <row r="2" spans="1:32" s="75" customFormat="1" ht="32.25" customHeight="1" x14ac:dyDescent="0.25">
      <c r="A2" s="152" t="s">
        <v>224</v>
      </c>
      <c r="B2" s="160" t="s">
        <v>225</v>
      </c>
      <c r="C2" s="75" t="s">
        <v>226</v>
      </c>
      <c r="D2" s="75" t="s">
        <v>227</v>
      </c>
      <c r="E2" s="75" t="s">
        <v>228</v>
      </c>
      <c r="F2" s="76" t="s">
        <v>229</v>
      </c>
      <c r="G2" s="75" t="s">
        <v>230</v>
      </c>
      <c r="H2" s="75" t="s">
        <v>130</v>
      </c>
      <c r="I2" s="75" t="s">
        <v>210</v>
      </c>
      <c r="J2" s="161" t="s">
        <v>341</v>
      </c>
      <c r="K2" s="160" t="s">
        <v>226</v>
      </c>
      <c r="L2" s="75" t="s">
        <v>232</v>
      </c>
      <c r="M2" s="75" t="s">
        <v>230</v>
      </c>
      <c r="N2" s="75" t="s">
        <v>130</v>
      </c>
      <c r="O2" s="75" t="s">
        <v>210</v>
      </c>
      <c r="P2" s="161" t="s">
        <v>341</v>
      </c>
      <c r="Q2" s="160" t="s">
        <v>226</v>
      </c>
      <c r="R2" s="75" t="s">
        <v>232</v>
      </c>
      <c r="S2" s="75" t="s">
        <v>230</v>
      </c>
      <c r="T2" s="75" t="s">
        <v>130</v>
      </c>
      <c r="U2" s="75" t="s">
        <v>210</v>
      </c>
      <c r="V2" s="161" t="s">
        <v>341</v>
      </c>
      <c r="W2" s="160" t="s">
        <v>210</v>
      </c>
      <c r="X2" s="75" t="s">
        <v>341</v>
      </c>
      <c r="Y2" s="161" t="s">
        <v>233</v>
      </c>
      <c r="Z2" s="154"/>
    </row>
    <row r="3" spans="1:32" s="77" customFormat="1" ht="11.4" x14ac:dyDescent="0.2">
      <c r="A3" s="201" t="s">
        <v>234</v>
      </c>
      <c r="B3" s="208" t="s">
        <v>212</v>
      </c>
      <c r="D3" s="78"/>
      <c r="E3" s="79"/>
      <c r="F3" s="80"/>
      <c r="G3" s="79">
        <v>65</v>
      </c>
      <c r="H3" s="81"/>
      <c r="I3" s="82">
        <v>0.85</v>
      </c>
      <c r="J3" s="163">
        <f>(100%-I3)</f>
        <v>0.15000000000000002</v>
      </c>
      <c r="K3" s="162"/>
      <c r="L3" s="83"/>
      <c r="M3" s="79">
        <v>1.3690899999999999</v>
      </c>
      <c r="N3" s="81"/>
      <c r="O3" s="81">
        <v>1.2999000000000001</v>
      </c>
      <c r="P3" s="163">
        <f>(100%-O3)</f>
        <v>-0.29990000000000006</v>
      </c>
      <c r="Q3" s="162"/>
      <c r="R3" s="83"/>
      <c r="S3" s="79">
        <v>1.3690899999999999</v>
      </c>
      <c r="T3" s="81"/>
      <c r="U3" s="81">
        <v>-4.5710000000000001E-2</v>
      </c>
      <c r="V3" s="163">
        <f>(100%-U3)</f>
        <v>1.0457099999999999</v>
      </c>
      <c r="W3" s="185"/>
      <c r="X3" s="82"/>
      <c r="Y3" s="186"/>
      <c r="Z3" s="156"/>
    </row>
    <row r="4" spans="1:32" x14ac:dyDescent="0.25">
      <c r="A4" s="153"/>
      <c r="B4" s="209" t="s">
        <v>235</v>
      </c>
      <c r="H4" s="85"/>
      <c r="I4" s="84"/>
      <c r="J4" s="165"/>
      <c r="K4" s="164"/>
      <c r="N4" s="85"/>
      <c r="O4" s="84"/>
      <c r="P4" s="220"/>
      <c r="Q4" s="164"/>
      <c r="T4" s="85"/>
      <c r="U4" s="84"/>
      <c r="V4" s="220"/>
      <c r="W4" s="173"/>
      <c r="X4" s="84"/>
      <c r="Y4" s="187"/>
      <c r="Z4" s="155"/>
    </row>
    <row r="5" spans="1:32" ht="13.2" x14ac:dyDescent="0.3">
      <c r="A5" s="202"/>
      <c r="B5" s="210" t="s">
        <v>236</v>
      </c>
      <c r="C5" s="88">
        <v>0.3</v>
      </c>
      <c r="D5" s="87" t="s">
        <v>237</v>
      </c>
      <c r="E5" s="87">
        <v>12</v>
      </c>
      <c r="F5" s="89">
        <v>1</v>
      </c>
      <c r="G5" s="90">
        <f>(1391532.0682/$G$3)/12</f>
        <v>1784.0154720512821</v>
      </c>
      <c r="H5" s="90">
        <f>C5*G5*E5</f>
        <v>6422.4556993846154</v>
      </c>
      <c r="I5" s="90">
        <f>H5</f>
        <v>6422.4556993846154</v>
      </c>
      <c r="J5" s="167">
        <f>H5-I5</f>
        <v>0</v>
      </c>
      <c r="K5" s="166">
        <f t="shared" ref="K5:K11" si="0">C5</f>
        <v>0.3</v>
      </c>
      <c r="L5" s="87">
        <f t="shared" ref="L5:L11" si="1">E5</f>
        <v>12</v>
      </c>
      <c r="M5" s="90">
        <f>G5*1.05</f>
        <v>1873.2162456538463</v>
      </c>
      <c r="N5" s="91">
        <f>K5*M5*L5</f>
        <v>6743.5784843538459</v>
      </c>
      <c r="O5" s="90">
        <f>N5</f>
        <v>6743.5784843538459</v>
      </c>
      <c r="P5" s="167">
        <f t="shared" ref="P5:P11" si="2">N5-O5</f>
        <v>0</v>
      </c>
      <c r="Q5" s="166">
        <f>K5</f>
        <v>0.3</v>
      </c>
      <c r="R5" s="87">
        <f>L5</f>
        <v>12</v>
      </c>
      <c r="S5" s="90">
        <f>M5*1.05</f>
        <v>1966.8770579365387</v>
      </c>
      <c r="T5" s="91">
        <f>Q5*S5*R5</f>
        <v>7080.7574085715387</v>
      </c>
      <c r="U5" s="90">
        <f>T5</f>
        <v>7080.7574085715387</v>
      </c>
      <c r="V5" s="167">
        <f t="shared" ref="V5:V11" si="3">T5-U5</f>
        <v>0</v>
      </c>
      <c r="W5" s="188">
        <f t="shared" ref="W5:X11" si="4">I5+O5+U5</f>
        <v>20246.791592310001</v>
      </c>
      <c r="X5" s="90">
        <f t="shared" si="4"/>
        <v>0</v>
      </c>
      <c r="Y5" s="167">
        <f t="shared" ref="Y5:Y11" si="5">W5+X5</f>
        <v>20246.791592310001</v>
      </c>
      <c r="Z5" s="184">
        <f>H5+N5+T5-Y5</f>
        <v>0</v>
      </c>
      <c r="AA5" s="149">
        <f>I5+O5+U5-W5</f>
        <v>0</v>
      </c>
      <c r="AB5" s="149">
        <f>J5+P5+V5-X5</f>
        <v>0</v>
      </c>
      <c r="AC5" s="149"/>
      <c r="AD5" s="149"/>
      <c r="AE5" s="149"/>
      <c r="AF5" s="149"/>
    </row>
    <row r="6" spans="1:32" ht="13.2" x14ac:dyDescent="0.3">
      <c r="A6" s="202"/>
      <c r="B6" s="210" t="s">
        <v>238</v>
      </c>
      <c r="C6" s="88">
        <v>0.8</v>
      </c>
      <c r="D6" s="87" t="s">
        <v>237</v>
      </c>
      <c r="E6" s="87">
        <v>12</v>
      </c>
      <c r="F6" s="89">
        <v>1</v>
      </c>
      <c r="G6" s="90">
        <f>(881322/$G$3)/12</f>
        <v>1129.8999999999999</v>
      </c>
      <c r="H6" s="90">
        <f t="shared" ref="H6:H11" si="6">C6*G6*E6</f>
        <v>10847.039999999999</v>
      </c>
      <c r="I6" s="90">
        <f>H6</f>
        <v>10847.039999999999</v>
      </c>
      <c r="J6" s="167">
        <v>0</v>
      </c>
      <c r="K6" s="166">
        <f t="shared" si="0"/>
        <v>0.8</v>
      </c>
      <c r="L6" s="87">
        <f t="shared" si="1"/>
        <v>12</v>
      </c>
      <c r="M6" s="90">
        <f>G6*1.05</f>
        <v>1186.395</v>
      </c>
      <c r="N6" s="91">
        <f t="shared" ref="N6:N11" si="7">K6*M6*L6</f>
        <v>11389.392</v>
      </c>
      <c r="O6" s="90">
        <f>N6</f>
        <v>11389.392</v>
      </c>
      <c r="P6" s="167">
        <v>0</v>
      </c>
      <c r="Q6" s="166">
        <f t="shared" ref="Q6:R11" si="8">K6</f>
        <v>0.8</v>
      </c>
      <c r="R6" s="87">
        <f t="shared" si="8"/>
        <v>12</v>
      </c>
      <c r="S6" s="90">
        <f>M6*1.05</f>
        <v>1245.7147500000001</v>
      </c>
      <c r="T6" s="91">
        <f t="shared" ref="T6:T11" si="9">Q6*S6*R6</f>
        <v>11958.861600000002</v>
      </c>
      <c r="U6" s="90">
        <f>T6</f>
        <v>11958.861600000002</v>
      </c>
      <c r="V6" s="167">
        <v>0</v>
      </c>
      <c r="W6" s="188">
        <f t="shared" si="4"/>
        <v>34195.293600000005</v>
      </c>
      <c r="X6" s="90">
        <f t="shared" si="4"/>
        <v>0</v>
      </c>
      <c r="Y6" s="167">
        <f t="shared" si="5"/>
        <v>34195.293600000005</v>
      </c>
      <c r="Z6" s="184">
        <f t="shared" ref="Z6:Z56" si="10">H6+N6+T6-Y6</f>
        <v>0</v>
      </c>
      <c r="AA6" s="149">
        <f t="shared" ref="AA6:AB56" si="11">I6+O6+U6-W6</f>
        <v>0</v>
      </c>
      <c r="AB6" s="149">
        <f t="shared" si="11"/>
        <v>0</v>
      </c>
      <c r="AC6" s="149"/>
      <c r="AD6" s="149"/>
      <c r="AE6" s="149"/>
      <c r="AF6" s="149"/>
    </row>
    <row r="7" spans="1:32" ht="13.2" x14ac:dyDescent="0.3">
      <c r="A7" s="202"/>
      <c r="B7" s="210" t="s">
        <v>239</v>
      </c>
      <c r="C7" s="88">
        <v>0.2</v>
      </c>
      <c r="D7" s="87" t="s">
        <v>237</v>
      </c>
      <c r="E7" s="87">
        <v>12</v>
      </c>
      <c r="F7" s="89">
        <v>1</v>
      </c>
      <c r="G7" s="90">
        <f>(583144.65/$G$3)/12</f>
        <v>747.62134615384628</v>
      </c>
      <c r="H7" s="90">
        <f t="shared" si="6"/>
        <v>1794.2912307692309</v>
      </c>
      <c r="I7" s="90">
        <f>H7</f>
        <v>1794.2912307692309</v>
      </c>
      <c r="J7" s="167">
        <f>H7-I7</f>
        <v>0</v>
      </c>
      <c r="K7" s="166">
        <f t="shared" si="0"/>
        <v>0.2</v>
      </c>
      <c r="L7" s="87">
        <f t="shared" si="1"/>
        <v>12</v>
      </c>
      <c r="M7" s="90">
        <f>G7*1.05</f>
        <v>785.00241346153859</v>
      </c>
      <c r="N7" s="91">
        <f t="shared" si="7"/>
        <v>1884.0057923076929</v>
      </c>
      <c r="O7" s="90">
        <f>N7</f>
        <v>1884.0057923076929</v>
      </c>
      <c r="P7" s="167">
        <f t="shared" si="2"/>
        <v>0</v>
      </c>
      <c r="Q7" s="166">
        <f t="shared" si="8"/>
        <v>0.2</v>
      </c>
      <c r="R7" s="87">
        <f t="shared" si="8"/>
        <v>12</v>
      </c>
      <c r="S7" s="90">
        <f>M7*1.05</f>
        <v>824.25253413461553</v>
      </c>
      <c r="T7" s="91">
        <f t="shared" si="9"/>
        <v>1978.2060819230774</v>
      </c>
      <c r="U7" s="90">
        <f>T7</f>
        <v>1978.2060819230774</v>
      </c>
      <c r="V7" s="167">
        <f t="shared" si="3"/>
        <v>0</v>
      </c>
      <c r="W7" s="188">
        <f t="shared" si="4"/>
        <v>5656.5031050000016</v>
      </c>
      <c r="X7" s="90">
        <f t="shared" si="4"/>
        <v>0</v>
      </c>
      <c r="Y7" s="167">
        <f t="shared" si="5"/>
        <v>5656.5031050000016</v>
      </c>
      <c r="Z7" s="184">
        <f t="shared" si="10"/>
        <v>0</v>
      </c>
      <c r="AA7" s="149">
        <f t="shared" si="11"/>
        <v>0</v>
      </c>
      <c r="AB7" s="149">
        <f t="shared" si="11"/>
        <v>0</v>
      </c>
      <c r="AC7" s="149"/>
      <c r="AD7" s="149"/>
      <c r="AE7" s="149"/>
      <c r="AF7" s="149"/>
    </row>
    <row r="8" spans="1:32" ht="13.2" x14ac:dyDescent="0.3">
      <c r="A8" s="202"/>
      <c r="B8" s="210" t="s">
        <v>240</v>
      </c>
      <c r="C8" s="88">
        <v>0.6</v>
      </c>
      <c r="D8" s="87" t="s">
        <v>237</v>
      </c>
      <c r="E8" s="87">
        <v>12</v>
      </c>
      <c r="F8" s="89">
        <v>1</v>
      </c>
      <c r="G8" s="90">
        <f>(1126756.3725/$G$3)/4/12</f>
        <v>361.13986298076924</v>
      </c>
      <c r="H8" s="90">
        <f t="shared" si="6"/>
        <v>2600.2070134615387</v>
      </c>
      <c r="I8" s="90">
        <f>H8</f>
        <v>2600.2070134615387</v>
      </c>
      <c r="J8" s="167">
        <f>H8-I8</f>
        <v>0</v>
      </c>
      <c r="K8" s="166">
        <f t="shared" si="0"/>
        <v>0.6</v>
      </c>
      <c r="L8" s="87">
        <f t="shared" si="1"/>
        <v>12</v>
      </c>
      <c r="M8" s="90">
        <f>G8*1.05</f>
        <v>379.19685612980771</v>
      </c>
      <c r="N8" s="91">
        <f t="shared" si="7"/>
        <v>2730.2173641346153</v>
      </c>
      <c r="O8" s="90">
        <f>N8</f>
        <v>2730.2173641346153</v>
      </c>
      <c r="P8" s="167">
        <f t="shared" si="2"/>
        <v>0</v>
      </c>
      <c r="Q8" s="166">
        <f t="shared" si="8"/>
        <v>0.6</v>
      </c>
      <c r="R8" s="87">
        <f t="shared" si="8"/>
        <v>12</v>
      </c>
      <c r="S8" s="90">
        <f>M8*1.05</f>
        <v>398.15669893629814</v>
      </c>
      <c r="T8" s="91">
        <f t="shared" si="9"/>
        <v>2866.7282323413465</v>
      </c>
      <c r="U8" s="90">
        <f>T8</f>
        <v>2866.7282323413465</v>
      </c>
      <c r="V8" s="167">
        <f t="shared" si="3"/>
        <v>0</v>
      </c>
      <c r="W8" s="188">
        <f t="shared" si="4"/>
        <v>8197.1526099375005</v>
      </c>
      <c r="X8" s="90">
        <f t="shared" si="4"/>
        <v>0</v>
      </c>
      <c r="Y8" s="167">
        <f t="shared" si="5"/>
        <v>8197.1526099375005</v>
      </c>
      <c r="Z8" s="184">
        <f t="shared" si="10"/>
        <v>0</v>
      </c>
      <c r="AA8" s="149">
        <f t="shared" si="11"/>
        <v>0</v>
      </c>
      <c r="AB8" s="149">
        <f t="shared" si="11"/>
        <v>0</v>
      </c>
      <c r="AC8" s="149"/>
      <c r="AD8" s="149"/>
      <c r="AE8" s="149"/>
      <c r="AF8" s="149"/>
    </row>
    <row r="9" spans="1:32" ht="13.2" x14ac:dyDescent="0.3">
      <c r="A9" s="202"/>
      <c r="B9" s="210" t="s">
        <v>342</v>
      </c>
      <c r="C9" s="88">
        <v>0.4</v>
      </c>
      <c r="D9" s="87" t="s">
        <v>237</v>
      </c>
      <c r="E9" s="87">
        <v>12</v>
      </c>
      <c r="F9" s="89">
        <v>1</v>
      </c>
      <c r="G9" s="90">
        <f>(856059.4813/$G$3)/12</f>
        <v>1097.5121555128205</v>
      </c>
      <c r="H9" s="90">
        <f t="shared" si="6"/>
        <v>5268.0583464615393</v>
      </c>
      <c r="I9" s="90">
        <f>H9</f>
        <v>5268.0583464615393</v>
      </c>
      <c r="J9" s="167">
        <f>H9-I9</f>
        <v>0</v>
      </c>
      <c r="K9" s="166">
        <f t="shared" si="0"/>
        <v>0.4</v>
      </c>
      <c r="L9" s="87">
        <f t="shared" si="1"/>
        <v>12</v>
      </c>
      <c r="M9" s="90">
        <f>G9*1.05</f>
        <v>1152.3877632884617</v>
      </c>
      <c r="N9" s="91">
        <f t="shared" si="7"/>
        <v>5531.4612637846167</v>
      </c>
      <c r="O9" s="90">
        <f>N9</f>
        <v>5531.4612637846167</v>
      </c>
      <c r="P9" s="167">
        <f t="shared" si="2"/>
        <v>0</v>
      </c>
      <c r="Q9" s="166">
        <f t="shared" si="8"/>
        <v>0.4</v>
      </c>
      <c r="R9" s="87">
        <f t="shared" si="8"/>
        <v>12</v>
      </c>
      <c r="S9" s="90">
        <f>M9*1.05</f>
        <v>1210.0071514528847</v>
      </c>
      <c r="T9" s="91">
        <f t="shared" si="9"/>
        <v>5808.0343269738469</v>
      </c>
      <c r="U9" s="90">
        <f>T9</f>
        <v>5808.0343269738469</v>
      </c>
      <c r="V9" s="167">
        <f t="shared" si="3"/>
        <v>0</v>
      </c>
      <c r="W9" s="188">
        <f t="shared" si="4"/>
        <v>16607.553937220004</v>
      </c>
      <c r="X9" s="90">
        <f t="shared" si="4"/>
        <v>0</v>
      </c>
      <c r="Y9" s="167">
        <f t="shared" si="5"/>
        <v>16607.553937220004</v>
      </c>
      <c r="Z9" s="184">
        <f t="shared" si="10"/>
        <v>0</v>
      </c>
      <c r="AA9" s="149">
        <f t="shared" si="11"/>
        <v>0</v>
      </c>
      <c r="AB9" s="149">
        <f t="shared" si="11"/>
        <v>0</v>
      </c>
      <c r="AC9" s="149"/>
      <c r="AD9" s="149"/>
      <c r="AE9" s="149"/>
      <c r="AF9" s="149"/>
    </row>
    <row r="10" spans="1:32" ht="13.2" x14ac:dyDescent="0.3">
      <c r="A10" s="202"/>
      <c r="B10" s="210" t="s">
        <v>244</v>
      </c>
      <c r="C10" s="123">
        <f>'[1]Completed Example Fair Share'!$C$8</f>
        <v>0.04</v>
      </c>
      <c r="D10" s="87" t="s">
        <v>237</v>
      </c>
      <c r="E10" s="87">
        <v>12</v>
      </c>
      <c r="F10" s="89">
        <v>1</v>
      </c>
      <c r="G10" s="223">
        <f>'[1]Completed Example Fair Share'!$D$8</f>
        <v>2986.75</v>
      </c>
      <c r="H10" s="223">
        <f t="shared" si="6"/>
        <v>1433.6399999999999</v>
      </c>
      <c r="I10" s="223">
        <f>'[2]Completed Example Fair Share'!$I$8</f>
        <v>1075.23</v>
      </c>
      <c r="J10" s="224">
        <f>H10-I10</f>
        <v>358.40999999999985</v>
      </c>
      <c r="K10" s="166">
        <f t="shared" si="0"/>
        <v>0.04</v>
      </c>
      <c r="L10" s="87">
        <f t="shared" si="1"/>
        <v>12</v>
      </c>
      <c r="M10" s="223">
        <f>G10*$M$3</f>
        <v>4089.1295574999999</v>
      </c>
      <c r="N10" s="225">
        <f t="shared" si="7"/>
        <v>1962.7821876</v>
      </c>
      <c r="O10" s="225">
        <f>I10*$O$3</f>
        <v>1397.6914770000001</v>
      </c>
      <c r="P10" s="224">
        <f t="shared" si="2"/>
        <v>565.09071059999997</v>
      </c>
      <c r="Q10" s="166">
        <f t="shared" si="8"/>
        <v>0.04</v>
      </c>
      <c r="R10" s="87">
        <f t="shared" si="8"/>
        <v>12</v>
      </c>
      <c r="S10" s="223">
        <f>M10</f>
        <v>4089.1295574999999</v>
      </c>
      <c r="T10" s="225">
        <f t="shared" si="9"/>
        <v>1962.7821876</v>
      </c>
      <c r="U10" s="225">
        <f>O10+(O10*$U$3)</f>
        <v>1333.8029995863301</v>
      </c>
      <c r="V10" s="224">
        <f t="shared" si="3"/>
        <v>628.97918801366995</v>
      </c>
      <c r="W10" s="226">
        <f t="shared" si="4"/>
        <v>3806.7244765863297</v>
      </c>
      <c r="X10" s="223">
        <f t="shared" si="4"/>
        <v>1552.4798986136698</v>
      </c>
      <c r="Y10" s="224">
        <f t="shared" si="5"/>
        <v>5359.204375199999</v>
      </c>
      <c r="Z10" s="184">
        <f t="shared" si="10"/>
        <v>0</v>
      </c>
      <c r="AA10" s="149">
        <f t="shared" si="11"/>
        <v>0</v>
      </c>
      <c r="AB10" s="149">
        <f t="shared" si="11"/>
        <v>0</v>
      </c>
      <c r="AC10" s="149"/>
      <c r="AD10" s="149"/>
      <c r="AE10" s="149"/>
      <c r="AF10" s="149"/>
    </row>
    <row r="11" spans="1:32" ht="13.2" x14ac:dyDescent="0.3">
      <c r="A11" s="202"/>
      <c r="B11" s="210" t="s">
        <v>245</v>
      </c>
      <c r="C11" s="227">
        <f>'[1]Completed Example Fair Share'!$C$12</f>
        <v>0.65</v>
      </c>
      <c r="D11" s="87" t="s">
        <v>237</v>
      </c>
      <c r="E11" s="87">
        <v>12</v>
      </c>
      <c r="F11" s="89">
        <v>1</v>
      </c>
      <c r="G11" s="223">
        <f>'[1]Completed Example Fair Share'!$D$12</f>
        <v>1461</v>
      </c>
      <c r="H11" s="223">
        <f t="shared" si="6"/>
        <v>11395.8</v>
      </c>
      <c r="I11" s="223">
        <f>'[2]Completed Example Fair Share'!$I$12</f>
        <v>8941.32</v>
      </c>
      <c r="J11" s="224">
        <f>H11-I11</f>
        <v>2454.4799999999996</v>
      </c>
      <c r="K11" s="228">
        <f t="shared" si="0"/>
        <v>0.65</v>
      </c>
      <c r="L11" s="87">
        <f t="shared" si="1"/>
        <v>12</v>
      </c>
      <c r="M11" s="223">
        <f>G11*$M$3</f>
        <v>2000.2404899999999</v>
      </c>
      <c r="N11" s="225">
        <f t="shared" si="7"/>
        <v>15601.875822</v>
      </c>
      <c r="O11" s="225">
        <f>I11*$O$3</f>
        <v>11622.821868000001</v>
      </c>
      <c r="P11" s="224">
        <f t="shared" si="2"/>
        <v>3979.0539539999991</v>
      </c>
      <c r="Q11" s="166">
        <f t="shared" si="8"/>
        <v>0.65</v>
      </c>
      <c r="R11" s="87">
        <f t="shared" si="8"/>
        <v>12</v>
      </c>
      <c r="S11" s="223">
        <f>M11</f>
        <v>2000.2404899999999</v>
      </c>
      <c r="T11" s="225">
        <f t="shared" si="9"/>
        <v>15601.875822</v>
      </c>
      <c r="U11" s="225">
        <f>O11+(O11*$U$3)</f>
        <v>11091.542680413721</v>
      </c>
      <c r="V11" s="224">
        <f t="shared" si="3"/>
        <v>4510.3331415862795</v>
      </c>
      <c r="W11" s="226">
        <f t="shared" si="4"/>
        <v>31655.684548413719</v>
      </c>
      <c r="X11" s="223">
        <f t="shared" si="4"/>
        <v>10943.867095586278</v>
      </c>
      <c r="Y11" s="224">
        <f t="shared" si="5"/>
        <v>42599.551643999999</v>
      </c>
      <c r="Z11" s="184">
        <f t="shared" si="10"/>
        <v>0</v>
      </c>
      <c r="AA11" s="149">
        <f t="shared" si="11"/>
        <v>0</v>
      </c>
      <c r="AB11" s="149">
        <f t="shared" si="11"/>
        <v>0</v>
      </c>
      <c r="AC11" s="149"/>
      <c r="AD11" s="149"/>
      <c r="AE11" s="149"/>
      <c r="AF11" s="149"/>
    </row>
    <row r="12" spans="1:32" s="92" customFormat="1" ht="13.2" x14ac:dyDescent="0.3">
      <c r="A12" s="153"/>
      <c r="B12" s="211" t="s">
        <v>246</v>
      </c>
      <c r="E12" s="93"/>
      <c r="F12" s="94"/>
      <c r="G12" s="93"/>
      <c r="H12" s="95">
        <f>SUM(H5:H11)</f>
        <v>39761.492290076916</v>
      </c>
      <c r="I12" s="95">
        <f>SUM(I5:I11)</f>
        <v>36948.602290076917</v>
      </c>
      <c r="J12" s="169">
        <f>SUM(J5:J11)</f>
        <v>2812.8899999999994</v>
      </c>
      <c r="K12" s="168"/>
      <c r="M12" s="93"/>
      <c r="N12" s="95">
        <f>SUM(N5:N11)</f>
        <v>45843.312914180773</v>
      </c>
      <c r="O12" s="95">
        <f>SUM(O5:O11)</f>
        <v>41299.168249580769</v>
      </c>
      <c r="P12" s="169">
        <f>SUM(P5:P11)</f>
        <v>4544.1446645999986</v>
      </c>
      <c r="Q12" s="168"/>
      <c r="S12" s="93"/>
      <c r="T12" s="95">
        <f t="shared" ref="T12:Y12" si="12">SUM(T5:T11)</f>
        <v>47257.245659409811</v>
      </c>
      <c r="U12" s="95">
        <f t="shared" si="12"/>
        <v>42117.933329809865</v>
      </c>
      <c r="V12" s="169">
        <f t="shared" si="12"/>
        <v>5139.3123295999494</v>
      </c>
      <c r="W12" s="175">
        <f t="shared" si="12"/>
        <v>120365.70386946756</v>
      </c>
      <c r="X12" s="95">
        <f t="shared" si="12"/>
        <v>12496.346994199948</v>
      </c>
      <c r="Y12" s="169">
        <f t="shared" si="12"/>
        <v>132862.05086366751</v>
      </c>
      <c r="Z12" s="184">
        <f t="shared" si="10"/>
        <v>0</v>
      </c>
      <c r="AA12" s="149">
        <f t="shared" si="11"/>
        <v>0</v>
      </c>
      <c r="AB12" s="149">
        <f t="shared" si="11"/>
        <v>0</v>
      </c>
      <c r="AC12" s="230"/>
      <c r="AD12" s="230"/>
      <c r="AE12" s="230"/>
      <c r="AF12" s="149"/>
    </row>
    <row r="13" spans="1:32" x14ac:dyDescent="0.25">
      <c r="A13" s="153" t="s">
        <v>247</v>
      </c>
      <c r="B13" s="212" t="s">
        <v>213</v>
      </c>
      <c r="C13" s="96"/>
      <c r="D13" s="96"/>
      <c r="E13" s="97"/>
      <c r="F13" s="98"/>
      <c r="G13" s="97"/>
      <c r="H13" s="97"/>
      <c r="I13" s="99"/>
      <c r="J13" s="171"/>
      <c r="K13" s="170"/>
      <c r="L13" s="96"/>
      <c r="M13" s="97"/>
      <c r="N13" s="97"/>
      <c r="O13" s="99"/>
      <c r="P13" s="171"/>
      <c r="Q13" s="170"/>
      <c r="R13" s="96"/>
      <c r="S13" s="97"/>
      <c r="T13" s="97"/>
      <c r="U13" s="99"/>
      <c r="V13" s="171"/>
      <c r="W13" s="172"/>
      <c r="X13" s="99"/>
      <c r="Y13" s="189"/>
      <c r="Z13" s="184">
        <f t="shared" si="10"/>
        <v>0</v>
      </c>
      <c r="AA13" s="149">
        <f t="shared" si="11"/>
        <v>0</v>
      </c>
      <c r="AB13" s="149">
        <f t="shared" si="11"/>
        <v>0</v>
      </c>
    </row>
    <row r="14" spans="1:32" ht="13.2" x14ac:dyDescent="0.3">
      <c r="A14" s="153"/>
      <c r="B14" s="126" t="s">
        <v>248</v>
      </c>
      <c r="C14" s="88"/>
      <c r="D14" s="87"/>
      <c r="E14" s="87"/>
      <c r="G14" s="91"/>
      <c r="H14" s="91"/>
      <c r="I14" s="90"/>
      <c r="J14" s="90"/>
      <c r="K14" s="87"/>
      <c r="L14" s="87"/>
      <c r="M14" s="90"/>
      <c r="N14" s="91"/>
      <c r="O14" s="90"/>
      <c r="P14" s="90"/>
      <c r="Q14" s="87"/>
      <c r="R14" s="87"/>
      <c r="S14" s="90"/>
      <c r="T14" s="91"/>
      <c r="U14" s="90"/>
      <c r="V14" s="90"/>
      <c r="W14" s="75" t="s">
        <v>210</v>
      </c>
      <c r="X14" s="75" t="s">
        <v>341</v>
      </c>
      <c r="Y14" s="75" t="s">
        <v>130</v>
      </c>
      <c r="Z14" s="184"/>
      <c r="AA14" s="149"/>
      <c r="AB14" s="149"/>
      <c r="AC14" s="149"/>
      <c r="AD14" s="149"/>
      <c r="AE14" s="149"/>
      <c r="AF14" s="149"/>
    </row>
    <row r="15" spans="1:32" ht="13.2" x14ac:dyDescent="0.3">
      <c r="A15" s="153"/>
      <c r="B15" s="121" t="str">
        <f t="shared" ref="B15:C19" si="13">B5</f>
        <v>Head of Office</v>
      </c>
      <c r="C15" s="88">
        <f t="shared" si="13"/>
        <v>0.3</v>
      </c>
      <c r="D15" s="87" t="s">
        <v>249</v>
      </c>
      <c r="E15" s="87">
        <v>12</v>
      </c>
      <c r="F15" s="86">
        <v>0.13500000000000001</v>
      </c>
      <c r="G15" s="91">
        <f>G5</f>
        <v>1784.0154720512821</v>
      </c>
      <c r="H15" s="90">
        <f>C15*G15*E15*F15</f>
        <v>867.03151941692317</v>
      </c>
      <c r="I15" s="90">
        <f>H15</f>
        <v>867.03151941692317</v>
      </c>
      <c r="J15" s="90">
        <v>0</v>
      </c>
      <c r="K15" s="87">
        <f>C15</f>
        <v>0.3</v>
      </c>
      <c r="L15" s="87">
        <f>E15</f>
        <v>12</v>
      </c>
      <c r="M15" s="91">
        <f>M5</f>
        <v>1873.2162456538463</v>
      </c>
      <c r="N15" s="90">
        <f>F15*M15*K15*L15</f>
        <v>910.38309538776923</v>
      </c>
      <c r="O15" s="90">
        <f>N15</f>
        <v>910.38309538776923</v>
      </c>
      <c r="P15" s="90">
        <f>N15-O15</f>
        <v>0</v>
      </c>
      <c r="Q15" s="87">
        <f>K15</f>
        <v>0.3</v>
      </c>
      <c r="R15" s="87">
        <f>L15</f>
        <v>12</v>
      </c>
      <c r="S15" s="91">
        <f>S5</f>
        <v>1966.8770579365387</v>
      </c>
      <c r="T15" s="90">
        <f>F15*S15*Q15*R15</f>
        <v>955.90225015715782</v>
      </c>
      <c r="U15" s="90">
        <f>T15</f>
        <v>955.90225015715782</v>
      </c>
      <c r="V15" s="90">
        <f>T15-U15</f>
        <v>0</v>
      </c>
      <c r="W15" s="235">
        <f>I15+O15+U15</f>
        <v>2733.3168649618501</v>
      </c>
      <c r="X15" s="235">
        <f>J15+P15+V15</f>
        <v>0</v>
      </c>
      <c r="Y15" s="235">
        <f>W15+X15</f>
        <v>2733.3168649618501</v>
      </c>
      <c r="Z15" s="184">
        <f t="shared" si="10"/>
        <v>0</v>
      </c>
      <c r="AA15" s="149">
        <f t="shared" si="11"/>
        <v>0</v>
      </c>
      <c r="AB15" s="149">
        <f t="shared" si="11"/>
        <v>0</v>
      </c>
      <c r="AC15" s="149"/>
      <c r="AD15" s="149"/>
      <c r="AE15" s="149"/>
      <c r="AF15" s="149"/>
    </row>
    <row r="16" spans="1:32" ht="13.2" x14ac:dyDescent="0.3">
      <c r="A16" s="153"/>
      <c r="B16" s="121" t="str">
        <f t="shared" si="13"/>
        <v xml:space="preserve">Program Coordinator </v>
      </c>
      <c r="C16" s="88">
        <f t="shared" si="13"/>
        <v>0.8</v>
      </c>
      <c r="D16" s="87" t="s">
        <v>249</v>
      </c>
      <c r="E16" s="87">
        <v>12</v>
      </c>
      <c r="F16" s="86">
        <v>0.13500000000000001</v>
      </c>
      <c r="G16" s="91">
        <f>G6</f>
        <v>1129.8999999999999</v>
      </c>
      <c r="H16" s="90">
        <f>C16*G16*E16*F16</f>
        <v>1464.3504</v>
      </c>
      <c r="I16" s="90">
        <f>H16</f>
        <v>1464.3504</v>
      </c>
      <c r="J16" s="90">
        <v>0</v>
      </c>
      <c r="K16" s="87">
        <f>C16</f>
        <v>0.8</v>
      </c>
      <c r="L16" s="87">
        <f>E16</f>
        <v>12</v>
      </c>
      <c r="M16" s="91">
        <f>M6</f>
        <v>1186.395</v>
      </c>
      <c r="N16" s="90">
        <f>F16*M16*K16*L16</f>
        <v>1537.56792</v>
      </c>
      <c r="O16" s="90">
        <f>N16</f>
        <v>1537.56792</v>
      </c>
      <c r="P16" s="90">
        <f>N16-O16</f>
        <v>0</v>
      </c>
      <c r="Q16" s="87">
        <f t="shared" ref="Q16:R19" si="14">K16</f>
        <v>0.8</v>
      </c>
      <c r="R16" s="87">
        <f t="shared" si="14"/>
        <v>12</v>
      </c>
      <c r="S16" s="91">
        <f>S6</f>
        <v>1245.7147500000001</v>
      </c>
      <c r="T16" s="90">
        <f>F16*S16*Q16*R16</f>
        <v>1614.4463160000005</v>
      </c>
      <c r="U16" s="90">
        <f>T16</f>
        <v>1614.4463160000005</v>
      </c>
      <c r="V16" s="90">
        <f>T16-U16</f>
        <v>0</v>
      </c>
      <c r="W16" s="235">
        <f t="shared" ref="W16:X24" si="15">I16+O16+U16</f>
        <v>4616.3646360000002</v>
      </c>
      <c r="X16" s="235">
        <f t="shared" si="15"/>
        <v>0</v>
      </c>
      <c r="Y16" s="235">
        <f>W16+X16</f>
        <v>4616.3646360000002</v>
      </c>
      <c r="Z16" s="184"/>
      <c r="AA16" s="149"/>
      <c r="AB16" s="149"/>
      <c r="AC16" s="149"/>
      <c r="AD16" s="149"/>
      <c r="AE16" s="149"/>
      <c r="AF16" s="149"/>
    </row>
    <row r="17" spans="1:32" ht="13.2" x14ac:dyDescent="0.3">
      <c r="A17" s="153"/>
      <c r="B17" s="121" t="str">
        <f t="shared" si="13"/>
        <v>Finance officer</v>
      </c>
      <c r="C17" s="88">
        <f t="shared" si="13"/>
        <v>0.2</v>
      </c>
      <c r="D17" s="87" t="s">
        <v>249</v>
      </c>
      <c r="E17" s="87">
        <v>12</v>
      </c>
      <c r="F17" s="86">
        <v>0.13500000000000001</v>
      </c>
      <c r="G17" s="91">
        <f>G7</f>
        <v>747.62134615384628</v>
      </c>
      <c r="H17" s="90">
        <f>C17*G17*E17*F17</f>
        <v>242.22931615384618</v>
      </c>
      <c r="I17" s="90">
        <f>H17</f>
        <v>242.22931615384618</v>
      </c>
      <c r="J17" s="90">
        <v>0</v>
      </c>
      <c r="K17" s="87">
        <f>C17</f>
        <v>0.2</v>
      </c>
      <c r="L17" s="87">
        <f>E17</f>
        <v>12</v>
      </c>
      <c r="M17" s="91">
        <f>M7</f>
        <v>785.00241346153859</v>
      </c>
      <c r="N17" s="90">
        <f>F17*M17*K17*L17</f>
        <v>254.34078196153854</v>
      </c>
      <c r="O17" s="90">
        <f>N17</f>
        <v>254.34078196153854</v>
      </c>
      <c r="P17" s="90">
        <f>N17-O17</f>
        <v>0</v>
      </c>
      <c r="Q17" s="87">
        <f t="shared" si="14"/>
        <v>0.2</v>
      </c>
      <c r="R17" s="87">
        <f t="shared" si="14"/>
        <v>12</v>
      </c>
      <c r="S17" s="91">
        <f>S7</f>
        <v>824.25253413461553</v>
      </c>
      <c r="T17" s="90">
        <f>F17*S17*Q17*R17</f>
        <v>267.05782105961549</v>
      </c>
      <c r="U17" s="90">
        <f>T17</f>
        <v>267.05782105961549</v>
      </c>
      <c r="V17" s="90">
        <f>T17-U17</f>
        <v>0</v>
      </c>
      <c r="W17" s="235">
        <f t="shared" si="15"/>
        <v>763.62791917500022</v>
      </c>
      <c r="X17" s="235">
        <f t="shared" si="15"/>
        <v>0</v>
      </c>
      <c r="Y17" s="235">
        <f>W17+X17</f>
        <v>763.62791917500022</v>
      </c>
      <c r="Z17" s="184"/>
      <c r="AA17" s="149"/>
      <c r="AB17" s="149"/>
      <c r="AC17" s="149"/>
      <c r="AD17" s="149"/>
      <c r="AE17" s="149"/>
      <c r="AF17" s="149"/>
    </row>
    <row r="18" spans="1:32" ht="13.2" x14ac:dyDescent="0.3">
      <c r="A18" s="153"/>
      <c r="B18" s="121" t="str">
        <f t="shared" si="13"/>
        <v>Administrative Staff</v>
      </c>
      <c r="C18" s="88">
        <f t="shared" si="13"/>
        <v>0.6</v>
      </c>
      <c r="D18" s="87" t="s">
        <v>249</v>
      </c>
      <c r="E18" s="87">
        <v>12</v>
      </c>
      <c r="F18" s="86">
        <v>0.13500000000000001</v>
      </c>
      <c r="G18" s="91">
        <f>G8</f>
        <v>361.13986298076924</v>
      </c>
      <c r="H18" s="90">
        <f>C18*G18*E18*F18</f>
        <v>351.02794681730774</v>
      </c>
      <c r="I18" s="90">
        <f>H18</f>
        <v>351.02794681730774</v>
      </c>
      <c r="J18" s="90">
        <v>0</v>
      </c>
      <c r="K18" s="87">
        <f>C18</f>
        <v>0.6</v>
      </c>
      <c r="L18" s="87">
        <f>E18</f>
        <v>12</v>
      </c>
      <c r="M18" s="91">
        <f>M8</f>
        <v>379.19685612980771</v>
      </c>
      <c r="N18" s="90">
        <f>F18*M18*K18*L18</f>
        <v>368.57934415817306</v>
      </c>
      <c r="O18" s="90">
        <f>N18</f>
        <v>368.57934415817306</v>
      </c>
      <c r="P18" s="90">
        <f>N18-O18</f>
        <v>0</v>
      </c>
      <c r="Q18" s="87">
        <f t="shared" si="14"/>
        <v>0.6</v>
      </c>
      <c r="R18" s="87">
        <f t="shared" si="14"/>
        <v>12</v>
      </c>
      <c r="S18" s="91">
        <f>S8</f>
        <v>398.15669893629814</v>
      </c>
      <c r="T18" s="90">
        <f>F18*S18*Q18*R18</f>
        <v>387.00831136608178</v>
      </c>
      <c r="U18" s="90">
        <f>T18</f>
        <v>387.00831136608178</v>
      </c>
      <c r="V18" s="90">
        <f>T18-U18</f>
        <v>0</v>
      </c>
      <c r="W18" s="235">
        <f t="shared" si="15"/>
        <v>1106.6156023415624</v>
      </c>
      <c r="X18" s="235">
        <f t="shared" si="15"/>
        <v>0</v>
      </c>
      <c r="Y18" s="235">
        <f>W18+X18</f>
        <v>1106.6156023415624</v>
      </c>
      <c r="Z18" s="184"/>
      <c r="AA18" s="149"/>
      <c r="AB18" s="149"/>
      <c r="AC18" s="149"/>
      <c r="AD18" s="149"/>
      <c r="AE18" s="149"/>
      <c r="AF18" s="149"/>
    </row>
    <row r="19" spans="1:32" ht="13.2" x14ac:dyDescent="0.3">
      <c r="A19" s="153"/>
      <c r="B19" s="121" t="str">
        <f t="shared" si="13"/>
        <v>MEAL Cordinator</v>
      </c>
      <c r="C19" s="88">
        <f t="shared" si="13"/>
        <v>0.4</v>
      </c>
      <c r="D19" s="87" t="s">
        <v>249</v>
      </c>
      <c r="E19" s="87">
        <v>12</v>
      </c>
      <c r="F19" s="86">
        <v>0.13500000000000001</v>
      </c>
      <c r="G19" s="91">
        <f>G9</f>
        <v>1097.5121555128205</v>
      </c>
      <c r="H19" s="90">
        <f>C19*G19*E19*F19</f>
        <v>711.18787677230785</v>
      </c>
      <c r="I19" s="90">
        <f>H19</f>
        <v>711.18787677230785</v>
      </c>
      <c r="J19" s="90">
        <v>0</v>
      </c>
      <c r="K19" s="87">
        <f>C19</f>
        <v>0.4</v>
      </c>
      <c r="L19" s="87">
        <f>E19</f>
        <v>12</v>
      </c>
      <c r="M19" s="91">
        <f>M9</f>
        <v>1152.3877632884617</v>
      </c>
      <c r="N19" s="90">
        <f>F19*M19*K19*L19</f>
        <v>746.74727061092324</v>
      </c>
      <c r="O19" s="90">
        <f>N19</f>
        <v>746.74727061092324</v>
      </c>
      <c r="P19" s="90">
        <f>N19-O19</f>
        <v>0</v>
      </c>
      <c r="Q19" s="87">
        <f t="shared" si="14"/>
        <v>0.4</v>
      </c>
      <c r="R19" s="87">
        <f t="shared" si="14"/>
        <v>12</v>
      </c>
      <c r="S19" s="91">
        <f>S9</f>
        <v>1210.0071514528847</v>
      </c>
      <c r="T19" s="90">
        <f>F19*S19*Q19*R19</f>
        <v>784.08463414146922</v>
      </c>
      <c r="U19" s="90">
        <f>T19</f>
        <v>784.08463414146922</v>
      </c>
      <c r="V19" s="90">
        <f>T19-U19</f>
        <v>0</v>
      </c>
      <c r="W19" s="235">
        <f t="shared" si="15"/>
        <v>2242.0197815247002</v>
      </c>
      <c r="X19" s="235">
        <f t="shared" si="15"/>
        <v>0</v>
      </c>
      <c r="Y19" s="235">
        <f>W19+X19</f>
        <v>2242.0197815247002</v>
      </c>
      <c r="Z19" s="184"/>
      <c r="AA19" s="149"/>
      <c r="AB19" s="149"/>
      <c r="AC19" s="149"/>
      <c r="AD19" s="149"/>
      <c r="AE19" s="149"/>
      <c r="AF19" s="149"/>
    </row>
    <row r="20" spans="1:32" ht="13.2" x14ac:dyDescent="0.3">
      <c r="A20" s="153"/>
      <c r="B20" s="121" t="str">
        <f>B25</f>
        <v>Mang.&amp; tech.advisors - Nat.staff-Fringe Benefits</v>
      </c>
      <c r="C20" s="88"/>
      <c r="D20" s="87"/>
      <c r="E20" s="87"/>
      <c r="G20" s="91"/>
      <c r="H20" s="90"/>
      <c r="I20" s="90"/>
      <c r="J20" s="90"/>
      <c r="K20" s="87"/>
      <c r="L20" s="87"/>
      <c r="M20" s="91"/>
      <c r="N20" s="90"/>
      <c r="O20" s="90"/>
      <c r="P20" s="90"/>
      <c r="Q20" s="87"/>
      <c r="R20" s="87"/>
      <c r="S20" s="91"/>
      <c r="T20" s="90"/>
      <c r="U20" s="90"/>
      <c r="V20" s="90"/>
      <c r="W20" s="235">
        <f>W25</f>
        <v>3636.2980854861744</v>
      </c>
      <c r="X20" s="235">
        <f>X25</f>
        <v>1256.9795345138255</v>
      </c>
      <c r="Y20" s="235">
        <f>Y25</f>
        <v>4893.2776199999998</v>
      </c>
      <c r="Z20" s="184"/>
      <c r="AA20" s="149"/>
      <c r="AB20" s="149"/>
      <c r="AC20" s="149"/>
      <c r="AD20" s="149"/>
      <c r="AE20" s="149"/>
      <c r="AF20" s="149"/>
    </row>
    <row r="21" spans="1:32" ht="13.2" x14ac:dyDescent="0.3">
      <c r="A21" s="153"/>
      <c r="C21" s="88"/>
      <c r="D21" s="87"/>
      <c r="E21" s="87"/>
      <c r="G21" s="91"/>
      <c r="H21" s="90"/>
      <c r="I21" s="90"/>
      <c r="J21" s="90"/>
      <c r="K21" s="87"/>
      <c r="L21" s="87"/>
      <c r="M21" s="91"/>
      <c r="N21" s="90"/>
      <c r="O21" s="90"/>
      <c r="P21" s="90"/>
      <c r="Q21" s="87"/>
      <c r="R21" s="87"/>
      <c r="S21" s="91"/>
      <c r="T21" s="90"/>
      <c r="U21" s="90"/>
      <c r="V21" s="90"/>
      <c r="W21" s="236">
        <f>SUM(W15:W20)</f>
        <v>15098.242889489287</v>
      </c>
      <c r="X21" s="236">
        <f>SUM(X15:X20)</f>
        <v>1256.9795345138255</v>
      </c>
      <c r="Y21" s="236">
        <f>SUM(Y15:Y20)</f>
        <v>16355.222424003114</v>
      </c>
      <c r="Z21" s="184"/>
      <c r="AA21" s="149"/>
      <c r="AB21" s="149"/>
      <c r="AC21" s="149"/>
      <c r="AD21" s="149"/>
      <c r="AE21" s="149"/>
      <c r="AF21" s="149"/>
    </row>
    <row r="22" spans="1:32" s="92" customFormat="1" ht="13.2" x14ac:dyDescent="0.3">
      <c r="A22" s="153"/>
      <c r="B22" s="210" t="s">
        <v>252</v>
      </c>
      <c r="C22" s="123">
        <f>C10</f>
        <v>0.04</v>
      </c>
      <c r="D22" s="87" t="s">
        <v>249</v>
      </c>
      <c r="E22" s="87">
        <v>12</v>
      </c>
      <c r="F22" s="86">
        <v>0.28999999999999998</v>
      </c>
      <c r="G22" s="223">
        <f>'[1]Completed Example Fair Share'!$D$19/12</f>
        <v>119.46999999999998</v>
      </c>
      <c r="H22" s="225">
        <f>G22*E22*F22</f>
        <v>415.75559999999996</v>
      </c>
      <c r="I22" s="223">
        <f>'[2]Completed Example Fair Share'!$I$19</f>
        <v>311.81669999999997</v>
      </c>
      <c r="J22" s="224">
        <f>H22-I22</f>
        <v>103.93889999999999</v>
      </c>
      <c r="K22" s="229">
        <f>C22</f>
        <v>0.04</v>
      </c>
      <c r="L22" s="87">
        <f>E22</f>
        <v>12</v>
      </c>
      <c r="M22" s="223">
        <f>G22*$M$3</f>
        <v>163.56518229999998</v>
      </c>
      <c r="N22" s="225">
        <f>M22*L22*F22</f>
        <v>569.20683440399989</v>
      </c>
      <c r="O22" s="225">
        <f>I22*$O$3</f>
        <v>405.33052832999999</v>
      </c>
      <c r="P22" s="224">
        <f>N22-O22</f>
        <v>163.8763060739999</v>
      </c>
      <c r="Q22" s="229">
        <f>K22</f>
        <v>0.04</v>
      </c>
      <c r="R22" s="87">
        <f>L22</f>
        <v>12</v>
      </c>
      <c r="S22" s="223">
        <f>M22</f>
        <v>163.56518229999998</v>
      </c>
      <c r="T22" s="225">
        <f>F22*S22*R22</f>
        <v>569.20683440399989</v>
      </c>
      <c r="U22" s="225">
        <f>O22+(O22*$U$3)</f>
        <v>386.8028698800357</v>
      </c>
      <c r="V22" s="224">
        <f>T22-U22</f>
        <v>182.40396452396419</v>
      </c>
      <c r="W22" s="226">
        <f t="shared" si="15"/>
        <v>1103.9500982100358</v>
      </c>
      <c r="X22" s="223">
        <f t="shared" si="15"/>
        <v>450.21917059796408</v>
      </c>
      <c r="Y22" s="224">
        <f>W22+X22</f>
        <v>1554.1692688079997</v>
      </c>
      <c r="Z22" s="184">
        <f t="shared" si="10"/>
        <v>0</v>
      </c>
      <c r="AA22" s="149">
        <f t="shared" si="11"/>
        <v>0</v>
      </c>
      <c r="AB22" s="149">
        <f t="shared" si="11"/>
        <v>0</v>
      </c>
      <c r="AC22" s="149"/>
      <c r="AD22" s="149"/>
      <c r="AE22" s="149"/>
      <c r="AF22" s="149"/>
    </row>
    <row r="23" spans="1:32" s="92" customFormat="1" ht="13.2" x14ac:dyDescent="0.3">
      <c r="A23" s="153"/>
      <c r="B23" s="210" t="s">
        <v>253</v>
      </c>
      <c r="C23" s="123">
        <f>C10</f>
        <v>0.04</v>
      </c>
      <c r="D23" s="87" t="s">
        <v>237</v>
      </c>
      <c r="E23" s="87">
        <v>12</v>
      </c>
      <c r="F23" s="86">
        <v>1</v>
      </c>
      <c r="G23" s="223">
        <f>'[1]Completed Example Fair Share'!$D$21</f>
        <v>2234.56</v>
      </c>
      <c r="H23" s="223">
        <f>C23*G23*E23</f>
        <v>1072.5888</v>
      </c>
      <c r="I23" s="223">
        <f>'[2]Completed Example Fair Share'!$I$21</f>
        <v>804.44159999999999</v>
      </c>
      <c r="J23" s="224">
        <f>H23-I23</f>
        <v>268.1472</v>
      </c>
      <c r="K23" s="166">
        <f>K10</f>
        <v>0.04</v>
      </c>
      <c r="L23" s="87">
        <f>E23</f>
        <v>12</v>
      </c>
      <c r="M23" s="223">
        <f>G23*$M$3</f>
        <v>3059.3137503999997</v>
      </c>
      <c r="N23" s="225">
        <f>K23*M23*L23</f>
        <v>1468.4706001919999</v>
      </c>
      <c r="O23" s="225">
        <f>I23*$O$3</f>
        <v>1045.6936358400001</v>
      </c>
      <c r="P23" s="224">
        <f>N23-O23</f>
        <v>422.77696435199982</v>
      </c>
      <c r="Q23" s="166">
        <f>Q10</f>
        <v>0.04</v>
      </c>
      <c r="R23" s="87">
        <f t="shared" ref="R23:S25" si="16">L23</f>
        <v>12</v>
      </c>
      <c r="S23" s="223">
        <f t="shared" si="16"/>
        <v>3059.3137503999997</v>
      </c>
      <c r="T23" s="225">
        <f>Q23*S23*R23</f>
        <v>1468.4706001919999</v>
      </c>
      <c r="U23" s="225">
        <f>O23+(O23*$U$3)</f>
        <v>997.89497974575363</v>
      </c>
      <c r="V23" s="224">
        <f>T23-U23</f>
        <v>470.57562044624626</v>
      </c>
      <c r="W23" s="226">
        <f t="shared" si="15"/>
        <v>2848.0302155857535</v>
      </c>
      <c r="X23" s="223">
        <f t="shared" si="15"/>
        <v>1161.4997847982461</v>
      </c>
      <c r="Y23" s="224">
        <f>W23+X23</f>
        <v>4009.5300003839993</v>
      </c>
      <c r="Z23" s="184">
        <f t="shared" si="10"/>
        <v>0</v>
      </c>
      <c r="AA23" s="149">
        <f t="shared" si="11"/>
        <v>0</v>
      </c>
      <c r="AB23" s="149">
        <f t="shared" si="11"/>
        <v>0</v>
      </c>
      <c r="AC23" s="149"/>
      <c r="AD23" s="149"/>
      <c r="AE23" s="149"/>
      <c r="AF23" s="149"/>
    </row>
    <row r="24" spans="1:32" s="92" customFormat="1" ht="13.2" x14ac:dyDescent="0.3">
      <c r="A24" s="153"/>
      <c r="B24" s="210" t="s">
        <v>344</v>
      </c>
      <c r="C24" s="123">
        <f>C10</f>
        <v>0.04</v>
      </c>
      <c r="D24" s="87" t="s">
        <v>237</v>
      </c>
      <c r="E24" s="87">
        <v>12</v>
      </c>
      <c r="F24" s="86">
        <v>1</v>
      </c>
      <c r="G24" s="223">
        <f>'[1]Completed Example Fair Share'!$D$20</f>
        <v>1002.19</v>
      </c>
      <c r="H24" s="223">
        <f>C24*G24*E24</f>
        <v>481.05119999999999</v>
      </c>
      <c r="I24" s="223">
        <f>'[2]Completed Example Fair Share'!$I$20</f>
        <v>360.78840000000002</v>
      </c>
      <c r="J24" s="224">
        <f>H24-I24</f>
        <v>120.26279999999997</v>
      </c>
      <c r="K24" s="166">
        <f>K10</f>
        <v>0.04</v>
      </c>
      <c r="L24" s="87">
        <f>E24</f>
        <v>12</v>
      </c>
      <c r="M24" s="223">
        <f>G24*$M$3</f>
        <v>1372.0883071000001</v>
      </c>
      <c r="N24" s="225">
        <f>K24*M24*L24</f>
        <v>658.60238740800003</v>
      </c>
      <c r="O24" s="225">
        <f>I24*$O$3</f>
        <v>468.98884116000005</v>
      </c>
      <c r="P24" s="224">
        <f>N24-O24</f>
        <v>189.61354624799998</v>
      </c>
      <c r="Q24" s="166">
        <f>Q10</f>
        <v>0.04</v>
      </c>
      <c r="R24" s="87">
        <f t="shared" si="16"/>
        <v>12</v>
      </c>
      <c r="S24" s="223">
        <f t="shared" si="16"/>
        <v>1372.0883071000001</v>
      </c>
      <c r="T24" s="225">
        <f>Q24*S24*R24</f>
        <v>658.60238740800003</v>
      </c>
      <c r="U24" s="225">
        <f>O24+(O24*$U$3)</f>
        <v>447.55136123057645</v>
      </c>
      <c r="V24" s="224">
        <f>T24-U24</f>
        <v>211.05102617742358</v>
      </c>
      <c r="W24" s="226">
        <f t="shared" si="15"/>
        <v>1277.3286023905766</v>
      </c>
      <c r="X24" s="223">
        <f t="shared" si="15"/>
        <v>520.92737242542353</v>
      </c>
      <c r="Y24" s="224">
        <f>W24+X24</f>
        <v>1798.2559748160002</v>
      </c>
      <c r="Z24" s="184">
        <f t="shared" si="10"/>
        <v>0</v>
      </c>
      <c r="AA24" s="149">
        <f t="shared" si="11"/>
        <v>0</v>
      </c>
      <c r="AB24" s="149">
        <f t="shared" si="11"/>
        <v>0</v>
      </c>
      <c r="AC24" s="149"/>
      <c r="AD24" s="149"/>
      <c r="AE24" s="149"/>
      <c r="AF24" s="149"/>
    </row>
    <row r="25" spans="1:32" s="92" customFormat="1" ht="13.2" x14ac:dyDescent="0.3">
      <c r="A25" s="153"/>
      <c r="B25" s="210" t="s">
        <v>255</v>
      </c>
      <c r="C25" s="227">
        <f>C11</f>
        <v>0.65</v>
      </c>
      <c r="D25" s="87" t="s">
        <v>249</v>
      </c>
      <c r="E25" s="87">
        <v>12</v>
      </c>
      <c r="F25" s="86">
        <v>1</v>
      </c>
      <c r="G25" s="223">
        <f>1309/(C25*12)</f>
        <v>167.82051282051282</v>
      </c>
      <c r="H25" s="223">
        <f>C25*G25*E25</f>
        <v>1309</v>
      </c>
      <c r="I25" s="223">
        <f>'[2]Completed Example Fair Share'!$I$26</f>
        <v>1027.0921403703619</v>
      </c>
      <c r="J25" s="224">
        <f>H25-I25</f>
        <v>281.9078596296381</v>
      </c>
      <c r="K25" s="228">
        <f>C25</f>
        <v>0.65</v>
      </c>
      <c r="L25" s="87">
        <f>E25</f>
        <v>12</v>
      </c>
      <c r="M25" s="223">
        <f>G25*$M$3</f>
        <v>229.76138589743587</v>
      </c>
      <c r="N25" s="225">
        <f>K25*M25*L25</f>
        <v>1792.1388099999999</v>
      </c>
      <c r="O25" s="225">
        <f>I25*$O$3</f>
        <v>1335.1170732674334</v>
      </c>
      <c r="P25" s="224">
        <f>N25-O25</f>
        <v>457.02173673256652</v>
      </c>
      <c r="Q25" s="166">
        <f>K25</f>
        <v>0.65</v>
      </c>
      <c r="R25" s="87">
        <f t="shared" si="16"/>
        <v>12</v>
      </c>
      <c r="S25" s="223">
        <f t="shared" si="16"/>
        <v>229.76138589743587</v>
      </c>
      <c r="T25" s="225">
        <f>Q25*S25*R25</f>
        <v>1792.1388099999999</v>
      </c>
      <c r="U25" s="225">
        <f>O25+(O25*$U$3)</f>
        <v>1274.0888718483791</v>
      </c>
      <c r="V25" s="224">
        <f>T25-U25</f>
        <v>518.04993815162084</v>
      </c>
      <c r="W25" s="226">
        <f>I25+O25+U25</f>
        <v>3636.2980854861744</v>
      </c>
      <c r="X25" s="223">
        <f>J25+P25+V25</f>
        <v>1256.9795345138255</v>
      </c>
      <c r="Y25" s="224">
        <f>W25+X25</f>
        <v>4893.2776199999998</v>
      </c>
      <c r="Z25" s="184">
        <f t="shared" si="10"/>
        <v>0</v>
      </c>
      <c r="AA25" s="149">
        <f t="shared" si="11"/>
        <v>0</v>
      </c>
      <c r="AB25" s="149">
        <f t="shared" si="11"/>
        <v>0</v>
      </c>
      <c r="AC25" s="149"/>
      <c r="AD25" s="149"/>
      <c r="AE25" s="149"/>
      <c r="AF25" s="149"/>
    </row>
    <row r="26" spans="1:32" ht="13.2" x14ac:dyDescent="0.3">
      <c r="A26" s="202"/>
      <c r="B26" s="211" t="s">
        <v>256</v>
      </c>
      <c r="C26" s="87"/>
      <c r="D26" s="87"/>
      <c r="E26" s="101"/>
      <c r="F26" s="87"/>
      <c r="G26" s="102"/>
      <c r="H26" s="95">
        <f>SUM(H15:H25)</f>
        <v>6914.2226591603849</v>
      </c>
      <c r="I26" s="95">
        <f>SUM(I15:I25)</f>
        <v>6139.9658995307473</v>
      </c>
      <c r="J26" s="169">
        <f>SUM(J15:J25)</f>
        <v>774.25675962963805</v>
      </c>
      <c r="K26" s="166"/>
      <c r="L26" s="87"/>
      <c r="M26" s="101"/>
      <c r="N26" s="95">
        <f>SUM(N15:N25)</f>
        <v>8306.037044122404</v>
      </c>
      <c r="O26" s="95">
        <f>SUM(O15:O25)</f>
        <v>7072.7484907158378</v>
      </c>
      <c r="P26" s="95">
        <f>SUM(P15:P25)</f>
        <v>1233.2885534065663</v>
      </c>
      <c r="Q26" s="166"/>
      <c r="R26" s="87"/>
      <c r="S26" s="103"/>
      <c r="T26" s="95">
        <f t="shared" ref="T26:Y26" si="17">SUM(T15:T25)</f>
        <v>8496.9179647283254</v>
      </c>
      <c r="U26" s="95">
        <f t="shared" si="17"/>
        <v>7114.8374154290696</v>
      </c>
      <c r="V26" s="95">
        <f t="shared" si="17"/>
        <v>1382.0805492992549</v>
      </c>
      <c r="W26" s="175">
        <f t="shared" si="17"/>
        <v>39062.092780651117</v>
      </c>
      <c r="X26" s="95">
        <f t="shared" si="17"/>
        <v>5903.5849313631097</v>
      </c>
      <c r="Y26" s="169">
        <f t="shared" si="17"/>
        <v>44965.677712014229</v>
      </c>
      <c r="Z26" s="184">
        <f t="shared" si="10"/>
        <v>-21248.500044003114</v>
      </c>
      <c r="AA26" s="149">
        <f t="shared" si="11"/>
        <v>-18734.540974975462</v>
      </c>
      <c r="AB26" s="149">
        <f t="shared" si="11"/>
        <v>-2513.9590690276505</v>
      </c>
      <c r="AC26" s="230"/>
      <c r="AD26" s="231"/>
      <c r="AE26" s="230"/>
      <c r="AF26" s="149"/>
    </row>
    <row r="27" spans="1:32" x14ac:dyDescent="0.25">
      <c r="A27" s="153"/>
      <c r="B27" s="212" t="s">
        <v>214</v>
      </c>
      <c r="C27" s="99"/>
      <c r="D27" s="99"/>
      <c r="E27" s="97"/>
      <c r="F27" s="98"/>
      <c r="G27" s="97"/>
      <c r="H27" s="97"/>
      <c r="I27" s="99"/>
      <c r="J27" s="171"/>
      <c r="K27" s="172"/>
      <c r="L27" s="99"/>
      <c r="M27" s="97"/>
      <c r="N27" s="97"/>
      <c r="O27" s="99"/>
      <c r="P27" s="171"/>
      <c r="Q27" s="172"/>
      <c r="R27" s="99"/>
      <c r="S27" s="97"/>
      <c r="T27" s="97"/>
      <c r="U27" s="99"/>
      <c r="V27" s="171"/>
      <c r="W27" s="172"/>
      <c r="X27" s="99"/>
      <c r="Y27" s="189"/>
      <c r="Z27" s="184">
        <f t="shared" si="10"/>
        <v>0</v>
      </c>
      <c r="AA27" s="149">
        <f t="shared" si="11"/>
        <v>0</v>
      </c>
      <c r="AB27" s="149">
        <f t="shared" si="11"/>
        <v>0</v>
      </c>
    </row>
    <row r="28" spans="1:32" ht="13.2" x14ac:dyDescent="0.3">
      <c r="A28" s="202"/>
      <c r="B28" s="210" t="s">
        <v>257</v>
      </c>
      <c r="C28" s="104">
        <v>14</v>
      </c>
      <c r="D28" s="105" t="s">
        <v>258</v>
      </c>
      <c r="E28" s="104">
        <v>1</v>
      </c>
      <c r="F28" s="86">
        <v>1</v>
      </c>
      <c r="G28" s="223">
        <f>13000/$G$3</f>
        <v>200</v>
      </c>
      <c r="H28" s="225">
        <f>C28*G28*E28</f>
        <v>2800</v>
      </c>
      <c r="I28" s="223">
        <f>H28</f>
        <v>2800</v>
      </c>
      <c r="J28" s="224">
        <f>H28-I28</f>
        <v>0</v>
      </c>
      <c r="K28" s="166">
        <v>16</v>
      </c>
      <c r="L28" s="87">
        <v>1</v>
      </c>
      <c r="M28" s="223">
        <f>G28*1.05</f>
        <v>210</v>
      </c>
      <c r="N28" s="225">
        <f>K28*M28*L28</f>
        <v>3360</v>
      </c>
      <c r="O28" s="223">
        <f>N28</f>
        <v>3360</v>
      </c>
      <c r="P28" s="224">
        <f>N28-O28</f>
        <v>0</v>
      </c>
      <c r="Q28" s="166">
        <v>16</v>
      </c>
      <c r="R28" s="87">
        <f t="shared" ref="Q28:R32" si="18">L28</f>
        <v>1</v>
      </c>
      <c r="S28" s="90">
        <f>M28*1.05</f>
        <v>220.5</v>
      </c>
      <c r="T28" s="91">
        <f>Q28*S28*R28</f>
        <v>3528</v>
      </c>
      <c r="U28" s="90">
        <f>T28</f>
        <v>3528</v>
      </c>
      <c r="V28" s="167">
        <f>T28-U28</f>
        <v>0</v>
      </c>
      <c r="W28" s="188">
        <f t="shared" ref="W28:X32" si="19">I28+O28+U28</f>
        <v>9688</v>
      </c>
      <c r="X28" s="90">
        <f t="shared" si="19"/>
        <v>0</v>
      </c>
      <c r="Y28" s="167">
        <f>W28+X28</f>
        <v>9688</v>
      </c>
      <c r="Z28" s="184">
        <f t="shared" si="10"/>
        <v>0</v>
      </c>
      <c r="AA28" s="149">
        <f t="shared" si="11"/>
        <v>0</v>
      </c>
      <c r="AB28" s="149">
        <f t="shared" si="11"/>
        <v>0</v>
      </c>
      <c r="AC28" s="149"/>
      <c r="AD28" s="149"/>
      <c r="AE28" s="149"/>
      <c r="AF28" s="149"/>
    </row>
    <row r="29" spans="1:32" ht="13.2" x14ac:dyDescent="0.3">
      <c r="A29" s="202"/>
      <c r="B29" s="210" t="s">
        <v>259</v>
      </c>
      <c r="C29" s="104">
        <f>C28*3</f>
        <v>42</v>
      </c>
      <c r="D29" s="105" t="s">
        <v>260</v>
      </c>
      <c r="E29" s="104">
        <v>1</v>
      </c>
      <c r="F29" s="86">
        <v>1</v>
      </c>
      <c r="G29" s="223">
        <f>2700/$G$3</f>
        <v>41.53846153846154</v>
      </c>
      <c r="H29" s="225">
        <f>C29*G29*E29</f>
        <v>1744.6153846153848</v>
      </c>
      <c r="I29" s="223">
        <f>H29</f>
        <v>1744.6153846153848</v>
      </c>
      <c r="J29" s="224">
        <f>H29-I29</f>
        <v>0</v>
      </c>
      <c r="K29" s="166">
        <f>K28*3</f>
        <v>48</v>
      </c>
      <c r="L29" s="87">
        <v>1</v>
      </c>
      <c r="M29" s="223">
        <f>G29*1.05</f>
        <v>43.61538461538462</v>
      </c>
      <c r="N29" s="225">
        <f>K29*M29*L29</f>
        <v>2093.5384615384619</v>
      </c>
      <c r="O29" s="223">
        <f>N29</f>
        <v>2093.5384615384619</v>
      </c>
      <c r="P29" s="224">
        <f>N29-O29</f>
        <v>0</v>
      </c>
      <c r="Q29" s="166">
        <f>Q28*3</f>
        <v>48</v>
      </c>
      <c r="R29" s="87">
        <f t="shared" si="18"/>
        <v>1</v>
      </c>
      <c r="S29" s="90">
        <f>M29*1.05</f>
        <v>45.796153846153857</v>
      </c>
      <c r="T29" s="91">
        <f>Q29*S29*R29</f>
        <v>2198.2153846153851</v>
      </c>
      <c r="U29" s="90">
        <f>T29</f>
        <v>2198.2153846153851</v>
      </c>
      <c r="V29" s="167">
        <f>T29-U29</f>
        <v>0</v>
      </c>
      <c r="W29" s="188">
        <f t="shared" si="19"/>
        <v>6036.3692307692318</v>
      </c>
      <c r="X29" s="90">
        <f t="shared" si="19"/>
        <v>0</v>
      </c>
      <c r="Y29" s="167">
        <f>W29+X29</f>
        <v>6036.3692307692318</v>
      </c>
      <c r="Z29" s="184">
        <f t="shared" si="10"/>
        <v>0</v>
      </c>
      <c r="AA29" s="149">
        <f t="shared" si="11"/>
        <v>0</v>
      </c>
      <c r="AB29" s="149">
        <f t="shared" si="11"/>
        <v>0</v>
      </c>
      <c r="AC29" s="149"/>
      <c r="AD29" s="149"/>
      <c r="AE29" s="149"/>
      <c r="AF29" s="149"/>
    </row>
    <row r="30" spans="1:32" ht="13.2" x14ac:dyDescent="0.3">
      <c r="A30" s="202"/>
      <c r="B30" s="210" t="s">
        <v>261</v>
      </c>
      <c r="C30" s="104">
        <f>C28*3</f>
        <v>42</v>
      </c>
      <c r="D30" s="105" t="s">
        <v>262</v>
      </c>
      <c r="E30" s="104">
        <v>1</v>
      </c>
      <c r="F30" s="86">
        <v>1</v>
      </c>
      <c r="G30" s="223">
        <f>1000/$G$3</f>
        <v>15.384615384615385</v>
      </c>
      <c r="H30" s="225">
        <f>C30*G30*E30</f>
        <v>646.15384615384619</v>
      </c>
      <c r="I30" s="223">
        <f>H30</f>
        <v>646.15384615384619</v>
      </c>
      <c r="J30" s="224">
        <f>H30-I30</f>
        <v>0</v>
      </c>
      <c r="K30" s="166">
        <f>K28*3</f>
        <v>48</v>
      </c>
      <c r="L30" s="87">
        <v>1</v>
      </c>
      <c r="M30" s="223">
        <f>G30*1.05</f>
        <v>16.153846153846153</v>
      </c>
      <c r="N30" s="225">
        <f>K30*M30*L30</f>
        <v>775.38461538461536</v>
      </c>
      <c r="O30" s="223">
        <f>N30</f>
        <v>775.38461538461536</v>
      </c>
      <c r="P30" s="224">
        <f>N30-O30</f>
        <v>0</v>
      </c>
      <c r="Q30" s="166">
        <f>Q28*3</f>
        <v>48</v>
      </c>
      <c r="R30" s="87">
        <f t="shared" si="18"/>
        <v>1</v>
      </c>
      <c r="S30" s="90">
        <f>M30*1.05</f>
        <v>16.961538461538463</v>
      </c>
      <c r="T30" s="91">
        <f>Q30*S30*R30</f>
        <v>814.15384615384619</v>
      </c>
      <c r="U30" s="90">
        <f>T30</f>
        <v>814.15384615384619</v>
      </c>
      <c r="V30" s="167">
        <f>T30-U30</f>
        <v>0</v>
      </c>
      <c r="W30" s="188">
        <f t="shared" si="19"/>
        <v>2235.6923076923076</v>
      </c>
      <c r="X30" s="90">
        <f t="shared" si="19"/>
        <v>0</v>
      </c>
      <c r="Y30" s="167">
        <f>W30+X30</f>
        <v>2235.6923076923076</v>
      </c>
      <c r="Z30" s="184">
        <f t="shared" si="10"/>
        <v>0</v>
      </c>
      <c r="AA30" s="149">
        <f t="shared" si="11"/>
        <v>0</v>
      </c>
      <c r="AB30" s="149">
        <f t="shared" si="11"/>
        <v>0</v>
      </c>
      <c r="AC30" s="149"/>
      <c r="AD30" s="149"/>
      <c r="AE30" s="149"/>
      <c r="AF30" s="149"/>
    </row>
    <row r="31" spans="1:32" ht="13.2" x14ac:dyDescent="0.3">
      <c r="A31" s="202"/>
      <c r="B31" s="210" t="s">
        <v>263</v>
      </c>
      <c r="C31" s="87">
        <v>1</v>
      </c>
      <c r="D31" s="87" t="s">
        <v>264</v>
      </c>
      <c r="E31" s="87">
        <v>12</v>
      </c>
      <c r="F31" s="89">
        <v>1</v>
      </c>
      <c r="G31" s="223">
        <f>'[1]Completed Example Fair Share'!$D$35</f>
        <v>69.849999999999994</v>
      </c>
      <c r="H31" s="225">
        <f>C31*G31*E31</f>
        <v>838.19999999999993</v>
      </c>
      <c r="I31" s="223">
        <f>'[2]Completed Example Fair Share'!$I$34</f>
        <v>755.92439999999999</v>
      </c>
      <c r="J31" s="224">
        <f>H31-I31</f>
        <v>82.27559999999994</v>
      </c>
      <c r="K31" s="166">
        <v>12</v>
      </c>
      <c r="L31" s="87">
        <v>1</v>
      </c>
      <c r="M31" s="223">
        <f>G31*$M$3</f>
        <v>95.63093649999999</v>
      </c>
      <c r="N31" s="225">
        <f>K31*M31*L31</f>
        <v>1147.571238</v>
      </c>
      <c r="O31" s="225">
        <f>I31*$O$3</f>
        <v>982.62612755999999</v>
      </c>
      <c r="P31" s="224">
        <f>N31-O31</f>
        <v>164.94511044000001</v>
      </c>
      <c r="Q31" s="166">
        <f t="shared" si="18"/>
        <v>12</v>
      </c>
      <c r="R31" s="87">
        <f t="shared" si="18"/>
        <v>1</v>
      </c>
      <c r="S31" s="223">
        <f>M31</f>
        <v>95.63093649999999</v>
      </c>
      <c r="T31" s="225">
        <f>Q31*S31*R31</f>
        <v>1147.571238</v>
      </c>
      <c r="U31" s="225">
        <f>O31+(O31*$U$3)</f>
        <v>937.71028726923237</v>
      </c>
      <c r="V31" s="224">
        <f>T31-U31</f>
        <v>209.86095073076763</v>
      </c>
      <c r="W31" s="226">
        <f t="shared" si="19"/>
        <v>2676.260814829232</v>
      </c>
      <c r="X31" s="223">
        <f t="shared" si="19"/>
        <v>457.08166117076757</v>
      </c>
      <c r="Y31" s="224">
        <f>W31+X31</f>
        <v>3133.3424759999998</v>
      </c>
      <c r="Z31" s="184">
        <f t="shared" si="10"/>
        <v>0</v>
      </c>
      <c r="AA31" s="149">
        <f t="shared" si="11"/>
        <v>0</v>
      </c>
      <c r="AB31" s="149">
        <f t="shared" si="11"/>
        <v>0</v>
      </c>
      <c r="AC31" s="149"/>
      <c r="AD31" s="149"/>
      <c r="AE31" s="149"/>
      <c r="AF31" s="149"/>
    </row>
    <row r="32" spans="1:32" s="92" customFormat="1" ht="13.2" x14ac:dyDescent="0.3">
      <c r="A32" s="153"/>
      <c r="B32" s="210" t="s">
        <v>265</v>
      </c>
      <c r="C32" s="87">
        <v>1</v>
      </c>
      <c r="D32" s="87" t="s">
        <v>264</v>
      </c>
      <c r="E32" s="87">
        <v>12</v>
      </c>
      <c r="F32" s="86">
        <v>1</v>
      </c>
      <c r="G32" s="223">
        <f>18000/$G$3</f>
        <v>276.92307692307691</v>
      </c>
      <c r="H32" s="225">
        <f>C32*G32*E32</f>
        <v>3323.0769230769229</v>
      </c>
      <c r="I32" s="223">
        <v>3323</v>
      </c>
      <c r="J32" s="224">
        <f>H32-I32</f>
        <v>7.692307692286704E-2</v>
      </c>
      <c r="K32" s="166">
        <v>12</v>
      </c>
      <c r="L32" s="87">
        <v>1</v>
      </c>
      <c r="M32" s="223">
        <f>G32*$M$3</f>
        <v>379.13261538461535</v>
      </c>
      <c r="N32" s="225">
        <f>K32*M32*L32</f>
        <v>4549.5913846153844</v>
      </c>
      <c r="O32" s="225">
        <f>I32*$O$3</f>
        <v>4319.5677000000005</v>
      </c>
      <c r="P32" s="224">
        <f>N32-O32</f>
        <v>230.0236846153839</v>
      </c>
      <c r="Q32" s="166">
        <f t="shared" si="18"/>
        <v>12</v>
      </c>
      <c r="R32" s="87">
        <f t="shared" si="18"/>
        <v>1</v>
      </c>
      <c r="S32" s="223">
        <f>M32</f>
        <v>379.13261538461535</v>
      </c>
      <c r="T32" s="225">
        <f>Q32*S32*R32</f>
        <v>4549.5913846153844</v>
      </c>
      <c r="U32" s="225">
        <f>O32+(O32*$U$3)</f>
        <v>4122.1202604330001</v>
      </c>
      <c r="V32" s="224">
        <f>T32-U32</f>
        <v>427.4711241823843</v>
      </c>
      <c r="W32" s="226">
        <f t="shared" si="19"/>
        <v>11764.687960433001</v>
      </c>
      <c r="X32" s="223">
        <f t="shared" si="19"/>
        <v>657.57173187469107</v>
      </c>
      <c r="Y32" s="224">
        <f>W32+X32</f>
        <v>12422.259692307693</v>
      </c>
      <c r="Z32" s="184">
        <f t="shared" si="10"/>
        <v>0</v>
      </c>
      <c r="AA32" s="149">
        <f t="shared" si="11"/>
        <v>0</v>
      </c>
      <c r="AB32" s="149">
        <f t="shared" si="11"/>
        <v>0</v>
      </c>
      <c r="AC32" s="149"/>
      <c r="AD32" s="149"/>
      <c r="AE32" s="149"/>
      <c r="AF32" s="149"/>
    </row>
    <row r="33" spans="1:32" s="92" customFormat="1" ht="13.2" x14ac:dyDescent="0.3">
      <c r="A33" s="153"/>
      <c r="B33" s="211" t="s">
        <v>266</v>
      </c>
      <c r="C33" s="106"/>
      <c r="D33" s="84"/>
      <c r="E33" s="93"/>
      <c r="F33" s="94"/>
      <c r="G33" s="93"/>
      <c r="H33" s="95">
        <f>SUM(H28:H32)</f>
        <v>9352.0461538461532</v>
      </c>
      <c r="I33" s="95">
        <f>SUM(I28:I32)</f>
        <v>9269.6936307692304</v>
      </c>
      <c r="J33" s="169">
        <f>SUM(J28:J32)</f>
        <v>82.352523076922807</v>
      </c>
      <c r="K33" s="173"/>
      <c r="L33" s="84"/>
      <c r="M33" s="93"/>
      <c r="N33" s="95">
        <f>SUM(N28:N32)</f>
        <v>11926.08569953846</v>
      </c>
      <c r="O33" s="95">
        <f>SUM(O28:O32)</f>
        <v>11531.116904483079</v>
      </c>
      <c r="P33" s="169">
        <f>SUM(P28:P32)</f>
        <v>394.96879505538391</v>
      </c>
      <c r="Q33" s="173"/>
      <c r="R33" s="84"/>
      <c r="S33" s="93"/>
      <c r="T33" s="95">
        <f t="shared" ref="T33:Y33" si="20">SUM(T28:T32)</f>
        <v>12237.531853384615</v>
      </c>
      <c r="U33" s="95">
        <f t="shared" si="20"/>
        <v>11600.199778471462</v>
      </c>
      <c r="V33" s="169">
        <f t="shared" si="20"/>
        <v>637.33207491315193</v>
      </c>
      <c r="W33" s="175">
        <f t="shared" si="20"/>
        <v>32401.010313723775</v>
      </c>
      <c r="X33" s="95">
        <f t="shared" si="20"/>
        <v>1114.6533930454586</v>
      </c>
      <c r="Y33" s="169">
        <f t="shared" si="20"/>
        <v>33515.663706769235</v>
      </c>
      <c r="Z33" s="184">
        <f t="shared" si="10"/>
        <v>0</v>
      </c>
      <c r="AA33" s="149">
        <f t="shared" si="11"/>
        <v>0</v>
      </c>
      <c r="AB33" s="149">
        <f t="shared" si="11"/>
        <v>0</v>
      </c>
      <c r="AC33" s="230"/>
      <c r="AD33" s="230"/>
      <c r="AE33" s="230"/>
      <c r="AF33" s="149"/>
    </row>
    <row r="34" spans="1:32" x14ac:dyDescent="0.25">
      <c r="A34" s="202"/>
      <c r="B34" s="212" t="s">
        <v>215</v>
      </c>
      <c r="C34" s="99"/>
      <c r="D34" s="99"/>
      <c r="E34" s="97"/>
      <c r="F34" s="98"/>
      <c r="G34" s="97"/>
      <c r="H34" s="107"/>
      <c r="I34" s="108"/>
      <c r="J34" s="174"/>
      <c r="K34" s="172"/>
      <c r="L34" s="99"/>
      <c r="M34" s="97"/>
      <c r="N34" s="107"/>
      <c r="O34" s="108"/>
      <c r="P34" s="174"/>
      <c r="Q34" s="172"/>
      <c r="R34" s="99"/>
      <c r="S34" s="97"/>
      <c r="T34" s="107"/>
      <c r="U34" s="108"/>
      <c r="V34" s="174"/>
      <c r="W34" s="176"/>
      <c r="X34" s="108"/>
      <c r="Y34" s="189"/>
      <c r="Z34" s="184">
        <f t="shared" si="10"/>
        <v>0</v>
      </c>
      <c r="AA34" s="149">
        <f t="shared" si="11"/>
        <v>0</v>
      </c>
      <c r="AB34" s="149">
        <f t="shared" si="11"/>
        <v>0</v>
      </c>
    </row>
    <row r="35" spans="1:32" ht="13.2" x14ac:dyDescent="0.3">
      <c r="A35" s="202"/>
      <c r="B35" s="213" t="s">
        <v>267</v>
      </c>
      <c r="C35" s="87">
        <v>1</v>
      </c>
      <c r="D35" s="87" t="s">
        <v>264</v>
      </c>
      <c r="E35" s="87">
        <v>12</v>
      </c>
      <c r="F35" s="86">
        <v>1</v>
      </c>
      <c r="G35" s="90">
        <f>((11000-300+3025)/$G$3)+'[1]Completed Example Fair Share'!$D$44</f>
        <v>223.25384615384615</v>
      </c>
      <c r="H35" s="90">
        <f>C35*G35*E35</f>
        <v>2679.0461538461541</v>
      </c>
      <c r="I35" s="90">
        <f>C35*E35*F35*211.54</f>
        <v>2538.48</v>
      </c>
      <c r="J35" s="167">
        <f>H35-I35</f>
        <v>140.56615384615407</v>
      </c>
      <c r="K35" s="166">
        <f>C35</f>
        <v>1</v>
      </c>
      <c r="L35" s="87">
        <f>E35</f>
        <v>12</v>
      </c>
      <c r="M35" s="90">
        <f>G35*1.05</f>
        <v>234.41653846153847</v>
      </c>
      <c r="N35" s="90">
        <f>K35*M35*L35*F35</f>
        <v>2812.9984615384615</v>
      </c>
      <c r="O35" s="90">
        <f>I35*1.05</f>
        <v>2665.404</v>
      </c>
      <c r="P35" s="167">
        <f>N35-O35</f>
        <v>147.59446153846147</v>
      </c>
      <c r="Q35" s="166">
        <f>K35</f>
        <v>1</v>
      </c>
      <c r="R35" s="87">
        <f>L35</f>
        <v>12</v>
      </c>
      <c r="S35" s="90">
        <f>M35*1.05</f>
        <v>246.13736538461541</v>
      </c>
      <c r="T35" s="90">
        <f>Q35*S35*R35*F35</f>
        <v>2953.6483846153851</v>
      </c>
      <c r="U35" s="90">
        <f>O35*1.05</f>
        <v>2798.6741999999999</v>
      </c>
      <c r="V35" s="167">
        <f>T35-U35</f>
        <v>154.97418461538518</v>
      </c>
      <c r="W35" s="188">
        <f>I35+O35+U35</f>
        <v>8002.5581999999995</v>
      </c>
      <c r="X35" s="90">
        <f>J35+P35+V35</f>
        <v>443.13480000000072</v>
      </c>
      <c r="Y35" s="167">
        <f>W35+X35</f>
        <v>8445.6929999999993</v>
      </c>
      <c r="Z35" s="184">
        <f t="shared" si="10"/>
        <v>0</v>
      </c>
      <c r="AA35" s="149">
        <f t="shared" si="11"/>
        <v>0</v>
      </c>
      <c r="AB35" s="149">
        <f t="shared" si="11"/>
        <v>0</v>
      </c>
      <c r="AC35" s="149"/>
      <c r="AD35" s="149"/>
      <c r="AE35" s="149"/>
      <c r="AF35" s="149"/>
    </row>
    <row r="36" spans="1:32" ht="13.2" x14ac:dyDescent="0.3">
      <c r="A36" s="202"/>
      <c r="B36" s="210" t="s">
        <v>268</v>
      </c>
      <c r="C36" s="87">
        <v>1</v>
      </c>
      <c r="D36" s="87" t="s">
        <v>264</v>
      </c>
      <c r="E36" s="87">
        <v>12</v>
      </c>
      <c r="F36" s="86">
        <v>1</v>
      </c>
      <c r="G36" s="90">
        <f>3000/$G$3</f>
        <v>46.153846153846153</v>
      </c>
      <c r="H36" s="90">
        <f>C36*G36*E36</f>
        <v>553.84615384615381</v>
      </c>
      <c r="I36" s="90">
        <f>H36</f>
        <v>553.84615384615381</v>
      </c>
      <c r="J36" s="167">
        <f>H36-I36</f>
        <v>0</v>
      </c>
      <c r="K36" s="166">
        <f>C36</f>
        <v>1</v>
      </c>
      <c r="L36" s="87">
        <f>E36</f>
        <v>12</v>
      </c>
      <c r="M36" s="90">
        <f>G36*1.05</f>
        <v>48.46153846153846</v>
      </c>
      <c r="N36" s="90">
        <f>K36*M36*L36*F36</f>
        <v>581.53846153846155</v>
      </c>
      <c r="O36" s="90">
        <f>N36</f>
        <v>581.53846153846155</v>
      </c>
      <c r="P36" s="167">
        <f>N36-O36</f>
        <v>0</v>
      </c>
      <c r="Q36" s="166">
        <f>K36</f>
        <v>1</v>
      </c>
      <c r="R36" s="87">
        <f>L36</f>
        <v>12</v>
      </c>
      <c r="S36" s="90">
        <f>M36*1.05</f>
        <v>50.884615384615387</v>
      </c>
      <c r="T36" s="90">
        <f>Q36*S36*R36*F36</f>
        <v>610.61538461538464</v>
      </c>
      <c r="U36" s="90">
        <f>T36</f>
        <v>610.61538461538464</v>
      </c>
      <c r="V36" s="167">
        <f>T36-U36</f>
        <v>0</v>
      </c>
      <c r="W36" s="188">
        <f>I36+O36+U36</f>
        <v>1746</v>
      </c>
      <c r="X36" s="90">
        <f>J36+P36+V36</f>
        <v>0</v>
      </c>
      <c r="Y36" s="167">
        <f>W36+X36</f>
        <v>1746</v>
      </c>
      <c r="Z36" s="184">
        <f t="shared" si="10"/>
        <v>0</v>
      </c>
      <c r="AA36" s="149">
        <f t="shared" si="11"/>
        <v>0</v>
      </c>
      <c r="AB36" s="149">
        <f t="shared" si="11"/>
        <v>0</v>
      </c>
      <c r="AC36" s="149"/>
      <c r="AD36" s="149"/>
      <c r="AE36" s="149"/>
      <c r="AF36" s="149"/>
    </row>
    <row r="37" spans="1:32" ht="13.2" x14ac:dyDescent="0.3">
      <c r="A37" s="202"/>
      <c r="B37" s="211" t="s">
        <v>269</v>
      </c>
      <c r="C37" s="87"/>
      <c r="D37" s="87"/>
      <c r="E37" s="109"/>
      <c r="G37" s="109"/>
      <c r="H37" s="95">
        <f>SUM(H35:H36)</f>
        <v>3232.8923076923079</v>
      </c>
      <c r="I37" s="95">
        <f>SUM(I35:I36)</f>
        <v>3092.3261538461538</v>
      </c>
      <c r="J37" s="169">
        <f>SUM(J35:J36)</f>
        <v>140.56615384615407</v>
      </c>
      <c r="K37" s="166"/>
      <c r="L37" s="87"/>
      <c r="M37" s="109"/>
      <c r="N37" s="95">
        <f>SUM(N35:N36)</f>
        <v>3394.5369230769229</v>
      </c>
      <c r="O37" s="95">
        <f>SUM(O35:O36)</f>
        <v>3246.9424615384614</v>
      </c>
      <c r="P37" s="169">
        <f>SUM(P35:P36)</f>
        <v>147.59446153846147</v>
      </c>
      <c r="Q37" s="166"/>
      <c r="R37" s="87"/>
      <c r="S37" s="90"/>
      <c r="T37" s="95">
        <f t="shared" ref="T37:Y37" si="21">SUM(T35:T36)</f>
        <v>3564.2637692307699</v>
      </c>
      <c r="U37" s="95">
        <f t="shared" si="21"/>
        <v>3409.2895846153847</v>
      </c>
      <c r="V37" s="169">
        <f t="shared" si="21"/>
        <v>154.97418461538518</v>
      </c>
      <c r="W37" s="175">
        <f t="shared" si="21"/>
        <v>9748.5581999999995</v>
      </c>
      <c r="X37" s="95">
        <f t="shared" si="21"/>
        <v>443.13480000000072</v>
      </c>
      <c r="Y37" s="169">
        <f t="shared" si="21"/>
        <v>10191.692999999999</v>
      </c>
      <c r="Z37" s="184">
        <f t="shared" si="10"/>
        <v>0</v>
      </c>
      <c r="AA37" s="149">
        <f t="shared" si="11"/>
        <v>0</v>
      </c>
      <c r="AB37" s="149">
        <f t="shared" si="11"/>
        <v>0</v>
      </c>
      <c r="AC37" s="230"/>
      <c r="AD37" s="230"/>
      <c r="AE37" s="230"/>
      <c r="AF37" s="149"/>
    </row>
    <row r="38" spans="1:32" x14ac:dyDescent="0.25">
      <c r="A38" s="202"/>
      <c r="B38" s="212" t="s">
        <v>270</v>
      </c>
      <c r="C38" s="99"/>
      <c r="D38" s="99"/>
      <c r="E38" s="96"/>
      <c r="F38" s="98"/>
      <c r="G38" s="96"/>
      <c r="H38" s="107"/>
      <c r="I38" s="110"/>
      <c r="J38" s="214"/>
      <c r="K38" s="172"/>
      <c r="L38" s="99"/>
      <c r="M38" s="96"/>
      <c r="N38" s="107"/>
      <c r="O38" s="108"/>
      <c r="P38" s="174"/>
      <c r="Q38" s="172"/>
      <c r="R38" s="99"/>
      <c r="S38" s="96"/>
      <c r="T38" s="107"/>
      <c r="U38" s="108"/>
      <c r="V38" s="174"/>
      <c r="W38" s="176"/>
      <c r="X38" s="108"/>
      <c r="Y38" s="189"/>
      <c r="Z38" s="184">
        <f t="shared" si="10"/>
        <v>0</v>
      </c>
      <c r="AA38" s="149">
        <f t="shared" si="11"/>
        <v>0</v>
      </c>
      <c r="AB38" s="149">
        <f t="shared" si="11"/>
        <v>0</v>
      </c>
    </row>
    <row r="39" spans="1:32" ht="13.2" x14ac:dyDescent="0.3">
      <c r="A39" s="202"/>
      <c r="B39" s="210" t="s">
        <v>345</v>
      </c>
      <c r="C39" s="87">
        <v>1</v>
      </c>
      <c r="D39" s="193" t="s">
        <v>272</v>
      </c>
      <c r="E39" s="87">
        <v>1</v>
      </c>
      <c r="F39" s="86">
        <v>1</v>
      </c>
      <c r="G39" s="90">
        <f>'Subgrantee Budget'!H51</f>
        <v>154675.38461538462</v>
      </c>
      <c r="H39" s="90">
        <f>'Subgrantee Budget'!H51</f>
        <v>154675.38461538462</v>
      </c>
      <c r="I39" s="90">
        <f>'Subgrantee Budget'!I51</f>
        <v>125290.76923076923</v>
      </c>
      <c r="J39" s="167">
        <f>'Subgrantee Budget'!J51</f>
        <v>29384.615384615387</v>
      </c>
      <c r="K39" s="166">
        <v>1</v>
      </c>
      <c r="L39" s="87">
        <v>1</v>
      </c>
      <c r="M39" s="90">
        <f>'Subgrantee Budget'!K51</f>
        <v>156630.38461538462</v>
      </c>
      <c r="N39" s="90">
        <f>'Subgrantee Budget'!K51</f>
        <v>156630.38461538462</v>
      </c>
      <c r="O39" s="90">
        <f>'Subgrantee Budget'!L51</f>
        <v>113707.3076923077</v>
      </c>
      <c r="P39" s="167">
        <f>'Subgrantee Budget'!M51</f>
        <v>42923.076923076922</v>
      </c>
      <c r="Q39" s="166">
        <v>1</v>
      </c>
      <c r="R39" s="87">
        <f>L39</f>
        <v>1</v>
      </c>
      <c r="S39" s="90">
        <f>'Subgrantee Budget'!N51</f>
        <v>151365.0384615385</v>
      </c>
      <c r="T39" s="90">
        <f>Q39*S39*R39*F39</f>
        <v>151365.0384615385</v>
      </c>
      <c r="U39" s="90">
        <f>'Subgrantee Budget'!O51</f>
        <v>116576</v>
      </c>
      <c r="V39" s="167">
        <f>'Subgrantee Budget'!P51</f>
        <v>34789.038461538461</v>
      </c>
      <c r="W39" s="188">
        <f>I39+O39+U39</f>
        <v>355574.07692307694</v>
      </c>
      <c r="X39" s="90">
        <f>J39+P39+V39</f>
        <v>107096.73076923078</v>
      </c>
      <c r="Y39" s="167">
        <f>W39+X39</f>
        <v>462670.80769230775</v>
      </c>
      <c r="Z39" s="184">
        <f t="shared" si="10"/>
        <v>0</v>
      </c>
      <c r="AA39" s="149">
        <f t="shared" si="11"/>
        <v>0</v>
      </c>
      <c r="AB39" s="149">
        <f t="shared" si="11"/>
        <v>0</v>
      </c>
      <c r="AC39" s="149"/>
      <c r="AD39" s="149"/>
      <c r="AE39" s="149"/>
      <c r="AF39" s="149"/>
    </row>
    <row r="40" spans="1:32" ht="24.6" x14ac:dyDescent="0.3">
      <c r="A40" s="202"/>
      <c r="B40" s="210" t="s">
        <v>273</v>
      </c>
      <c r="C40" s="87">
        <v>10</v>
      </c>
      <c r="D40" s="193" t="s">
        <v>272</v>
      </c>
      <c r="E40" s="87">
        <v>12</v>
      </c>
      <c r="F40" s="86">
        <v>1</v>
      </c>
      <c r="G40" s="90">
        <f>3000/$G$3</f>
        <v>46.153846153846153</v>
      </c>
      <c r="H40" s="91">
        <f>C40*G40*E40</f>
        <v>5538.461538461539</v>
      </c>
      <c r="I40" s="90">
        <v>0</v>
      </c>
      <c r="J40" s="167">
        <f>H40-I40</f>
        <v>5538.461538461539</v>
      </c>
      <c r="K40" s="166">
        <f>C40</f>
        <v>10</v>
      </c>
      <c r="L40" s="87">
        <f>E40</f>
        <v>12</v>
      </c>
      <c r="M40" s="90">
        <f>G40*1.05</f>
        <v>48.46153846153846</v>
      </c>
      <c r="N40" s="91">
        <f>6*E40*F40*G40</f>
        <v>3323.0769230769229</v>
      </c>
      <c r="O40" s="90">
        <v>0</v>
      </c>
      <c r="P40" s="167">
        <f>N40-O40</f>
        <v>3323.0769230769229</v>
      </c>
      <c r="Q40" s="166">
        <f>K40</f>
        <v>10</v>
      </c>
      <c r="R40" s="87">
        <f>L40</f>
        <v>12</v>
      </c>
      <c r="S40" s="90">
        <f>M40*1.05</f>
        <v>50.884615384615387</v>
      </c>
      <c r="T40" s="91">
        <f>4*E40*F40*G40</f>
        <v>2215.3846153846152</v>
      </c>
      <c r="U40" s="90">
        <v>0</v>
      </c>
      <c r="V40" s="167">
        <f>T40-U40</f>
        <v>2215.3846153846152</v>
      </c>
      <c r="W40" s="188">
        <f>I40+O40+U40</f>
        <v>0</v>
      </c>
      <c r="X40" s="90">
        <f>J40+P40+V40</f>
        <v>11076.923076923076</v>
      </c>
      <c r="Y40" s="167">
        <f>W40+X40</f>
        <v>11076.923076923076</v>
      </c>
      <c r="Z40" s="184">
        <f t="shared" si="10"/>
        <v>0</v>
      </c>
      <c r="AA40" s="149">
        <f t="shared" si="11"/>
        <v>0</v>
      </c>
      <c r="AB40" s="149">
        <f t="shared" si="11"/>
        <v>0</v>
      </c>
      <c r="AC40" s="149"/>
      <c r="AD40" s="149"/>
      <c r="AE40" s="149"/>
      <c r="AF40" s="149"/>
    </row>
    <row r="41" spans="1:32" s="92" customFormat="1" ht="13.2" x14ac:dyDescent="0.3">
      <c r="A41" s="153"/>
      <c r="B41" s="211" t="s">
        <v>274</v>
      </c>
      <c r="C41" s="84"/>
      <c r="D41" s="84"/>
      <c r="E41" s="113"/>
      <c r="F41" s="94"/>
      <c r="G41" s="113"/>
      <c r="H41" s="95">
        <f>SUM(H39:H40)</f>
        <v>160213.84615384616</v>
      </c>
      <c r="I41" s="95">
        <f t="shared" ref="I41:Y41" si="22">SUM(I39:I40)</f>
        <v>125290.76923076923</v>
      </c>
      <c r="J41" s="169">
        <f t="shared" si="22"/>
        <v>34923.076923076922</v>
      </c>
      <c r="K41" s="175"/>
      <c r="L41" s="95"/>
      <c r="M41" s="95">
        <f t="shared" si="22"/>
        <v>156678.84615384616</v>
      </c>
      <c r="N41" s="95">
        <f t="shared" si="22"/>
        <v>159953.46153846156</v>
      </c>
      <c r="O41" s="95">
        <f t="shared" si="22"/>
        <v>113707.3076923077</v>
      </c>
      <c r="P41" s="169">
        <f t="shared" si="22"/>
        <v>46246.153846153844</v>
      </c>
      <c r="Q41" s="175"/>
      <c r="R41" s="95"/>
      <c r="S41" s="95">
        <f t="shared" si="22"/>
        <v>151415.92307692312</v>
      </c>
      <c r="T41" s="95">
        <f t="shared" si="22"/>
        <v>153580.42307692312</v>
      </c>
      <c r="U41" s="95">
        <f t="shared" si="22"/>
        <v>116576</v>
      </c>
      <c r="V41" s="169">
        <f t="shared" si="22"/>
        <v>37004.423076923078</v>
      </c>
      <c r="W41" s="175">
        <f t="shared" si="22"/>
        <v>355574.07692307694</v>
      </c>
      <c r="X41" s="95">
        <f t="shared" si="22"/>
        <v>118173.65384615386</v>
      </c>
      <c r="Y41" s="169">
        <f t="shared" si="22"/>
        <v>473747.73076923081</v>
      </c>
      <c r="Z41" s="184">
        <f t="shared" si="10"/>
        <v>0</v>
      </c>
      <c r="AA41" s="149">
        <f t="shared" si="11"/>
        <v>0</v>
      </c>
      <c r="AB41" s="149">
        <f t="shared" si="11"/>
        <v>0</v>
      </c>
      <c r="AC41" s="230"/>
      <c r="AD41" s="230"/>
      <c r="AE41" s="230"/>
      <c r="AF41" s="149"/>
    </row>
    <row r="42" spans="1:32" x14ac:dyDescent="0.25">
      <c r="A42" s="202"/>
      <c r="B42" s="212" t="s">
        <v>217</v>
      </c>
      <c r="C42" s="108"/>
      <c r="D42" s="108"/>
      <c r="E42" s="100"/>
      <c r="F42" s="114"/>
      <c r="G42" s="100"/>
      <c r="H42" s="115"/>
      <c r="I42" s="108"/>
      <c r="J42" s="174"/>
      <c r="K42" s="176"/>
      <c r="L42" s="108"/>
      <c r="M42" s="100"/>
      <c r="N42" s="115"/>
      <c r="O42" s="108"/>
      <c r="P42" s="174"/>
      <c r="Q42" s="176"/>
      <c r="R42" s="108"/>
      <c r="S42" s="100"/>
      <c r="T42" s="115"/>
      <c r="U42" s="108"/>
      <c r="V42" s="174"/>
      <c r="W42" s="176"/>
      <c r="X42" s="108"/>
      <c r="Y42" s="189"/>
      <c r="Z42" s="184">
        <f t="shared" si="10"/>
        <v>0</v>
      </c>
      <c r="AA42" s="149">
        <f t="shared" si="11"/>
        <v>0</v>
      </c>
      <c r="AB42" s="149">
        <f t="shared" si="11"/>
        <v>0</v>
      </c>
    </row>
    <row r="43" spans="1:32" ht="13.2" x14ac:dyDescent="0.3">
      <c r="A43" s="202"/>
      <c r="B43" s="210" t="s">
        <v>275</v>
      </c>
      <c r="C43" s="87">
        <v>1</v>
      </c>
      <c r="D43" s="105" t="s">
        <v>276</v>
      </c>
      <c r="E43" s="87">
        <v>1</v>
      </c>
      <c r="F43" s="86">
        <v>1</v>
      </c>
      <c r="G43" s="90">
        <f>60000/$G$3</f>
        <v>923.07692307692309</v>
      </c>
      <c r="H43" s="90">
        <f t="shared" ref="H43:H50" si="23">C43*G43*E43*F43</f>
        <v>923.07692307692309</v>
      </c>
      <c r="I43" s="90">
        <f>H43</f>
        <v>923.07692307692309</v>
      </c>
      <c r="J43" s="167">
        <f t="shared" ref="J43:J48" si="24">H43-I43</f>
        <v>0</v>
      </c>
      <c r="K43" s="166">
        <f>C43</f>
        <v>1</v>
      </c>
      <c r="L43" s="87">
        <v>1</v>
      </c>
      <c r="M43" s="90">
        <v>922.5</v>
      </c>
      <c r="N43" s="90">
        <f>K43*M43*L43*F43</f>
        <v>922.5</v>
      </c>
      <c r="O43" s="90">
        <f>N43</f>
        <v>922.5</v>
      </c>
      <c r="P43" s="167">
        <f t="shared" ref="P43:P50" si="25">N43-O43</f>
        <v>0</v>
      </c>
      <c r="Q43" s="166">
        <f>K43</f>
        <v>1</v>
      </c>
      <c r="R43" s="87">
        <f>L43</f>
        <v>1</v>
      </c>
      <c r="S43" s="223">
        <v>11385</v>
      </c>
      <c r="T43" s="90">
        <f>Q43*S43*R43*F43</f>
        <v>11385</v>
      </c>
      <c r="U43" s="90">
        <f>T43</f>
        <v>11385</v>
      </c>
      <c r="V43" s="167">
        <f>T43-U43</f>
        <v>0</v>
      </c>
      <c r="W43" s="188">
        <f t="shared" ref="W43:X50" si="26">I43+O43+U43</f>
        <v>13230.576923076924</v>
      </c>
      <c r="X43" s="90">
        <f t="shared" si="26"/>
        <v>0</v>
      </c>
      <c r="Y43" s="167">
        <f t="shared" ref="Y43:Y50" si="27">W43+X43</f>
        <v>13230.576923076924</v>
      </c>
      <c r="Z43" s="184">
        <f t="shared" si="10"/>
        <v>0</v>
      </c>
      <c r="AA43" s="149">
        <f t="shared" si="11"/>
        <v>0</v>
      </c>
      <c r="AB43" s="149">
        <f t="shared" si="11"/>
        <v>0</v>
      </c>
      <c r="AC43" s="149"/>
      <c r="AD43" s="149"/>
      <c r="AE43" s="149"/>
      <c r="AF43" s="149"/>
    </row>
    <row r="44" spans="1:32" ht="13.2" x14ac:dyDescent="0.3">
      <c r="A44" s="202"/>
      <c r="B44" s="210" t="s">
        <v>278</v>
      </c>
      <c r="C44" s="87">
        <v>1</v>
      </c>
      <c r="D44" s="111" t="s">
        <v>272</v>
      </c>
      <c r="E44" s="87">
        <v>1</v>
      </c>
      <c r="F44" s="86">
        <v>1</v>
      </c>
      <c r="G44" s="90">
        <f>40000/$G$3</f>
        <v>615.38461538461536</v>
      </c>
      <c r="H44" s="90">
        <f t="shared" si="23"/>
        <v>615.38461538461536</v>
      </c>
      <c r="I44" s="90">
        <f>H44</f>
        <v>615.38461538461536</v>
      </c>
      <c r="J44" s="167">
        <f t="shared" si="24"/>
        <v>0</v>
      </c>
      <c r="K44" s="166"/>
      <c r="L44" s="87"/>
      <c r="M44" s="90">
        <v>0</v>
      </c>
      <c r="N44" s="90">
        <v>0</v>
      </c>
      <c r="O44" s="90">
        <f>N44</f>
        <v>0</v>
      </c>
      <c r="P44" s="167">
        <f t="shared" si="25"/>
        <v>0</v>
      </c>
      <c r="Q44" s="166"/>
      <c r="R44" s="87"/>
      <c r="S44" s="90">
        <v>0</v>
      </c>
      <c r="T44" s="90">
        <v>0</v>
      </c>
      <c r="U44" s="90">
        <f>T44</f>
        <v>0</v>
      </c>
      <c r="V44" s="167">
        <v>0</v>
      </c>
      <c r="W44" s="188">
        <f t="shared" si="26"/>
        <v>615.38461538461536</v>
      </c>
      <c r="X44" s="90">
        <f t="shared" si="26"/>
        <v>0</v>
      </c>
      <c r="Y44" s="167">
        <f t="shared" si="27"/>
        <v>615.38461538461536</v>
      </c>
      <c r="Z44" s="184">
        <f t="shared" si="10"/>
        <v>0</v>
      </c>
      <c r="AA44" s="149">
        <f t="shared" si="11"/>
        <v>0</v>
      </c>
      <c r="AB44" s="149">
        <f t="shared" si="11"/>
        <v>0</v>
      </c>
      <c r="AC44" s="149"/>
      <c r="AD44" s="149"/>
      <c r="AE44" s="149"/>
      <c r="AF44" s="149"/>
    </row>
    <row r="45" spans="1:32" ht="13.2" x14ac:dyDescent="0.3">
      <c r="A45" s="202"/>
      <c r="B45" s="210" t="s">
        <v>279</v>
      </c>
      <c r="C45" s="87">
        <v>1</v>
      </c>
      <c r="D45" s="112" t="s">
        <v>280</v>
      </c>
      <c r="E45" s="87">
        <v>1</v>
      </c>
      <c r="F45" s="86">
        <v>1</v>
      </c>
      <c r="G45" s="90">
        <f>30000/$G$3</f>
        <v>461.53846153846155</v>
      </c>
      <c r="H45" s="90">
        <f t="shared" si="23"/>
        <v>461.53846153846155</v>
      </c>
      <c r="I45" s="90">
        <f>H45</f>
        <v>461.53846153846155</v>
      </c>
      <c r="J45" s="167">
        <f t="shared" si="24"/>
        <v>0</v>
      </c>
      <c r="K45" s="166"/>
      <c r="L45" s="87"/>
      <c r="M45" s="90">
        <v>0</v>
      </c>
      <c r="N45" s="90">
        <v>0</v>
      </c>
      <c r="O45" s="90">
        <f>N45</f>
        <v>0</v>
      </c>
      <c r="P45" s="167">
        <f t="shared" si="25"/>
        <v>0</v>
      </c>
      <c r="Q45" s="166"/>
      <c r="R45" s="87"/>
      <c r="S45" s="90">
        <v>0</v>
      </c>
      <c r="T45" s="90">
        <v>0</v>
      </c>
      <c r="U45" s="90">
        <f>T45</f>
        <v>0</v>
      </c>
      <c r="V45" s="167">
        <v>0</v>
      </c>
      <c r="W45" s="188">
        <f t="shared" si="26"/>
        <v>461.53846153846155</v>
      </c>
      <c r="X45" s="90">
        <f t="shared" si="26"/>
        <v>0</v>
      </c>
      <c r="Y45" s="167">
        <f t="shared" si="27"/>
        <v>461.53846153846155</v>
      </c>
      <c r="Z45" s="184">
        <f t="shared" si="10"/>
        <v>0</v>
      </c>
      <c r="AA45" s="149">
        <f t="shared" si="11"/>
        <v>0</v>
      </c>
      <c r="AB45" s="149">
        <f t="shared" si="11"/>
        <v>0</v>
      </c>
      <c r="AC45" s="149"/>
      <c r="AD45" s="149"/>
      <c r="AE45" s="149"/>
      <c r="AF45" s="149"/>
    </row>
    <row r="46" spans="1:32" ht="13.2" x14ac:dyDescent="0.3">
      <c r="A46" s="202"/>
      <c r="B46" s="210" t="s">
        <v>281</v>
      </c>
      <c r="C46" s="87">
        <v>1</v>
      </c>
      <c r="D46" s="87" t="s">
        <v>264</v>
      </c>
      <c r="E46" s="87">
        <v>12</v>
      </c>
      <c r="F46" s="86">
        <v>1</v>
      </c>
      <c r="G46" s="90">
        <f>15750/$G$3</f>
        <v>242.30769230769232</v>
      </c>
      <c r="H46" s="90">
        <f t="shared" si="23"/>
        <v>2907.6923076923076</v>
      </c>
      <c r="I46" s="90">
        <f>H46</f>
        <v>2907.6923076923076</v>
      </c>
      <c r="J46" s="167">
        <f t="shared" si="24"/>
        <v>0</v>
      </c>
      <c r="K46" s="166">
        <f>C46</f>
        <v>1</v>
      </c>
      <c r="L46" s="87">
        <f>E46</f>
        <v>12</v>
      </c>
      <c r="M46" s="90">
        <f>G46*1.05</f>
        <v>254.42307692307693</v>
      </c>
      <c r="N46" s="90">
        <f>K46*M46*L46*F46</f>
        <v>3053.0769230769233</v>
      </c>
      <c r="O46" s="90">
        <f>N46</f>
        <v>3053.0769230769233</v>
      </c>
      <c r="P46" s="167">
        <f t="shared" si="25"/>
        <v>0</v>
      </c>
      <c r="Q46" s="166">
        <f t="shared" ref="Q46:R50" si="28">K46</f>
        <v>1</v>
      </c>
      <c r="R46" s="87">
        <f t="shared" si="28"/>
        <v>12</v>
      </c>
      <c r="S46" s="90">
        <f>M46*1.05</f>
        <v>267.14423076923077</v>
      </c>
      <c r="T46" s="90">
        <f>Q46*S46*R46*F46</f>
        <v>3205.7307692307695</v>
      </c>
      <c r="U46" s="90">
        <f>T46</f>
        <v>3205.7307692307695</v>
      </c>
      <c r="V46" s="167">
        <f>T46-U46</f>
        <v>0</v>
      </c>
      <c r="W46" s="188">
        <f t="shared" si="26"/>
        <v>9166.5</v>
      </c>
      <c r="X46" s="90">
        <f t="shared" si="26"/>
        <v>0</v>
      </c>
      <c r="Y46" s="167">
        <f t="shared" si="27"/>
        <v>9166.5</v>
      </c>
      <c r="Z46" s="184">
        <f t="shared" si="10"/>
        <v>0</v>
      </c>
      <c r="AA46" s="149">
        <f t="shared" si="11"/>
        <v>0</v>
      </c>
      <c r="AB46" s="149">
        <f t="shared" si="11"/>
        <v>0</v>
      </c>
      <c r="AC46" s="149"/>
      <c r="AD46" s="149"/>
      <c r="AE46" s="149"/>
      <c r="AF46" s="149"/>
    </row>
    <row r="47" spans="1:32" ht="13.2" x14ac:dyDescent="0.3">
      <c r="A47" s="202"/>
      <c r="B47" s="215" t="s">
        <v>282</v>
      </c>
      <c r="C47" s="87">
        <v>1</v>
      </c>
      <c r="D47" s="87" t="s">
        <v>264</v>
      </c>
      <c r="E47" s="87">
        <v>12</v>
      </c>
      <c r="F47" s="86">
        <v>1</v>
      </c>
      <c r="G47" s="90">
        <f>70026.5/$G$3</f>
        <v>1077.3307692307692</v>
      </c>
      <c r="H47" s="90">
        <f t="shared" si="23"/>
        <v>12927.969230769231</v>
      </c>
      <c r="I47" s="90">
        <f>H47</f>
        <v>12927.969230769231</v>
      </c>
      <c r="J47" s="167">
        <f t="shared" si="24"/>
        <v>0</v>
      </c>
      <c r="K47" s="166">
        <f>C47</f>
        <v>1</v>
      </c>
      <c r="L47" s="87">
        <f>E47</f>
        <v>12</v>
      </c>
      <c r="M47" s="90">
        <f>G47*1.05</f>
        <v>1131.1973076923077</v>
      </c>
      <c r="N47" s="90">
        <f>K47*M47*L47*F47</f>
        <v>13574.367692307693</v>
      </c>
      <c r="O47" s="90">
        <f>N47</f>
        <v>13574.367692307693</v>
      </c>
      <c r="P47" s="167">
        <f t="shared" si="25"/>
        <v>0</v>
      </c>
      <c r="Q47" s="166">
        <f t="shared" si="28"/>
        <v>1</v>
      </c>
      <c r="R47" s="87">
        <f t="shared" si="28"/>
        <v>12</v>
      </c>
      <c r="S47" s="90">
        <f>M47*1.05</f>
        <v>1187.7571730769232</v>
      </c>
      <c r="T47" s="90">
        <f>Q47*S47*R47*F47</f>
        <v>14253.086076923079</v>
      </c>
      <c r="U47" s="90">
        <f>T47</f>
        <v>14253.086076923079</v>
      </c>
      <c r="V47" s="167">
        <f>T47-U47</f>
        <v>0</v>
      </c>
      <c r="W47" s="188">
        <f t="shared" si="26"/>
        <v>40755.423000000003</v>
      </c>
      <c r="X47" s="90">
        <f t="shared" si="26"/>
        <v>0</v>
      </c>
      <c r="Y47" s="167">
        <f t="shared" si="27"/>
        <v>40755.423000000003</v>
      </c>
      <c r="Z47" s="184">
        <f t="shared" si="10"/>
        <v>0</v>
      </c>
      <c r="AA47" s="149">
        <f t="shared" si="11"/>
        <v>0</v>
      </c>
      <c r="AB47" s="149">
        <f t="shared" si="11"/>
        <v>0</v>
      </c>
      <c r="AC47" s="149"/>
      <c r="AD47" s="149"/>
      <c r="AE47" s="149"/>
      <c r="AF47" s="149"/>
    </row>
    <row r="48" spans="1:32" ht="13.2" x14ac:dyDescent="0.3">
      <c r="A48" s="202"/>
      <c r="B48" s="210" t="s">
        <v>283</v>
      </c>
      <c r="C48" s="87">
        <v>1</v>
      </c>
      <c r="D48" s="87" t="s">
        <v>264</v>
      </c>
      <c r="E48" s="87">
        <v>12</v>
      </c>
      <c r="F48" s="89">
        <v>1</v>
      </c>
      <c r="G48" s="223">
        <f>'[1]Completed Example Fair Share'!$D$50</f>
        <v>90.25</v>
      </c>
      <c r="H48" s="223">
        <f t="shared" si="23"/>
        <v>1083</v>
      </c>
      <c r="I48" s="223">
        <f>'[2]Completed Example Fair Share'!$I$50</f>
        <v>851.28</v>
      </c>
      <c r="J48" s="224">
        <f t="shared" si="24"/>
        <v>231.72000000000003</v>
      </c>
      <c r="K48" s="166">
        <f>C48</f>
        <v>1</v>
      </c>
      <c r="L48" s="87">
        <f>E48</f>
        <v>12</v>
      </c>
      <c r="M48" s="223">
        <f>G48*$M$3</f>
        <v>123.5603725</v>
      </c>
      <c r="N48" s="223">
        <f>K48*M48*L48*F48</f>
        <v>1482.7244700000001</v>
      </c>
      <c r="O48" s="225">
        <f>I48*$O$3</f>
        <v>1106.578872</v>
      </c>
      <c r="P48" s="224">
        <f t="shared" si="25"/>
        <v>376.14559800000006</v>
      </c>
      <c r="Q48" s="166">
        <f t="shared" si="28"/>
        <v>1</v>
      </c>
      <c r="R48" s="87">
        <f t="shared" si="28"/>
        <v>12</v>
      </c>
      <c r="S48" s="223">
        <f>M48</f>
        <v>123.5603725</v>
      </c>
      <c r="T48" s="223">
        <f>Q48*S48*R48*F48</f>
        <v>1482.7244700000001</v>
      </c>
      <c r="U48" s="225">
        <f>O48+(O48*$U$3)</f>
        <v>1055.9971517608801</v>
      </c>
      <c r="V48" s="224">
        <f>T48-U48</f>
        <v>426.72731823912</v>
      </c>
      <c r="W48" s="226">
        <f t="shared" si="26"/>
        <v>3013.8560237608799</v>
      </c>
      <c r="X48" s="223">
        <f t="shared" si="26"/>
        <v>1034.5929162391201</v>
      </c>
      <c r="Y48" s="224">
        <f t="shared" si="27"/>
        <v>4048.4489400000002</v>
      </c>
      <c r="Z48" s="184">
        <f t="shared" si="10"/>
        <v>0</v>
      </c>
      <c r="AA48" s="149">
        <f t="shared" si="11"/>
        <v>0</v>
      </c>
      <c r="AB48" s="149">
        <f t="shared" si="11"/>
        <v>0</v>
      </c>
      <c r="AC48" s="149"/>
      <c r="AD48" s="149"/>
      <c r="AE48" s="149"/>
      <c r="AF48" s="149"/>
    </row>
    <row r="49" spans="1:32" ht="24.6" x14ac:dyDescent="0.3">
      <c r="A49" s="202"/>
      <c r="B49" s="210" t="s">
        <v>284</v>
      </c>
      <c r="C49" s="87">
        <v>1</v>
      </c>
      <c r="D49" s="87" t="s">
        <v>264</v>
      </c>
      <c r="E49" s="87">
        <v>12</v>
      </c>
      <c r="F49" s="89">
        <v>1</v>
      </c>
      <c r="G49" s="223">
        <f>'[1]Completed Example Fair Share'!$D$57+'[1]Completed Example Fair Share'!$D$58</f>
        <v>67.559999999999988</v>
      </c>
      <c r="H49" s="223">
        <f>C49*G49*E49*F49</f>
        <v>810.7199999999998</v>
      </c>
      <c r="I49" s="223">
        <f>'[2]Completed Example Fair Share'!$I$57+'[2]Completed Example Fair Share'!$I$58</f>
        <v>805.31999999999994</v>
      </c>
      <c r="J49" s="224">
        <f>H49-I49</f>
        <v>5.3999999999998636</v>
      </c>
      <c r="K49" s="166">
        <f>C49</f>
        <v>1</v>
      </c>
      <c r="L49" s="87">
        <f>E49</f>
        <v>12</v>
      </c>
      <c r="M49" s="223">
        <f>G49*$M$3</f>
        <v>92.495720399999982</v>
      </c>
      <c r="N49" s="223">
        <f>K49*M49*L49*F49</f>
        <v>1109.9486447999998</v>
      </c>
      <c r="O49" s="225">
        <f>I49*$O$3</f>
        <v>1046.835468</v>
      </c>
      <c r="P49" s="224">
        <f t="shared" si="25"/>
        <v>63.113176799999792</v>
      </c>
      <c r="Q49" s="166">
        <f>K49</f>
        <v>1</v>
      </c>
      <c r="R49" s="87">
        <f>L49</f>
        <v>12</v>
      </c>
      <c r="S49" s="223">
        <f>M49</f>
        <v>92.495720399999982</v>
      </c>
      <c r="T49" s="223">
        <f>Q49*S49*R49*F49</f>
        <v>1109.9486447999998</v>
      </c>
      <c r="U49" s="225">
        <f>O49+(O49*$U$3)</f>
        <v>998.98461875772</v>
      </c>
      <c r="V49" s="224">
        <f>T49-U49</f>
        <v>110.96402604227978</v>
      </c>
      <c r="W49" s="226">
        <f>I49+O49+U49</f>
        <v>2851.1400867577199</v>
      </c>
      <c r="X49" s="223">
        <f>J49+P49+V49</f>
        <v>179.47720284227944</v>
      </c>
      <c r="Y49" s="224">
        <f>W49+X49</f>
        <v>3030.6172895999994</v>
      </c>
      <c r="Z49" s="184">
        <f t="shared" si="10"/>
        <v>0</v>
      </c>
      <c r="AA49" s="149">
        <f t="shared" si="11"/>
        <v>0</v>
      </c>
      <c r="AB49" s="149">
        <f t="shared" si="11"/>
        <v>0</v>
      </c>
      <c r="AC49" s="149"/>
      <c r="AD49" s="149"/>
      <c r="AE49" s="149"/>
      <c r="AF49" s="149"/>
    </row>
    <row r="50" spans="1:32" ht="28.5" customHeight="1" x14ac:dyDescent="0.3">
      <c r="A50" s="202"/>
      <c r="B50" s="210" t="s">
        <v>285</v>
      </c>
      <c r="C50" s="87">
        <v>4</v>
      </c>
      <c r="D50" s="87" t="s">
        <v>286</v>
      </c>
      <c r="E50" s="87">
        <v>12</v>
      </c>
      <c r="F50" s="89">
        <v>1</v>
      </c>
      <c r="G50" s="223">
        <f>'[4]Completed Example Fair Share'!$D$59</f>
        <v>86.29</v>
      </c>
      <c r="H50" s="223">
        <f t="shared" si="23"/>
        <v>4141.92</v>
      </c>
      <c r="I50" s="223">
        <f>H50</f>
        <v>4141.92</v>
      </c>
      <c r="J50" s="224">
        <f>H50-I50</f>
        <v>0</v>
      </c>
      <c r="K50" s="166">
        <f>C50</f>
        <v>4</v>
      </c>
      <c r="L50" s="87">
        <f>E50</f>
        <v>12</v>
      </c>
      <c r="M50" s="223">
        <f>G50*$M$3</f>
        <v>118.1387761</v>
      </c>
      <c r="N50" s="223">
        <f>K50*M50*L50*F50</f>
        <v>5670.6612528000005</v>
      </c>
      <c r="O50" s="225">
        <f>I50*$O$3</f>
        <v>5384.0818079999999</v>
      </c>
      <c r="P50" s="224">
        <f t="shared" si="25"/>
        <v>286.5794448000006</v>
      </c>
      <c r="Q50" s="166">
        <f t="shared" si="28"/>
        <v>4</v>
      </c>
      <c r="R50" s="87">
        <f t="shared" si="28"/>
        <v>12</v>
      </c>
      <c r="S50" s="223">
        <f>M50</f>
        <v>118.1387761</v>
      </c>
      <c r="T50" s="223">
        <f>Q50*S50*R50*F50</f>
        <v>5670.6612528000005</v>
      </c>
      <c r="U50" s="225">
        <f>O50+(O50*$U$3)</f>
        <v>5137.9754285563195</v>
      </c>
      <c r="V50" s="224">
        <f>T50-U50</f>
        <v>532.68582424368105</v>
      </c>
      <c r="W50" s="226">
        <f t="shared" si="26"/>
        <v>14663.97723655632</v>
      </c>
      <c r="X50" s="223">
        <f>J50+P50+V50</f>
        <v>819.26526904368166</v>
      </c>
      <c r="Y50" s="224">
        <f t="shared" si="27"/>
        <v>15483.242505600003</v>
      </c>
      <c r="Z50" s="184">
        <f t="shared" si="10"/>
        <v>0</v>
      </c>
      <c r="AA50" s="149">
        <f t="shared" si="11"/>
        <v>0</v>
      </c>
      <c r="AB50" s="149">
        <f t="shared" si="11"/>
        <v>0</v>
      </c>
      <c r="AC50" s="149"/>
      <c r="AD50" s="149">
        <f>533+287</f>
        <v>820</v>
      </c>
      <c r="AE50" s="149"/>
      <c r="AF50" s="149"/>
    </row>
    <row r="51" spans="1:32" s="92" customFormat="1" ht="13.2" x14ac:dyDescent="0.3">
      <c r="A51" s="153"/>
      <c r="B51" s="211" t="s">
        <v>287</v>
      </c>
      <c r="C51" s="84"/>
      <c r="D51" s="84"/>
      <c r="E51" s="113"/>
      <c r="F51" s="94"/>
      <c r="G51" s="113"/>
      <c r="H51" s="95">
        <f t="shared" ref="H51:Y51" si="29">SUM(H43:H50)</f>
        <v>23871.301538461543</v>
      </c>
      <c r="I51" s="95">
        <f t="shared" si="29"/>
        <v>23634.18153846154</v>
      </c>
      <c r="J51" s="169">
        <f t="shared" si="29"/>
        <v>237.11999999999989</v>
      </c>
      <c r="K51" s="175"/>
      <c r="L51" s="95"/>
      <c r="M51" s="95">
        <f t="shared" si="29"/>
        <v>2642.3152536153852</v>
      </c>
      <c r="N51" s="95">
        <f t="shared" si="29"/>
        <v>25813.278982984615</v>
      </c>
      <c r="O51" s="95">
        <f t="shared" si="29"/>
        <v>25087.440763384613</v>
      </c>
      <c r="P51" s="169">
        <f t="shared" si="29"/>
        <v>725.83821960000046</v>
      </c>
      <c r="Q51" s="175"/>
      <c r="R51" s="95"/>
      <c r="S51" s="95">
        <f t="shared" si="29"/>
        <v>13174.096272846155</v>
      </c>
      <c r="T51" s="95">
        <f t="shared" si="29"/>
        <v>37107.151213753852</v>
      </c>
      <c r="U51" s="95">
        <f t="shared" si="29"/>
        <v>36036.774045228769</v>
      </c>
      <c r="V51" s="169">
        <f t="shared" si="29"/>
        <v>1070.3771685250808</v>
      </c>
      <c r="W51" s="175">
        <f t="shared" si="29"/>
        <v>84758.39634707493</v>
      </c>
      <c r="X51" s="95">
        <f t="shared" si="29"/>
        <v>2033.3353881250812</v>
      </c>
      <c r="Y51" s="169">
        <f t="shared" si="29"/>
        <v>86791.73173520001</v>
      </c>
      <c r="Z51" s="184">
        <f t="shared" si="10"/>
        <v>0</v>
      </c>
      <c r="AA51" s="149">
        <f t="shared" si="11"/>
        <v>0</v>
      </c>
      <c r="AB51" s="149">
        <f t="shared" si="11"/>
        <v>0</v>
      </c>
      <c r="AC51" s="230"/>
      <c r="AD51" s="232"/>
      <c r="AE51" s="230"/>
      <c r="AF51" s="149"/>
    </row>
    <row r="52" spans="1:32" x14ac:dyDescent="0.25">
      <c r="A52" s="203"/>
      <c r="B52" s="216" t="s">
        <v>218</v>
      </c>
      <c r="C52" s="116"/>
      <c r="D52" s="116"/>
      <c r="E52" s="116"/>
      <c r="F52" s="117"/>
      <c r="G52" s="116"/>
      <c r="H52" s="118">
        <f>H12+H26+H33+H37+H41+H51</f>
        <v>243345.80110308348</v>
      </c>
      <c r="I52" s="118">
        <f>I12+I26+I33+I37+I41+I51</f>
        <v>204375.5387434538</v>
      </c>
      <c r="J52" s="178">
        <f>J12+J26+J33+J37+J41+J51</f>
        <v>38970.26235962964</v>
      </c>
      <c r="K52" s="177"/>
      <c r="L52" s="116"/>
      <c r="M52" s="116"/>
      <c r="N52" s="118">
        <f>N12+N26+N33+N37+N41+N51</f>
        <v>255236.71310236474</v>
      </c>
      <c r="O52" s="118">
        <f>O12+O26+O33+O37+O41+O51</f>
        <v>201944.72456201049</v>
      </c>
      <c r="P52" s="178">
        <f>P12+P26+P33+P37+P41+P51</f>
        <v>53291.988540354258</v>
      </c>
      <c r="Q52" s="177"/>
      <c r="R52" s="116"/>
      <c r="S52" s="116"/>
      <c r="T52" s="118">
        <f t="shared" ref="T52:Y52" si="30">T12+T26+T33+T37+T41+T51</f>
        <v>262243.53353743051</v>
      </c>
      <c r="U52" s="118">
        <f t="shared" si="30"/>
        <v>216855.03415355453</v>
      </c>
      <c r="V52" s="178">
        <f t="shared" si="30"/>
        <v>45388.499383875904</v>
      </c>
      <c r="W52" s="190">
        <f t="shared" si="30"/>
        <v>641909.83843399421</v>
      </c>
      <c r="X52" s="118">
        <f t="shared" si="30"/>
        <v>140164.70935288747</v>
      </c>
      <c r="Y52" s="178">
        <f t="shared" si="30"/>
        <v>782074.5477868818</v>
      </c>
      <c r="Z52" s="184">
        <f t="shared" si="10"/>
        <v>-21248.500044003013</v>
      </c>
      <c r="AA52" s="149">
        <f t="shared" si="11"/>
        <v>-18734.540974975331</v>
      </c>
      <c r="AB52" s="149">
        <f t="shared" si="11"/>
        <v>-2513.9590690276818</v>
      </c>
      <c r="AC52" s="230"/>
      <c r="AD52" s="234"/>
    </row>
    <row r="53" spans="1:32" x14ac:dyDescent="0.25">
      <c r="A53" s="204"/>
      <c r="B53" s="208" t="s">
        <v>288</v>
      </c>
      <c r="C53" s="77"/>
      <c r="D53" s="77"/>
      <c r="E53" s="77"/>
      <c r="F53" s="119"/>
      <c r="G53" s="77"/>
      <c r="H53" s="118">
        <v>0</v>
      </c>
      <c r="I53" s="118">
        <v>0</v>
      </c>
      <c r="J53" s="178">
        <v>0</v>
      </c>
      <c r="K53" s="179"/>
      <c r="L53" s="77"/>
      <c r="M53" s="77"/>
      <c r="N53" s="118">
        <v>0</v>
      </c>
      <c r="O53" s="118">
        <v>0</v>
      </c>
      <c r="P53" s="178">
        <v>0</v>
      </c>
      <c r="Q53" s="179"/>
      <c r="R53" s="77"/>
      <c r="S53" s="77"/>
      <c r="T53" s="118">
        <v>0</v>
      </c>
      <c r="U53" s="118">
        <v>0</v>
      </c>
      <c r="V53" s="178">
        <v>0</v>
      </c>
      <c r="W53" s="190">
        <v>0</v>
      </c>
      <c r="X53" s="118">
        <v>0</v>
      </c>
      <c r="Y53" s="178">
        <v>0</v>
      </c>
      <c r="Z53" s="184">
        <f t="shared" si="10"/>
        <v>0</v>
      </c>
      <c r="AA53" s="149">
        <f t="shared" si="11"/>
        <v>0</v>
      </c>
      <c r="AB53" s="149">
        <f t="shared" si="11"/>
        <v>0</v>
      </c>
    </row>
    <row r="54" spans="1:32" x14ac:dyDescent="0.25">
      <c r="A54" s="204"/>
      <c r="B54" s="208" t="s">
        <v>289</v>
      </c>
      <c r="C54" s="77"/>
      <c r="D54" s="77"/>
      <c r="E54" s="77"/>
      <c r="F54" s="119"/>
      <c r="G54" s="77"/>
      <c r="H54" s="118">
        <f>H52-H53</f>
        <v>243345.80110308348</v>
      </c>
      <c r="I54" s="118">
        <f>I52-I53</f>
        <v>204375.5387434538</v>
      </c>
      <c r="J54" s="178">
        <f>J52-J53</f>
        <v>38970.26235962964</v>
      </c>
      <c r="K54" s="179"/>
      <c r="L54" s="77"/>
      <c r="M54" s="77"/>
      <c r="N54" s="118">
        <f>N52-N53</f>
        <v>255236.71310236474</v>
      </c>
      <c r="O54" s="118">
        <f>O52-O53</f>
        <v>201944.72456201049</v>
      </c>
      <c r="P54" s="178">
        <f>P52-P53</f>
        <v>53291.988540354258</v>
      </c>
      <c r="Q54" s="179"/>
      <c r="R54" s="77"/>
      <c r="S54" s="77"/>
      <c r="T54" s="118">
        <f t="shared" ref="T54:Y54" si="31">T52-T53</f>
        <v>262243.53353743051</v>
      </c>
      <c r="U54" s="118">
        <f t="shared" si="31"/>
        <v>216855.03415355453</v>
      </c>
      <c r="V54" s="178">
        <f t="shared" si="31"/>
        <v>45388.499383875904</v>
      </c>
      <c r="W54" s="190">
        <f t="shared" si="31"/>
        <v>641909.83843399421</v>
      </c>
      <c r="X54" s="118">
        <f t="shared" si="31"/>
        <v>140164.70935288747</v>
      </c>
      <c r="Y54" s="178">
        <f t="shared" si="31"/>
        <v>782074.5477868818</v>
      </c>
      <c r="Z54" s="184">
        <f t="shared" si="10"/>
        <v>-21248.500044003013</v>
      </c>
      <c r="AA54" s="149">
        <f t="shared" si="11"/>
        <v>-18734.540974975331</v>
      </c>
      <c r="AB54" s="149">
        <f t="shared" si="11"/>
        <v>-2513.9590690276818</v>
      </c>
    </row>
    <row r="55" spans="1:32" x14ac:dyDescent="0.25">
      <c r="A55" s="204" t="s">
        <v>290</v>
      </c>
      <c r="B55" s="208" t="s">
        <v>346</v>
      </c>
      <c r="C55" s="77"/>
      <c r="D55" s="221">
        <v>0.17879999999999999</v>
      </c>
      <c r="E55" s="77"/>
      <c r="F55" s="119"/>
      <c r="G55" s="77"/>
      <c r="H55" s="118">
        <f>H54*17.88/100</f>
        <v>43510.229237231324</v>
      </c>
      <c r="I55" s="118">
        <f>I54*17.88/100</f>
        <v>36542.346327329542</v>
      </c>
      <c r="J55" s="178">
        <f>J54*17.88/100</f>
        <v>6967.8829099017785</v>
      </c>
      <c r="K55" s="179"/>
      <c r="L55" s="77"/>
      <c r="M55" s="77"/>
      <c r="N55" s="118">
        <f>N54*17.88/100</f>
        <v>45636.324302702815</v>
      </c>
      <c r="O55" s="118">
        <f>O54*17.88/100</f>
        <v>36107.716751687476</v>
      </c>
      <c r="P55" s="118">
        <f>P54*17.88/100</f>
        <v>9528.6075510153405</v>
      </c>
      <c r="Q55" s="179"/>
      <c r="R55" s="77"/>
      <c r="S55" s="77"/>
      <c r="T55" s="118">
        <f>T54*17.88/100</f>
        <v>46889.143796492572</v>
      </c>
      <c r="U55" s="118">
        <f>U54*17.88/100</f>
        <v>38773.680106655549</v>
      </c>
      <c r="V55" s="118">
        <f>V54*17.88/100</f>
        <v>8115.4636898370109</v>
      </c>
      <c r="W55" s="190">
        <f>I55+O55+U55</f>
        <v>111423.74318567256</v>
      </c>
      <c r="X55" s="118">
        <f>J55+P55+V55</f>
        <v>24611.954150754133</v>
      </c>
      <c r="Y55" s="178">
        <f>W55+X55</f>
        <v>136035.6973364267</v>
      </c>
      <c r="Z55" s="184">
        <f t="shared" si="10"/>
        <v>0</v>
      </c>
      <c r="AA55" s="149">
        <f t="shared" si="11"/>
        <v>0</v>
      </c>
      <c r="AB55" s="149">
        <f t="shared" si="11"/>
        <v>0</v>
      </c>
    </row>
    <row r="56" spans="1:32" ht="12.6" thickBot="1" x14ac:dyDescent="0.3">
      <c r="A56" s="204"/>
      <c r="B56" s="217" t="s">
        <v>292</v>
      </c>
      <c r="C56" s="181"/>
      <c r="D56" s="181"/>
      <c r="E56" s="181"/>
      <c r="F56" s="218"/>
      <c r="G56" s="181"/>
      <c r="H56" s="182">
        <f>H55+H52</f>
        <v>286856.03034031478</v>
      </c>
      <c r="I56" s="182">
        <f>I55+I52</f>
        <v>240917.88507078335</v>
      </c>
      <c r="J56" s="183">
        <f>J55+J52</f>
        <v>45938.145269531422</v>
      </c>
      <c r="K56" s="180"/>
      <c r="L56" s="181"/>
      <c r="M56" s="181"/>
      <c r="N56" s="182">
        <f>N55+N52</f>
        <v>300873.03740506753</v>
      </c>
      <c r="O56" s="182">
        <f>O55+O52</f>
        <v>238052.44131369796</v>
      </c>
      <c r="P56" s="183">
        <f>P55+P52</f>
        <v>62820.596091369596</v>
      </c>
      <c r="Q56" s="180"/>
      <c r="R56" s="181"/>
      <c r="S56" s="181"/>
      <c r="T56" s="182">
        <f t="shared" ref="T56:Y56" si="32">T55+T52</f>
        <v>309132.67733392306</v>
      </c>
      <c r="U56" s="182">
        <f t="shared" si="32"/>
        <v>255628.71426021008</v>
      </c>
      <c r="V56" s="183">
        <f t="shared" si="32"/>
        <v>53503.963073712912</v>
      </c>
      <c r="W56" s="191">
        <f t="shared" si="32"/>
        <v>753333.58161966677</v>
      </c>
      <c r="X56" s="182">
        <f t="shared" si="32"/>
        <v>164776.66350364161</v>
      </c>
      <c r="Y56" s="183">
        <f t="shared" si="32"/>
        <v>918110.2451233085</v>
      </c>
      <c r="Z56" s="184">
        <f t="shared" si="10"/>
        <v>-21248.500044003129</v>
      </c>
      <c r="AA56" s="149">
        <f t="shared" si="11"/>
        <v>-18734.540974975447</v>
      </c>
      <c r="AB56" s="149">
        <f t="shared" si="11"/>
        <v>-2513.9590690276818</v>
      </c>
    </row>
    <row r="57" spans="1:32" x14ac:dyDescent="0.25">
      <c r="B57" s="205"/>
      <c r="C57" s="157"/>
      <c r="D57" s="157"/>
      <c r="E57" s="158"/>
      <c r="F57" s="206"/>
      <c r="G57" s="158"/>
      <c r="H57" s="159"/>
      <c r="I57" s="222"/>
      <c r="J57" s="222"/>
      <c r="K57" s="157"/>
      <c r="L57" s="157"/>
      <c r="M57" s="158"/>
      <c r="N57" s="159"/>
      <c r="O57" s="159"/>
      <c r="P57" s="159"/>
      <c r="Q57" s="157"/>
      <c r="R57" s="157"/>
      <c r="S57" s="158"/>
      <c r="T57" s="159"/>
      <c r="U57" s="159"/>
      <c r="V57" s="159"/>
      <c r="W57" s="159"/>
      <c r="X57" s="159"/>
      <c r="Y57" s="159"/>
    </row>
    <row r="58" spans="1:32" hidden="1" x14ac:dyDescent="0.25">
      <c r="H58" s="85"/>
      <c r="I58" s="197"/>
      <c r="J58" s="85"/>
      <c r="N58" s="85"/>
      <c r="O58" s="197"/>
      <c r="P58" s="85"/>
      <c r="T58" s="85"/>
      <c r="U58" s="197"/>
      <c r="V58" s="85"/>
      <c r="W58" s="85"/>
      <c r="X58" s="85"/>
      <c r="Y58" s="85"/>
      <c r="Z58" s="184"/>
      <c r="AA58" s="149"/>
      <c r="AB58" s="149"/>
    </row>
    <row r="59" spans="1:32" hidden="1" x14ac:dyDescent="0.25">
      <c r="F59" s="123"/>
      <c r="H59" s="85"/>
      <c r="I59" s="198"/>
      <c r="J59" s="85"/>
      <c r="K59" s="85"/>
      <c r="L59" s="85"/>
      <c r="N59" s="85"/>
      <c r="O59" s="198"/>
      <c r="P59" s="85"/>
      <c r="Q59" s="85"/>
      <c r="R59" s="85"/>
      <c r="T59" s="85"/>
      <c r="U59" s="198"/>
      <c r="V59" s="85"/>
      <c r="W59" s="85"/>
      <c r="X59" s="85"/>
      <c r="Y59" s="85"/>
      <c r="Z59" s="184"/>
      <c r="AA59" s="149"/>
      <c r="AB59" s="149"/>
    </row>
    <row r="60" spans="1:32" hidden="1" x14ac:dyDescent="0.25"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</row>
    <row r="61" spans="1:32" hidden="1" x14ac:dyDescent="0.25">
      <c r="H61" s="85"/>
      <c r="N61" s="85"/>
      <c r="T61" s="85"/>
    </row>
    <row r="62" spans="1:32" hidden="1" x14ac:dyDescent="0.25">
      <c r="H62" s="85"/>
      <c r="N62" s="85"/>
      <c r="T62" s="85"/>
    </row>
    <row r="63" spans="1:32" hidden="1" x14ac:dyDescent="0.25">
      <c r="H63" s="85"/>
      <c r="N63" s="85"/>
      <c r="O63" s="85"/>
      <c r="P63" s="85"/>
      <c r="T63" s="85"/>
      <c r="U63" s="85"/>
      <c r="V63" s="85"/>
      <c r="X63" s="122"/>
    </row>
    <row r="64" spans="1:32" hidden="1" x14ac:dyDescent="0.25">
      <c r="H64" s="85"/>
      <c r="N64" s="85"/>
      <c r="O64" s="85"/>
      <c r="T64" s="85"/>
      <c r="U64" s="85"/>
      <c r="X64" s="120"/>
    </row>
    <row r="65" spans="8:27" hidden="1" x14ac:dyDescent="0.25">
      <c r="H65" s="85"/>
      <c r="N65" s="219"/>
      <c r="O65" s="219"/>
      <c r="T65" s="219"/>
      <c r="U65" s="219"/>
      <c r="Y65" s="149"/>
    </row>
    <row r="66" spans="8:27" hidden="1" x14ac:dyDescent="0.25">
      <c r="H66" s="85"/>
      <c r="N66" s="85"/>
      <c r="T66" s="85"/>
    </row>
    <row r="67" spans="8:27" hidden="1" x14ac:dyDescent="0.25">
      <c r="N67" s="85"/>
      <c r="AA67" s="199"/>
    </row>
    <row r="68" spans="8:27" hidden="1" x14ac:dyDescent="0.25"/>
    <row r="69" spans="8:27" hidden="1" x14ac:dyDescent="0.25"/>
    <row r="70" spans="8:27" hidden="1" x14ac:dyDescent="0.25"/>
    <row r="71" spans="8:27" hidden="1" x14ac:dyDescent="0.25">
      <c r="H71" s="85"/>
    </row>
    <row r="72" spans="8:27" hidden="1" x14ac:dyDescent="0.25">
      <c r="H72" s="120"/>
      <c r="N72" s="120"/>
      <c r="T72" s="120"/>
    </row>
    <row r="73" spans="8:27" hidden="1" x14ac:dyDescent="0.25">
      <c r="H73" s="85"/>
    </row>
    <row r="74" spans="8:27" x14ac:dyDescent="0.25">
      <c r="H74" s="149"/>
      <c r="I74" s="149"/>
      <c r="J74" s="149"/>
      <c r="N74" s="149"/>
      <c r="O74" s="149"/>
      <c r="P74" s="149"/>
      <c r="T74" s="149"/>
      <c r="U74" s="149"/>
      <c r="V74" s="149"/>
      <c r="W74" s="149"/>
      <c r="X74" s="149"/>
      <c r="Y74" s="149"/>
    </row>
    <row r="76" spans="8:27" x14ac:dyDescent="0.25">
      <c r="H76" s="120"/>
      <c r="N76" s="120"/>
      <c r="T76" s="120"/>
      <c r="Y76" s="120"/>
      <c r="Z76" s="122"/>
    </row>
    <row r="77" spans="8:27" x14ac:dyDescent="0.25">
      <c r="H77" s="120"/>
      <c r="N77" s="120"/>
      <c r="T77" s="120"/>
      <c r="Y77" s="125"/>
    </row>
    <row r="78" spans="8:27" x14ac:dyDescent="0.25">
      <c r="H78" s="120"/>
      <c r="N78" s="120"/>
      <c r="T78" s="120"/>
      <c r="Y78" s="120"/>
      <c r="Z78" s="120"/>
    </row>
    <row r="79" spans="8:27" x14ac:dyDescent="0.25">
      <c r="H79" s="120"/>
      <c r="N79" s="120"/>
      <c r="T79" s="120"/>
      <c r="Y79" s="120"/>
    </row>
    <row r="80" spans="8:27" x14ac:dyDescent="0.25">
      <c r="H80" s="120"/>
      <c r="N80" s="120"/>
      <c r="T80" s="120"/>
      <c r="U80" s="120"/>
      <c r="Y80" s="120"/>
    </row>
    <row r="81" spans="2:25" s="92" customFormat="1" ht="11.4" x14ac:dyDescent="0.2">
      <c r="B81" s="126"/>
      <c r="E81" s="113"/>
      <c r="F81" s="94"/>
      <c r="G81" s="113"/>
      <c r="H81" s="127"/>
      <c r="M81" s="113"/>
      <c r="N81" s="127"/>
      <c r="S81" s="113"/>
      <c r="T81" s="127"/>
      <c r="U81" s="127"/>
      <c r="Y81" s="127"/>
    </row>
    <row r="82" spans="2:25" x14ac:dyDescent="0.25">
      <c r="H82" s="120"/>
      <c r="N82" s="128"/>
      <c r="T82" s="128"/>
      <c r="Y82" s="128"/>
    </row>
    <row r="83" spans="2:25" x14ac:dyDescent="0.25">
      <c r="H83" s="129"/>
      <c r="N83" s="129"/>
      <c r="T83" s="129"/>
      <c r="Y83" s="129"/>
    </row>
    <row r="84" spans="2:25" x14ac:dyDescent="0.25">
      <c r="H84" s="129"/>
    </row>
    <row r="85" spans="2:25" x14ac:dyDescent="0.25">
      <c r="H85" s="120"/>
    </row>
    <row r="87" spans="2:25" x14ac:dyDescent="0.25">
      <c r="H87" s="120"/>
      <c r="N87" s="120"/>
      <c r="T87" s="120"/>
      <c r="Y87" s="120"/>
    </row>
    <row r="88" spans="2:25" x14ac:dyDescent="0.25">
      <c r="H88" s="120"/>
      <c r="N88" s="120"/>
      <c r="T88" s="120"/>
    </row>
    <row r="89" spans="2:25" x14ac:dyDescent="0.25">
      <c r="H89" s="120"/>
      <c r="N89" s="120"/>
      <c r="T89" s="120"/>
    </row>
    <row r="90" spans="2:25" x14ac:dyDescent="0.25">
      <c r="H90" s="120"/>
      <c r="N90" s="120"/>
      <c r="T90" s="120"/>
    </row>
    <row r="91" spans="2:25" x14ac:dyDescent="0.25">
      <c r="H91" s="120"/>
      <c r="N91" s="120"/>
      <c r="T91" s="120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SF424</vt:lpstr>
      <vt:lpstr>SF424A</vt:lpstr>
      <vt:lpstr>Budget Summary</vt:lpstr>
      <vt:lpstr>Line Item Budget</vt:lpstr>
      <vt:lpstr>Subgrantee Budget</vt:lpstr>
      <vt:lpstr>Detailed Budget (2)</vt:lpstr>
      <vt:lpstr>Sheet2</vt:lpstr>
      <vt:lpstr>Detailed Budget (3)</vt:lpstr>
      <vt:lpstr>'Budget Summary'!Print_Area</vt:lpstr>
      <vt:lpstr>'Detailed Budget (2)'!Print_Area</vt:lpstr>
      <vt:lpstr>'Detailed Budget (3)'!Print_Area</vt:lpstr>
      <vt:lpstr>'Line Item Budget'!Print_Area</vt:lpstr>
      <vt:lpstr>'Subgrantee Budget'!Print_Area</vt:lpstr>
      <vt:lpstr>'Detailed Budget (2)'!Print_Titles</vt:lpstr>
      <vt:lpstr>'Detailed Budget (3)'!Print_Titles</vt:lpstr>
      <vt:lpstr>'Line Item Budget'!Print_Titles</vt:lpstr>
    </vt:vector>
  </TitlesOfParts>
  <Manager/>
  <Company>Catholic Relief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Balint, Andrea A</dc:creator>
  <cp:keywords/>
  <dc:description/>
  <cp:lastModifiedBy>Werner, Pauline B</cp:lastModifiedBy>
  <cp:revision/>
  <dcterms:created xsi:type="dcterms:W3CDTF">2009-09-07T09:33:11Z</dcterms:created>
  <dcterms:modified xsi:type="dcterms:W3CDTF">2024-02-29T22:04:33Z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2020-10-19T18:50:13.7744797Z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6dcb8e06-590f-4a46-8d23-881c84c459ea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