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bwillis4\Documents\"/>
    </mc:Choice>
  </mc:AlternateContent>
  <xr:revisionPtr revIDLastSave="0" documentId="13_ncr:1_{7400D9EF-30B5-4FE9-8132-A039B5550E1A}" xr6:coauthVersionLast="45" xr6:coauthVersionMax="45" xr10:uidLastSave="{00000000-0000-0000-0000-000000000000}"/>
  <workbookProtection workbookAlgorithmName="SHA-512" workbookHashValue="InA1Bi354bIchxRCbIGCehSYMj078g0LDzQ8GSIGm/GvDnEVJocC2OUjkzq9C72E2cfkfXFcHfxA1ZFgM6qApw==" workbookSaltValue="7i3rSB26gPx4UfN7Pb6KPg==" workbookSpinCount="100000" lockStructure="1"/>
  <bookViews>
    <workbookView xWindow="-98" yWindow="-98" windowWidth="19396" windowHeight="10395" tabRatio="900" firstSheet="3" activeTab="11" xr2:uid="{9D3FE73D-1E52-418D-B7D0-652B538D8F9E}"/>
  </bookViews>
  <sheets>
    <sheet name="Cover Page" sheetId="11" r:id="rId1"/>
    <sheet name="Definitions and Guidance" sheetId="15" r:id="rId2"/>
    <sheet name="Grant Investment Strategy" sheetId="17" r:id="rId3"/>
    <sheet name="Budget Overview" sheetId="18" r:id="rId4"/>
    <sheet name="Grant Activities Outline" sheetId="4" r:id="rId5"/>
    <sheet name="Project Activities Outline" sheetId="12" r:id="rId6"/>
    <sheet name="Personnel Data Table" sheetId="3" r:id="rId7"/>
    <sheet name="Project Reference" sheetId="16" state="hidden" r:id="rId8"/>
    <sheet name="Drop Down List Text" sheetId="10" state="hidden" r:id="rId9"/>
    <sheet name="Training Data Table" sheetId="6" r:id="rId10"/>
    <sheet name="Exercise Data Table" sheetId="5" r:id="rId11"/>
    <sheet name="Detailed Budget" sheetId="19" r:id="rId12"/>
  </sheets>
  <definedNames>
    <definedName name="_xlnm._FilterDatabase" localSheetId="11" hidden="1">'Detailed Budget'!$A$9:$AA$9</definedName>
    <definedName name="_xlnm._FilterDatabase" localSheetId="10" hidden="1">'Exercise Data Table'!$C$4:$J$4</definedName>
    <definedName name="_xlnm._FilterDatabase" localSheetId="9" hidden="1">'Training Data Table'!$C$4:$I$4</definedName>
    <definedName name="_Hlk59024142" localSheetId="8">'Drop Down List Text'!$L$87</definedName>
    <definedName name="Build_or_Sustain?">'Grant Activities Outline'!$B$791</definedName>
    <definedName name="Capacity1">'Grant Activities Outline'!$B$22</definedName>
    <definedName name="Capacity10">'Grant Activities Outline'!$B$463</definedName>
    <definedName name="Capacity11">'Grant Activities Outline'!$B$512</definedName>
    <definedName name="Capacity12">'Grant Activities Outline'!$B$561</definedName>
    <definedName name="Capacity13">'Grant Activities Outline'!$B$610</definedName>
    <definedName name="Capacity14">'Grant Activities Outline'!$B$659</definedName>
    <definedName name="Capacity15">'Grant Activities Outline'!$B$708</definedName>
    <definedName name="Capacity16">'Grant Activities Outline'!$B$757</definedName>
    <definedName name="Capacity17">'Grant Activities Outline'!$B$806</definedName>
    <definedName name="Capacity18">'Grant Activities Outline'!$B$855</definedName>
    <definedName name="Capacity19">'Grant Activities Outline'!$B$904</definedName>
    <definedName name="Capacity2">'Grant Activities Outline'!$B$71</definedName>
    <definedName name="Capacity20">'Grant Activities Outline'!$B$953</definedName>
    <definedName name="Capacity21">'Grant Activities Outline'!$B$1002</definedName>
    <definedName name="Capacity22">'Grant Activities Outline'!$B$1051</definedName>
    <definedName name="Capacity23">'Grant Activities Outline'!$B$1100</definedName>
    <definedName name="Capacity24">'Grant Activities Outline'!$B$1149</definedName>
    <definedName name="Capacity25">'Grant Activities Outline'!$B$1198</definedName>
    <definedName name="Capacity26">'Grant Activities Outline'!$B$1247</definedName>
    <definedName name="Capacity27">'Grant Activities Outline'!$B$1296</definedName>
    <definedName name="Capacity28">'Grant Activities Outline'!$B$1345</definedName>
    <definedName name="Capacity29">'Grant Activities Outline'!$B$1394</definedName>
    <definedName name="Capacity3">'Grant Activities Outline'!$B$120</definedName>
    <definedName name="Capacity30">'Grant Activities Outline'!$B$1443</definedName>
    <definedName name="Capacity31">'Grant Activities Outline'!$B$1492</definedName>
    <definedName name="Capacity32">'Grant Activities Outline'!$B$1541</definedName>
    <definedName name="Capacity33">'Grant Activities Outline'!$B$1590</definedName>
    <definedName name="Capacity34">'Grant Activities Outline'!$B$1639</definedName>
    <definedName name="Capacity35">'Grant Activities Outline'!$B$1688</definedName>
    <definedName name="Capacity36">'Grant Activities Outline'!$B$1737</definedName>
    <definedName name="Capacity37">'Grant Activities Outline'!$B$1786</definedName>
    <definedName name="Capacity38">'Grant Activities Outline'!$B$1835</definedName>
    <definedName name="Capacity39">'Grant Activities Outline'!$B$1884</definedName>
    <definedName name="Capacity4">'Grant Activities Outline'!$B$169</definedName>
    <definedName name="Capacity40">'Grant Activities Outline'!$B$1933</definedName>
    <definedName name="Capacity5">'Grant Activities Outline'!$B$218</definedName>
    <definedName name="Capacity6">'Grant Activities Outline'!$B$267</definedName>
    <definedName name="Capacity7">'Grant Activities Outline'!$B$316</definedName>
    <definedName name="Capacity8">'Grant Activities Outline'!$B$365</definedName>
    <definedName name="Capacity9">'Grant Activities Outline'!$B$414</definedName>
    <definedName name="Core1.1">'Grant Activities Outline'!$F$30</definedName>
    <definedName name="Core1.2">'Grant Activities Outline'!$F$31</definedName>
    <definedName name="Core1.3">'Grant Activities Outline'!$F$32</definedName>
    <definedName name="Core1.4">'Grant Activities Outline'!$F$33</definedName>
    <definedName name="Core1.5">'Grant Activities Outline'!$F$34</definedName>
    <definedName name="Core10.1">'Grant Activities Outline'!$F$471</definedName>
    <definedName name="Core10.2">'Grant Activities Outline'!$F$472</definedName>
    <definedName name="Core10.3">'Grant Activities Outline'!$F$473</definedName>
    <definedName name="Core10.4">'Grant Activities Outline'!$F$474</definedName>
    <definedName name="Core10.5">'Grant Activities Outline'!$F$475</definedName>
    <definedName name="Core11.1">'Grant Activities Outline'!$F$520</definedName>
    <definedName name="Core11.2">'Grant Activities Outline'!$F$521</definedName>
    <definedName name="Core11.3">'Grant Activities Outline'!$F$522</definedName>
    <definedName name="Core11.4">'Grant Activities Outline'!$F$523</definedName>
    <definedName name="Core11.5">'Grant Activities Outline'!$F$524</definedName>
    <definedName name="Core12.1">'Grant Activities Outline'!$F$569</definedName>
    <definedName name="Core12.2">'Grant Activities Outline'!$F$570</definedName>
    <definedName name="Core12.3">'Grant Activities Outline'!$F$571</definedName>
    <definedName name="Core12.4">'Grant Activities Outline'!$F$572</definedName>
    <definedName name="Core12.5">'Grant Activities Outline'!$F$573</definedName>
    <definedName name="Core13.1">'Grant Activities Outline'!$F$618</definedName>
    <definedName name="Core13.2">'Grant Activities Outline'!$F$619</definedName>
    <definedName name="Core13.3">'Grant Activities Outline'!$F$620</definedName>
    <definedName name="Core13.4">'Grant Activities Outline'!$F$621</definedName>
    <definedName name="Core13.5">'Grant Activities Outline'!$F$622</definedName>
    <definedName name="Core14.1">'Grant Activities Outline'!$F$667</definedName>
    <definedName name="Core14.2">'Grant Activities Outline'!$F$668</definedName>
    <definedName name="Core14.3">'Grant Activities Outline'!$F$669</definedName>
    <definedName name="Core14.4">'Grant Activities Outline'!$F$670</definedName>
    <definedName name="Core14.5">'Grant Activities Outline'!$F$671</definedName>
    <definedName name="Core15.1">'Grant Activities Outline'!$F$716</definedName>
    <definedName name="Core15.2">'Grant Activities Outline'!$F$717</definedName>
    <definedName name="Core15.3">'Grant Activities Outline'!$F$718</definedName>
    <definedName name="Core15.4">'Grant Activities Outline'!$F$719</definedName>
    <definedName name="Core15.5">'Grant Activities Outline'!$F$720</definedName>
    <definedName name="Core16.1">'Grant Activities Outline'!$F$765</definedName>
    <definedName name="Core16.2">'Grant Activities Outline'!$F$766</definedName>
    <definedName name="Core16.3">'Grant Activities Outline'!$F$767</definedName>
    <definedName name="Core16.4">'Grant Activities Outline'!$F$768</definedName>
    <definedName name="Core16.5">'Grant Activities Outline'!$F$769</definedName>
    <definedName name="Core17.1">'Grant Activities Outline'!$F$814</definedName>
    <definedName name="Core17.2">'Grant Activities Outline'!$F$815</definedName>
    <definedName name="Core17.3">'Grant Activities Outline'!$F$816</definedName>
    <definedName name="Core17.4">'Grant Activities Outline'!$F$817</definedName>
    <definedName name="Core17.5">'Grant Activities Outline'!$F$818</definedName>
    <definedName name="Core18.1">'Grant Activities Outline'!$F$863</definedName>
    <definedName name="Core18.2">'Grant Activities Outline'!$F$864</definedName>
    <definedName name="Core18.3">'Grant Activities Outline'!$F$865</definedName>
    <definedName name="Core18.4">'Grant Activities Outline'!$F$866</definedName>
    <definedName name="Core18.5">'Grant Activities Outline'!$F$867</definedName>
    <definedName name="Core19.1">'Grant Activities Outline'!$F$912</definedName>
    <definedName name="Core19.2">'Grant Activities Outline'!$F$913</definedName>
    <definedName name="Core19.3">'Grant Activities Outline'!$F$914</definedName>
    <definedName name="Core19.4">'Grant Activities Outline'!$F$915</definedName>
    <definedName name="Core19.5">'Grant Activities Outline'!$F$916</definedName>
    <definedName name="Core2.1">'Grant Activities Outline'!$F$79</definedName>
    <definedName name="Core2.2">'Grant Activities Outline'!$F$80</definedName>
    <definedName name="Core2.3">'Grant Activities Outline'!$F$81</definedName>
    <definedName name="Core2.4">'Grant Activities Outline'!$F$82</definedName>
    <definedName name="Core2.5">'Grant Activities Outline'!$F$83</definedName>
    <definedName name="Core20.1">'Grant Activities Outline'!$F$961</definedName>
    <definedName name="Core20.2">'Grant Activities Outline'!$F$962</definedName>
    <definedName name="Core20.3">'Grant Activities Outline'!$F$963</definedName>
    <definedName name="Core20.4">'Grant Activities Outline'!$F$964</definedName>
    <definedName name="Core20.5">'Grant Activities Outline'!$F$965</definedName>
    <definedName name="Core21.1">'Grant Activities Outline'!$F$1010</definedName>
    <definedName name="Core21.2">'Grant Activities Outline'!$F$1011</definedName>
    <definedName name="Core21.3">'Grant Activities Outline'!$F$1012</definedName>
    <definedName name="Core21.4">'Grant Activities Outline'!$F$1013</definedName>
    <definedName name="Core21.5">'Grant Activities Outline'!$F$1014</definedName>
    <definedName name="Core22.1">'Grant Activities Outline'!$F$1059</definedName>
    <definedName name="Core22.2">'Grant Activities Outline'!$F$1060</definedName>
    <definedName name="Core22.3">'Grant Activities Outline'!$F$1061</definedName>
    <definedName name="Core22.4">'Grant Activities Outline'!$F$1062</definedName>
    <definedName name="Core22.5">'Grant Activities Outline'!$F$1063</definedName>
    <definedName name="Core23.1">'Grant Activities Outline'!$F$1108</definedName>
    <definedName name="Core23.2">'Grant Activities Outline'!$F$1109</definedName>
    <definedName name="Core23.3">'Grant Activities Outline'!$F$1110</definedName>
    <definedName name="Core23.4">'Grant Activities Outline'!$F$1111</definedName>
    <definedName name="Core23.5">'Grant Activities Outline'!$F$1112</definedName>
    <definedName name="Core24.1">'Grant Activities Outline'!$F$1157</definedName>
    <definedName name="Core24.2">'Grant Activities Outline'!$F$1158</definedName>
    <definedName name="Core24.3">'Grant Activities Outline'!$F$1159</definedName>
    <definedName name="Core24.4">'Grant Activities Outline'!$F$1160</definedName>
    <definedName name="Core24.5">'Grant Activities Outline'!$F$1161</definedName>
    <definedName name="Core25.1">'Grant Activities Outline'!$F$1206</definedName>
    <definedName name="Core25.2">'Grant Activities Outline'!$F$1207</definedName>
    <definedName name="Core25.3">'Grant Activities Outline'!$F$1208</definedName>
    <definedName name="Core25.4">'Grant Activities Outline'!$F$1209</definedName>
    <definedName name="Core25.5">'Grant Activities Outline'!$F$1210</definedName>
    <definedName name="Core26.1">'Grant Activities Outline'!$F$1255</definedName>
    <definedName name="Core26.2">'Grant Activities Outline'!$F$1256</definedName>
    <definedName name="Core26.3">'Grant Activities Outline'!$F$1257</definedName>
    <definedName name="Core26.4">'Grant Activities Outline'!$F$1258</definedName>
    <definedName name="Core26.5">'Grant Activities Outline'!$F$1259</definedName>
    <definedName name="Core27.1">'Grant Activities Outline'!$F$1304</definedName>
    <definedName name="Core27.2">'Grant Activities Outline'!$F$1305</definedName>
    <definedName name="Core27.3">'Grant Activities Outline'!$F$1306</definedName>
    <definedName name="Core27.4">'Grant Activities Outline'!$F$1307</definedName>
    <definedName name="Core27.5">'Grant Activities Outline'!$F$1308</definedName>
    <definedName name="Core28.1">'Grant Activities Outline'!$F$1353</definedName>
    <definedName name="Core28.2">'Grant Activities Outline'!$F$1354</definedName>
    <definedName name="Core28.3">'Grant Activities Outline'!$F$1355</definedName>
    <definedName name="Core28.4">'Grant Activities Outline'!$F$1356</definedName>
    <definedName name="Core28.5">'Grant Activities Outline'!$F$1357</definedName>
    <definedName name="Core29.1">'Grant Activities Outline'!$F$1402</definedName>
    <definedName name="Core29.2">'Grant Activities Outline'!$F$1403</definedName>
    <definedName name="Core29.3">'Grant Activities Outline'!$F$1404</definedName>
    <definedName name="Core29.4">'Grant Activities Outline'!$F$1405</definedName>
    <definedName name="Core29.5">'Grant Activities Outline'!$F$1406</definedName>
    <definedName name="Core3.1">'Grant Activities Outline'!$F$128</definedName>
    <definedName name="Core3.2">'Grant Activities Outline'!$F$129</definedName>
    <definedName name="Core3.3">'Grant Activities Outline'!$F$130</definedName>
    <definedName name="Core3.4">'Grant Activities Outline'!$F$131</definedName>
    <definedName name="Core3.5">'Grant Activities Outline'!$F$132</definedName>
    <definedName name="Core30.1">'Grant Activities Outline'!$F$1451</definedName>
    <definedName name="Core30.2">'Grant Activities Outline'!$F$1452</definedName>
    <definedName name="Core30.3">'Grant Activities Outline'!$F$1453</definedName>
    <definedName name="Core30.4">'Grant Activities Outline'!$F$1454</definedName>
    <definedName name="Core30.5">'Grant Activities Outline'!$F$1455</definedName>
    <definedName name="Core31.1">'Grant Activities Outline'!$F$1500</definedName>
    <definedName name="Core31.2">'Grant Activities Outline'!$F$1501</definedName>
    <definedName name="Core31.3">'Grant Activities Outline'!$F$1502</definedName>
    <definedName name="Core31.4">'Grant Activities Outline'!$F$1503</definedName>
    <definedName name="Core31.5">'Grant Activities Outline'!$F$1504</definedName>
    <definedName name="Core32.1">'Grant Activities Outline'!$F$1549</definedName>
    <definedName name="Core32.2">'Grant Activities Outline'!$F$1550</definedName>
    <definedName name="Core32.3">'Grant Activities Outline'!$F$1551</definedName>
    <definedName name="Core32.4">'Grant Activities Outline'!$F$1552</definedName>
    <definedName name="Core32.5">'Grant Activities Outline'!$F$1553</definedName>
    <definedName name="Core33.1">'Grant Activities Outline'!$F$1598</definedName>
    <definedName name="Core33.2">'Grant Activities Outline'!$F$1599</definedName>
    <definedName name="Core33.3">'Grant Activities Outline'!$F$1600</definedName>
    <definedName name="Core33.4">'Grant Activities Outline'!$F$1601</definedName>
    <definedName name="Core33.5">'Grant Activities Outline'!$F$1602</definedName>
    <definedName name="Core34.1">'Grant Activities Outline'!$F$1647</definedName>
    <definedName name="Core34.2">'Grant Activities Outline'!$F$1648</definedName>
    <definedName name="Core34.3">'Grant Activities Outline'!$F$1649</definedName>
    <definedName name="Core34.4">'Grant Activities Outline'!$F$1650</definedName>
    <definedName name="Core34.5">'Grant Activities Outline'!$F$1651</definedName>
    <definedName name="Core35.1">'Grant Activities Outline'!$F$1696</definedName>
    <definedName name="Core35.2">'Grant Activities Outline'!$F$1697</definedName>
    <definedName name="Core35.3">'Grant Activities Outline'!$F$1698</definedName>
    <definedName name="Core35.4">'Grant Activities Outline'!$F$1699</definedName>
    <definedName name="Core35.5">'Grant Activities Outline'!$F$1700</definedName>
    <definedName name="Core36.1">'Grant Activities Outline'!$F$1745</definedName>
    <definedName name="Core36.2">'Grant Activities Outline'!$F$1746</definedName>
    <definedName name="Core36.3">'Grant Activities Outline'!$F$1747</definedName>
    <definedName name="Core36.4">'Grant Activities Outline'!$F$1748</definedName>
    <definedName name="Core36.5">'Grant Activities Outline'!$F$1749</definedName>
    <definedName name="Core37.1">'Grant Activities Outline'!$F$1794</definedName>
    <definedName name="Core37.2">'Grant Activities Outline'!$F$1795</definedName>
    <definedName name="Core37.3">'Grant Activities Outline'!$F$1796</definedName>
    <definedName name="Core37.4">'Grant Activities Outline'!$F$1797</definedName>
    <definedName name="Core37.5">'Grant Activities Outline'!$F$1798</definedName>
    <definedName name="Core38.1">'Grant Activities Outline'!$F$1843</definedName>
    <definedName name="Core38.2">'Grant Activities Outline'!$F$1844</definedName>
    <definedName name="Core38.3">'Grant Activities Outline'!$F$1845</definedName>
    <definedName name="Core38.4">'Grant Activities Outline'!$F$1846</definedName>
    <definedName name="Core38.5">'Grant Activities Outline'!$F$1847</definedName>
    <definedName name="Core39.1">'Grant Activities Outline'!$F$1892</definedName>
    <definedName name="Core39.2">'Grant Activities Outline'!$F$1893</definedName>
    <definedName name="Core39.3">'Grant Activities Outline'!$F$1894</definedName>
    <definedName name="Core39.4">'Grant Activities Outline'!$F$1895</definedName>
    <definedName name="Core39.5">'Grant Activities Outline'!$F$1896</definedName>
    <definedName name="Core4.1">'Grant Activities Outline'!$F$177</definedName>
    <definedName name="Core4.2">'Grant Activities Outline'!$F$178</definedName>
    <definedName name="Core4.3">'Grant Activities Outline'!$F$179</definedName>
    <definedName name="Core4.4">'Grant Activities Outline'!$F$180</definedName>
    <definedName name="Core4.5">'Grant Activities Outline'!$F$181</definedName>
    <definedName name="Core40.1">'Grant Activities Outline'!$F$1941</definedName>
    <definedName name="Core40.2">'Grant Activities Outline'!$F$1942</definedName>
    <definedName name="Core40.3">'Grant Activities Outline'!$F$1943</definedName>
    <definedName name="Core40.4">'Grant Activities Outline'!$F$1944</definedName>
    <definedName name="Core40.5">'Grant Activities Outline'!$F$1945</definedName>
    <definedName name="Core5.1">'Grant Activities Outline'!$F$226</definedName>
    <definedName name="Core5.2">'Grant Activities Outline'!$F$227</definedName>
    <definedName name="Core5.3">'Grant Activities Outline'!$F$228</definedName>
    <definedName name="Core5.4">'Grant Activities Outline'!$F$229</definedName>
    <definedName name="Core5.5">'Grant Activities Outline'!$F$230</definedName>
    <definedName name="Core6.1">'Grant Activities Outline'!$F$275</definedName>
    <definedName name="Core6.2">'Grant Activities Outline'!$F$276</definedName>
    <definedName name="Core6.3">'Grant Activities Outline'!$F$277</definedName>
    <definedName name="Core6.4">'Grant Activities Outline'!$F$278</definedName>
    <definedName name="Core6.5">'Grant Activities Outline'!$F$279</definedName>
    <definedName name="Core7.1">'Grant Activities Outline'!$F$324</definedName>
    <definedName name="Core7.2">'Grant Activities Outline'!$F$325</definedName>
    <definedName name="Core7.3">'Grant Activities Outline'!$F$326</definedName>
    <definedName name="Core7.4">'Grant Activities Outline'!$F$327</definedName>
    <definedName name="Core7.5">'Grant Activities Outline'!$F$328</definedName>
    <definedName name="Core8.1">'Grant Activities Outline'!$F$373</definedName>
    <definedName name="Core8.2">'Grant Activities Outline'!$F$374</definedName>
    <definedName name="Core8.3">'Grant Activities Outline'!$F$375</definedName>
    <definedName name="Core8.4">'Grant Activities Outline'!$F$376</definedName>
    <definedName name="Core8.5">'Grant Activities Outline'!$F$377</definedName>
    <definedName name="Core9.1">'Grant Activities Outline'!$F$422</definedName>
    <definedName name="Core9.2">'Grant Activities Outline'!$F$423</definedName>
    <definedName name="Core9.3">'Grant Activities Outline'!$F$424</definedName>
    <definedName name="Core9.4">'Grant Activities Outline'!$F$425</definedName>
    <definedName name="Core9.5">'Grant Activities Outline'!$F$426</definedName>
    <definedName name="EMAP1.1">'Grant Activities Outline'!$B$32</definedName>
    <definedName name="EMAP1.2">'Grant Activities Outline'!$B$33</definedName>
    <definedName name="EMAP1.3">'Grant Activities Outline'!$B$34</definedName>
    <definedName name="EMAP10.1">'Grant Activities Outline'!$B$473</definedName>
    <definedName name="EMAP10.2">'Grant Activities Outline'!$B$474</definedName>
    <definedName name="EMAP10.3">'Grant Activities Outline'!$B$475</definedName>
    <definedName name="EMAP11.1">'Grant Activities Outline'!$B$522</definedName>
    <definedName name="EMAP11.2">'Grant Activities Outline'!$B$523</definedName>
    <definedName name="EMAP11.3">'Grant Activities Outline'!$B$524</definedName>
    <definedName name="EMAP12.1">'Grant Activities Outline'!$B$571</definedName>
    <definedName name="EMAP12.2">'Grant Activities Outline'!$B$572</definedName>
    <definedName name="EMAP12.3">'Grant Activities Outline'!$B$573</definedName>
    <definedName name="EMAP13.1">'Grant Activities Outline'!$B$620</definedName>
    <definedName name="EMAP13.2">'Grant Activities Outline'!$B$621</definedName>
    <definedName name="EMAP13.3">'Grant Activities Outline'!$B$622</definedName>
    <definedName name="EMAP14.1">'Grant Activities Outline'!$B$669</definedName>
    <definedName name="EMAP14.2">'Grant Activities Outline'!$B$670</definedName>
    <definedName name="EMAP14.3">'Grant Activities Outline'!$B$671</definedName>
    <definedName name="EMAP15.1">'Grant Activities Outline'!$B$718</definedName>
    <definedName name="EMAP15.2">'Grant Activities Outline'!$B$719</definedName>
    <definedName name="EMAP15.3">'Grant Activities Outline'!$B$720</definedName>
    <definedName name="EMAP16.1">'Grant Activities Outline'!$B$767</definedName>
    <definedName name="EMAP16.2">'Grant Activities Outline'!$B$768</definedName>
    <definedName name="EMAP16.3">'Grant Activities Outline'!$B$769</definedName>
    <definedName name="EMAP17.1">'Grant Activities Outline'!$B$816</definedName>
    <definedName name="EMAP17.2">'Grant Activities Outline'!$B$817</definedName>
    <definedName name="EMAP17.3">'Grant Activities Outline'!$B$818</definedName>
    <definedName name="EMAP18.1">'Grant Activities Outline'!$B$865</definedName>
    <definedName name="EMAP18.2">'Grant Activities Outline'!$B$866</definedName>
    <definedName name="EMAP18.3">'Grant Activities Outline'!$B$867</definedName>
    <definedName name="EMAP19.1">'Grant Activities Outline'!$B$914</definedName>
    <definedName name="EMAP19.2">'Grant Activities Outline'!$B$915</definedName>
    <definedName name="EMAP19.3">'Grant Activities Outline'!$B$916</definedName>
    <definedName name="EMAP2.1">'Grant Activities Outline'!$B$81</definedName>
    <definedName name="EMAP2.2">'Grant Activities Outline'!$B$82</definedName>
    <definedName name="EMAP2.3">'Grant Activities Outline'!$B$83</definedName>
    <definedName name="EMAP20.1">'Grant Activities Outline'!$B$963</definedName>
    <definedName name="EMAP20.2">'Grant Activities Outline'!$B$964</definedName>
    <definedName name="EMAP20.3">'Grant Activities Outline'!$B$965</definedName>
    <definedName name="EMAP21.1">'Grant Activities Outline'!$B$1012</definedName>
    <definedName name="EMAP21.2">'Grant Activities Outline'!$B$1013</definedName>
    <definedName name="EMAP21.3">'Grant Activities Outline'!$B$1014</definedName>
    <definedName name="EMAP22.1">'Grant Activities Outline'!$B$1061</definedName>
    <definedName name="EMAP22.2">'Grant Activities Outline'!$B$1062</definedName>
    <definedName name="EMAP22.3">'Grant Activities Outline'!$B$1063</definedName>
    <definedName name="EMAP23.1">'Grant Activities Outline'!$B$1110</definedName>
    <definedName name="EMAP23.2">'Grant Activities Outline'!$B$1111</definedName>
    <definedName name="EMAP23.3">'Grant Activities Outline'!$B$1112</definedName>
    <definedName name="EMAP24.1">'Grant Activities Outline'!$B$1159</definedName>
    <definedName name="EMAP24.2">'Grant Activities Outline'!$B$1160</definedName>
    <definedName name="EMAP24.3">'Grant Activities Outline'!$B$1161</definedName>
    <definedName name="EMAP25.1">'Grant Activities Outline'!$B$1208</definedName>
    <definedName name="EMAP25.2">'Grant Activities Outline'!$B$1209</definedName>
    <definedName name="EMAP25.3">'Grant Activities Outline'!$B$1210</definedName>
    <definedName name="EMAP26.1">'Grant Activities Outline'!$B$1257</definedName>
    <definedName name="EMAP26.2">'Grant Activities Outline'!$B$1258</definedName>
    <definedName name="EMAP26.3">'Grant Activities Outline'!$B$1259</definedName>
    <definedName name="EMAP27.1">'Grant Activities Outline'!$B$1306</definedName>
    <definedName name="EMAP27.2">'Grant Activities Outline'!$B$1307</definedName>
    <definedName name="EMAP27.3">'Grant Activities Outline'!$B$1308</definedName>
    <definedName name="EMAP28.1">'Grant Activities Outline'!$B$1355</definedName>
    <definedName name="EMAP28.2">'Grant Activities Outline'!$B$1356</definedName>
    <definedName name="EMAP28.3">'Grant Activities Outline'!$B$1357</definedName>
    <definedName name="EMAP29.1">'Grant Activities Outline'!$B$1404</definedName>
    <definedName name="EMAP29.2">'Grant Activities Outline'!$B$1405</definedName>
    <definedName name="EMAP29.3">'Grant Activities Outline'!$B$1406</definedName>
    <definedName name="EMAP3.1">'Grant Activities Outline'!$B$130</definedName>
    <definedName name="EMAP3.2">'Grant Activities Outline'!$B$131</definedName>
    <definedName name="EMAP3.3">'Grant Activities Outline'!$B$132</definedName>
    <definedName name="EMAP30.1">'Grant Activities Outline'!$B$1453</definedName>
    <definedName name="EMAP30.2">'Grant Activities Outline'!$B$1454</definedName>
    <definedName name="EMAP30.3">'Grant Activities Outline'!$B$1455</definedName>
    <definedName name="EMAP31.1">'Grant Activities Outline'!$B$1502</definedName>
    <definedName name="EMAP31.2">'Grant Activities Outline'!$B$1503</definedName>
    <definedName name="EMAP31.3">'Grant Activities Outline'!$B$1504</definedName>
    <definedName name="EMAP32.1">'Grant Activities Outline'!$B$1551</definedName>
    <definedName name="EMAP32.2">'Grant Activities Outline'!$B$1552</definedName>
    <definedName name="EMAP32.3">'Grant Activities Outline'!$B$1553</definedName>
    <definedName name="EMAP33.1">'Grant Activities Outline'!$B$1600</definedName>
    <definedName name="EMAP33.2">'Grant Activities Outline'!$B$1601</definedName>
    <definedName name="EMAP33.3">'Grant Activities Outline'!$B$1602</definedName>
    <definedName name="EMAP34.1">'Grant Activities Outline'!$B$1649</definedName>
    <definedName name="EMAP34.2">'Grant Activities Outline'!$B$1650</definedName>
    <definedName name="EMAP34.3">'Grant Activities Outline'!$B$1651</definedName>
    <definedName name="EMAP35.1">'Grant Activities Outline'!$B$1698</definedName>
    <definedName name="EMAP35.2">'Grant Activities Outline'!$B$1699</definedName>
    <definedName name="EMAP35.3">'Grant Activities Outline'!$B$1700</definedName>
    <definedName name="EMAP36.1">'Grant Activities Outline'!$B$1747</definedName>
    <definedName name="EMAP36.2">'Grant Activities Outline'!$B$1748</definedName>
    <definedName name="EMAP36.3">'Grant Activities Outline'!$B$1749</definedName>
    <definedName name="EMAP37.1">'Grant Activities Outline'!$B$1796</definedName>
    <definedName name="EMAP37.2">'Grant Activities Outline'!$B$1797</definedName>
    <definedName name="EMAP37.3">'Grant Activities Outline'!$B$1798</definedName>
    <definedName name="EMAP38.1">'Grant Activities Outline'!$B$1845</definedName>
    <definedName name="EMAP38.2">'Grant Activities Outline'!$B$1846</definedName>
    <definedName name="EMAP38.3">'Grant Activities Outline'!$B$1847</definedName>
    <definedName name="EMAP39.1">'Grant Activities Outline'!$B$1894</definedName>
    <definedName name="EMAP39.2">'Grant Activities Outline'!$B$1895</definedName>
    <definedName name="EMAP39.3">'Grant Activities Outline'!$B$1896</definedName>
    <definedName name="EMAP4.1">'Grant Activities Outline'!$B$179</definedName>
    <definedName name="EMAP4.2">'Grant Activities Outline'!$B$180</definedName>
    <definedName name="EMAP4.3">'Grant Activities Outline'!$B$181</definedName>
    <definedName name="EMAP40.1">'Grant Activities Outline'!$B$1943</definedName>
    <definedName name="EMAP40.2">'Grant Activities Outline'!$B$1944</definedName>
    <definedName name="EMAP40.3">'Grant Activities Outline'!$B$1945</definedName>
    <definedName name="EMAP5.1">'Grant Activities Outline'!$B$228</definedName>
    <definedName name="EMAP5.2">'Grant Activities Outline'!$B$229</definedName>
    <definedName name="EMAP5.3">'Grant Activities Outline'!$B$230</definedName>
    <definedName name="EMAP6.1">'Grant Activities Outline'!$B$277</definedName>
    <definedName name="EMAP6.2">'Grant Activities Outline'!$B$278</definedName>
    <definedName name="EMAP6.3">'Grant Activities Outline'!$B$279</definedName>
    <definedName name="EMAP7.1">'Grant Activities Outline'!$B$326</definedName>
    <definedName name="EMAP7.2">'Grant Activities Outline'!$B$327</definedName>
    <definedName name="EMAP7.3">'Grant Activities Outline'!$B$328</definedName>
    <definedName name="EMAP8.1">'Grant Activities Outline'!$B$375</definedName>
    <definedName name="EMAP8.2">'Grant Activities Outline'!$B$376</definedName>
    <definedName name="EMAP8.3">'Grant Activities Outline'!$B$377</definedName>
    <definedName name="EMAP9.1">'Grant Activities Outline'!$B$424</definedName>
    <definedName name="EMAP9.2">'Grant Activities Outline'!$B$425</definedName>
    <definedName name="EMAP9.3">'Grant Activities Outline'!$B$426</definedName>
    <definedName name="EMAPs">'Drop Down List Text'!$I$2:$I$13</definedName>
    <definedName name="Federal_ARP_Amount">'Detailed Budget'!$D$6</definedName>
    <definedName name="Federal_EMPG21_Amount">'Detailed Budget'!$B$6</definedName>
    <definedName name="Funding_Source">'Drop Down List Text'!$M$2:$M$4</definedName>
    <definedName name="GapA1">'Grant Activities Outline'!$B$13</definedName>
    <definedName name="GapA10">'Grant Activities Outline'!$B$454</definedName>
    <definedName name="GapA11">'Grant Activities Outline'!$B$503</definedName>
    <definedName name="GapA12">'Grant Activities Outline'!$B$552</definedName>
    <definedName name="GapA13">'Grant Activities Outline'!$B$601</definedName>
    <definedName name="GapA14">'Grant Activities Outline'!$B$650</definedName>
    <definedName name="GapA15">'Grant Activities Outline'!$B$699</definedName>
    <definedName name="GapA16">'Grant Activities Outline'!$B$748</definedName>
    <definedName name="GapA17">'Grant Activities Outline'!$B$797</definedName>
    <definedName name="GapA18">'Grant Activities Outline'!$B$846</definedName>
    <definedName name="GapA19">'Grant Activities Outline'!$B$895</definedName>
    <definedName name="GapA2">'Grant Activities Outline'!$B$62</definedName>
    <definedName name="GapA20">'Grant Activities Outline'!$B$944</definedName>
    <definedName name="GapA21">'Grant Activities Outline'!$B$993</definedName>
    <definedName name="GapA22">'Grant Activities Outline'!$B$1042</definedName>
    <definedName name="GapA23">'Grant Activities Outline'!$B$1091</definedName>
    <definedName name="GapA24">'Grant Activities Outline'!$B$1140</definedName>
    <definedName name="GapA25">'Grant Activities Outline'!$B$1189</definedName>
    <definedName name="GapA26">'Grant Activities Outline'!$B$1238</definedName>
    <definedName name="GapA27">'Grant Activities Outline'!$B$1287</definedName>
    <definedName name="GapA28">'Grant Activities Outline'!$B$1336</definedName>
    <definedName name="GapA29">'Grant Activities Outline'!$B$1385</definedName>
    <definedName name="GapA3">'Grant Activities Outline'!$B$111</definedName>
    <definedName name="GapA30">'Grant Activities Outline'!$B$1434</definedName>
    <definedName name="GapA31">'Grant Activities Outline'!$B$1483</definedName>
    <definedName name="GapA32">'Grant Activities Outline'!$B$1532</definedName>
    <definedName name="GapA33">'Grant Activities Outline'!$B$1581</definedName>
    <definedName name="GapA34">'Grant Activities Outline'!$B$1630</definedName>
    <definedName name="GapA35">'Grant Activities Outline'!$B$1679</definedName>
    <definedName name="GapA36">'Grant Activities Outline'!$B$1728</definedName>
    <definedName name="GapA37">'Grant Activities Outline'!$B$1777</definedName>
    <definedName name="GapA38">'Grant Activities Outline'!$B$1826</definedName>
    <definedName name="GapA39">'Grant Activities Outline'!$B$1875</definedName>
    <definedName name="GapA4">'Grant Activities Outline'!$B$160</definedName>
    <definedName name="GapA40">'Grant Activities Outline'!$B$1924</definedName>
    <definedName name="GapA5">'Grant Activities Outline'!$B$209</definedName>
    <definedName name="GapA6">'Grant Activities Outline'!$B$258</definedName>
    <definedName name="GapA7">'Grant Activities Outline'!$B$307</definedName>
    <definedName name="GapA8">'Grant Activities Outline'!$B$356</definedName>
    <definedName name="GapA9">'Grant Activities Outline'!$B$405</definedName>
    <definedName name="GapRef1">'Grant Activities Outline'!$G$13</definedName>
    <definedName name="GapRef10">'Grant Activities Outline'!$G$454</definedName>
    <definedName name="GapRef11">'Grant Activities Outline'!$G$503</definedName>
    <definedName name="GapRef12">'Grant Activities Outline'!$G$552</definedName>
    <definedName name="GapRef13">'Grant Activities Outline'!$G$601</definedName>
    <definedName name="GapRef14">'Grant Activities Outline'!$G$650</definedName>
    <definedName name="GapRef15">'Grant Activities Outline'!$G$699</definedName>
    <definedName name="GapRef16">'Grant Activities Outline'!$G$748</definedName>
    <definedName name="GapRef17">'Grant Activities Outline'!$G$797</definedName>
    <definedName name="GapRef18">'Grant Activities Outline'!$G$846</definedName>
    <definedName name="GapRef19">'Grant Activities Outline'!$G$895</definedName>
    <definedName name="GapRef2">'Grant Activities Outline'!$G$62</definedName>
    <definedName name="GapRef20">'Grant Activities Outline'!$G$944</definedName>
    <definedName name="GapRef21">'Grant Activities Outline'!$G$993</definedName>
    <definedName name="GapRef22">'Grant Activities Outline'!$G$1042</definedName>
    <definedName name="GapRef23">'Grant Activities Outline'!$G$1091</definedName>
    <definedName name="GapRef24">'Grant Activities Outline'!$G$1140</definedName>
    <definedName name="GapRef25">'Grant Activities Outline'!$G$1189</definedName>
    <definedName name="GapRef26">'Grant Activities Outline'!$G$1238</definedName>
    <definedName name="GapRef27">'Grant Activities Outline'!$G$1287</definedName>
    <definedName name="GapRef28">'Grant Activities Outline'!$G$1336</definedName>
    <definedName name="GapRef29">'Grant Activities Outline'!$G$1385</definedName>
    <definedName name="GapRef3">'Grant Activities Outline'!$G$111</definedName>
    <definedName name="GapRef30">'Grant Activities Outline'!$G$1434</definedName>
    <definedName name="GapRef31">'Grant Activities Outline'!$G$1483</definedName>
    <definedName name="GapRef32">'Grant Activities Outline'!$G$1532</definedName>
    <definedName name="GapRef33">'Grant Activities Outline'!$G$1581</definedName>
    <definedName name="GapRef34">'Grant Activities Outline'!$G$1630</definedName>
    <definedName name="GapRef35">'Grant Activities Outline'!$G$1679</definedName>
    <definedName name="GapRef36">'Grant Activities Outline'!$G$1728</definedName>
    <definedName name="GapRef37">'Grant Activities Outline'!$G$1777</definedName>
    <definedName name="GapRef38">'Grant Activities Outline'!$G$1826</definedName>
    <definedName name="GapRef39">'Grant Activities Outline'!$G$1875</definedName>
    <definedName name="GapRef4">'Grant Activities Outline'!$G$160</definedName>
    <definedName name="GapRef40">'Grant Activities Outline'!$G$1924</definedName>
    <definedName name="GapRef5">'Grant Activities Outline'!$G$209</definedName>
    <definedName name="GapRef6">'Grant Activities Outline'!$G$258</definedName>
    <definedName name="GapRef7">'Grant Activities Outline'!$G$307</definedName>
    <definedName name="GapRef8">'Grant Activities Outline'!$G$356</definedName>
    <definedName name="GapRef9">'Grant Activities Outline'!$G$405</definedName>
    <definedName name="Grand_Total">'Detailed Budget'!$N$8</definedName>
    <definedName name="Impact26">'Grant Activities Outline'!$B$1244</definedName>
    <definedName name="Impact27">'Grant Activities Outline'!$B$1293</definedName>
    <definedName name="Impact28">'Grant Activities Outline'!$B$1342</definedName>
    <definedName name="Impact29">'Grant Activities Outline'!$B$1391</definedName>
    <definedName name="Impact30">'Grant Activities Outline'!$B$1440</definedName>
    <definedName name="Impact31">'Grant Activities Outline'!$B$1489</definedName>
    <definedName name="Impact32">'Grant Activities Outline'!$B$1538</definedName>
    <definedName name="Impact33">'Grant Activities Outline'!$B$1587</definedName>
    <definedName name="Impact34">'Grant Activities Outline'!$B$1636</definedName>
    <definedName name="Impact35">'Grant Activities Outline'!$B$1685</definedName>
    <definedName name="Impact36">'Grant Activities Outline'!$B$1734</definedName>
    <definedName name="Impact37">'Grant Activities Outline'!$B$1783</definedName>
    <definedName name="Impact38">'Grant Activities Outline'!$B$1832</definedName>
    <definedName name="Impact39">'Grant Activities Outline'!$B$1881</definedName>
    <definedName name="Impact40">'Grant Activities Outline'!$B$1930</definedName>
    <definedName name="Mission1.1">'Grant Activities Outline'!$F$25</definedName>
    <definedName name="Mission1.2">'Grant Activities Outline'!$F$26</definedName>
    <definedName name="Mission1.3">'Grant Activities Outline'!$F$27</definedName>
    <definedName name="Mission10.1">'Grant Activities Outline'!$F$466</definedName>
    <definedName name="Mission10.2">'Grant Activities Outline'!$F$467</definedName>
    <definedName name="Mission10.3">'Grant Activities Outline'!$F$468</definedName>
    <definedName name="Mission11.1">'Grant Activities Outline'!$F$515</definedName>
    <definedName name="Mission11.2">'Grant Activities Outline'!$F$516</definedName>
    <definedName name="Mission11.3">'Grant Activities Outline'!$F$517</definedName>
    <definedName name="Mission12.1">'Grant Activities Outline'!$F$564</definedName>
    <definedName name="Mission12.2">'Grant Activities Outline'!$F$565</definedName>
    <definedName name="Mission12.3">'Grant Activities Outline'!$F$566</definedName>
    <definedName name="Mission13.1">'Grant Activities Outline'!$F$613</definedName>
    <definedName name="Mission13.2">'Grant Activities Outline'!$F$614</definedName>
    <definedName name="Mission13.3">'Grant Activities Outline'!$F$615</definedName>
    <definedName name="Mission14.1">'Grant Activities Outline'!$F$662</definedName>
    <definedName name="Mission14.2">'Grant Activities Outline'!$F$663</definedName>
    <definedName name="Mission14.3">'Grant Activities Outline'!$F$664</definedName>
    <definedName name="Mission15.1">'Grant Activities Outline'!$F$711</definedName>
    <definedName name="Mission15.2">'Grant Activities Outline'!$F$712</definedName>
    <definedName name="Mission15.3">'Grant Activities Outline'!$F$713</definedName>
    <definedName name="Mission16.1">'Grant Activities Outline'!$F$760</definedName>
    <definedName name="Mission16.2">'Grant Activities Outline'!$F$761</definedName>
    <definedName name="Mission16.3">'Grant Activities Outline'!$F$762</definedName>
    <definedName name="Mission17.1">'Grant Activities Outline'!$F$809</definedName>
    <definedName name="Mission17.2">'Grant Activities Outline'!$F$810</definedName>
    <definedName name="Mission17.3">'Grant Activities Outline'!$F$811</definedName>
    <definedName name="Mission18.1">'Grant Activities Outline'!$F$858</definedName>
    <definedName name="Mission18.2">'Grant Activities Outline'!$F$859</definedName>
    <definedName name="Mission18.3">'Grant Activities Outline'!$F$860</definedName>
    <definedName name="Mission19.1">'Grant Activities Outline'!$F$907</definedName>
    <definedName name="Mission19.2">'Grant Activities Outline'!$F$908</definedName>
    <definedName name="Mission19.3">'Grant Activities Outline'!$F$909</definedName>
    <definedName name="Mission2.1">'Grant Activities Outline'!$F$74</definedName>
    <definedName name="Mission2.2">'Grant Activities Outline'!$F$75</definedName>
    <definedName name="Mission2.3">'Grant Activities Outline'!$F$76</definedName>
    <definedName name="Mission20.1">'Grant Activities Outline'!$F$956</definedName>
    <definedName name="Mission20.2">'Grant Activities Outline'!$F$957</definedName>
    <definedName name="Mission20.3">'Grant Activities Outline'!$F$958</definedName>
    <definedName name="Mission21.1">'Grant Activities Outline'!$F$1005</definedName>
    <definedName name="Mission21.2">'Grant Activities Outline'!$F$1006</definedName>
    <definedName name="Mission21.3">'Grant Activities Outline'!$F$1007</definedName>
    <definedName name="Mission22.1">'Grant Activities Outline'!$F$1054</definedName>
    <definedName name="Mission22.2">'Grant Activities Outline'!$F$1055</definedName>
    <definedName name="Mission22.3">'Grant Activities Outline'!$F$1056</definedName>
    <definedName name="Mission23.1">'Grant Activities Outline'!$F$1103</definedName>
    <definedName name="Mission23.2">'Grant Activities Outline'!$F$1104</definedName>
    <definedName name="Mission23.3">'Grant Activities Outline'!$F$1105</definedName>
    <definedName name="Mission24.1">'Grant Activities Outline'!$F$1152</definedName>
    <definedName name="Mission24.2">'Grant Activities Outline'!$F$1153</definedName>
    <definedName name="Mission24.3">'Grant Activities Outline'!$F$1154</definedName>
    <definedName name="Mission25.1">'Grant Activities Outline'!$F$1201</definedName>
    <definedName name="Mission25.2">'Grant Activities Outline'!$F$1202</definedName>
    <definedName name="Mission25.3">'Grant Activities Outline'!$F$1203</definedName>
    <definedName name="Mission26.1">'Grant Activities Outline'!$F$1250</definedName>
    <definedName name="Mission26.2">'Grant Activities Outline'!$F$1251</definedName>
    <definedName name="Mission26.3">'Grant Activities Outline'!$F$1252</definedName>
    <definedName name="Mission27.1">'Grant Activities Outline'!$F$1299</definedName>
    <definedName name="Mission27.2">'Grant Activities Outline'!$F$1300</definedName>
    <definedName name="Mission27.3">'Grant Activities Outline'!$F$1301</definedName>
    <definedName name="Mission28.1">'Grant Activities Outline'!$F$1348</definedName>
    <definedName name="Mission28.2">'Grant Activities Outline'!$F$1349</definedName>
    <definedName name="Mission28.3">'Grant Activities Outline'!$F$1350</definedName>
    <definedName name="Mission29.1">'Grant Activities Outline'!$F$1397</definedName>
    <definedName name="Mission29.2">'Grant Activities Outline'!$F$1398</definedName>
    <definedName name="Mission29.3">'Grant Activities Outline'!$F$1399</definedName>
    <definedName name="Mission3.1">'Grant Activities Outline'!$F$123</definedName>
    <definedName name="Mission3.2">'Grant Activities Outline'!$F$124</definedName>
    <definedName name="Mission3.3">'Grant Activities Outline'!$F$125</definedName>
    <definedName name="Mission30.1">'Grant Activities Outline'!$F$1446</definedName>
    <definedName name="Mission30.2">'Grant Activities Outline'!$F$1447</definedName>
    <definedName name="Mission30.3">'Grant Activities Outline'!$F$1448</definedName>
    <definedName name="Mission31.1">'Grant Activities Outline'!$F$1495</definedName>
    <definedName name="Mission31.2">'Grant Activities Outline'!$F$1496</definedName>
    <definedName name="Mission31.3">'Grant Activities Outline'!$F$1497</definedName>
    <definedName name="Mission32.1">'Grant Activities Outline'!$F$1544</definedName>
    <definedName name="Mission32.2">'Grant Activities Outline'!$F$1545</definedName>
    <definedName name="Mission32.3">'Grant Activities Outline'!$F$1546</definedName>
    <definedName name="Mission33.1">'Grant Activities Outline'!$F$1593</definedName>
    <definedName name="Mission33.2">'Grant Activities Outline'!$F$1594</definedName>
    <definedName name="Mission33.3">'Grant Activities Outline'!$F$1595</definedName>
    <definedName name="Mission34.1">'Grant Activities Outline'!$F$1642</definedName>
    <definedName name="Mission34.2">'Grant Activities Outline'!$F$1643</definedName>
    <definedName name="Mission34.3">'Grant Activities Outline'!$F$1644</definedName>
    <definedName name="Mission35.1">'Grant Activities Outline'!$F$1691</definedName>
    <definedName name="Mission35.2">'Grant Activities Outline'!$F$1692</definedName>
    <definedName name="Mission35.3">'Grant Activities Outline'!$F$1693</definedName>
    <definedName name="Mission36.1">'Grant Activities Outline'!$F$1740</definedName>
    <definedName name="Mission36.2">'Grant Activities Outline'!$F$1741</definedName>
    <definedName name="Mission36.3">'Grant Activities Outline'!$F$1742</definedName>
    <definedName name="Mission37.1">'Grant Activities Outline'!$F$1789</definedName>
    <definedName name="Mission37.2">'Grant Activities Outline'!$F$1790</definedName>
    <definedName name="Mission37.3">'Grant Activities Outline'!$F$1791</definedName>
    <definedName name="Mission38.1">'Grant Activities Outline'!$F$1838</definedName>
    <definedName name="Mission38.2">'Grant Activities Outline'!$F$1839</definedName>
    <definedName name="Mission38.3">'Grant Activities Outline'!$F$1840</definedName>
    <definedName name="Mission39.1">'Grant Activities Outline'!$F$1887</definedName>
    <definedName name="Mission39.2">'Grant Activities Outline'!$F$1888</definedName>
    <definedName name="Mission39.3">'Grant Activities Outline'!$F$1889</definedName>
    <definedName name="Mission4.1">'Grant Activities Outline'!$F$172</definedName>
    <definedName name="Mission4.2">'Grant Activities Outline'!$F$173</definedName>
    <definedName name="Mission4.3">'Grant Activities Outline'!$F$174</definedName>
    <definedName name="Mission40.1">'Grant Activities Outline'!$F$1936</definedName>
    <definedName name="Mission40.2">'Grant Activities Outline'!$F$1937</definedName>
    <definedName name="Mission40.3">'Grant Activities Outline'!$F$1938</definedName>
    <definedName name="Mission5.1">'Grant Activities Outline'!$F$221</definedName>
    <definedName name="Mission5.2">'Grant Activities Outline'!$F$222</definedName>
    <definedName name="Mission5.3">'Grant Activities Outline'!$F$223</definedName>
    <definedName name="Mission6.1">'Grant Activities Outline'!$F$270</definedName>
    <definedName name="Mission6.2">'Grant Activities Outline'!$F$271</definedName>
    <definedName name="Mission6.3">'Grant Activities Outline'!$F$272</definedName>
    <definedName name="Mission7.1">'Grant Activities Outline'!$F$319</definedName>
    <definedName name="Mission7.2">'Grant Activities Outline'!$F$320</definedName>
    <definedName name="Mission7.3">'Grant Activities Outline'!$F$321</definedName>
    <definedName name="Mission8.1">'Grant Activities Outline'!$F$368</definedName>
    <definedName name="Mission8.2">'Grant Activities Outline'!$F$369</definedName>
    <definedName name="Mission8.3">'Grant Activities Outline'!$F$370</definedName>
    <definedName name="Mission9.1">'Grant Activities Outline'!$F$417</definedName>
    <definedName name="Mission9.2">'Grant Activities Outline'!$F$418</definedName>
    <definedName name="Mission9.3">'Grant Activities Outline'!$F$419</definedName>
    <definedName name="Mitigation">'Drop Down List Text'!$C$3:$C$9</definedName>
    <definedName name="Name1">'Grant Activities Outline'!$B$7</definedName>
    <definedName name="Name10">'Grant Activities Outline'!$B$448</definedName>
    <definedName name="Name11">'Grant Activities Outline'!$B$497</definedName>
    <definedName name="Name12">'Grant Activities Outline'!$B$546</definedName>
    <definedName name="Name13">'Grant Activities Outline'!$B$595</definedName>
    <definedName name="Name14">'Grant Activities Outline'!$B$644</definedName>
    <definedName name="Name15">'Grant Activities Outline'!$B$693</definedName>
    <definedName name="Name16">'Grant Activities Outline'!$B$742</definedName>
    <definedName name="Name17">'Grant Activities Outline'!$B$791</definedName>
    <definedName name="Name18">'Grant Activities Outline'!$B$840</definedName>
    <definedName name="Name19">'Grant Activities Outline'!$B$889</definedName>
    <definedName name="Name2">'Grant Activities Outline'!$B$56</definedName>
    <definedName name="Name20">'Grant Activities Outline'!$B$938</definedName>
    <definedName name="Name21">'Grant Activities Outline'!$B$987</definedName>
    <definedName name="Name22">'Grant Activities Outline'!$B$1036</definedName>
    <definedName name="Name23">'Grant Activities Outline'!$B$1085</definedName>
    <definedName name="Name24">'Grant Activities Outline'!$B$1134</definedName>
    <definedName name="Name25">'Grant Activities Outline'!$B$1183</definedName>
    <definedName name="Name26">'Grant Activities Outline'!$B$1232</definedName>
    <definedName name="Name27">'Grant Activities Outline'!$B$1281</definedName>
    <definedName name="Name28">'Grant Activities Outline'!$B$1330</definedName>
    <definedName name="Name29">'Grant Activities Outline'!$B$1379</definedName>
    <definedName name="Name3">'Grant Activities Outline'!$B$105</definedName>
    <definedName name="Name30">'Grant Activities Outline'!$B$1428</definedName>
    <definedName name="Name31">'Grant Activities Outline'!$B$1477</definedName>
    <definedName name="Name32">'Grant Activities Outline'!$B$1526</definedName>
    <definedName name="Name33">'Grant Activities Outline'!$B$1575</definedName>
    <definedName name="Name34">'Grant Activities Outline'!$B$1624</definedName>
    <definedName name="Name35">'Grant Activities Outline'!$B$1673</definedName>
    <definedName name="Name36">'Grant Activities Outline'!$B$1722</definedName>
    <definedName name="Name37">'Grant Activities Outline'!$B$1771</definedName>
    <definedName name="Name38">'Grant Activities Outline'!$B$1820</definedName>
    <definedName name="Name39">'Grant Activities Outline'!$B$1869</definedName>
    <definedName name="Name4">'Grant Activities Outline'!$B$154</definedName>
    <definedName name="Name40">'Grant Activities Outline'!$B$1918</definedName>
    <definedName name="Name5">'Grant Activities Outline'!$B$203</definedName>
    <definedName name="Name6">'Grant Activities Outline'!$B$252</definedName>
    <definedName name="Name7">'Grant Activities Outline'!$B$301</definedName>
    <definedName name="Name8">'Grant Activities Outline'!$B$350</definedName>
    <definedName name="Name9">'Grant Activities Outline'!$B$399</definedName>
    <definedName name="National_Priorities">'Drop Down List Text'!$G$2:$G$12</definedName>
    <definedName name="Non_Federal_ARP_Amount">'Detailed Budget'!$D$7</definedName>
    <definedName name="Non_Federal_EMPG21_Amount">'Detailed Budget'!$B$7</definedName>
    <definedName name="Objective1">'Grant Activities Outline'!$B$16</definedName>
    <definedName name="Objective10">'Grant Activities Outline'!$B$457</definedName>
    <definedName name="Objective11">'Grant Activities Outline'!$B$506</definedName>
    <definedName name="Objective12">'Grant Activities Outline'!$B$555</definedName>
    <definedName name="Objective13">'Grant Activities Outline'!$B$604</definedName>
    <definedName name="Objective14">'Grant Activities Outline'!$B$653</definedName>
    <definedName name="Objective15">'Grant Activities Outline'!$B$702</definedName>
    <definedName name="Objective16">'Grant Activities Outline'!$B$751</definedName>
    <definedName name="Objective17">'Grant Activities Outline'!$B$800</definedName>
    <definedName name="Objective18">'Grant Activities Outline'!$B$849</definedName>
    <definedName name="Objective19">'Grant Activities Outline'!$B$898</definedName>
    <definedName name="Objective2">'Grant Activities Outline'!$B$65</definedName>
    <definedName name="Objective20">'Grant Activities Outline'!$B$947</definedName>
    <definedName name="Objective21">'Grant Activities Outline'!$B$996</definedName>
    <definedName name="Objective22">'Grant Activities Outline'!$B$1045</definedName>
    <definedName name="Objective23">'Grant Activities Outline'!$B$1094</definedName>
    <definedName name="Objective24">'Grant Activities Outline'!$B$1143</definedName>
    <definedName name="Objective25">'Grant Activities Outline'!$B$1192</definedName>
    <definedName name="Objective26">'Grant Activities Outline'!$B$1241</definedName>
    <definedName name="Objective27">'Grant Activities Outline'!$B$1290</definedName>
    <definedName name="Objective28">'Grant Activities Outline'!$B$1339</definedName>
    <definedName name="Objective29">'Grant Activities Outline'!$B$1388</definedName>
    <definedName name="Objective3">'Grant Activities Outline'!$B$114</definedName>
    <definedName name="Objective30">'Grant Activities Outline'!$B$1437</definedName>
    <definedName name="Objective31">'Grant Activities Outline'!$B$1486</definedName>
    <definedName name="Objective32">'Grant Activities Outline'!$B$1535</definedName>
    <definedName name="Objective33">'Grant Activities Outline'!$B$1584</definedName>
    <definedName name="Objective34">'Grant Activities Outline'!$B$1633</definedName>
    <definedName name="Objective35">'Grant Activities Outline'!$B$1682</definedName>
    <definedName name="Objective36">'Grant Activities Outline'!$B$1731</definedName>
    <definedName name="Objective37">'Grant Activities Outline'!$B$1780</definedName>
    <definedName name="Objective38">'Grant Activities Outline'!$B$1829</definedName>
    <definedName name="Objective39">'Grant Activities Outline'!$B$1878</definedName>
    <definedName name="Objective4">'Grant Activities Outline'!$B$163</definedName>
    <definedName name="Objective40">'Grant Activities Outline'!$B$1927</definedName>
    <definedName name="Objective5">'Grant Activities Outline'!$B$212</definedName>
    <definedName name="Objective6">'Grant Activities Outline'!$B$261</definedName>
    <definedName name="Objective7">'Grant Activities Outline'!$B$310</definedName>
    <definedName name="Objective8">'Grant Activities Outline'!$B$359</definedName>
    <definedName name="Objective9">'Grant Activities Outline'!$B$408</definedName>
    <definedName name="POETE_Categories">'Drop Down List Text'!$F$2:$F$6</definedName>
    <definedName name="POETE1.1">'Grant Activities Outline'!$B$27</definedName>
    <definedName name="POETE1.2">'Grant Activities Outline'!$B$28</definedName>
    <definedName name="POETE1.3">'Grant Activities Outline'!$B$29</definedName>
    <definedName name="POETE10.1">'Grant Activities Outline'!$B$468</definedName>
    <definedName name="POETE10.2">'Grant Activities Outline'!$B$469</definedName>
    <definedName name="POETE10.3">'Grant Activities Outline'!$B$470</definedName>
    <definedName name="POETE11.1">'Grant Activities Outline'!$B$517</definedName>
    <definedName name="POETE11.2">'Grant Activities Outline'!$B$518</definedName>
    <definedName name="POETE11.3">'Grant Activities Outline'!$B$519</definedName>
    <definedName name="POETE12.1">'Grant Activities Outline'!$B$566</definedName>
    <definedName name="POETE12.2">'Grant Activities Outline'!$B$567</definedName>
    <definedName name="POETE12.3">'Grant Activities Outline'!$B$568</definedName>
    <definedName name="POETE13.1">'Grant Activities Outline'!$B$615</definedName>
    <definedName name="POETE13.2">'Grant Activities Outline'!$B$616</definedName>
    <definedName name="POETE13.3">'Grant Activities Outline'!$B$617</definedName>
    <definedName name="POETE14.1">'Grant Activities Outline'!$B$664</definedName>
    <definedName name="POETE14.2">'Grant Activities Outline'!$B$665</definedName>
    <definedName name="POETE14.3">'Grant Activities Outline'!$B$666</definedName>
    <definedName name="POETE15.1">'Grant Activities Outline'!$B$713</definedName>
    <definedName name="POETE15.2">'Grant Activities Outline'!$B$714</definedName>
    <definedName name="POETE15.3">'Grant Activities Outline'!$B$715</definedName>
    <definedName name="POETE16.1">'Grant Activities Outline'!$B$762</definedName>
    <definedName name="POETE16.2">'Grant Activities Outline'!$B$763</definedName>
    <definedName name="POETE16.3">'Grant Activities Outline'!$B$764</definedName>
    <definedName name="POETE17.1">'Grant Activities Outline'!$B$811</definedName>
    <definedName name="POETE17.2">'Grant Activities Outline'!$B$812</definedName>
    <definedName name="POETE17.3">'Grant Activities Outline'!$B$813</definedName>
    <definedName name="POETE18.1">'Grant Activities Outline'!$B$860</definedName>
    <definedName name="POETE18.2">'Grant Activities Outline'!$B$861</definedName>
    <definedName name="POETE18.3">'Grant Activities Outline'!$B$862</definedName>
    <definedName name="POETE19.1">'Grant Activities Outline'!$B$909</definedName>
    <definedName name="POETE19.2">'Grant Activities Outline'!$B$910</definedName>
    <definedName name="POETE19.3">'Grant Activities Outline'!$B$911</definedName>
    <definedName name="POETE2.1">'Grant Activities Outline'!$B$76</definedName>
    <definedName name="POETE2.2">'Grant Activities Outline'!$B$77</definedName>
    <definedName name="POETE2.3">'Grant Activities Outline'!$B$78</definedName>
    <definedName name="POETE20.1">'Grant Activities Outline'!$B$958</definedName>
    <definedName name="POETE20.2">'Grant Activities Outline'!$B$959</definedName>
    <definedName name="POETE20.3">'Grant Activities Outline'!$B$960</definedName>
    <definedName name="POETE21.1">'Grant Activities Outline'!$B$1007</definedName>
    <definedName name="POETE21.2">'Grant Activities Outline'!$B$1008</definedName>
    <definedName name="POETE21.3">'Grant Activities Outline'!$B$1009</definedName>
    <definedName name="POETE22.1">'Grant Activities Outline'!$B$1056</definedName>
    <definedName name="POETE22.2">'Grant Activities Outline'!$B$1057</definedName>
    <definedName name="POETE22.3">'Grant Activities Outline'!$B$1058</definedName>
    <definedName name="POETE23.1">'Grant Activities Outline'!$B$1105</definedName>
    <definedName name="POETE23.2">'Grant Activities Outline'!$B$1106</definedName>
    <definedName name="POETE23.3">'Grant Activities Outline'!$B$1107</definedName>
    <definedName name="POETE24.1">'Grant Activities Outline'!$B$1154</definedName>
    <definedName name="POETE24.2">'Grant Activities Outline'!$B$1155</definedName>
    <definedName name="POETE24.3">'Grant Activities Outline'!$B$1156</definedName>
    <definedName name="POETE25.1">'Grant Activities Outline'!$B$1203</definedName>
    <definedName name="POETE25.2">'Grant Activities Outline'!$B$1204</definedName>
    <definedName name="POETE25.3">'Grant Activities Outline'!$B$1205</definedName>
    <definedName name="POETE26.1">'Grant Activities Outline'!$B$1252</definedName>
    <definedName name="POETE26.2">'Grant Activities Outline'!$B$1253</definedName>
    <definedName name="POETE26.3">'Grant Activities Outline'!$B$1254</definedName>
    <definedName name="POETE27.1">'Grant Activities Outline'!$B$1301</definedName>
    <definedName name="POETE27.2">'Grant Activities Outline'!$B$1302</definedName>
    <definedName name="POETE27.3">'Grant Activities Outline'!$B$1303</definedName>
    <definedName name="POETE28.1">'Grant Activities Outline'!$B$1350</definedName>
    <definedName name="POETE28.2">'Grant Activities Outline'!$B$1351</definedName>
    <definedName name="POETE28.3">'Grant Activities Outline'!$B$1352</definedName>
    <definedName name="POETE29.1">'Grant Activities Outline'!$B$1399</definedName>
    <definedName name="POETE29.2">'Grant Activities Outline'!$B$1400</definedName>
    <definedName name="POETE29.3">'Grant Activities Outline'!$B$1401</definedName>
    <definedName name="POETE3.1">'Grant Activities Outline'!$B$125</definedName>
    <definedName name="POETE3.2">'Grant Activities Outline'!$B$126</definedName>
    <definedName name="POETE3.3">'Grant Activities Outline'!$B$127</definedName>
    <definedName name="POETE30.1">'Grant Activities Outline'!$B$1448</definedName>
    <definedName name="POETE30.2">'Grant Activities Outline'!$B$1449</definedName>
    <definedName name="POETE30.3">'Grant Activities Outline'!$B$1450</definedName>
    <definedName name="POETE31.1">'Grant Activities Outline'!$B$1497</definedName>
    <definedName name="POETE31.2">'Grant Activities Outline'!$B$1498</definedName>
    <definedName name="POETE31.3">'Grant Activities Outline'!$B$1499</definedName>
    <definedName name="POETE32.1">'Grant Activities Outline'!$B$1546</definedName>
    <definedName name="POETE32.2">'Grant Activities Outline'!$B$1547</definedName>
    <definedName name="POETE32.3">'Grant Activities Outline'!$B$1548</definedName>
    <definedName name="POETE33.1">'Grant Activities Outline'!$B$1595</definedName>
    <definedName name="POETE33.2">'Grant Activities Outline'!$B$1596</definedName>
    <definedName name="POETE33.3">'Grant Activities Outline'!$B$1597</definedName>
    <definedName name="POETE34.1">'Grant Activities Outline'!$B$1644</definedName>
    <definedName name="POETE34.2">'Grant Activities Outline'!$B$1645</definedName>
    <definedName name="POETE34.3">'Grant Activities Outline'!$B$1646</definedName>
    <definedName name="POETE35.1">'Grant Activities Outline'!$B$1693</definedName>
    <definedName name="POETE35.2">'Grant Activities Outline'!$B$1694</definedName>
    <definedName name="POETE35.3">'Grant Activities Outline'!$B$1695</definedName>
    <definedName name="POETE36.1">'Grant Activities Outline'!$B$1742</definedName>
    <definedName name="POETE36.2">'Grant Activities Outline'!$B$1743</definedName>
    <definedName name="POETE36.3">'Grant Activities Outline'!$B$1744</definedName>
    <definedName name="POETE37.1">'Grant Activities Outline'!$B$1791</definedName>
    <definedName name="POETE37.2">'Grant Activities Outline'!$B$1792</definedName>
    <definedName name="POETE37.3">'Grant Activities Outline'!$B$1793</definedName>
    <definedName name="POETE38.1">'Grant Activities Outline'!$B$1840</definedName>
    <definedName name="POETE38.2">'Grant Activities Outline'!$B$1841</definedName>
    <definedName name="POETE38.3">'Grant Activities Outline'!$B$1842</definedName>
    <definedName name="POETE39.1">'Grant Activities Outline'!$B$1889</definedName>
    <definedName name="POETE39.2">'Grant Activities Outline'!$B$1890</definedName>
    <definedName name="POETE39.3">'Grant Activities Outline'!$B$1891</definedName>
    <definedName name="POETE4.1">'Grant Activities Outline'!$B$174</definedName>
    <definedName name="POETE4.2">'Grant Activities Outline'!$B$175</definedName>
    <definedName name="POETE4.3">'Grant Activities Outline'!$B$176</definedName>
    <definedName name="POETE40.1">'Grant Activities Outline'!$B$1938</definedName>
    <definedName name="POETE40.2">'Grant Activities Outline'!$B$1939</definedName>
    <definedName name="POETE40.3">'Grant Activities Outline'!$B$1940</definedName>
    <definedName name="POETE5.1">'Grant Activities Outline'!$B$223</definedName>
    <definedName name="POETE5.2">'Grant Activities Outline'!$B$224</definedName>
    <definedName name="POETE5.3">'Grant Activities Outline'!$B$225</definedName>
    <definedName name="POETE6.1">'Grant Activities Outline'!$B$272</definedName>
    <definedName name="POETE6.2">'Grant Activities Outline'!$B$273</definedName>
    <definedName name="POETE6.3">'Grant Activities Outline'!$B$274</definedName>
    <definedName name="POETE7.1">'Grant Activities Outline'!$B$321</definedName>
    <definedName name="POETE7.2">'Grant Activities Outline'!$B$322</definedName>
    <definedName name="POETE7.3">'Grant Activities Outline'!$B$323</definedName>
    <definedName name="POETE8.1">'Grant Activities Outline'!$B$370</definedName>
    <definedName name="POETE8.2">'Grant Activities Outline'!$B$371</definedName>
    <definedName name="POETE8.3">'Grant Activities Outline'!$B$372</definedName>
    <definedName name="POETE9.1">'Grant Activities Outline'!$B$419</definedName>
    <definedName name="POETE9.2">'Grant Activities Outline'!$B$420</definedName>
    <definedName name="POETE9.3">'Grant Activities Outline'!$B$421</definedName>
    <definedName name="Prevention">'Drop Down List Text'!$A$3:$A$9</definedName>
    <definedName name="Protection">'Drop Down List Text'!$B$3:$B$12</definedName>
    <definedName name="RA_Agreed_Upon_Priorities">'Drop Down List Text'!$L$2:$L$81</definedName>
    <definedName name="RAPriority1">'Grant Activities Outline'!$C$24</definedName>
    <definedName name="RAPriority10">'Grant Activities Outline'!$C$465</definedName>
    <definedName name="RAPriority11">'Grant Activities Outline'!$C$514</definedName>
    <definedName name="RAPriority12">'Grant Activities Outline'!$C$563</definedName>
    <definedName name="RAPriority13">'Grant Activities Outline'!$C$612</definedName>
    <definedName name="RAPriority14">'Grant Activities Outline'!$C$661</definedName>
    <definedName name="RAPriority15">'Grant Activities Outline'!$C$710</definedName>
    <definedName name="RAPriority16">'Grant Activities Outline'!$C$759</definedName>
    <definedName name="RAPriority17">'Grant Activities Outline'!$C$808</definedName>
    <definedName name="RAPriority18">'Grant Activities Outline'!$C$857</definedName>
    <definedName name="RAPriority19">'Grant Activities Outline'!$C$906</definedName>
    <definedName name="RAPriority2">'Grant Activities Outline'!$C$73</definedName>
    <definedName name="RAPriority20">'Grant Activities Outline'!$C$955</definedName>
    <definedName name="RAPriority21">'Grant Activities Outline'!$C$1004</definedName>
    <definedName name="RAPriority22">'Grant Activities Outline'!$C$1053</definedName>
    <definedName name="RAPriority23">'Grant Activities Outline'!$C$1102</definedName>
    <definedName name="RAPriority24">'Grant Activities Outline'!$C$1151</definedName>
    <definedName name="RAPriority25">'Grant Activities Outline'!$C$1200</definedName>
    <definedName name="RAPriority26">'Grant Activities Outline'!$C$1249</definedName>
    <definedName name="RAPriority27">'Grant Activities Outline'!$C$1298</definedName>
    <definedName name="RAPriority28">'Grant Activities Outline'!$C$1347</definedName>
    <definedName name="RAPriority29">'Grant Activities Outline'!$C$1396</definedName>
    <definedName name="RAPriority3">'Grant Activities Outline'!$C$122</definedName>
    <definedName name="RAPriority30">'Grant Activities Outline'!$C$1445</definedName>
    <definedName name="RAPriority31">'Grant Activities Outline'!$C$1494</definedName>
    <definedName name="RAPriority32">'Grant Activities Outline'!$C$1543</definedName>
    <definedName name="RAPriority33">'Grant Activities Outline'!$C$1592</definedName>
    <definedName name="RAPriority34">'Grant Activities Outline'!$C$1641</definedName>
    <definedName name="RAPriority35">'Grant Activities Outline'!$C$1690</definedName>
    <definedName name="RAPriority36">'Grant Activities Outline'!$C$1739</definedName>
    <definedName name="RAPriority37">'Grant Activities Outline'!$C$1788</definedName>
    <definedName name="RAPriority38">'Grant Activities Outline'!$C$1837</definedName>
    <definedName name="RAPriority39">'Grant Activities Outline'!$C$1886</definedName>
    <definedName name="RAPriority4">'Grant Activities Outline'!$C$171</definedName>
    <definedName name="RAPriority40">'Grant Activities Outline'!$C$1935</definedName>
    <definedName name="RAPriority5">'Grant Activities Outline'!$C$220</definedName>
    <definedName name="RAPriority6">'Grant Activities Outline'!$C$269</definedName>
    <definedName name="RAPriority7">'Grant Activities Outline'!$C$318</definedName>
    <definedName name="RAPriority8">'Grant Activities Outline'!$C$367</definedName>
    <definedName name="RAPriority9">'Grant Activities Outline'!$C$416</definedName>
    <definedName name="Recovery">'Drop Down List Text'!$E$3:$E$10</definedName>
    <definedName name="Response">'Drop Down List Text'!$D$3:$D$17</definedName>
    <definedName name="State_Regional_Priorities">'Drop Down List Text'!$H$2:$H$43</definedName>
    <definedName name="Total_ARP_Award_Amount">'Detailed Budget'!$D$5</definedName>
    <definedName name="Total_EMPG21_Award_Amount">'Detailed Budget'!$B$5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6" i="6" l="1"/>
  <c r="Y7" i="6"/>
  <c r="Y8" i="6"/>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107" i="6"/>
  <c r="Y108" i="6"/>
  <c r="Y109" i="6"/>
  <c r="Y110" i="6"/>
  <c r="Y111" i="6"/>
  <c r="Y112" i="6"/>
  <c r="Y113" i="6"/>
  <c r="Y114" i="6"/>
  <c r="Y115" i="6"/>
  <c r="Y116" i="6"/>
  <c r="Y117" i="6"/>
  <c r="Y118" i="6"/>
  <c r="Y119" i="6"/>
  <c r="Y120" i="6"/>
  <c r="Y121" i="6"/>
  <c r="Y122" i="6"/>
  <c r="Y123" i="6"/>
  <c r="Y124" i="6"/>
  <c r="Y125" i="6"/>
  <c r="Y126" i="6"/>
  <c r="Y127" i="6"/>
  <c r="Y128" i="6"/>
  <c r="Y129" i="6"/>
  <c r="Y130" i="6"/>
  <c r="Y131" i="6"/>
  <c r="Y132" i="6"/>
  <c r="Y133" i="6"/>
  <c r="Y134" i="6"/>
  <c r="Y135" i="6"/>
  <c r="Y136" i="6"/>
  <c r="Y137" i="6"/>
  <c r="Y138" i="6"/>
  <c r="Y139" i="6"/>
  <c r="Y140" i="6"/>
  <c r="Y141" i="6"/>
  <c r="Y142" i="6"/>
  <c r="Y143" i="6"/>
  <c r="Y144" i="6"/>
  <c r="Y145" i="6"/>
  <c r="Y146" i="6"/>
  <c r="Y147" i="6"/>
  <c r="Y148" i="6"/>
  <c r="Y149" i="6"/>
  <c r="Y150" i="6"/>
  <c r="Y151" i="6"/>
  <c r="Y152" i="6"/>
  <c r="Y153" i="6"/>
  <c r="Y154" i="6"/>
  <c r="Y155" i="6"/>
  <c r="Y156" i="6"/>
  <c r="Y157" i="6"/>
  <c r="Y158" i="6"/>
  <c r="Y159" i="6"/>
  <c r="Y160" i="6"/>
  <c r="Y161" i="6"/>
  <c r="Y162" i="6"/>
  <c r="Y163" i="6"/>
  <c r="Y164" i="6"/>
  <c r="Y165" i="6"/>
  <c r="Y166" i="6"/>
  <c r="Y167" i="6"/>
  <c r="Y168" i="6"/>
  <c r="Y169" i="6"/>
  <c r="Y170" i="6"/>
  <c r="Y171" i="6"/>
  <c r="Y172" i="6"/>
  <c r="Y173" i="6"/>
  <c r="Y174" i="6"/>
  <c r="Y175" i="6"/>
  <c r="Y176" i="6"/>
  <c r="Y177" i="6"/>
  <c r="Y178" i="6"/>
  <c r="Y179" i="6"/>
  <c r="Y180" i="6"/>
  <c r="Y181" i="6"/>
  <c r="Y182" i="6"/>
  <c r="Y183" i="6"/>
  <c r="Y184" i="6"/>
  <c r="Y185" i="6"/>
  <c r="Y186" i="6"/>
  <c r="Y187" i="6"/>
  <c r="Y188" i="6"/>
  <c r="Y189" i="6"/>
  <c r="Y190" i="6"/>
  <c r="Y191" i="6"/>
  <c r="Y192" i="6"/>
  <c r="Y193" i="6"/>
  <c r="Y194" i="6"/>
  <c r="Y195" i="6"/>
  <c r="Y196" i="6"/>
  <c r="Y197" i="6"/>
  <c r="Y198" i="6"/>
  <c r="Y199" i="6"/>
  <c r="Y200" i="6"/>
  <c r="Y201" i="6"/>
  <c r="Y202" i="6"/>
  <c r="Y203" i="6"/>
  <c r="Y204" i="6"/>
  <c r="Y205" i="6"/>
  <c r="Y206" i="6"/>
  <c r="Y207" i="6"/>
  <c r="Y208" i="6"/>
  <c r="Y209" i="6"/>
  <c r="Y210" i="6"/>
  <c r="Y211" i="6"/>
  <c r="Y212" i="6"/>
  <c r="Y213" i="6"/>
  <c r="Y214" i="6"/>
  <c r="Y215" i="6"/>
  <c r="Y216" i="6"/>
  <c r="Y217" i="6"/>
  <c r="Y218" i="6"/>
  <c r="Y219" i="6"/>
  <c r="Y220" i="6"/>
  <c r="Y221" i="6"/>
  <c r="Y222" i="6"/>
  <c r="Y223" i="6"/>
  <c r="Y224" i="6"/>
  <c r="Y225" i="6"/>
  <c r="Y226" i="6"/>
  <c r="Y227" i="6"/>
  <c r="Y228" i="6"/>
  <c r="Y229" i="6"/>
  <c r="Y230" i="6"/>
  <c r="Y231" i="6"/>
  <c r="Y232" i="6"/>
  <c r="Y233" i="6"/>
  <c r="Y234" i="6"/>
  <c r="Y235" i="6"/>
  <c r="Y236" i="6"/>
  <c r="Y237" i="6"/>
  <c r="Y238" i="6"/>
  <c r="Y239" i="6"/>
  <c r="Y240" i="6"/>
  <c r="Y241" i="6"/>
  <c r="Y242" i="6"/>
  <c r="Y243" i="6"/>
  <c r="Y244" i="6"/>
  <c r="Y245" i="6"/>
  <c r="Y246" i="6"/>
  <c r="Y247" i="6"/>
  <c r="Y248" i="6"/>
  <c r="Y249" i="6"/>
  <c r="Y250" i="6"/>
  <c r="Y251" i="6"/>
  <c r="Y252" i="6"/>
  <c r="X6" i="6"/>
  <c r="X7" i="6"/>
  <c r="X8" i="6"/>
  <c r="X9" i="6"/>
  <c r="X10" i="6"/>
  <c r="X11" i="6"/>
  <c r="X12" i="6"/>
  <c r="X13" i="6"/>
  <c r="X14" i="6"/>
  <c r="X15" i="6"/>
  <c r="X16" i="6"/>
  <c r="X17" i="6"/>
  <c r="X18" i="6"/>
  <c r="X19" i="6"/>
  <c r="X20" i="6"/>
  <c r="X21" i="6"/>
  <c r="X22" i="6"/>
  <c r="X23" i="6"/>
  <c r="X24" i="6"/>
  <c r="X25" i="6"/>
  <c r="X26" i="6"/>
  <c r="X27" i="6"/>
  <c r="X28" i="6"/>
  <c r="X29" i="6"/>
  <c r="X30" i="6"/>
  <c r="X31" i="6"/>
  <c r="X32" i="6"/>
  <c r="X33" i="6"/>
  <c r="X34" i="6"/>
  <c r="X35" i="6"/>
  <c r="X36" i="6"/>
  <c r="X37" i="6"/>
  <c r="X38" i="6"/>
  <c r="X39" i="6"/>
  <c r="X40" i="6"/>
  <c r="X41" i="6"/>
  <c r="X42" i="6"/>
  <c r="X43" i="6"/>
  <c r="X44" i="6"/>
  <c r="X45" i="6"/>
  <c r="X46" i="6"/>
  <c r="X47" i="6"/>
  <c r="X48" i="6"/>
  <c r="X49" i="6"/>
  <c r="X50" i="6"/>
  <c r="X51" i="6"/>
  <c r="X52" i="6"/>
  <c r="X53" i="6"/>
  <c r="X54" i="6"/>
  <c r="X55" i="6"/>
  <c r="X56" i="6"/>
  <c r="X57" i="6"/>
  <c r="X58" i="6"/>
  <c r="X59" i="6"/>
  <c r="X60" i="6"/>
  <c r="X61" i="6"/>
  <c r="X62" i="6"/>
  <c r="X63" i="6"/>
  <c r="X64" i="6"/>
  <c r="X65" i="6"/>
  <c r="X66" i="6"/>
  <c r="X67" i="6"/>
  <c r="X68" i="6"/>
  <c r="X69" i="6"/>
  <c r="X70" i="6"/>
  <c r="X71" i="6"/>
  <c r="X72" i="6"/>
  <c r="X73" i="6"/>
  <c r="X74" i="6"/>
  <c r="X75" i="6"/>
  <c r="X76" i="6"/>
  <c r="X77" i="6"/>
  <c r="X78" i="6"/>
  <c r="X79" i="6"/>
  <c r="X80" i="6"/>
  <c r="X81" i="6"/>
  <c r="X82" i="6"/>
  <c r="X83" i="6"/>
  <c r="X84" i="6"/>
  <c r="X85" i="6"/>
  <c r="X86" i="6"/>
  <c r="X87" i="6"/>
  <c r="X88" i="6"/>
  <c r="X89" i="6"/>
  <c r="X90" i="6"/>
  <c r="X91" i="6"/>
  <c r="X92" i="6"/>
  <c r="X93" i="6"/>
  <c r="X94" i="6"/>
  <c r="X95" i="6"/>
  <c r="X96" i="6"/>
  <c r="X97" i="6"/>
  <c r="X98" i="6"/>
  <c r="X99" i="6"/>
  <c r="X100" i="6"/>
  <c r="X101" i="6"/>
  <c r="X102" i="6"/>
  <c r="X103" i="6"/>
  <c r="X104" i="6"/>
  <c r="X105" i="6"/>
  <c r="X106" i="6"/>
  <c r="X107" i="6"/>
  <c r="X108" i="6"/>
  <c r="X109" i="6"/>
  <c r="X110" i="6"/>
  <c r="X111" i="6"/>
  <c r="X112" i="6"/>
  <c r="X113" i="6"/>
  <c r="X114" i="6"/>
  <c r="X115" i="6"/>
  <c r="X116" i="6"/>
  <c r="X117" i="6"/>
  <c r="X118" i="6"/>
  <c r="X119" i="6"/>
  <c r="X120" i="6"/>
  <c r="X121" i="6"/>
  <c r="X122" i="6"/>
  <c r="X123" i="6"/>
  <c r="X124" i="6"/>
  <c r="X125" i="6"/>
  <c r="X126" i="6"/>
  <c r="X127" i="6"/>
  <c r="X128" i="6"/>
  <c r="X129" i="6"/>
  <c r="X130" i="6"/>
  <c r="X131" i="6"/>
  <c r="X132" i="6"/>
  <c r="X133" i="6"/>
  <c r="X134" i="6"/>
  <c r="X135" i="6"/>
  <c r="X136" i="6"/>
  <c r="X137" i="6"/>
  <c r="X138" i="6"/>
  <c r="X139" i="6"/>
  <c r="X140" i="6"/>
  <c r="X141" i="6"/>
  <c r="X142" i="6"/>
  <c r="X143" i="6"/>
  <c r="X144" i="6"/>
  <c r="X145" i="6"/>
  <c r="X146" i="6"/>
  <c r="X147" i="6"/>
  <c r="X148" i="6"/>
  <c r="X149" i="6"/>
  <c r="X150" i="6"/>
  <c r="X151" i="6"/>
  <c r="X152" i="6"/>
  <c r="X153" i="6"/>
  <c r="X154" i="6"/>
  <c r="X155" i="6"/>
  <c r="X156" i="6"/>
  <c r="X157" i="6"/>
  <c r="X158" i="6"/>
  <c r="X159" i="6"/>
  <c r="X160" i="6"/>
  <c r="X161" i="6"/>
  <c r="X162" i="6"/>
  <c r="X163" i="6"/>
  <c r="X164" i="6"/>
  <c r="X165" i="6"/>
  <c r="X166" i="6"/>
  <c r="X167" i="6"/>
  <c r="X168" i="6"/>
  <c r="X169" i="6"/>
  <c r="X170" i="6"/>
  <c r="X171" i="6"/>
  <c r="X172" i="6"/>
  <c r="X173" i="6"/>
  <c r="X174" i="6"/>
  <c r="X175" i="6"/>
  <c r="X176" i="6"/>
  <c r="X177" i="6"/>
  <c r="X178" i="6"/>
  <c r="X179" i="6"/>
  <c r="X180" i="6"/>
  <c r="X181" i="6"/>
  <c r="X182" i="6"/>
  <c r="X183" i="6"/>
  <c r="X184" i="6"/>
  <c r="X185" i="6"/>
  <c r="X186" i="6"/>
  <c r="X187" i="6"/>
  <c r="X188" i="6"/>
  <c r="X189" i="6"/>
  <c r="X190" i="6"/>
  <c r="X191" i="6"/>
  <c r="X192" i="6"/>
  <c r="X193" i="6"/>
  <c r="X194" i="6"/>
  <c r="X195" i="6"/>
  <c r="X196" i="6"/>
  <c r="X197" i="6"/>
  <c r="X198" i="6"/>
  <c r="X199" i="6"/>
  <c r="X200" i="6"/>
  <c r="X201" i="6"/>
  <c r="X202" i="6"/>
  <c r="X203" i="6"/>
  <c r="X204" i="6"/>
  <c r="X205" i="6"/>
  <c r="X206" i="6"/>
  <c r="X207" i="6"/>
  <c r="X208" i="6"/>
  <c r="X209" i="6"/>
  <c r="X210" i="6"/>
  <c r="X211" i="6"/>
  <c r="X212" i="6"/>
  <c r="X213" i="6"/>
  <c r="X214" i="6"/>
  <c r="X215" i="6"/>
  <c r="X216" i="6"/>
  <c r="X217" i="6"/>
  <c r="X218" i="6"/>
  <c r="X219" i="6"/>
  <c r="X220" i="6"/>
  <c r="X221" i="6"/>
  <c r="X222" i="6"/>
  <c r="X223" i="6"/>
  <c r="X224" i="6"/>
  <c r="X225" i="6"/>
  <c r="X226" i="6"/>
  <c r="X227" i="6"/>
  <c r="X228" i="6"/>
  <c r="X229" i="6"/>
  <c r="X230" i="6"/>
  <c r="X231" i="6"/>
  <c r="X232" i="6"/>
  <c r="X233" i="6"/>
  <c r="X234" i="6"/>
  <c r="X235" i="6"/>
  <c r="X236" i="6"/>
  <c r="X237" i="6"/>
  <c r="X238" i="6"/>
  <c r="X239" i="6"/>
  <c r="X240" i="6"/>
  <c r="X241" i="6"/>
  <c r="X242" i="6"/>
  <c r="X243" i="6"/>
  <c r="X244" i="6"/>
  <c r="X245" i="6"/>
  <c r="X246" i="6"/>
  <c r="X247" i="6"/>
  <c r="X248" i="6"/>
  <c r="X249" i="6"/>
  <c r="X250" i="6"/>
  <c r="X251" i="6"/>
  <c r="X252" i="6"/>
  <c r="W6" i="6"/>
  <c r="W7" i="6"/>
  <c r="W8" i="6"/>
  <c r="W9" i="6"/>
  <c r="W10" i="6"/>
  <c r="W11" i="6"/>
  <c r="W12" i="6"/>
  <c r="W13" i="6"/>
  <c r="W14" i="6"/>
  <c r="W15" i="6"/>
  <c r="W16" i="6"/>
  <c r="W17" i="6"/>
  <c r="W18" i="6"/>
  <c r="W19" i="6"/>
  <c r="W20" i="6"/>
  <c r="W21" i="6"/>
  <c r="W22" i="6"/>
  <c r="W23" i="6"/>
  <c r="W24" i="6"/>
  <c r="W25" i="6"/>
  <c r="W26" i="6"/>
  <c r="W27" i="6"/>
  <c r="W28" i="6"/>
  <c r="W29" i="6"/>
  <c r="W30" i="6"/>
  <c r="W31" i="6"/>
  <c r="W32" i="6"/>
  <c r="W33" i="6"/>
  <c r="W34" i="6"/>
  <c r="W35" i="6"/>
  <c r="W36" i="6"/>
  <c r="W37" i="6"/>
  <c r="W38" i="6"/>
  <c r="W39" i="6"/>
  <c r="W40" i="6"/>
  <c r="W41" i="6"/>
  <c r="W42" i="6"/>
  <c r="W43" i="6"/>
  <c r="W44" i="6"/>
  <c r="W45" i="6"/>
  <c r="W46" i="6"/>
  <c r="W47" i="6"/>
  <c r="W48" i="6"/>
  <c r="W49" i="6"/>
  <c r="W50" i="6"/>
  <c r="W51" i="6"/>
  <c r="W52" i="6"/>
  <c r="W53" i="6"/>
  <c r="W54" i="6"/>
  <c r="W55" i="6"/>
  <c r="W56" i="6"/>
  <c r="W57" i="6"/>
  <c r="W58" i="6"/>
  <c r="W59" i="6"/>
  <c r="W60" i="6"/>
  <c r="W61" i="6"/>
  <c r="W62" i="6"/>
  <c r="W63" i="6"/>
  <c r="W64" i="6"/>
  <c r="W65" i="6"/>
  <c r="W66" i="6"/>
  <c r="W67" i="6"/>
  <c r="W68" i="6"/>
  <c r="W69" i="6"/>
  <c r="W70" i="6"/>
  <c r="W71" i="6"/>
  <c r="W72" i="6"/>
  <c r="W73" i="6"/>
  <c r="W74" i="6"/>
  <c r="W75" i="6"/>
  <c r="W76" i="6"/>
  <c r="W77" i="6"/>
  <c r="W78" i="6"/>
  <c r="W79" i="6"/>
  <c r="W80" i="6"/>
  <c r="W81" i="6"/>
  <c r="W82" i="6"/>
  <c r="W83" i="6"/>
  <c r="W84" i="6"/>
  <c r="W85" i="6"/>
  <c r="W86" i="6"/>
  <c r="W87" i="6"/>
  <c r="W88" i="6"/>
  <c r="W89" i="6"/>
  <c r="W90" i="6"/>
  <c r="W91" i="6"/>
  <c r="W92" i="6"/>
  <c r="W93" i="6"/>
  <c r="W94" i="6"/>
  <c r="W95" i="6"/>
  <c r="W96" i="6"/>
  <c r="W97" i="6"/>
  <c r="W98" i="6"/>
  <c r="W99" i="6"/>
  <c r="W100" i="6"/>
  <c r="W101" i="6"/>
  <c r="W102" i="6"/>
  <c r="W103" i="6"/>
  <c r="W104" i="6"/>
  <c r="W105" i="6"/>
  <c r="W106" i="6"/>
  <c r="W107" i="6"/>
  <c r="W108" i="6"/>
  <c r="W109" i="6"/>
  <c r="W110" i="6"/>
  <c r="W111" i="6"/>
  <c r="W112" i="6"/>
  <c r="W113" i="6"/>
  <c r="W114" i="6"/>
  <c r="W115" i="6"/>
  <c r="W116" i="6"/>
  <c r="W117" i="6"/>
  <c r="W118" i="6"/>
  <c r="W119" i="6"/>
  <c r="W120" i="6"/>
  <c r="W121" i="6"/>
  <c r="W122" i="6"/>
  <c r="W123" i="6"/>
  <c r="W124" i="6"/>
  <c r="W125" i="6"/>
  <c r="W126" i="6"/>
  <c r="W127" i="6"/>
  <c r="W128" i="6"/>
  <c r="W129" i="6"/>
  <c r="W130" i="6"/>
  <c r="W131" i="6"/>
  <c r="W132" i="6"/>
  <c r="W133" i="6"/>
  <c r="W134" i="6"/>
  <c r="W135" i="6"/>
  <c r="W136" i="6"/>
  <c r="W137" i="6"/>
  <c r="W138" i="6"/>
  <c r="W139" i="6"/>
  <c r="W140" i="6"/>
  <c r="W141" i="6"/>
  <c r="W142" i="6"/>
  <c r="W143" i="6"/>
  <c r="W144" i="6"/>
  <c r="W145" i="6"/>
  <c r="W146" i="6"/>
  <c r="W147" i="6"/>
  <c r="W148" i="6"/>
  <c r="W149" i="6"/>
  <c r="W150" i="6"/>
  <c r="W151" i="6"/>
  <c r="W152" i="6"/>
  <c r="W153" i="6"/>
  <c r="W154" i="6"/>
  <c r="W155" i="6"/>
  <c r="W156" i="6"/>
  <c r="W157" i="6"/>
  <c r="W158" i="6"/>
  <c r="W159" i="6"/>
  <c r="W160" i="6"/>
  <c r="W161" i="6"/>
  <c r="W162" i="6"/>
  <c r="W163" i="6"/>
  <c r="W164" i="6"/>
  <c r="W165" i="6"/>
  <c r="W166" i="6"/>
  <c r="W167" i="6"/>
  <c r="W168" i="6"/>
  <c r="W169" i="6"/>
  <c r="W170" i="6"/>
  <c r="W171" i="6"/>
  <c r="W172" i="6"/>
  <c r="W173" i="6"/>
  <c r="W174" i="6"/>
  <c r="W175" i="6"/>
  <c r="W176" i="6"/>
  <c r="W177" i="6"/>
  <c r="W178" i="6"/>
  <c r="W179" i="6"/>
  <c r="W180" i="6"/>
  <c r="W181" i="6"/>
  <c r="W182" i="6"/>
  <c r="W183" i="6"/>
  <c r="W184" i="6"/>
  <c r="W185" i="6"/>
  <c r="W186" i="6"/>
  <c r="W187" i="6"/>
  <c r="W188" i="6"/>
  <c r="W189" i="6"/>
  <c r="W190" i="6"/>
  <c r="W191" i="6"/>
  <c r="W192" i="6"/>
  <c r="W193" i="6"/>
  <c r="W194" i="6"/>
  <c r="W195" i="6"/>
  <c r="W196" i="6"/>
  <c r="W197" i="6"/>
  <c r="W198" i="6"/>
  <c r="W199" i="6"/>
  <c r="W200" i="6"/>
  <c r="W201" i="6"/>
  <c r="W202" i="6"/>
  <c r="W203" i="6"/>
  <c r="W204" i="6"/>
  <c r="W205" i="6"/>
  <c r="W206" i="6"/>
  <c r="W207" i="6"/>
  <c r="W208" i="6"/>
  <c r="W209" i="6"/>
  <c r="W210" i="6"/>
  <c r="W211" i="6"/>
  <c r="W212" i="6"/>
  <c r="W213" i="6"/>
  <c r="W214" i="6"/>
  <c r="W215" i="6"/>
  <c r="W216" i="6"/>
  <c r="W217" i="6"/>
  <c r="W218" i="6"/>
  <c r="W219" i="6"/>
  <c r="W220" i="6"/>
  <c r="W221" i="6"/>
  <c r="W222" i="6"/>
  <c r="W223" i="6"/>
  <c r="W224" i="6"/>
  <c r="W225" i="6"/>
  <c r="W226" i="6"/>
  <c r="W227" i="6"/>
  <c r="W228" i="6"/>
  <c r="W229" i="6"/>
  <c r="W230" i="6"/>
  <c r="W231" i="6"/>
  <c r="W232" i="6"/>
  <c r="W233" i="6"/>
  <c r="W234" i="6"/>
  <c r="W235" i="6"/>
  <c r="W236" i="6"/>
  <c r="W237" i="6"/>
  <c r="W238" i="6"/>
  <c r="W239" i="6"/>
  <c r="W240" i="6"/>
  <c r="W241" i="6"/>
  <c r="W242" i="6"/>
  <c r="W243" i="6"/>
  <c r="W244" i="6"/>
  <c r="W245" i="6"/>
  <c r="W246" i="6"/>
  <c r="W247" i="6"/>
  <c r="W248" i="6"/>
  <c r="W249" i="6"/>
  <c r="W250" i="6"/>
  <c r="W251" i="6"/>
  <c r="W252" i="6"/>
  <c r="V6" i="6"/>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8" i="6"/>
  <c r="V149" i="6"/>
  <c r="V150" i="6"/>
  <c r="V151" i="6"/>
  <c r="V152" i="6"/>
  <c r="V153" i="6"/>
  <c r="V154" i="6"/>
  <c r="V155" i="6"/>
  <c r="V156" i="6"/>
  <c r="V157" i="6"/>
  <c r="V158" i="6"/>
  <c r="V159" i="6"/>
  <c r="V160" i="6"/>
  <c r="V161" i="6"/>
  <c r="V162" i="6"/>
  <c r="V163" i="6"/>
  <c r="V164" i="6"/>
  <c r="V165" i="6"/>
  <c r="V166" i="6"/>
  <c r="V167" i="6"/>
  <c r="V168" i="6"/>
  <c r="V169" i="6"/>
  <c r="V170" i="6"/>
  <c r="V171" i="6"/>
  <c r="V172" i="6"/>
  <c r="V173" i="6"/>
  <c r="V174" i="6"/>
  <c r="V175" i="6"/>
  <c r="V176" i="6"/>
  <c r="V177" i="6"/>
  <c r="V178" i="6"/>
  <c r="V179" i="6"/>
  <c r="V180" i="6"/>
  <c r="V181" i="6"/>
  <c r="V182" i="6"/>
  <c r="V183" i="6"/>
  <c r="V184" i="6"/>
  <c r="V185" i="6"/>
  <c r="V186" i="6"/>
  <c r="V187" i="6"/>
  <c r="V188" i="6"/>
  <c r="V189" i="6"/>
  <c r="V190" i="6"/>
  <c r="V191" i="6"/>
  <c r="V192" i="6"/>
  <c r="V193" i="6"/>
  <c r="V194" i="6"/>
  <c r="V195" i="6"/>
  <c r="V196" i="6"/>
  <c r="V197" i="6"/>
  <c r="V198" i="6"/>
  <c r="V199" i="6"/>
  <c r="V200" i="6"/>
  <c r="V201" i="6"/>
  <c r="V202" i="6"/>
  <c r="V203" i="6"/>
  <c r="V204" i="6"/>
  <c r="V205" i="6"/>
  <c r="V206" i="6"/>
  <c r="V207" i="6"/>
  <c r="V208" i="6"/>
  <c r="V209" i="6"/>
  <c r="V210" i="6"/>
  <c r="V211" i="6"/>
  <c r="V212" i="6"/>
  <c r="V213" i="6"/>
  <c r="V214" i="6"/>
  <c r="V215" i="6"/>
  <c r="V216" i="6"/>
  <c r="V217" i="6"/>
  <c r="V218" i="6"/>
  <c r="V219" i="6"/>
  <c r="V220" i="6"/>
  <c r="V221" i="6"/>
  <c r="V222" i="6"/>
  <c r="V223" i="6"/>
  <c r="V224" i="6"/>
  <c r="V225" i="6"/>
  <c r="V226" i="6"/>
  <c r="V227" i="6"/>
  <c r="V228" i="6"/>
  <c r="V229" i="6"/>
  <c r="V230" i="6"/>
  <c r="V231" i="6"/>
  <c r="V232" i="6"/>
  <c r="V233" i="6"/>
  <c r="V234" i="6"/>
  <c r="V235" i="6"/>
  <c r="V236" i="6"/>
  <c r="V237" i="6"/>
  <c r="V238" i="6"/>
  <c r="V239" i="6"/>
  <c r="V240" i="6"/>
  <c r="V241" i="6"/>
  <c r="V242" i="6"/>
  <c r="V243" i="6"/>
  <c r="V244" i="6"/>
  <c r="V245" i="6"/>
  <c r="V246" i="6"/>
  <c r="V247" i="6"/>
  <c r="V248" i="6"/>
  <c r="V249" i="6"/>
  <c r="V250" i="6"/>
  <c r="V251" i="6"/>
  <c r="V252" i="6"/>
  <c r="U6" i="6"/>
  <c r="U7" i="6"/>
  <c r="U8" i="6"/>
  <c r="U9" i="6"/>
  <c r="U10" i="6"/>
  <c r="U11" i="6"/>
  <c r="U12" i="6"/>
  <c r="U13"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106" i="6"/>
  <c r="U107" i="6"/>
  <c r="U108" i="6"/>
  <c r="U109" i="6"/>
  <c r="U110" i="6"/>
  <c r="U111" i="6"/>
  <c r="U112" i="6"/>
  <c r="U113" i="6"/>
  <c r="U114" i="6"/>
  <c r="U115" i="6"/>
  <c r="U116" i="6"/>
  <c r="U117" i="6"/>
  <c r="U118" i="6"/>
  <c r="U119" i="6"/>
  <c r="U120" i="6"/>
  <c r="U121" i="6"/>
  <c r="U122" i="6"/>
  <c r="U123" i="6"/>
  <c r="U124" i="6"/>
  <c r="U125" i="6"/>
  <c r="U126" i="6"/>
  <c r="U127" i="6"/>
  <c r="U128" i="6"/>
  <c r="U129" i="6"/>
  <c r="U130" i="6"/>
  <c r="U131" i="6"/>
  <c r="U132" i="6"/>
  <c r="U133" i="6"/>
  <c r="U134" i="6"/>
  <c r="U135" i="6"/>
  <c r="U136" i="6"/>
  <c r="U137" i="6"/>
  <c r="U138" i="6"/>
  <c r="U139" i="6"/>
  <c r="U140" i="6"/>
  <c r="U141" i="6"/>
  <c r="U142" i="6"/>
  <c r="U143" i="6"/>
  <c r="U144" i="6"/>
  <c r="U145" i="6"/>
  <c r="U146" i="6"/>
  <c r="U147" i="6"/>
  <c r="U148" i="6"/>
  <c r="U149" i="6"/>
  <c r="U150" i="6"/>
  <c r="U151" i="6"/>
  <c r="U152" i="6"/>
  <c r="U153" i="6"/>
  <c r="U154" i="6"/>
  <c r="U155" i="6"/>
  <c r="U156" i="6"/>
  <c r="U157" i="6"/>
  <c r="U158" i="6"/>
  <c r="U159" i="6"/>
  <c r="U160" i="6"/>
  <c r="U161" i="6"/>
  <c r="U162" i="6"/>
  <c r="U163" i="6"/>
  <c r="U164" i="6"/>
  <c r="U165" i="6"/>
  <c r="U166" i="6"/>
  <c r="U167" i="6"/>
  <c r="U168" i="6"/>
  <c r="U169" i="6"/>
  <c r="U170" i="6"/>
  <c r="U171" i="6"/>
  <c r="U172" i="6"/>
  <c r="U173" i="6"/>
  <c r="U174" i="6"/>
  <c r="U175" i="6"/>
  <c r="U176" i="6"/>
  <c r="U177" i="6"/>
  <c r="U178" i="6"/>
  <c r="U179" i="6"/>
  <c r="U180" i="6"/>
  <c r="U181" i="6"/>
  <c r="U182" i="6"/>
  <c r="U183" i="6"/>
  <c r="U184" i="6"/>
  <c r="U185" i="6"/>
  <c r="U186" i="6"/>
  <c r="U187" i="6"/>
  <c r="U188" i="6"/>
  <c r="U189" i="6"/>
  <c r="U190" i="6"/>
  <c r="U191" i="6"/>
  <c r="U192" i="6"/>
  <c r="U193" i="6"/>
  <c r="U194" i="6"/>
  <c r="U195" i="6"/>
  <c r="U196" i="6"/>
  <c r="U197" i="6"/>
  <c r="U198" i="6"/>
  <c r="U199" i="6"/>
  <c r="U200" i="6"/>
  <c r="U201" i="6"/>
  <c r="U202" i="6"/>
  <c r="U203" i="6"/>
  <c r="U204" i="6"/>
  <c r="U205" i="6"/>
  <c r="U206" i="6"/>
  <c r="U207" i="6"/>
  <c r="U208" i="6"/>
  <c r="U209" i="6"/>
  <c r="U210" i="6"/>
  <c r="U211" i="6"/>
  <c r="U212" i="6"/>
  <c r="U213" i="6"/>
  <c r="U214" i="6"/>
  <c r="U215" i="6"/>
  <c r="U216" i="6"/>
  <c r="U217" i="6"/>
  <c r="U218" i="6"/>
  <c r="U219" i="6"/>
  <c r="U220" i="6"/>
  <c r="U221" i="6"/>
  <c r="U222" i="6"/>
  <c r="U223" i="6"/>
  <c r="U224" i="6"/>
  <c r="U225" i="6"/>
  <c r="U226" i="6"/>
  <c r="U227" i="6"/>
  <c r="U228" i="6"/>
  <c r="U229" i="6"/>
  <c r="U230" i="6"/>
  <c r="U231" i="6"/>
  <c r="U232" i="6"/>
  <c r="U233" i="6"/>
  <c r="U234" i="6"/>
  <c r="U235" i="6"/>
  <c r="U236" i="6"/>
  <c r="U237" i="6"/>
  <c r="U238" i="6"/>
  <c r="U239" i="6"/>
  <c r="U240" i="6"/>
  <c r="U241" i="6"/>
  <c r="U242" i="6"/>
  <c r="U243" i="6"/>
  <c r="U244" i="6"/>
  <c r="U245" i="6"/>
  <c r="U246" i="6"/>
  <c r="U247" i="6"/>
  <c r="U248" i="6"/>
  <c r="U249" i="6"/>
  <c r="U250" i="6"/>
  <c r="U251" i="6"/>
  <c r="U252"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T99" i="6"/>
  <c r="T100" i="6"/>
  <c r="T101" i="6"/>
  <c r="T102" i="6"/>
  <c r="T103" i="6"/>
  <c r="T104" i="6"/>
  <c r="T105" i="6"/>
  <c r="T106" i="6"/>
  <c r="T107" i="6"/>
  <c r="T108" i="6"/>
  <c r="T109" i="6"/>
  <c r="T110" i="6"/>
  <c r="T111" i="6"/>
  <c r="T112" i="6"/>
  <c r="T113" i="6"/>
  <c r="T114" i="6"/>
  <c r="T115" i="6"/>
  <c r="T116" i="6"/>
  <c r="T117" i="6"/>
  <c r="T118" i="6"/>
  <c r="T119" i="6"/>
  <c r="T120" i="6"/>
  <c r="T121" i="6"/>
  <c r="T122" i="6"/>
  <c r="T123" i="6"/>
  <c r="T124" i="6"/>
  <c r="T125" i="6"/>
  <c r="T126" i="6"/>
  <c r="T127" i="6"/>
  <c r="T128" i="6"/>
  <c r="T129" i="6"/>
  <c r="T130" i="6"/>
  <c r="T131" i="6"/>
  <c r="T132" i="6"/>
  <c r="T133" i="6"/>
  <c r="T134" i="6"/>
  <c r="T135" i="6"/>
  <c r="T136" i="6"/>
  <c r="T137" i="6"/>
  <c r="T138" i="6"/>
  <c r="T139" i="6"/>
  <c r="T140" i="6"/>
  <c r="T141" i="6"/>
  <c r="T142" i="6"/>
  <c r="T143" i="6"/>
  <c r="T144" i="6"/>
  <c r="T145" i="6"/>
  <c r="T146" i="6"/>
  <c r="T147" i="6"/>
  <c r="T148" i="6"/>
  <c r="T149" i="6"/>
  <c r="T150" i="6"/>
  <c r="T151" i="6"/>
  <c r="T152" i="6"/>
  <c r="T153" i="6"/>
  <c r="T154" i="6"/>
  <c r="T155" i="6"/>
  <c r="T156" i="6"/>
  <c r="T157" i="6"/>
  <c r="T158" i="6"/>
  <c r="T159" i="6"/>
  <c r="T160" i="6"/>
  <c r="T161" i="6"/>
  <c r="T162" i="6"/>
  <c r="T163" i="6"/>
  <c r="T164" i="6"/>
  <c r="T165" i="6"/>
  <c r="T166" i="6"/>
  <c r="T167" i="6"/>
  <c r="T168" i="6"/>
  <c r="T169" i="6"/>
  <c r="T170" i="6"/>
  <c r="T171" i="6"/>
  <c r="T172" i="6"/>
  <c r="T173" i="6"/>
  <c r="T174" i="6"/>
  <c r="T175" i="6"/>
  <c r="T176" i="6"/>
  <c r="T177" i="6"/>
  <c r="T178" i="6"/>
  <c r="T179" i="6"/>
  <c r="T180" i="6"/>
  <c r="T181" i="6"/>
  <c r="T182" i="6"/>
  <c r="T183" i="6"/>
  <c r="T184" i="6"/>
  <c r="T185" i="6"/>
  <c r="T186" i="6"/>
  <c r="T187" i="6"/>
  <c r="T188" i="6"/>
  <c r="T189" i="6"/>
  <c r="T190" i="6"/>
  <c r="T191" i="6"/>
  <c r="T192" i="6"/>
  <c r="T193" i="6"/>
  <c r="T194" i="6"/>
  <c r="T195" i="6"/>
  <c r="T196" i="6"/>
  <c r="T197" i="6"/>
  <c r="T198" i="6"/>
  <c r="T199" i="6"/>
  <c r="T200" i="6"/>
  <c r="T201" i="6"/>
  <c r="T202" i="6"/>
  <c r="T203" i="6"/>
  <c r="T204" i="6"/>
  <c r="T205" i="6"/>
  <c r="T206" i="6"/>
  <c r="T207" i="6"/>
  <c r="T208" i="6"/>
  <c r="T209" i="6"/>
  <c r="T210" i="6"/>
  <c r="T211" i="6"/>
  <c r="T212" i="6"/>
  <c r="T213" i="6"/>
  <c r="T214" i="6"/>
  <c r="T215" i="6"/>
  <c r="T216" i="6"/>
  <c r="T217" i="6"/>
  <c r="T218" i="6"/>
  <c r="T219" i="6"/>
  <c r="T220" i="6"/>
  <c r="T221" i="6"/>
  <c r="T222" i="6"/>
  <c r="T223" i="6"/>
  <c r="T224" i="6"/>
  <c r="T225" i="6"/>
  <c r="T226" i="6"/>
  <c r="T227" i="6"/>
  <c r="T228" i="6"/>
  <c r="T229" i="6"/>
  <c r="T230" i="6"/>
  <c r="T231" i="6"/>
  <c r="T232" i="6"/>
  <c r="T233" i="6"/>
  <c r="T234" i="6"/>
  <c r="T235" i="6"/>
  <c r="T236" i="6"/>
  <c r="T237" i="6"/>
  <c r="T238" i="6"/>
  <c r="T239" i="6"/>
  <c r="T240" i="6"/>
  <c r="T241" i="6"/>
  <c r="T242" i="6"/>
  <c r="T243" i="6"/>
  <c r="T244" i="6"/>
  <c r="T245" i="6"/>
  <c r="T246" i="6"/>
  <c r="T247" i="6"/>
  <c r="T248" i="6"/>
  <c r="T249" i="6"/>
  <c r="T250" i="6"/>
  <c r="T251" i="6"/>
  <c r="T252" i="6"/>
  <c r="S6" i="6"/>
  <c r="S7"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S154" i="6"/>
  <c r="S155" i="6"/>
  <c r="S156" i="6"/>
  <c r="S157" i="6"/>
  <c r="S158" i="6"/>
  <c r="S159" i="6"/>
  <c r="S160" i="6"/>
  <c r="S161" i="6"/>
  <c r="S162" i="6"/>
  <c r="S163" i="6"/>
  <c r="S164" i="6"/>
  <c r="S165" i="6"/>
  <c r="S166" i="6"/>
  <c r="S167" i="6"/>
  <c r="S168" i="6"/>
  <c r="S169" i="6"/>
  <c r="S170" i="6"/>
  <c r="S171" i="6"/>
  <c r="S172" i="6"/>
  <c r="S173" i="6"/>
  <c r="S174" i="6"/>
  <c r="S175" i="6"/>
  <c r="S176" i="6"/>
  <c r="S177" i="6"/>
  <c r="S178" i="6"/>
  <c r="S179" i="6"/>
  <c r="S180" i="6"/>
  <c r="S181" i="6"/>
  <c r="S182" i="6"/>
  <c r="S183" i="6"/>
  <c r="S184" i="6"/>
  <c r="S185" i="6"/>
  <c r="S186" i="6"/>
  <c r="S187" i="6"/>
  <c r="S188" i="6"/>
  <c r="S189" i="6"/>
  <c r="S190" i="6"/>
  <c r="S191" i="6"/>
  <c r="S192" i="6"/>
  <c r="S193" i="6"/>
  <c r="S194" i="6"/>
  <c r="S195" i="6"/>
  <c r="S196" i="6"/>
  <c r="S197" i="6"/>
  <c r="S198" i="6"/>
  <c r="S199" i="6"/>
  <c r="S200" i="6"/>
  <c r="S201" i="6"/>
  <c r="S202" i="6"/>
  <c r="S203" i="6"/>
  <c r="S204" i="6"/>
  <c r="S205" i="6"/>
  <c r="S206" i="6"/>
  <c r="S207" i="6"/>
  <c r="S208" i="6"/>
  <c r="S209" i="6"/>
  <c r="S210" i="6"/>
  <c r="S211" i="6"/>
  <c r="S212" i="6"/>
  <c r="S213" i="6"/>
  <c r="S214" i="6"/>
  <c r="S215" i="6"/>
  <c r="S216" i="6"/>
  <c r="S217" i="6"/>
  <c r="S218" i="6"/>
  <c r="S219" i="6"/>
  <c r="S220" i="6"/>
  <c r="S221" i="6"/>
  <c r="S222" i="6"/>
  <c r="S223" i="6"/>
  <c r="S224" i="6"/>
  <c r="S225" i="6"/>
  <c r="S226" i="6"/>
  <c r="S227" i="6"/>
  <c r="S228" i="6"/>
  <c r="S229" i="6"/>
  <c r="S230" i="6"/>
  <c r="S231" i="6"/>
  <c r="S232" i="6"/>
  <c r="S233" i="6"/>
  <c r="S234" i="6"/>
  <c r="S235" i="6"/>
  <c r="S236" i="6"/>
  <c r="S237" i="6"/>
  <c r="S238" i="6"/>
  <c r="S239" i="6"/>
  <c r="S240" i="6"/>
  <c r="S241" i="6"/>
  <c r="S242" i="6"/>
  <c r="S243" i="6"/>
  <c r="S244" i="6"/>
  <c r="S245" i="6"/>
  <c r="S246" i="6"/>
  <c r="S247" i="6"/>
  <c r="S248" i="6"/>
  <c r="S249" i="6"/>
  <c r="S250" i="6"/>
  <c r="S251" i="6"/>
  <c r="S252" i="6"/>
  <c r="R6" i="6"/>
  <c r="R7" i="6"/>
  <c r="R8" i="6"/>
  <c r="R9" i="6"/>
  <c r="R10" i="6"/>
  <c r="R11" i="6"/>
  <c r="R12" i="6"/>
  <c r="R13" i="6"/>
  <c r="R14" i="6"/>
  <c r="R15" i="6"/>
  <c r="R16" i="6"/>
  <c r="R17" i="6"/>
  <c r="R18" i="6"/>
  <c r="R19" i="6"/>
  <c r="R20" i="6"/>
  <c r="R21" i="6"/>
  <c r="R22" i="6"/>
  <c r="R23" i="6"/>
  <c r="R24" i="6"/>
  <c r="R25" i="6"/>
  <c r="R26" i="6"/>
  <c r="R27" i="6"/>
  <c r="R28" i="6"/>
  <c r="R29" i="6"/>
  <c r="R30" i="6"/>
  <c r="R31" i="6"/>
  <c r="R32" i="6"/>
  <c r="R33" i="6"/>
  <c r="R34" i="6"/>
  <c r="R35" i="6"/>
  <c r="R36" i="6"/>
  <c r="R37" i="6"/>
  <c r="R38" i="6"/>
  <c r="R39" i="6"/>
  <c r="R40" i="6"/>
  <c r="R41" i="6"/>
  <c r="R42" i="6"/>
  <c r="R43" i="6"/>
  <c r="R44" i="6"/>
  <c r="R45" i="6"/>
  <c r="R46" i="6"/>
  <c r="R47" i="6"/>
  <c r="R48" i="6"/>
  <c r="R49" i="6"/>
  <c r="R50" i="6"/>
  <c r="R51" i="6"/>
  <c r="R52" i="6"/>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R85" i="6"/>
  <c r="R86" i="6"/>
  <c r="R87" i="6"/>
  <c r="R88" i="6"/>
  <c r="R89" i="6"/>
  <c r="R90" i="6"/>
  <c r="R91" i="6"/>
  <c r="R92" i="6"/>
  <c r="R93" i="6"/>
  <c r="R94" i="6"/>
  <c r="R95" i="6"/>
  <c r="R96" i="6"/>
  <c r="R97" i="6"/>
  <c r="R98" i="6"/>
  <c r="R99" i="6"/>
  <c r="R100" i="6"/>
  <c r="R101" i="6"/>
  <c r="R102" i="6"/>
  <c r="R103" i="6"/>
  <c r="R104" i="6"/>
  <c r="R105" i="6"/>
  <c r="R106" i="6"/>
  <c r="R107" i="6"/>
  <c r="R108" i="6"/>
  <c r="R109" i="6"/>
  <c r="R110" i="6"/>
  <c r="R111" i="6"/>
  <c r="R112" i="6"/>
  <c r="R113" i="6"/>
  <c r="R114" i="6"/>
  <c r="R115" i="6"/>
  <c r="R116" i="6"/>
  <c r="R117" i="6"/>
  <c r="R118" i="6"/>
  <c r="R119" i="6"/>
  <c r="R120" i="6"/>
  <c r="R121" i="6"/>
  <c r="R122" i="6"/>
  <c r="R123" i="6"/>
  <c r="R124" i="6"/>
  <c r="R125" i="6"/>
  <c r="R126" i="6"/>
  <c r="R127" i="6"/>
  <c r="R128" i="6"/>
  <c r="R129" i="6"/>
  <c r="R130" i="6"/>
  <c r="R131" i="6"/>
  <c r="R132" i="6"/>
  <c r="R133" i="6"/>
  <c r="R134" i="6"/>
  <c r="R135" i="6"/>
  <c r="R136" i="6"/>
  <c r="R137" i="6"/>
  <c r="R138" i="6"/>
  <c r="R139" i="6"/>
  <c r="R140" i="6"/>
  <c r="R141" i="6"/>
  <c r="R142" i="6"/>
  <c r="R143" i="6"/>
  <c r="R144" i="6"/>
  <c r="R145" i="6"/>
  <c r="R146" i="6"/>
  <c r="R147" i="6"/>
  <c r="R148" i="6"/>
  <c r="R149" i="6"/>
  <c r="R150" i="6"/>
  <c r="R151" i="6"/>
  <c r="R152" i="6"/>
  <c r="R153" i="6"/>
  <c r="R154" i="6"/>
  <c r="R155" i="6"/>
  <c r="R156" i="6"/>
  <c r="R157" i="6"/>
  <c r="R158" i="6"/>
  <c r="R159" i="6"/>
  <c r="R160" i="6"/>
  <c r="R161" i="6"/>
  <c r="R162" i="6"/>
  <c r="R163" i="6"/>
  <c r="R164" i="6"/>
  <c r="R165" i="6"/>
  <c r="R166" i="6"/>
  <c r="R167" i="6"/>
  <c r="R168" i="6"/>
  <c r="R169" i="6"/>
  <c r="R170" i="6"/>
  <c r="R171" i="6"/>
  <c r="R172" i="6"/>
  <c r="R173" i="6"/>
  <c r="R174" i="6"/>
  <c r="R175" i="6"/>
  <c r="R176" i="6"/>
  <c r="R177" i="6"/>
  <c r="R178" i="6"/>
  <c r="R179" i="6"/>
  <c r="R180" i="6"/>
  <c r="R181" i="6"/>
  <c r="R182" i="6"/>
  <c r="R183" i="6"/>
  <c r="R184" i="6"/>
  <c r="R185" i="6"/>
  <c r="R186" i="6"/>
  <c r="R187" i="6"/>
  <c r="R188" i="6"/>
  <c r="R189" i="6"/>
  <c r="R190" i="6"/>
  <c r="R191" i="6"/>
  <c r="R192" i="6"/>
  <c r="R193" i="6"/>
  <c r="R194" i="6"/>
  <c r="R195" i="6"/>
  <c r="R196" i="6"/>
  <c r="R197" i="6"/>
  <c r="R198" i="6"/>
  <c r="R199" i="6"/>
  <c r="R200" i="6"/>
  <c r="R201" i="6"/>
  <c r="R202" i="6"/>
  <c r="R203" i="6"/>
  <c r="R204" i="6"/>
  <c r="R205" i="6"/>
  <c r="R206" i="6"/>
  <c r="R207" i="6"/>
  <c r="R208" i="6"/>
  <c r="R209" i="6"/>
  <c r="R210" i="6"/>
  <c r="R211" i="6"/>
  <c r="R212" i="6"/>
  <c r="R213" i="6"/>
  <c r="R214" i="6"/>
  <c r="R215" i="6"/>
  <c r="R216" i="6"/>
  <c r="R217" i="6"/>
  <c r="R218" i="6"/>
  <c r="R219" i="6"/>
  <c r="R220" i="6"/>
  <c r="R221" i="6"/>
  <c r="R222" i="6"/>
  <c r="R223" i="6"/>
  <c r="R224" i="6"/>
  <c r="R225" i="6"/>
  <c r="R226" i="6"/>
  <c r="R227" i="6"/>
  <c r="R228" i="6"/>
  <c r="R229" i="6"/>
  <c r="R230" i="6"/>
  <c r="R231" i="6"/>
  <c r="R232" i="6"/>
  <c r="R233" i="6"/>
  <c r="R234" i="6"/>
  <c r="R235" i="6"/>
  <c r="R236" i="6"/>
  <c r="R237" i="6"/>
  <c r="R238" i="6"/>
  <c r="R239" i="6"/>
  <c r="R240" i="6"/>
  <c r="R241" i="6"/>
  <c r="R242" i="6"/>
  <c r="R243" i="6"/>
  <c r="R244" i="6"/>
  <c r="R245" i="6"/>
  <c r="R246" i="6"/>
  <c r="R247" i="6"/>
  <c r="R248" i="6"/>
  <c r="R249" i="6"/>
  <c r="R250" i="6"/>
  <c r="R251" i="6"/>
  <c r="R252" i="6"/>
  <c r="Q6" i="6"/>
  <c r="Q7" i="6"/>
  <c r="Q8" i="6"/>
  <c r="Q9" i="6"/>
  <c r="Q10" i="6"/>
  <c r="Q11" i="6"/>
  <c r="Q12" i="6"/>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Q111" i="6"/>
  <c r="Q112" i="6"/>
  <c r="Q113" i="6"/>
  <c r="Q114" i="6"/>
  <c r="Q115" i="6"/>
  <c r="Q116" i="6"/>
  <c r="Q117" i="6"/>
  <c r="Q118" i="6"/>
  <c r="Q119" i="6"/>
  <c r="Q120" i="6"/>
  <c r="Q121" i="6"/>
  <c r="Q122" i="6"/>
  <c r="Q123" i="6"/>
  <c r="Q124" i="6"/>
  <c r="Q125" i="6"/>
  <c r="Q126" i="6"/>
  <c r="Q127" i="6"/>
  <c r="Q128" i="6"/>
  <c r="Q129" i="6"/>
  <c r="Q130" i="6"/>
  <c r="Q131" i="6"/>
  <c r="Q132" i="6"/>
  <c r="Q133" i="6"/>
  <c r="Q134" i="6"/>
  <c r="Q135" i="6"/>
  <c r="Q136" i="6"/>
  <c r="Q137" i="6"/>
  <c r="Q138" i="6"/>
  <c r="Q139" i="6"/>
  <c r="Q140" i="6"/>
  <c r="Q141" i="6"/>
  <c r="Q142" i="6"/>
  <c r="Q143" i="6"/>
  <c r="Q144" i="6"/>
  <c r="Q145" i="6"/>
  <c r="Q146" i="6"/>
  <c r="Q147" i="6"/>
  <c r="Q148" i="6"/>
  <c r="Q149" i="6"/>
  <c r="Q150" i="6"/>
  <c r="Q151" i="6"/>
  <c r="Q152" i="6"/>
  <c r="Q153" i="6"/>
  <c r="Q154" i="6"/>
  <c r="Q155" i="6"/>
  <c r="Q156" i="6"/>
  <c r="Q157" i="6"/>
  <c r="Q158" i="6"/>
  <c r="Q159" i="6"/>
  <c r="Q160" i="6"/>
  <c r="Q161" i="6"/>
  <c r="Q162" i="6"/>
  <c r="Q163" i="6"/>
  <c r="Q164" i="6"/>
  <c r="Q165" i="6"/>
  <c r="Q166" i="6"/>
  <c r="Q167" i="6"/>
  <c r="Q168" i="6"/>
  <c r="Q169" i="6"/>
  <c r="Q170" i="6"/>
  <c r="Q171" i="6"/>
  <c r="Q172" i="6"/>
  <c r="Q173" i="6"/>
  <c r="Q174" i="6"/>
  <c r="Q175" i="6"/>
  <c r="Q176" i="6"/>
  <c r="Q177" i="6"/>
  <c r="Q178" i="6"/>
  <c r="Q179" i="6"/>
  <c r="Q180" i="6"/>
  <c r="Q181" i="6"/>
  <c r="Q182" i="6"/>
  <c r="Q183" i="6"/>
  <c r="Q184" i="6"/>
  <c r="Q185" i="6"/>
  <c r="Q186" i="6"/>
  <c r="Q187" i="6"/>
  <c r="Q188" i="6"/>
  <c r="Q189" i="6"/>
  <c r="Q190" i="6"/>
  <c r="Q191" i="6"/>
  <c r="Q192" i="6"/>
  <c r="Q193" i="6"/>
  <c r="Q194" i="6"/>
  <c r="Q195" i="6"/>
  <c r="Q196" i="6"/>
  <c r="Q197" i="6"/>
  <c r="Q198" i="6"/>
  <c r="Q199" i="6"/>
  <c r="Q200" i="6"/>
  <c r="Q201" i="6"/>
  <c r="Q202" i="6"/>
  <c r="Q203" i="6"/>
  <c r="Q204" i="6"/>
  <c r="Q205" i="6"/>
  <c r="Q206" i="6"/>
  <c r="Q207" i="6"/>
  <c r="Q208" i="6"/>
  <c r="Q209" i="6"/>
  <c r="Q210" i="6"/>
  <c r="Q211" i="6"/>
  <c r="Q212" i="6"/>
  <c r="Q213" i="6"/>
  <c r="Q214" i="6"/>
  <c r="Q215" i="6"/>
  <c r="Q216" i="6"/>
  <c r="Q217" i="6"/>
  <c r="Q218" i="6"/>
  <c r="Q219" i="6"/>
  <c r="Q220" i="6"/>
  <c r="Q221" i="6"/>
  <c r="Q222" i="6"/>
  <c r="Q223" i="6"/>
  <c r="Q224" i="6"/>
  <c r="Q225" i="6"/>
  <c r="Q226" i="6"/>
  <c r="Q227" i="6"/>
  <c r="Q228" i="6"/>
  <c r="Q229" i="6"/>
  <c r="Q230" i="6"/>
  <c r="Q231" i="6"/>
  <c r="Q232" i="6"/>
  <c r="Q233" i="6"/>
  <c r="Q234" i="6"/>
  <c r="Q235" i="6"/>
  <c r="Q236" i="6"/>
  <c r="Q237" i="6"/>
  <c r="Q238" i="6"/>
  <c r="Q239" i="6"/>
  <c r="Q240" i="6"/>
  <c r="Q241" i="6"/>
  <c r="Q242" i="6"/>
  <c r="Q243" i="6"/>
  <c r="Q244" i="6"/>
  <c r="Q245" i="6"/>
  <c r="Q246" i="6"/>
  <c r="Q247" i="6"/>
  <c r="Q248" i="6"/>
  <c r="Q249" i="6"/>
  <c r="Q250" i="6"/>
  <c r="Q251" i="6"/>
  <c r="Q252" i="6"/>
  <c r="P6" i="6"/>
  <c r="P7" i="6"/>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6" i="6"/>
  <c r="P47" i="6"/>
  <c r="P48" i="6"/>
  <c r="P49" i="6"/>
  <c r="P50" i="6"/>
  <c r="P51" i="6"/>
  <c r="P52" i="6"/>
  <c r="P53" i="6"/>
  <c r="P54" i="6"/>
  <c r="P55"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8" i="6"/>
  <c r="P139" i="6"/>
  <c r="P140" i="6"/>
  <c r="P141"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0"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O6" i="6"/>
  <c r="O7" i="6"/>
  <c r="O8" i="6"/>
  <c r="O9" i="6"/>
  <c r="O10" i="6"/>
  <c r="O11" i="6"/>
  <c r="O12" i="6"/>
  <c r="O13" i="6"/>
  <c r="O14" i="6"/>
  <c r="O15" i="6"/>
  <c r="O16" i="6"/>
  <c r="O17" i="6"/>
  <c r="O18" i="6"/>
  <c r="O19" i="6"/>
  <c r="O20" i="6"/>
  <c r="O21" i="6"/>
  <c r="O22" i="6"/>
  <c r="O23" i="6"/>
  <c r="O24" i="6"/>
  <c r="O25" i="6"/>
  <c r="O26" i="6"/>
  <c r="O27" i="6"/>
  <c r="O28" i="6"/>
  <c r="O29" i="6"/>
  <c r="O30" i="6"/>
  <c r="O31" i="6"/>
  <c r="O32" i="6"/>
  <c r="O33" i="6"/>
  <c r="O34" i="6"/>
  <c r="O35" i="6"/>
  <c r="O36" i="6"/>
  <c r="O37" i="6"/>
  <c r="O38" i="6"/>
  <c r="O39" i="6"/>
  <c r="O40" i="6"/>
  <c r="O41" i="6"/>
  <c r="O42" i="6"/>
  <c r="O43" i="6"/>
  <c r="O44" i="6"/>
  <c r="O45" i="6"/>
  <c r="O46" i="6"/>
  <c r="O47" i="6"/>
  <c r="O48" i="6"/>
  <c r="O49" i="6"/>
  <c r="O50" i="6"/>
  <c r="O51" i="6"/>
  <c r="O52" i="6"/>
  <c r="O53" i="6"/>
  <c r="O54" i="6"/>
  <c r="O55" i="6"/>
  <c r="O56" i="6"/>
  <c r="O57" i="6"/>
  <c r="O58" i="6"/>
  <c r="O59" i="6"/>
  <c r="O60" i="6"/>
  <c r="O61" i="6"/>
  <c r="O62" i="6"/>
  <c r="O63" i="6"/>
  <c r="O64" i="6"/>
  <c r="O65" i="6"/>
  <c r="O66" i="6"/>
  <c r="O67" i="6"/>
  <c r="O68" i="6"/>
  <c r="O69" i="6"/>
  <c r="O70" i="6"/>
  <c r="O71" i="6"/>
  <c r="O72" i="6"/>
  <c r="O73" i="6"/>
  <c r="O74" i="6"/>
  <c r="O75" i="6"/>
  <c r="O76" i="6"/>
  <c r="O77" i="6"/>
  <c r="O78" i="6"/>
  <c r="O79" i="6"/>
  <c r="O80" i="6"/>
  <c r="O81" i="6"/>
  <c r="O82" i="6"/>
  <c r="O83" i="6"/>
  <c r="O84" i="6"/>
  <c r="O85" i="6"/>
  <c r="O86" i="6"/>
  <c r="O87" i="6"/>
  <c r="O88" i="6"/>
  <c r="O89" i="6"/>
  <c r="O90" i="6"/>
  <c r="O91" i="6"/>
  <c r="O92" i="6"/>
  <c r="O93" i="6"/>
  <c r="O94" i="6"/>
  <c r="O95" i="6"/>
  <c r="O96" i="6"/>
  <c r="O97" i="6"/>
  <c r="O98" i="6"/>
  <c r="O99" i="6"/>
  <c r="O100" i="6"/>
  <c r="O101" i="6"/>
  <c r="O102" i="6"/>
  <c r="O103" i="6"/>
  <c r="O104" i="6"/>
  <c r="O105" i="6"/>
  <c r="O106" i="6"/>
  <c r="O107" i="6"/>
  <c r="O108" i="6"/>
  <c r="O109" i="6"/>
  <c r="O110" i="6"/>
  <c r="O111" i="6"/>
  <c r="O112" i="6"/>
  <c r="O113" i="6"/>
  <c r="O114" i="6"/>
  <c r="O115" i="6"/>
  <c r="O116" i="6"/>
  <c r="O117" i="6"/>
  <c r="O118" i="6"/>
  <c r="O119" i="6"/>
  <c r="O120" i="6"/>
  <c r="O121" i="6"/>
  <c r="O122" i="6"/>
  <c r="O123" i="6"/>
  <c r="O124" i="6"/>
  <c r="O125" i="6"/>
  <c r="O126" i="6"/>
  <c r="O127" i="6"/>
  <c r="O128" i="6"/>
  <c r="O129" i="6"/>
  <c r="O130" i="6"/>
  <c r="O131" i="6"/>
  <c r="O132" i="6"/>
  <c r="O133" i="6"/>
  <c r="O134" i="6"/>
  <c r="O135" i="6"/>
  <c r="O136" i="6"/>
  <c r="O137" i="6"/>
  <c r="O138" i="6"/>
  <c r="O139" i="6"/>
  <c r="O140" i="6"/>
  <c r="O141" i="6"/>
  <c r="O142" i="6"/>
  <c r="O143" i="6"/>
  <c r="O144" i="6"/>
  <c r="O145" i="6"/>
  <c r="O146" i="6"/>
  <c r="O147" i="6"/>
  <c r="O148" i="6"/>
  <c r="O149" i="6"/>
  <c r="O150" i="6"/>
  <c r="O151" i="6"/>
  <c r="O152" i="6"/>
  <c r="O153" i="6"/>
  <c r="O154" i="6"/>
  <c r="O155" i="6"/>
  <c r="O156" i="6"/>
  <c r="O157" i="6"/>
  <c r="O158" i="6"/>
  <c r="O159" i="6"/>
  <c r="O160" i="6"/>
  <c r="O161" i="6"/>
  <c r="O162" i="6"/>
  <c r="O163" i="6"/>
  <c r="O164" i="6"/>
  <c r="O165" i="6"/>
  <c r="O166" i="6"/>
  <c r="O167" i="6"/>
  <c r="O168" i="6"/>
  <c r="O169" i="6"/>
  <c r="O170" i="6"/>
  <c r="O171" i="6"/>
  <c r="O172" i="6"/>
  <c r="O173" i="6"/>
  <c r="O174" i="6"/>
  <c r="O175" i="6"/>
  <c r="O176" i="6"/>
  <c r="O177" i="6"/>
  <c r="O178" i="6"/>
  <c r="O179" i="6"/>
  <c r="O180" i="6"/>
  <c r="O181" i="6"/>
  <c r="O182" i="6"/>
  <c r="O183" i="6"/>
  <c r="O184" i="6"/>
  <c r="O185" i="6"/>
  <c r="O186" i="6"/>
  <c r="O187" i="6"/>
  <c r="O188" i="6"/>
  <c r="O189" i="6"/>
  <c r="O190" i="6"/>
  <c r="O191" i="6"/>
  <c r="O192" i="6"/>
  <c r="O193" i="6"/>
  <c r="O194" i="6"/>
  <c r="O195" i="6"/>
  <c r="O196" i="6"/>
  <c r="O197" i="6"/>
  <c r="O198" i="6"/>
  <c r="O199" i="6"/>
  <c r="O200" i="6"/>
  <c r="O201" i="6"/>
  <c r="O202" i="6"/>
  <c r="O203" i="6"/>
  <c r="O204" i="6"/>
  <c r="O205" i="6"/>
  <c r="O206" i="6"/>
  <c r="O207" i="6"/>
  <c r="O208" i="6"/>
  <c r="O209" i="6"/>
  <c r="O210" i="6"/>
  <c r="O211" i="6"/>
  <c r="O212" i="6"/>
  <c r="O213" i="6"/>
  <c r="O214" i="6"/>
  <c r="O215" i="6"/>
  <c r="O216" i="6"/>
  <c r="O217" i="6"/>
  <c r="O218" i="6"/>
  <c r="O219" i="6"/>
  <c r="O220" i="6"/>
  <c r="O221" i="6"/>
  <c r="O222" i="6"/>
  <c r="O223" i="6"/>
  <c r="O224" i="6"/>
  <c r="O225" i="6"/>
  <c r="O226" i="6"/>
  <c r="O227" i="6"/>
  <c r="O228" i="6"/>
  <c r="O229" i="6"/>
  <c r="O230" i="6"/>
  <c r="O231" i="6"/>
  <c r="O232" i="6"/>
  <c r="O233" i="6"/>
  <c r="O234" i="6"/>
  <c r="O235" i="6"/>
  <c r="O236" i="6"/>
  <c r="O237" i="6"/>
  <c r="O238" i="6"/>
  <c r="O239" i="6"/>
  <c r="O240" i="6"/>
  <c r="O241" i="6"/>
  <c r="O242" i="6"/>
  <c r="O243" i="6"/>
  <c r="O244" i="6"/>
  <c r="O245" i="6"/>
  <c r="O246" i="6"/>
  <c r="O247" i="6"/>
  <c r="O248" i="6"/>
  <c r="O249" i="6"/>
  <c r="O250" i="6"/>
  <c r="O251" i="6"/>
  <c r="O252" i="6"/>
  <c r="N6" i="6"/>
  <c r="N7" i="6"/>
  <c r="N8" i="6"/>
  <c r="N9" i="6"/>
  <c r="N10" i="6"/>
  <c r="N11" i="6"/>
  <c r="N12" i="6"/>
  <c r="N13"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63" i="6"/>
  <c r="N64" i="6"/>
  <c r="N65" i="6"/>
  <c r="N66" i="6"/>
  <c r="N67" i="6"/>
  <c r="N68" i="6"/>
  <c r="N69" i="6"/>
  <c r="N70"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N116" i="6"/>
  <c r="N117" i="6"/>
  <c r="N118" i="6"/>
  <c r="N119" i="6"/>
  <c r="N120" i="6"/>
  <c r="N121" i="6"/>
  <c r="N122" i="6"/>
  <c r="N123" i="6"/>
  <c r="N124" i="6"/>
  <c r="N125" i="6"/>
  <c r="N126" i="6"/>
  <c r="N127" i="6"/>
  <c r="N128" i="6"/>
  <c r="N129" i="6"/>
  <c r="N130" i="6"/>
  <c r="N131" i="6"/>
  <c r="N132" i="6"/>
  <c r="N133" i="6"/>
  <c r="N134" i="6"/>
  <c r="N135" i="6"/>
  <c r="N136" i="6"/>
  <c r="N137" i="6"/>
  <c r="N138" i="6"/>
  <c r="N139" i="6"/>
  <c r="N140" i="6"/>
  <c r="N141" i="6"/>
  <c r="N142" i="6"/>
  <c r="N143" i="6"/>
  <c r="N144" i="6"/>
  <c r="N145" i="6"/>
  <c r="N146" i="6"/>
  <c r="N147" i="6"/>
  <c r="N148" i="6"/>
  <c r="N149" i="6"/>
  <c r="N150" i="6"/>
  <c r="N151" i="6"/>
  <c r="N152" i="6"/>
  <c r="N153" i="6"/>
  <c r="N154" i="6"/>
  <c r="N155" i="6"/>
  <c r="N156" i="6"/>
  <c r="N157" i="6"/>
  <c r="N158" i="6"/>
  <c r="N159" i="6"/>
  <c r="N160" i="6"/>
  <c r="N161" i="6"/>
  <c r="N162" i="6"/>
  <c r="N163" i="6"/>
  <c r="N164" i="6"/>
  <c r="N165" i="6"/>
  <c r="N166" i="6"/>
  <c r="N167" i="6"/>
  <c r="N168" i="6"/>
  <c r="N169" i="6"/>
  <c r="N170" i="6"/>
  <c r="N171" i="6"/>
  <c r="N172" i="6"/>
  <c r="N173" i="6"/>
  <c r="N174" i="6"/>
  <c r="N175" i="6"/>
  <c r="N176" i="6"/>
  <c r="N177" i="6"/>
  <c r="N178" i="6"/>
  <c r="N179" i="6"/>
  <c r="N180" i="6"/>
  <c r="N181" i="6"/>
  <c r="N182" i="6"/>
  <c r="N183" i="6"/>
  <c r="N184" i="6"/>
  <c r="N185" i="6"/>
  <c r="N186" i="6"/>
  <c r="N187" i="6"/>
  <c r="N188" i="6"/>
  <c r="N189" i="6"/>
  <c r="N190" i="6"/>
  <c r="N191" i="6"/>
  <c r="N192" i="6"/>
  <c r="N193" i="6"/>
  <c r="N194" i="6"/>
  <c r="N195" i="6"/>
  <c r="N196" i="6"/>
  <c r="N197" i="6"/>
  <c r="N198" i="6"/>
  <c r="N199" i="6"/>
  <c r="N200" i="6"/>
  <c r="N201" i="6"/>
  <c r="N202" i="6"/>
  <c r="N203" i="6"/>
  <c r="N204" i="6"/>
  <c r="N205" i="6"/>
  <c r="N206" i="6"/>
  <c r="N207" i="6"/>
  <c r="N208" i="6"/>
  <c r="N209" i="6"/>
  <c r="N210" i="6"/>
  <c r="N211" i="6"/>
  <c r="N212" i="6"/>
  <c r="N213" i="6"/>
  <c r="N214" i="6"/>
  <c r="N215" i="6"/>
  <c r="N216" i="6"/>
  <c r="N217" i="6"/>
  <c r="N218" i="6"/>
  <c r="N219" i="6"/>
  <c r="N220" i="6"/>
  <c r="N221" i="6"/>
  <c r="N222" i="6"/>
  <c r="N223" i="6"/>
  <c r="N224" i="6"/>
  <c r="N225" i="6"/>
  <c r="N226" i="6"/>
  <c r="N227" i="6"/>
  <c r="N228" i="6"/>
  <c r="N229" i="6"/>
  <c r="N230" i="6"/>
  <c r="N231" i="6"/>
  <c r="N232" i="6"/>
  <c r="N233" i="6"/>
  <c r="N234" i="6"/>
  <c r="N235" i="6"/>
  <c r="N236" i="6"/>
  <c r="N237" i="6"/>
  <c r="N238" i="6"/>
  <c r="N239" i="6"/>
  <c r="N240" i="6"/>
  <c r="N241" i="6"/>
  <c r="N242" i="6"/>
  <c r="N243" i="6"/>
  <c r="N244" i="6"/>
  <c r="N245" i="6"/>
  <c r="N246" i="6"/>
  <c r="N247" i="6"/>
  <c r="N248" i="6"/>
  <c r="N249" i="6"/>
  <c r="N250" i="6"/>
  <c r="N251" i="6"/>
  <c r="N252"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L6" i="6"/>
  <c r="L7" i="6"/>
  <c r="L8" i="6"/>
  <c r="L9" i="6"/>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L173" i="6"/>
  <c r="L174" i="6"/>
  <c r="L175" i="6"/>
  <c r="L176" i="6"/>
  <c r="L177" i="6"/>
  <c r="L178" i="6"/>
  <c r="L179" i="6"/>
  <c r="L180" i="6"/>
  <c r="L181" i="6"/>
  <c r="L182" i="6"/>
  <c r="L183" i="6"/>
  <c r="L184" i="6"/>
  <c r="L185" i="6"/>
  <c r="L186" i="6"/>
  <c r="L187" i="6"/>
  <c r="L188" i="6"/>
  <c r="L189" i="6"/>
  <c r="L190" i="6"/>
  <c r="L191" i="6"/>
  <c r="L192" i="6"/>
  <c r="L193" i="6"/>
  <c r="L194" i="6"/>
  <c r="L195" i="6"/>
  <c r="L196" i="6"/>
  <c r="L197" i="6"/>
  <c r="L198" i="6"/>
  <c r="L199" i="6"/>
  <c r="L200" i="6"/>
  <c r="L201" i="6"/>
  <c r="L202" i="6"/>
  <c r="L203" i="6"/>
  <c r="L204" i="6"/>
  <c r="L205" i="6"/>
  <c r="L206" i="6"/>
  <c r="L207" i="6"/>
  <c r="L208" i="6"/>
  <c r="L209" i="6"/>
  <c r="L210" i="6"/>
  <c r="L211" i="6"/>
  <c r="L212" i="6"/>
  <c r="L213" i="6"/>
  <c r="L214" i="6"/>
  <c r="L215" i="6"/>
  <c r="L216" i="6"/>
  <c r="L217" i="6"/>
  <c r="L218" i="6"/>
  <c r="L219" i="6"/>
  <c r="L220" i="6"/>
  <c r="L221" i="6"/>
  <c r="L222" i="6"/>
  <c r="L223" i="6"/>
  <c r="L224" i="6"/>
  <c r="L225" i="6"/>
  <c r="L226" i="6"/>
  <c r="L227" i="6"/>
  <c r="L228" i="6"/>
  <c r="L229" i="6"/>
  <c r="L230" i="6"/>
  <c r="L231" i="6"/>
  <c r="L232" i="6"/>
  <c r="L233" i="6"/>
  <c r="L234" i="6"/>
  <c r="L235" i="6"/>
  <c r="L236" i="6"/>
  <c r="L237" i="6"/>
  <c r="L238" i="6"/>
  <c r="L239" i="6"/>
  <c r="L240" i="6"/>
  <c r="L241" i="6"/>
  <c r="L242" i="6"/>
  <c r="L243" i="6"/>
  <c r="L244" i="6"/>
  <c r="L245" i="6"/>
  <c r="L246" i="6"/>
  <c r="L247" i="6"/>
  <c r="L248" i="6"/>
  <c r="L249" i="6"/>
  <c r="L250" i="6"/>
  <c r="L251" i="6"/>
  <c r="L252" i="6"/>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K173" i="6"/>
  <c r="K174" i="6"/>
  <c r="K175" i="6"/>
  <c r="K176" i="6"/>
  <c r="K177" i="6"/>
  <c r="K178" i="6"/>
  <c r="K179" i="6"/>
  <c r="K180" i="6"/>
  <c r="K181" i="6"/>
  <c r="K182" i="6"/>
  <c r="K183" i="6"/>
  <c r="K184" i="6"/>
  <c r="K185" i="6"/>
  <c r="K186" i="6"/>
  <c r="K187" i="6"/>
  <c r="K188" i="6"/>
  <c r="K189" i="6"/>
  <c r="K190" i="6"/>
  <c r="K191" i="6"/>
  <c r="K192" i="6"/>
  <c r="K193" i="6"/>
  <c r="K194" i="6"/>
  <c r="K195" i="6"/>
  <c r="K196" i="6"/>
  <c r="K197" i="6"/>
  <c r="K198" i="6"/>
  <c r="K199" i="6"/>
  <c r="K200" i="6"/>
  <c r="K201" i="6"/>
  <c r="K202" i="6"/>
  <c r="K203" i="6"/>
  <c r="K204" i="6"/>
  <c r="K205" i="6"/>
  <c r="K206" i="6"/>
  <c r="K207" i="6"/>
  <c r="K208" i="6"/>
  <c r="K209" i="6"/>
  <c r="K210" i="6"/>
  <c r="K211" i="6"/>
  <c r="K212" i="6"/>
  <c r="K213" i="6"/>
  <c r="K214" i="6"/>
  <c r="K215" i="6"/>
  <c r="K216" i="6"/>
  <c r="K217" i="6"/>
  <c r="K218" i="6"/>
  <c r="K219" i="6"/>
  <c r="K220" i="6"/>
  <c r="K221" i="6"/>
  <c r="K222" i="6"/>
  <c r="K223" i="6"/>
  <c r="K224" i="6"/>
  <c r="K225" i="6"/>
  <c r="K226" i="6"/>
  <c r="K227" i="6"/>
  <c r="K228" i="6"/>
  <c r="K229" i="6"/>
  <c r="K230" i="6"/>
  <c r="K231" i="6"/>
  <c r="K232" i="6"/>
  <c r="K233" i="6"/>
  <c r="K234" i="6"/>
  <c r="K235" i="6"/>
  <c r="K236" i="6"/>
  <c r="K237" i="6"/>
  <c r="K238" i="6"/>
  <c r="K239" i="6"/>
  <c r="K240" i="6"/>
  <c r="K241" i="6"/>
  <c r="K242" i="6"/>
  <c r="K243" i="6"/>
  <c r="K244" i="6"/>
  <c r="K245" i="6"/>
  <c r="K246" i="6"/>
  <c r="K247" i="6"/>
  <c r="K248" i="6"/>
  <c r="K249" i="6"/>
  <c r="K250" i="6"/>
  <c r="K251" i="6"/>
  <c r="K252" i="6"/>
  <c r="Y5" i="6"/>
  <c r="X5" i="6"/>
  <c r="W5" i="6"/>
  <c r="V5" i="6"/>
  <c r="U5" i="6"/>
  <c r="T5" i="6"/>
  <c r="S5" i="6"/>
  <c r="R5" i="6"/>
  <c r="Q5" i="6"/>
  <c r="P5" i="6"/>
  <c r="O5" i="6"/>
  <c r="N5" i="6"/>
  <c r="M5" i="6"/>
  <c r="L5" i="6"/>
  <c r="K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251" i="6"/>
  <c r="B252" i="6"/>
  <c r="B5" i="6"/>
  <c r="Z6" i="5"/>
  <c r="Z7" i="5"/>
  <c r="Z8" i="5"/>
  <c r="Z9" i="5"/>
  <c r="Z10" i="5"/>
  <c r="Z11" i="5"/>
  <c r="Z12" i="5"/>
  <c r="Z13" i="5"/>
  <c r="Z14" i="5"/>
  <c r="Z15" i="5"/>
  <c r="Z16" i="5"/>
  <c r="Z17" i="5"/>
  <c r="Z18" i="5"/>
  <c r="Z19" i="5"/>
  <c r="Z20" i="5"/>
  <c r="Z21" i="5"/>
  <c r="Z22" i="5"/>
  <c r="Z23" i="5"/>
  <c r="Z24" i="5"/>
  <c r="Z25" i="5"/>
  <c r="Z26" i="5"/>
  <c r="Z27" i="5"/>
  <c r="Z28" i="5"/>
  <c r="Z29" i="5"/>
  <c r="Z30" i="5"/>
  <c r="Z31" i="5"/>
  <c r="Z32" i="5"/>
  <c r="Z33" i="5"/>
  <c r="Z34" i="5"/>
  <c r="Z35" i="5"/>
  <c r="Z36" i="5"/>
  <c r="Z37" i="5"/>
  <c r="Z38" i="5"/>
  <c r="Z39" i="5"/>
  <c r="Z40" i="5"/>
  <c r="Z41" i="5"/>
  <c r="Z42" i="5"/>
  <c r="Z43" i="5"/>
  <c r="Z44" i="5"/>
  <c r="Z45" i="5"/>
  <c r="Z46" i="5"/>
  <c r="Z47" i="5"/>
  <c r="Z48" i="5"/>
  <c r="Z49" i="5"/>
  <c r="Z50" i="5"/>
  <c r="Z51" i="5"/>
  <c r="Z52" i="5"/>
  <c r="Z53" i="5"/>
  <c r="Z54" i="5"/>
  <c r="Z55" i="5"/>
  <c r="Z56" i="5"/>
  <c r="Z57" i="5"/>
  <c r="Z58" i="5"/>
  <c r="Z59" i="5"/>
  <c r="Z60" i="5"/>
  <c r="Z61" i="5"/>
  <c r="Z62" i="5"/>
  <c r="Z63" i="5"/>
  <c r="Z64" i="5"/>
  <c r="Z65" i="5"/>
  <c r="Z66" i="5"/>
  <c r="Z67" i="5"/>
  <c r="Z68" i="5"/>
  <c r="Z69" i="5"/>
  <c r="Z70" i="5"/>
  <c r="Z71" i="5"/>
  <c r="Z72" i="5"/>
  <c r="Z73" i="5"/>
  <c r="Z74" i="5"/>
  <c r="Z75" i="5"/>
  <c r="Z76" i="5"/>
  <c r="Z77" i="5"/>
  <c r="Z78" i="5"/>
  <c r="Z79" i="5"/>
  <c r="Z80" i="5"/>
  <c r="Z81" i="5"/>
  <c r="Z82" i="5"/>
  <c r="Z83" i="5"/>
  <c r="Z84" i="5"/>
  <c r="Z85" i="5"/>
  <c r="Z86" i="5"/>
  <c r="Z87" i="5"/>
  <c r="Z88" i="5"/>
  <c r="Z89" i="5"/>
  <c r="Z90" i="5"/>
  <c r="Z91" i="5"/>
  <c r="Z92" i="5"/>
  <c r="Z93" i="5"/>
  <c r="Z94" i="5"/>
  <c r="Z95" i="5"/>
  <c r="Z96" i="5"/>
  <c r="Z97" i="5"/>
  <c r="Z98" i="5"/>
  <c r="Z99" i="5"/>
  <c r="Z100" i="5"/>
  <c r="Z101" i="5"/>
  <c r="Z102" i="5"/>
  <c r="Z103" i="5"/>
  <c r="Z104" i="5"/>
  <c r="Z105" i="5"/>
  <c r="Z106" i="5"/>
  <c r="Z107" i="5"/>
  <c r="Z108" i="5"/>
  <c r="Z109" i="5"/>
  <c r="Z110" i="5"/>
  <c r="Z111" i="5"/>
  <c r="Z112" i="5"/>
  <c r="Z113" i="5"/>
  <c r="Z114" i="5"/>
  <c r="Z115" i="5"/>
  <c r="Z116" i="5"/>
  <c r="Z117" i="5"/>
  <c r="Z118" i="5"/>
  <c r="Z119" i="5"/>
  <c r="Z120" i="5"/>
  <c r="Z121" i="5"/>
  <c r="Z122" i="5"/>
  <c r="Z123" i="5"/>
  <c r="Z124" i="5"/>
  <c r="Z125" i="5"/>
  <c r="Z126" i="5"/>
  <c r="Z127" i="5"/>
  <c r="Z128" i="5"/>
  <c r="Z129" i="5"/>
  <c r="Z130" i="5"/>
  <c r="Z131" i="5"/>
  <c r="Z132" i="5"/>
  <c r="Z133" i="5"/>
  <c r="Z134" i="5"/>
  <c r="Z135" i="5"/>
  <c r="Z136" i="5"/>
  <c r="Z137" i="5"/>
  <c r="Z138" i="5"/>
  <c r="Z139" i="5"/>
  <c r="Z140" i="5"/>
  <c r="Z141" i="5"/>
  <c r="Z142" i="5"/>
  <c r="Z143" i="5"/>
  <c r="Z144" i="5"/>
  <c r="Z145" i="5"/>
  <c r="Z146" i="5"/>
  <c r="Z147" i="5"/>
  <c r="Z148" i="5"/>
  <c r="Z149" i="5"/>
  <c r="Z150" i="5"/>
  <c r="Z151" i="5"/>
  <c r="Z152" i="5"/>
  <c r="Z153" i="5"/>
  <c r="Z154" i="5"/>
  <c r="Z155" i="5"/>
  <c r="Z156" i="5"/>
  <c r="Z157" i="5"/>
  <c r="Z158" i="5"/>
  <c r="Z159" i="5"/>
  <c r="Z160" i="5"/>
  <c r="Z161" i="5"/>
  <c r="Z162" i="5"/>
  <c r="Z163" i="5"/>
  <c r="Z164" i="5"/>
  <c r="Z165" i="5"/>
  <c r="Z166" i="5"/>
  <c r="Z167" i="5"/>
  <c r="Z168" i="5"/>
  <c r="Z169" i="5"/>
  <c r="Z170" i="5"/>
  <c r="Z171" i="5"/>
  <c r="Z172" i="5"/>
  <c r="Z173" i="5"/>
  <c r="Z174" i="5"/>
  <c r="Z175" i="5"/>
  <c r="Z176" i="5"/>
  <c r="Z177" i="5"/>
  <c r="Z178" i="5"/>
  <c r="Z179" i="5"/>
  <c r="Z180" i="5"/>
  <c r="Z181" i="5"/>
  <c r="Z182" i="5"/>
  <c r="Z183" i="5"/>
  <c r="Z184" i="5"/>
  <c r="Z185" i="5"/>
  <c r="Z186" i="5"/>
  <c r="Z187" i="5"/>
  <c r="Z188" i="5"/>
  <c r="Z189" i="5"/>
  <c r="Z190" i="5"/>
  <c r="Z191" i="5"/>
  <c r="Z192" i="5"/>
  <c r="Z193" i="5"/>
  <c r="Z194" i="5"/>
  <c r="Z195" i="5"/>
  <c r="Z196" i="5"/>
  <c r="Z197" i="5"/>
  <c r="Z198" i="5"/>
  <c r="Z199" i="5"/>
  <c r="Z200" i="5"/>
  <c r="Z201" i="5"/>
  <c r="Z202" i="5"/>
  <c r="Z203" i="5"/>
  <c r="Z204" i="5"/>
  <c r="Z205" i="5"/>
  <c r="Z206" i="5"/>
  <c r="Z207" i="5"/>
  <c r="Z208" i="5"/>
  <c r="Z209" i="5"/>
  <c r="Z210" i="5"/>
  <c r="Z211" i="5"/>
  <c r="Z212" i="5"/>
  <c r="Z213" i="5"/>
  <c r="Z214" i="5"/>
  <c r="Z215" i="5"/>
  <c r="Z216" i="5"/>
  <c r="Z217" i="5"/>
  <c r="Z218" i="5"/>
  <c r="Z219" i="5"/>
  <c r="Z220" i="5"/>
  <c r="Z221" i="5"/>
  <c r="Z222" i="5"/>
  <c r="Z223" i="5"/>
  <c r="Z224" i="5"/>
  <c r="Z225" i="5"/>
  <c r="Z226" i="5"/>
  <c r="Z227" i="5"/>
  <c r="Z228" i="5"/>
  <c r="Z229" i="5"/>
  <c r="Z230" i="5"/>
  <c r="Z231" i="5"/>
  <c r="Z232" i="5"/>
  <c r="Z233" i="5"/>
  <c r="Z234" i="5"/>
  <c r="Z235" i="5"/>
  <c r="Z236" i="5"/>
  <c r="Z237" i="5"/>
  <c r="Z238" i="5"/>
  <c r="Z239" i="5"/>
  <c r="Z240" i="5"/>
  <c r="Z241" i="5"/>
  <c r="Z242" i="5"/>
  <c r="Z243" i="5"/>
  <c r="Z244" i="5"/>
  <c r="Z245" i="5"/>
  <c r="Z246" i="5"/>
  <c r="Z247" i="5"/>
  <c r="Z248" i="5"/>
  <c r="Z249" i="5"/>
  <c r="Z250" i="5"/>
  <c r="Z251" i="5"/>
  <c r="Z252" i="5"/>
  <c r="Y6" i="5"/>
  <c r="Y7" i="5"/>
  <c r="Y8" i="5"/>
  <c r="Y9" i="5"/>
  <c r="Y10" i="5"/>
  <c r="Y11" i="5"/>
  <c r="Y12" i="5"/>
  <c r="Y13" i="5"/>
  <c r="Y14" i="5"/>
  <c r="Y15" i="5"/>
  <c r="Y16" i="5"/>
  <c r="Y17" i="5"/>
  <c r="Y18" i="5"/>
  <c r="Y19" i="5"/>
  <c r="Y20" i="5"/>
  <c r="Y21" i="5"/>
  <c r="Y22" i="5"/>
  <c r="Y23" i="5"/>
  <c r="Y24" i="5"/>
  <c r="Y25" i="5"/>
  <c r="Y26" i="5"/>
  <c r="Y27" i="5"/>
  <c r="Y28" i="5"/>
  <c r="Y29" i="5"/>
  <c r="Y30" i="5"/>
  <c r="Y31" i="5"/>
  <c r="Y32" i="5"/>
  <c r="Y33" i="5"/>
  <c r="Y34" i="5"/>
  <c r="Y35" i="5"/>
  <c r="Y36" i="5"/>
  <c r="Y37" i="5"/>
  <c r="Y38" i="5"/>
  <c r="Y39" i="5"/>
  <c r="Y40" i="5"/>
  <c r="Y41" i="5"/>
  <c r="Y42" i="5"/>
  <c r="Y43" i="5"/>
  <c r="Y44" i="5"/>
  <c r="Y45" i="5"/>
  <c r="Y46" i="5"/>
  <c r="Y47" i="5"/>
  <c r="Y48" i="5"/>
  <c r="Y49" i="5"/>
  <c r="Y50" i="5"/>
  <c r="Y51" i="5"/>
  <c r="Y52" i="5"/>
  <c r="Y53" i="5"/>
  <c r="Y54" i="5"/>
  <c r="Y55" i="5"/>
  <c r="Y56" i="5"/>
  <c r="Y57" i="5"/>
  <c r="Y58" i="5"/>
  <c r="Y59" i="5"/>
  <c r="Y60" i="5"/>
  <c r="Y61" i="5"/>
  <c r="Y62" i="5"/>
  <c r="Y63" i="5"/>
  <c r="Y64" i="5"/>
  <c r="Y65" i="5"/>
  <c r="Y66" i="5"/>
  <c r="Y67" i="5"/>
  <c r="Y68" i="5"/>
  <c r="Y69" i="5"/>
  <c r="Y70" i="5"/>
  <c r="Y71" i="5"/>
  <c r="Y72" i="5"/>
  <c r="Y73" i="5"/>
  <c r="Y74" i="5"/>
  <c r="Y75" i="5"/>
  <c r="Y76" i="5"/>
  <c r="Y77" i="5"/>
  <c r="Y78" i="5"/>
  <c r="Y79" i="5"/>
  <c r="Y80" i="5"/>
  <c r="Y81" i="5"/>
  <c r="Y82" i="5"/>
  <c r="Y83" i="5"/>
  <c r="Y84" i="5"/>
  <c r="Y85" i="5"/>
  <c r="Y86" i="5"/>
  <c r="Y87" i="5"/>
  <c r="Y88" i="5"/>
  <c r="Y89" i="5"/>
  <c r="Y90" i="5"/>
  <c r="Y91" i="5"/>
  <c r="Y92" i="5"/>
  <c r="Y93" i="5"/>
  <c r="Y94" i="5"/>
  <c r="Y95" i="5"/>
  <c r="Y96" i="5"/>
  <c r="Y97" i="5"/>
  <c r="Y98" i="5"/>
  <c r="Y99" i="5"/>
  <c r="Y100" i="5"/>
  <c r="Y101" i="5"/>
  <c r="Y102" i="5"/>
  <c r="Y103" i="5"/>
  <c r="Y104" i="5"/>
  <c r="Y105" i="5"/>
  <c r="Y106" i="5"/>
  <c r="Y107" i="5"/>
  <c r="Y108" i="5"/>
  <c r="Y109" i="5"/>
  <c r="Y110" i="5"/>
  <c r="Y111" i="5"/>
  <c r="Y112" i="5"/>
  <c r="Y113" i="5"/>
  <c r="Y114" i="5"/>
  <c r="Y115" i="5"/>
  <c r="Y116" i="5"/>
  <c r="Y117" i="5"/>
  <c r="Y118" i="5"/>
  <c r="Y119" i="5"/>
  <c r="Y120" i="5"/>
  <c r="Y121" i="5"/>
  <c r="Y122" i="5"/>
  <c r="Y123" i="5"/>
  <c r="Y124" i="5"/>
  <c r="Y125" i="5"/>
  <c r="Y126" i="5"/>
  <c r="Y127" i="5"/>
  <c r="Y128" i="5"/>
  <c r="Y129" i="5"/>
  <c r="Y130" i="5"/>
  <c r="Y131" i="5"/>
  <c r="Y132" i="5"/>
  <c r="Y133" i="5"/>
  <c r="Y134" i="5"/>
  <c r="Y135" i="5"/>
  <c r="Y136" i="5"/>
  <c r="Y137" i="5"/>
  <c r="Y138" i="5"/>
  <c r="Y139" i="5"/>
  <c r="Y140" i="5"/>
  <c r="Y141" i="5"/>
  <c r="Y142" i="5"/>
  <c r="Y143" i="5"/>
  <c r="Y144" i="5"/>
  <c r="Y145" i="5"/>
  <c r="Y146" i="5"/>
  <c r="Y147" i="5"/>
  <c r="Y148" i="5"/>
  <c r="Y149" i="5"/>
  <c r="Y150" i="5"/>
  <c r="Y151" i="5"/>
  <c r="Y152" i="5"/>
  <c r="Y153" i="5"/>
  <c r="Y154" i="5"/>
  <c r="Y155" i="5"/>
  <c r="Y156" i="5"/>
  <c r="Y157" i="5"/>
  <c r="Y158" i="5"/>
  <c r="Y159" i="5"/>
  <c r="Y160" i="5"/>
  <c r="Y161" i="5"/>
  <c r="Y162" i="5"/>
  <c r="Y163" i="5"/>
  <c r="Y164" i="5"/>
  <c r="Y165" i="5"/>
  <c r="Y166" i="5"/>
  <c r="Y167" i="5"/>
  <c r="Y168" i="5"/>
  <c r="Y169" i="5"/>
  <c r="Y170" i="5"/>
  <c r="Y171" i="5"/>
  <c r="Y172" i="5"/>
  <c r="Y173" i="5"/>
  <c r="Y174" i="5"/>
  <c r="Y175" i="5"/>
  <c r="Y176" i="5"/>
  <c r="Y177" i="5"/>
  <c r="Y178" i="5"/>
  <c r="Y179" i="5"/>
  <c r="Y180" i="5"/>
  <c r="Y181" i="5"/>
  <c r="Y182" i="5"/>
  <c r="Y183" i="5"/>
  <c r="Y184" i="5"/>
  <c r="Y185" i="5"/>
  <c r="Y186" i="5"/>
  <c r="Y187" i="5"/>
  <c r="Y188" i="5"/>
  <c r="Y189" i="5"/>
  <c r="Y190" i="5"/>
  <c r="Y191" i="5"/>
  <c r="Y192" i="5"/>
  <c r="Y193" i="5"/>
  <c r="Y194" i="5"/>
  <c r="Y195" i="5"/>
  <c r="Y196" i="5"/>
  <c r="Y197" i="5"/>
  <c r="Y198" i="5"/>
  <c r="Y199" i="5"/>
  <c r="Y200" i="5"/>
  <c r="Y201" i="5"/>
  <c r="Y202" i="5"/>
  <c r="Y203" i="5"/>
  <c r="Y204" i="5"/>
  <c r="Y205" i="5"/>
  <c r="Y206" i="5"/>
  <c r="Y207" i="5"/>
  <c r="Y208" i="5"/>
  <c r="Y209" i="5"/>
  <c r="Y210" i="5"/>
  <c r="Y211" i="5"/>
  <c r="Y212" i="5"/>
  <c r="Y213" i="5"/>
  <c r="Y214" i="5"/>
  <c r="Y215" i="5"/>
  <c r="Y216" i="5"/>
  <c r="Y217" i="5"/>
  <c r="Y218" i="5"/>
  <c r="Y219" i="5"/>
  <c r="Y220" i="5"/>
  <c r="Y221" i="5"/>
  <c r="Y222" i="5"/>
  <c r="Y223" i="5"/>
  <c r="Y224" i="5"/>
  <c r="Y225" i="5"/>
  <c r="Y226" i="5"/>
  <c r="Y227" i="5"/>
  <c r="Y228" i="5"/>
  <c r="Y229" i="5"/>
  <c r="Y230" i="5"/>
  <c r="Y231" i="5"/>
  <c r="Y232" i="5"/>
  <c r="Y233" i="5"/>
  <c r="Y234" i="5"/>
  <c r="Y235" i="5"/>
  <c r="Y236" i="5"/>
  <c r="Y237" i="5"/>
  <c r="Y238" i="5"/>
  <c r="Y239" i="5"/>
  <c r="Y240" i="5"/>
  <c r="Y241" i="5"/>
  <c r="Y242" i="5"/>
  <c r="Y243" i="5"/>
  <c r="Y244" i="5"/>
  <c r="Y245" i="5"/>
  <c r="Y246" i="5"/>
  <c r="Y247" i="5"/>
  <c r="Y248" i="5"/>
  <c r="Y249" i="5"/>
  <c r="Y250" i="5"/>
  <c r="Y251" i="5"/>
  <c r="Y252" i="5"/>
  <c r="Y5" i="5"/>
  <c r="X6" i="5"/>
  <c r="X7" i="5"/>
  <c r="X8" i="5"/>
  <c r="X9" i="5"/>
  <c r="X10" i="5"/>
  <c r="X11" i="5"/>
  <c r="X12"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4" i="5"/>
  <c r="X125" i="5"/>
  <c r="X126" i="5"/>
  <c r="X127" i="5"/>
  <c r="X128" i="5"/>
  <c r="X129" i="5"/>
  <c r="X130" i="5"/>
  <c r="X131" i="5"/>
  <c r="X132" i="5"/>
  <c r="X133" i="5"/>
  <c r="X134" i="5"/>
  <c r="X135" i="5"/>
  <c r="X136" i="5"/>
  <c r="X137" i="5"/>
  <c r="X138" i="5"/>
  <c r="X139" i="5"/>
  <c r="X140" i="5"/>
  <c r="X141" i="5"/>
  <c r="X142" i="5"/>
  <c r="X143" i="5"/>
  <c r="X144" i="5"/>
  <c r="X145" i="5"/>
  <c r="X146" i="5"/>
  <c r="X147" i="5"/>
  <c r="X148" i="5"/>
  <c r="X149" i="5"/>
  <c r="X150" i="5"/>
  <c r="X151" i="5"/>
  <c r="X152" i="5"/>
  <c r="X153" i="5"/>
  <c r="X154" i="5"/>
  <c r="X155" i="5"/>
  <c r="X156" i="5"/>
  <c r="X157" i="5"/>
  <c r="X158" i="5"/>
  <c r="X159" i="5"/>
  <c r="X160" i="5"/>
  <c r="X161" i="5"/>
  <c r="X162" i="5"/>
  <c r="X163" i="5"/>
  <c r="X164" i="5"/>
  <c r="X165" i="5"/>
  <c r="X166" i="5"/>
  <c r="X167" i="5"/>
  <c r="X168" i="5"/>
  <c r="X169" i="5"/>
  <c r="X170" i="5"/>
  <c r="X171" i="5"/>
  <c r="X172" i="5"/>
  <c r="X173" i="5"/>
  <c r="X174" i="5"/>
  <c r="X175" i="5"/>
  <c r="X176" i="5"/>
  <c r="X177" i="5"/>
  <c r="X178" i="5"/>
  <c r="X179" i="5"/>
  <c r="X180" i="5"/>
  <c r="X181" i="5"/>
  <c r="X182" i="5"/>
  <c r="X183" i="5"/>
  <c r="X184" i="5"/>
  <c r="X185" i="5"/>
  <c r="X186" i="5"/>
  <c r="X187" i="5"/>
  <c r="X188" i="5"/>
  <c r="X189" i="5"/>
  <c r="X190" i="5"/>
  <c r="X191" i="5"/>
  <c r="X192" i="5"/>
  <c r="X193" i="5"/>
  <c r="X194" i="5"/>
  <c r="X195" i="5"/>
  <c r="X196" i="5"/>
  <c r="X197" i="5"/>
  <c r="X198" i="5"/>
  <c r="X199" i="5"/>
  <c r="X200" i="5"/>
  <c r="X201" i="5"/>
  <c r="X202" i="5"/>
  <c r="X203" i="5"/>
  <c r="X204" i="5"/>
  <c r="X205" i="5"/>
  <c r="X206" i="5"/>
  <c r="X207" i="5"/>
  <c r="X208" i="5"/>
  <c r="X209" i="5"/>
  <c r="X210" i="5"/>
  <c r="X211" i="5"/>
  <c r="X212" i="5"/>
  <c r="X213" i="5"/>
  <c r="X214" i="5"/>
  <c r="X215" i="5"/>
  <c r="X216" i="5"/>
  <c r="X217" i="5"/>
  <c r="X218" i="5"/>
  <c r="X219" i="5"/>
  <c r="X220" i="5"/>
  <c r="X221" i="5"/>
  <c r="X222" i="5"/>
  <c r="X223" i="5"/>
  <c r="X224" i="5"/>
  <c r="X225" i="5"/>
  <c r="X226" i="5"/>
  <c r="X227" i="5"/>
  <c r="X228" i="5"/>
  <c r="X229" i="5"/>
  <c r="X230" i="5"/>
  <c r="X231" i="5"/>
  <c r="X232" i="5"/>
  <c r="X233" i="5"/>
  <c r="X234" i="5"/>
  <c r="X235" i="5"/>
  <c r="X236" i="5"/>
  <c r="X237" i="5"/>
  <c r="X238" i="5"/>
  <c r="X239" i="5"/>
  <c r="X240" i="5"/>
  <c r="X241" i="5"/>
  <c r="X242" i="5"/>
  <c r="X243" i="5"/>
  <c r="X244" i="5"/>
  <c r="X245" i="5"/>
  <c r="X246" i="5"/>
  <c r="X247" i="5"/>
  <c r="X248" i="5"/>
  <c r="X249" i="5"/>
  <c r="X250" i="5"/>
  <c r="X251" i="5"/>
  <c r="X252" i="5"/>
  <c r="W6" i="5"/>
  <c r="W7" i="5"/>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55" i="5"/>
  <c r="W56" i="5"/>
  <c r="W57" i="5"/>
  <c r="W58" i="5"/>
  <c r="W59" i="5"/>
  <c r="W60" i="5"/>
  <c r="W61" i="5"/>
  <c r="W62" i="5"/>
  <c r="W63" i="5"/>
  <c r="W64" i="5"/>
  <c r="W65" i="5"/>
  <c r="W66" i="5"/>
  <c r="W67" i="5"/>
  <c r="W68" i="5"/>
  <c r="W69" i="5"/>
  <c r="W70" i="5"/>
  <c r="W71" i="5"/>
  <c r="W72" i="5"/>
  <c r="W73" i="5"/>
  <c r="W74" i="5"/>
  <c r="W75" i="5"/>
  <c r="W76" i="5"/>
  <c r="W77" i="5"/>
  <c r="W78" i="5"/>
  <c r="W79" i="5"/>
  <c r="W80" i="5"/>
  <c r="W81" i="5"/>
  <c r="W82" i="5"/>
  <c r="W83" i="5"/>
  <c r="W84" i="5"/>
  <c r="W85" i="5"/>
  <c r="W86" i="5"/>
  <c r="W87" i="5"/>
  <c r="W88" i="5"/>
  <c r="W89" i="5"/>
  <c r="W90" i="5"/>
  <c r="W91" i="5"/>
  <c r="W92" i="5"/>
  <c r="W93" i="5"/>
  <c r="W94" i="5"/>
  <c r="W95" i="5"/>
  <c r="W96" i="5"/>
  <c r="W97" i="5"/>
  <c r="W98" i="5"/>
  <c r="W99" i="5"/>
  <c r="W100" i="5"/>
  <c r="W101" i="5"/>
  <c r="W102" i="5"/>
  <c r="W103" i="5"/>
  <c r="W104" i="5"/>
  <c r="W105" i="5"/>
  <c r="W106" i="5"/>
  <c r="W107" i="5"/>
  <c r="W108" i="5"/>
  <c r="W109" i="5"/>
  <c r="W110" i="5"/>
  <c r="W111" i="5"/>
  <c r="W112" i="5"/>
  <c r="W113" i="5"/>
  <c r="W114" i="5"/>
  <c r="W115" i="5"/>
  <c r="W116" i="5"/>
  <c r="W117" i="5"/>
  <c r="W118" i="5"/>
  <c r="W119" i="5"/>
  <c r="W120" i="5"/>
  <c r="W121" i="5"/>
  <c r="W122" i="5"/>
  <c r="W123" i="5"/>
  <c r="W124" i="5"/>
  <c r="W125" i="5"/>
  <c r="W126" i="5"/>
  <c r="W127" i="5"/>
  <c r="W128" i="5"/>
  <c r="W129" i="5"/>
  <c r="W130" i="5"/>
  <c r="W131" i="5"/>
  <c r="W132" i="5"/>
  <c r="W133" i="5"/>
  <c r="W134" i="5"/>
  <c r="W135" i="5"/>
  <c r="W136" i="5"/>
  <c r="W137" i="5"/>
  <c r="W138" i="5"/>
  <c r="W139" i="5"/>
  <c r="W140" i="5"/>
  <c r="W141" i="5"/>
  <c r="W142" i="5"/>
  <c r="W143" i="5"/>
  <c r="W144" i="5"/>
  <c r="W145" i="5"/>
  <c r="W146" i="5"/>
  <c r="W147" i="5"/>
  <c r="W148" i="5"/>
  <c r="W149" i="5"/>
  <c r="W150" i="5"/>
  <c r="W151" i="5"/>
  <c r="W152" i="5"/>
  <c r="W153" i="5"/>
  <c r="W154" i="5"/>
  <c r="W155" i="5"/>
  <c r="W156" i="5"/>
  <c r="W157" i="5"/>
  <c r="W158" i="5"/>
  <c r="W159" i="5"/>
  <c r="W160" i="5"/>
  <c r="W161" i="5"/>
  <c r="W162" i="5"/>
  <c r="W163" i="5"/>
  <c r="W164" i="5"/>
  <c r="W165" i="5"/>
  <c r="W166" i="5"/>
  <c r="W167" i="5"/>
  <c r="W168" i="5"/>
  <c r="W169" i="5"/>
  <c r="W170" i="5"/>
  <c r="W171" i="5"/>
  <c r="W172" i="5"/>
  <c r="W173" i="5"/>
  <c r="W174" i="5"/>
  <c r="W175" i="5"/>
  <c r="W176" i="5"/>
  <c r="W177" i="5"/>
  <c r="W178" i="5"/>
  <c r="W179" i="5"/>
  <c r="W180" i="5"/>
  <c r="W181" i="5"/>
  <c r="W182" i="5"/>
  <c r="W183" i="5"/>
  <c r="W184" i="5"/>
  <c r="W185" i="5"/>
  <c r="W186" i="5"/>
  <c r="W187" i="5"/>
  <c r="W188" i="5"/>
  <c r="W189" i="5"/>
  <c r="W190" i="5"/>
  <c r="W191" i="5"/>
  <c r="W192" i="5"/>
  <c r="W193" i="5"/>
  <c r="W194" i="5"/>
  <c r="W195" i="5"/>
  <c r="W196" i="5"/>
  <c r="W197" i="5"/>
  <c r="W198" i="5"/>
  <c r="W199" i="5"/>
  <c r="W200" i="5"/>
  <c r="W201" i="5"/>
  <c r="W202" i="5"/>
  <c r="W203" i="5"/>
  <c r="W204" i="5"/>
  <c r="W205" i="5"/>
  <c r="W206" i="5"/>
  <c r="W207" i="5"/>
  <c r="W208" i="5"/>
  <c r="W209" i="5"/>
  <c r="W210" i="5"/>
  <c r="W211" i="5"/>
  <c r="W212" i="5"/>
  <c r="W213" i="5"/>
  <c r="W214" i="5"/>
  <c r="W215" i="5"/>
  <c r="W216" i="5"/>
  <c r="W217" i="5"/>
  <c r="W218" i="5"/>
  <c r="W219" i="5"/>
  <c r="W220" i="5"/>
  <c r="W221" i="5"/>
  <c r="W222" i="5"/>
  <c r="W223" i="5"/>
  <c r="W224" i="5"/>
  <c r="W225" i="5"/>
  <c r="W226" i="5"/>
  <c r="W227" i="5"/>
  <c r="W228" i="5"/>
  <c r="W229" i="5"/>
  <c r="W230" i="5"/>
  <c r="W231" i="5"/>
  <c r="W232" i="5"/>
  <c r="W233" i="5"/>
  <c r="W234" i="5"/>
  <c r="W235" i="5"/>
  <c r="W236" i="5"/>
  <c r="W237" i="5"/>
  <c r="W238" i="5"/>
  <c r="W239" i="5"/>
  <c r="W240" i="5"/>
  <c r="W241" i="5"/>
  <c r="W242" i="5"/>
  <c r="W243" i="5"/>
  <c r="W244" i="5"/>
  <c r="W245" i="5"/>
  <c r="W246" i="5"/>
  <c r="W247" i="5"/>
  <c r="W248" i="5"/>
  <c r="W249" i="5"/>
  <c r="W250" i="5"/>
  <c r="W251" i="5"/>
  <c r="W252" i="5"/>
  <c r="V6" i="5"/>
  <c r="V7" i="5"/>
  <c r="V8" i="5"/>
  <c r="V9" i="5"/>
  <c r="V10" i="5"/>
  <c r="V11" i="5"/>
  <c r="V12" i="5"/>
  <c r="V13" i="5"/>
  <c r="V14" i="5"/>
  <c r="V15" i="5"/>
  <c r="V16" i="5"/>
  <c r="V17" i="5"/>
  <c r="V18" i="5"/>
  <c r="V19" i="5"/>
  <c r="V20" i="5"/>
  <c r="V21" i="5"/>
  <c r="V22" i="5"/>
  <c r="V23" i="5"/>
  <c r="V24" i="5"/>
  <c r="V25" i="5"/>
  <c r="V26" i="5"/>
  <c r="V27" i="5"/>
  <c r="V28" i="5"/>
  <c r="V29" i="5"/>
  <c r="V30" i="5"/>
  <c r="V31"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7" i="5"/>
  <c r="V68" i="5"/>
  <c r="V69" i="5"/>
  <c r="V70" i="5"/>
  <c r="V71" i="5"/>
  <c r="V72" i="5"/>
  <c r="V73" i="5"/>
  <c r="V74" i="5"/>
  <c r="V75" i="5"/>
  <c r="V76" i="5"/>
  <c r="V77" i="5"/>
  <c r="V78" i="5"/>
  <c r="V79" i="5"/>
  <c r="V80" i="5"/>
  <c r="V81" i="5"/>
  <c r="V82" i="5"/>
  <c r="V83" i="5"/>
  <c r="V84" i="5"/>
  <c r="V85" i="5"/>
  <c r="V86" i="5"/>
  <c r="V87" i="5"/>
  <c r="V88" i="5"/>
  <c r="V89" i="5"/>
  <c r="V90" i="5"/>
  <c r="V91" i="5"/>
  <c r="V92" i="5"/>
  <c r="V93" i="5"/>
  <c r="V94" i="5"/>
  <c r="V95" i="5"/>
  <c r="V96" i="5"/>
  <c r="V97" i="5"/>
  <c r="V98" i="5"/>
  <c r="V99" i="5"/>
  <c r="V100" i="5"/>
  <c r="V101" i="5"/>
  <c r="V102" i="5"/>
  <c r="V103" i="5"/>
  <c r="V104" i="5"/>
  <c r="V105" i="5"/>
  <c r="V106" i="5"/>
  <c r="V107" i="5"/>
  <c r="V108" i="5"/>
  <c r="V109" i="5"/>
  <c r="V110" i="5"/>
  <c r="V111" i="5"/>
  <c r="V112" i="5"/>
  <c r="V113" i="5"/>
  <c r="V114" i="5"/>
  <c r="V115" i="5"/>
  <c r="V116" i="5"/>
  <c r="V117" i="5"/>
  <c r="V118" i="5"/>
  <c r="V119" i="5"/>
  <c r="V120" i="5"/>
  <c r="V121" i="5"/>
  <c r="V122" i="5"/>
  <c r="V123" i="5"/>
  <c r="V124" i="5"/>
  <c r="V125" i="5"/>
  <c r="V126" i="5"/>
  <c r="V127" i="5"/>
  <c r="V128" i="5"/>
  <c r="V129" i="5"/>
  <c r="V130" i="5"/>
  <c r="V131" i="5"/>
  <c r="V132" i="5"/>
  <c r="V133" i="5"/>
  <c r="V134" i="5"/>
  <c r="V135" i="5"/>
  <c r="V136" i="5"/>
  <c r="V137" i="5"/>
  <c r="V138" i="5"/>
  <c r="V139" i="5"/>
  <c r="V140" i="5"/>
  <c r="V141" i="5"/>
  <c r="V142" i="5"/>
  <c r="V143" i="5"/>
  <c r="V144" i="5"/>
  <c r="V145" i="5"/>
  <c r="V146" i="5"/>
  <c r="V147" i="5"/>
  <c r="V148" i="5"/>
  <c r="V149" i="5"/>
  <c r="V150" i="5"/>
  <c r="V151" i="5"/>
  <c r="V152" i="5"/>
  <c r="V153" i="5"/>
  <c r="V154" i="5"/>
  <c r="V155" i="5"/>
  <c r="V156" i="5"/>
  <c r="V157" i="5"/>
  <c r="V158" i="5"/>
  <c r="V159" i="5"/>
  <c r="V160" i="5"/>
  <c r="V161" i="5"/>
  <c r="V162" i="5"/>
  <c r="V163" i="5"/>
  <c r="V164" i="5"/>
  <c r="V165" i="5"/>
  <c r="V166" i="5"/>
  <c r="V167" i="5"/>
  <c r="V168" i="5"/>
  <c r="V169" i="5"/>
  <c r="V170" i="5"/>
  <c r="V171" i="5"/>
  <c r="V172" i="5"/>
  <c r="V173" i="5"/>
  <c r="V174" i="5"/>
  <c r="V175" i="5"/>
  <c r="V176" i="5"/>
  <c r="V177" i="5"/>
  <c r="V178" i="5"/>
  <c r="V179" i="5"/>
  <c r="V180" i="5"/>
  <c r="V181" i="5"/>
  <c r="V182" i="5"/>
  <c r="V183" i="5"/>
  <c r="V184" i="5"/>
  <c r="V185" i="5"/>
  <c r="V186" i="5"/>
  <c r="V187" i="5"/>
  <c r="V188" i="5"/>
  <c r="V189" i="5"/>
  <c r="V190" i="5"/>
  <c r="V191" i="5"/>
  <c r="V192" i="5"/>
  <c r="V193" i="5"/>
  <c r="V194" i="5"/>
  <c r="V195" i="5"/>
  <c r="V196" i="5"/>
  <c r="V197" i="5"/>
  <c r="V198" i="5"/>
  <c r="V199" i="5"/>
  <c r="V200" i="5"/>
  <c r="V201" i="5"/>
  <c r="V202" i="5"/>
  <c r="V203" i="5"/>
  <c r="V204" i="5"/>
  <c r="V205" i="5"/>
  <c r="V206" i="5"/>
  <c r="V207" i="5"/>
  <c r="V208" i="5"/>
  <c r="V209" i="5"/>
  <c r="V210" i="5"/>
  <c r="V211" i="5"/>
  <c r="V212" i="5"/>
  <c r="V213" i="5"/>
  <c r="V214" i="5"/>
  <c r="V215" i="5"/>
  <c r="V216" i="5"/>
  <c r="V217" i="5"/>
  <c r="V218" i="5"/>
  <c r="V219" i="5"/>
  <c r="V220" i="5"/>
  <c r="V221" i="5"/>
  <c r="V222" i="5"/>
  <c r="V223" i="5"/>
  <c r="V224" i="5"/>
  <c r="V225" i="5"/>
  <c r="V226" i="5"/>
  <c r="V227" i="5"/>
  <c r="V228" i="5"/>
  <c r="V229" i="5"/>
  <c r="V230" i="5"/>
  <c r="V231" i="5"/>
  <c r="V232" i="5"/>
  <c r="V233" i="5"/>
  <c r="V234" i="5"/>
  <c r="V235" i="5"/>
  <c r="V236" i="5"/>
  <c r="V237" i="5"/>
  <c r="V238" i="5"/>
  <c r="V239" i="5"/>
  <c r="V240" i="5"/>
  <c r="V241" i="5"/>
  <c r="V242" i="5"/>
  <c r="V243" i="5"/>
  <c r="V244" i="5"/>
  <c r="V245" i="5"/>
  <c r="V246" i="5"/>
  <c r="V247" i="5"/>
  <c r="V248" i="5"/>
  <c r="V249" i="5"/>
  <c r="V250" i="5"/>
  <c r="V251" i="5"/>
  <c r="V252" i="5"/>
  <c r="U6" i="5"/>
  <c r="U7" i="5"/>
  <c r="U8" i="5"/>
  <c r="U9" i="5"/>
  <c r="U10" i="5"/>
  <c r="U11" i="5"/>
  <c r="U12" i="5"/>
  <c r="U13" i="5"/>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U102" i="5"/>
  <c r="U103" i="5"/>
  <c r="U104" i="5"/>
  <c r="U105" i="5"/>
  <c r="U106" i="5"/>
  <c r="U107" i="5"/>
  <c r="U108" i="5"/>
  <c r="U109" i="5"/>
  <c r="U110" i="5"/>
  <c r="U111" i="5"/>
  <c r="U112" i="5"/>
  <c r="U113" i="5"/>
  <c r="U114" i="5"/>
  <c r="U115" i="5"/>
  <c r="U116" i="5"/>
  <c r="U117" i="5"/>
  <c r="U118" i="5"/>
  <c r="U119" i="5"/>
  <c r="U120" i="5"/>
  <c r="U121" i="5"/>
  <c r="U122" i="5"/>
  <c r="U123" i="5"/>
  <c r="U124" i="5"/>
  <c r="U125" i="5"/>
  <c r="U126" i="5"/>
  <c r="U127" i="5"/>
  <c r="U128" i="5"/>
  <c r="U129" i="5"/>
  <c r="U130" i="5"/>
  <c r="U131" i="5"/>
  <c r="U132" i="5"/>
  <c r="U133" i="5"/>
  <c r="U134" i="5"/>
  <c r="U135" i="5"/>
  <c r="U136" i="5"/>
  <c r="U137" i="5"/>
  <c r="U138" i="5"/>
  <c r="U139" i="5"/>
  <c r="U140" i="5"/>
  <c r="U141" i="5"/>
  <c r="U142" i="5"/>
  <c r="U143" i="5"/>
  <c r="U144" i="5"/>
  <c r="U145" i="5"/>
  <c r="U146" i="5"/>
  <c r="U147" i="5"/>
  <c r="U148" i="5"/>
  <c r="U149" i="5"/>
  <c r="U150" i="5"/>
  <c r="U151" i="5"/>
  <c r="U152" i="5"/>
  <c r="U153" i="5"/>
  <c r="U154" i="5"/>
  <c r="U155" i="5"/>
  <c r="U156" i="5"/>
  <c r="U157" i="5"/>
  <c r="U158" i="5"/>
  <c r="U159" i="5"/>
  <c r="U160" i="5"/>
  <c r="U161" i="5"/>
  <c r="U162" i="5"/>
  <c r="U163" i="5"/>
  <c r="U164" i="5"/>
  <c r="U165" i="5"/>
  <c r="U166" i="5"/>
  <c r="U167" i="5"/>
  <c r="U168" i="5"/>
  <c r="U169" i="5"/>
  <c r="U170" i="5"/>
  <c r="U171" i="5"/>
  <c r="U172" i="5"/>
  <c r="U173" i="5"/>
  <c r="U174" i="5"/>
  <c r="U175" i="5"/>
  <c r="U176" i="5"/>
  <c r="U177" i="5"/>
  <c r="U178" i="5"/>
  <c r="U179" i="5"/>
  <c r="U180" i="5"/>
  <c r="U181" i="5"/>
  <c r="U182" i="5"/>
  <c r="U183" i="5"/>
  <c r="U184" i="5"/>
  <c r="U185" i="5"/>
  <c r="U186" i="5"/>
  <c r="U187" i="5"/>
  <c r="U188" i="5"/>
  <c r="U189" i="5"/>
  <c r="U190" i="5"/>
  <c r="U191" i="5"/>
  <c r="U192" i="5"/>
  <c r="U193" i="5"/>
  <c r="U194" i="5"/>
  <c r="U195" i="5"/>
  <c r="U196" i="5"/>
  <c r="U197" i="5"/>
  <c r="U198" i="5"/>
  <c r="U199" i="5"/>
  <c r="U200" i="5"/>
  <c r="U201" i="5"/>
  <c r="U202" i="5"/>
  <c r="U203" i="5"/>
  <c r="U204" i="5"/>
  <c r="U205" i="5"/>
  <c r="U206" i="5"/>
  <c r="U207" i="5"/>
  <c r="U208" i="5"/>
  <c r="U209" i="5"/>
  <c r="U210" i="5"/>
  <c r="U211" i="5"/>
  <c r="U212" i="5"/>
  <c r="U213" i="5"/>
  <c r="U214" i="5"/>
  <c r="U215" i="5"/>
  <c r="U216" i="5"/>
  <c r="U217" i="5"/>
  <c r="U218" i="5"/>
  <c r="U219" i="5"/>
  <c r="U220" i="5"/>
  <c r="U221" i="5"/>
  <c r="U222" i="5"/>
  <c r="U223" i="5"/>
  <c r="U224" i="5"/>
  <c r="U225" i="5"/>
  <c r="U226" i="5"/>
  <c r="U227" i="5"/>
  <c r="U228" i="5"/>
  <c r="U229" i="5"/>
  <c r="U230" i="5"/>
  <c r="U231" i="5"/>
  <c r="U232" i="5"/>
  <c r="U233" i="5"/>
  <c r="U234" i="5"/>
  <c r="U235" i="5"/>
  <c r="U236" i="5"/>
  <c r="U237" i="5"/>
  <c r="U238" i="5"/>
  <c r="U239" i="5"/>
  <c r="U240" i="5"/>
  <c r="U241" i="5"/>
  <c r="U242" i="5"/>
  <c r="U243" i="5"/>
  <c r="U244" i="5"/>
  <c r="U245" i="5"/>
  <c r="U246" i="5"/>
  <c r="U247" i="5"/>
  <c r="U248" i="5"/>
  <c r="U249" i="5"/>
  <c r="U250" i="5"/>
  <c r="U251" i="5"/>
  <c r="U252" i="5"/>
  <c r="T6" i="5"/>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S6" i="5"/>
  <c r="S7" i="5"/>
  <c r="S8"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4"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1" i="5"/>
  <c r="S142" i="5"/>
  <c r="S143" i="5"/>
  <c r="S144" i="5"/>
  <c r="S145" i="5"/>
  <c r="S146" i="5"/>
  <c r="S147" i="5"/>
  <c r="S148" i="5"/>
  <c r="S149" i="5"/>
  <c r="S150" i="5"/>
  <c r="S151" i="5"/>
  <c r="S152" i="5"/>
  <c r="S153" i="5"/>
  <c r="S154" i="5"/>
  <c r="S155"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S190" i="5"/>
  <c r="S191" i="5"/>
  <c r="S192" i="5"/>
  <c r="S193" i="5"/>
  <c r="S194" i="5"/>
  <c r="S195" i="5"/>
  <c r="S196" i="5"/>
  <c r="S197" i="5"/>
  <c r="S198" i="5"/>
  <c r="S199" i="5"/>
  <c r="S200" i="5"/>
  <c r="S201" i="5"/>
  <c r="S202" i="5"/>
  <c r="S203" i="5"/>
  <c r="S204" i="5"/>
  <c r="S205" i="5"/>
  <c r="S206" i="5"/>
  <c r="S207" i="5"/>
  <c r="S208" i="5"/>
  <c r="S209" i="5"/>
  <c r="S210" i="5"/>
  <c r="S211" i="5"/>
  <c r="S212" i="5"/>
  <c r="S213" i="5"/>
  <c r="S214" i="5"/>
  <c r="S215" i="5"/>
  <c r="S216" i="5"/>
  <c r="S217" i="5"/>
  <c r="S218" i="5"/>
  <c r="S219" i="5"/>
  <c r="S220" i="5"/>
  <c r="S221" i="5"/>
  <c r="S222" i="5"/>
  <c r="S223" i="5"/>
  <c r="S224" i="5"/>
  <c r="S225" i="5"/>
  <c r="S226" i="5"/>
  <c r="S227" i="5"/>
  <c r="S228" i="5"/>
  <c r="S229" i="5"/>
  <c r="S230" i="5"/>
  <c r="S231" i="5"/>
  <c r="S232" i="5"/>
  <c r="S233" i="5"/>
  <c r="S234" i="5"/>
  <c r="S235" i="5"/>
  <c r="S236" i="5"/>
  <c r="S237" i="5"/>
  <c r="S238" i="5"/>
  <c r="S239" i="5"/>
  <c r="S240" i="5"/>
  <c r="S241" i="5"/>
  <c r="S242" i="5"/>
  <c r="S243" i="5"/>
  <c r="S244" i="5"/>
  <c r="S245" i="5"/>
  <c r="S246" i="5"/>
  <c r="S247" i="5"/>
  <c r="S248" i="5"/>
  <c r="S249" i="5"/>
  <c r="S250" i="5"/>
  <c r="S251" i="5"/>
  <c r="S252" i="5"/>
  <c r="R6" i="5"/>
  <c r="R7" i="5"/>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R107" i="5"/>
  <c r="R108" i="5"/>
  <c r="R109" i="5"/>
  <c r="R110" i="5"/>
  <c r="R111" i="5"/>
  <c r="R112" i="5"/>
  <c r="R113" i="5"/>
  <c r="R114" i="5"/>
  <c r="R115" i="5"/>
  <c r="R116" i="5"/>
  <c r="R117" i="5"/>
  <c r="R118" i="5"/>
  <c r="R119" i="5"/>
  <c r="R120" i="5"/>
  <c r="R121" i="5"/>
  <c r="R122" i="5"/>
  <c r="R123" i="5"/>
  <c r="R124" i="5"/>
  <c r="R125" i="5"/>
  <c r="R126" i="5"/>
  <c r="R127" i="5"/>
  <c r="R128" i="5"/>
  <c r="R129" i="5"/>
  <c r="R130" i="5"/>
  <c r="R131" i="5"/>
  <c r="R132" i="5"/>
  <c r="R133" i="5"/>
  <c r="R134" i="5"/>
  <c r="R135" i="5"/>
  <c r="R136" i="5"/>
  <c r="R137" i="5"/>
  <c r="R138" i="5"/>
  <c r="R139" i="5"/>
  <c r="R140" i="5"/>
  <c r="R141" i="5"/>
  <c r="R142" i="5"/>
  <c r="R143" i="5"/>
  <c r="R144" i="5"/>
  <c r="R145" i="5"/>
  <c r="R146" i="5"/>
  <c r="R147" i="5"/>
  <c r="R148" i="5"/>
  <c r="R149" i="5"/>
  <c r="R150" i="5"/>
  <c r="R151" i="5"/>
  <c r="R152" i="5"/>
  <c r="R153" i="5"/>
  <c r="R154" i="5"/>
  <c r="R155" i="5"/>
  <c r="R156" i="5"/>
  <c r="R157" i="5"/>
  <c r="R158" i="5"/>
  <c r="R159" i="5"/>
  <c r="R160" i="5"/>
  <c r="R161" i="5"/>
  <c r="R162" i="5"/>
  <c r="R163" i="5"/>
  <c r="R164" i="5"/>
  <c r="R165" i="5"/>
  <c r="R166" i="5"/>
  <c r="R167" i="5"/>
  <c r="R168" i="5"/>
  <c r="R169" i="5"/>
  <c r="R170" i="5"/>
  <c r="R171" i="5"/>
  <c r="R172" i="5"/>
  <c r="R173" i="5"/>
  <c r="R174" i="5"/>
  <c r="R175" i="5"/>
  <c r="R176" i="5"/>
  <c r="R177" i="5"/>
  <c r="R178" i="5"/>
  <c r="R179" i="5"/>
  <c r="R180" i="5"/>
  <c r="R181" i="5"/>
  <c r="R182" i="5"/>
  <c r="R183" i="5"/>
  <c r="R184" i="5"/>
  <c r="R185" i="5"/>
  <c r="R186" i="5"/>
  <c r="R187" i="5"/>
  <c r="R188" i="5"/>
  <c r="R189" i="5"/>
  <c r="R190" i="5"/>
  <c r="R191" i="5"/>
  <c r="R192" i="5"/>
  <c r="R193" i="5"/>
  <c r="R194" i="5"/>
  <c r="R195" i="5"/>
  <c r="R196" i="5"/>
  <c r="R197" i="5"/>
  <c r="R198" i="5"/>
  <c r="R199" i="5"/>
  <c r="R200" i="5"/>
  <c r="R201" i="5"/>
  <c r="R202" i="5"/>
  <c r="R203" i="5"/>
  <c r="R204" i="5"/>
  <c r="R205" i="5"/>
  <c r="R206" i="5"/>
  <c r="R207" i="5"/>
  <c r="R208" i="5"/>
  <c r="R209" i="5"/>
  <c r="R210" i="5"/>
  <c r="R211" i="5"/>
  <c r="R212" i="5"/>
  <c r="R213" i="5"/>
  <c r="R214" i="5"/>
  <c r="R215" i="5"/>
  <c r="R216" i="5"/>
  <c r="R217" i="5"/>
  <c r="R218" i="5"/>
  <c r="R219" i="5"/>
  <c r="R220" i="5"/>
  <c r="R221" i="5"/>
  <c r="R222" i="5"/>
  <c r="R223" i="5"/>
  <c r="R224" i="5"/>
  <c r="R225" i="5"/>
  <c r="R226" i="5"/>
  <c r="R227" i="5"/>
  <c r="R228" i="5"/>
  <c r="R229" i="5"/>
  <c r="R230" i="5"/>
  <c r="R231" i="5"/>
  <c r="R232" i="5"/>
  <c r="R233" i="5"/>
  <c r="R234" i="5"/>
  <c r="R235" i="5"/>
  <c r="R236" i="5"/>
  <c r="R237" i="5"/>
  <c r="R238" i="5"/>
  <c r="R239" i="5"/>
  <c r="R240" i="5"/>
  <c r="R241" i="5"/>
  <c r="R242" i="5"/>
  <c r="R243" i="5"/>
  <c r="R244" i="5"/>
  <c r="R245" i="5"/>
  <c r="R246" i="5"/>
  <c r="R247" i="5"/>
  <c r="R248" i="5"/>
  <c r="R249" i="5"/>
  <c r="R250" i="5"/>
  <c r="R251" i="5"/>
  <c r="R252"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6" i="5"/>
  <c r="P197" i="5"/>
  <c r="P198" i="5"/>
  <c r="P199" i="5"/>
  <c r="P200" i="5"/>
  <c r="P201" i="5"/>
  <c r="P202" i="5"/>
  <c r="P203" i="5"/>
  <c r="P204" i="5"/>
  <c r="P205" i="5"/>
  <c r="P206" i="5"/>
  <c r="P207" i="5"/>
  <c r="P208" i="5"/>
  <c r="P209" i="5"/>
  <c r="P210" i="5"/>
  <c r="P211" i="5"/>
  <c r="P212" i="5"/>
  <c r="P213" i="5"/>
  <c r="P214" i="5"/>
  <c r="P215" i="5"/>
  <c r="P216" i="5"/>
  <c r="P217" i="5"/>
  <c r="P218" i="5"/>
  <c r="P219" i="5"/>
  <c r="P220" i="5"/>
  <c r="P221" i="5"/>
  <c r="P222" i="5"/>
  <c r="P223" i="5"/>
  <c r="P224" i="5"/>
  <c r="P225" i="5"/>
  <c r="P226" i="5"/>
  <c r="P227" i="5"/>
  <c r="P228" i="5"/>
  <c r="P229" i="5"/>
  <c r="P230" i="5"/>
  <c r="P231" i="5"/>
  <c r="P232" i="5"/>
  <c r="P233" i="5"/>
  <c r="P234" i="5"/>
  <c r="P235" i="5"/>
  <c r="P236" i="5"/>
  <c r="P237" i="5"/>
  <c r="P238" i="5"/>
  <c r="P239" i="5"/>
  <c r="P240" i="5"/>
  <c r="P241" i="5"/>
  <c r="P242" i="5"/>
  <c r="P243" i="5"/>
  <c r="P244" i="5"/>
  <c r="P245" i="5"/>
  <c r="P246" i="5"/>
  <c r="P247" i="5"/>
  <c r="P248" i="5"/>
  <c r="P249" i="5"/>
  <c r="P250" i="5"/>
  <c r="P251" i="5"/>
  <c r="P252" i="5"/>
  <c r="O6"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O136" i="5"/>
  <c r="O137" i="5"/>
  <c r="O138" i="5"/>
  <c r="O139" i="5"/>
  <c r="O140"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O174" i="5"/>
  <c r="O175" i="5"/>
  <c r="O176" i="5"/>
  <c r="O177" i="5"/>
  <c r="O178" i="5"/>
  <c r="O179" i="5"/>
  <c r="O180" i="5"/>
  <c r="O181" i="5"/>
  <c r="O182" i="5"/>
  <c r="O183" i="5"/>
  <c r="O184" i="5"/>
  <c r="O185" i="5"/>
  <c r="O186" i="5"/>
  <c r="O187" i="5"/>
  <c r="O188" i="5"/>
  <c r="O189" i="5"/>
  <c r="O190" i="5"/>
  <c r="O191" i="5"/>
  <c r="O192" i="5"/>
  <c r="O193" i="5"/>
  <c r="O194" i="5"/>
  <c r="O195" i="5"/>
  <c r="O196" i="5"/>
  <c r="O197" i="5"/>
  <c r="O198" i="5"/>
  <c r="O199" i="5"/>
  <c r="O200" i="5"/>
  <c r="O201" i="5"/>
  <c r="O202" i="5"/>
  <c r="O203" i="5"/>
  <c r="O204" i="5"/>
  <c r="O205" i="5"/>
  <c r="O206" i="5"/>
  <c r="O207" i="5"/>
  <c r="O208" i="5"/>
  <c r="O209" i="5"/>
  <c r="O210" i="5"/>
  <c r="O211" i="5"/>
  <c r="O212" i="5"/>
  <c r="O213" i="5"/>
  <c r="O214" i="5"/>
  <c r="O215" i="5"/>
  <c r="O216" i="5"/>
  <c r="O217" i="5"/>
  <c r="O218" i="5"/>
  <c r="O219" i="5"/>
  <c r="O220" i="5"/>
  <c r="O221" i="5"/>
  <c r="O222" i="5"/>
  <c r="O223" i="5"/>
  <c r="O224" i="5"/>
  <c r="O225" i="5"/>
  <c r="O226" i="5"/>
  <c r="O227" i="5"/>
  <c r="O228" i="5"/>
  <c r="O229" i="5"/>
  <c r="O230" i="5"/>
  <c r="O231" i="5"/>
  <c r="O232" i="5"/>
  <c r="O233" i="5"/>
  <c r="O234" i="5"/>
  <c r="O235" i="5"/>
  <c r="O236" i="5"/>
  <c r="O237" i="5"/>
  <c r="O238" i="5"/>
  <c r="O239" i="5"/>
  <c r="O240" i="5"/>
  <c r="O241" i="5"/>
  <c r="O242" i="5"/>
  <c r="O243" i="5"/>
  <c r="O244" i="5"/>
  <c r="O245" i="5"/>
  <c r="O246" i="5"/>
  <c r="O247" i="5"/>
  <c r="O248" i="5"/>
  <c r="O249" i="5"/>
  <c r="O250" i="5"/>
  <c r="O251" i="5"/>
  <c r="O252"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1" i="5"/>
  <c r="N252"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L174" i="5"/>
  <c r="L175" i="5"/>
  <c r="L176" i="5"/>
  <c r="L177" i="5"/>
  <c r="L178" i="5"/>
  <c r="L179" i="5"/>
  <c r="L180" i="5"/>
  <c r="L181" i="5"/>
  <c r="L182" i="5"/>
  <c r="L183" i="5"/>
  <c r="L184" i="5"/>
  <c r="L185" i="5"/>
  <c r="L186" i="5"/>
  <c r="L187" i="5"/>
  <c r="L188" i="5"/>
  <c r="L189" i="5"/>
  <c r="L190" i="5"/>
  <c r="L191" i="5"/>
  <c r="L192" i="5"/>
  <c r="L193" i="5"/>
  <c r="L194" i="5"/>
  <c r="L195" i="5"/>
  <c r="L196" i="5"/>
  <c r="L197" i="5"/>
  <c r="L198" i="5"/>
  <c r="L199" i="5"/>
  <c r="L200" i="5"/>
  <c r="L201" i="5"/>
  <c r="L202" i="5"/>
  <c r="L203" i="5"/>
  <c r="L204" i="5"/>
  <c r="L205" i="5"/>
  <c r="L206" i="5"/>
  <c r="L207" i="5"/>
  <c r="L208" i="5"/>
  <c r="L209" i="5"/>
  <c r="L210" i="5"/>
  <c r="L211" i="5"/>
  <c r="L212" i="5"/>
  <c r="L213" i="5"/>
  <c r="L214" i="5"/>
  <c r="L215" i="5"/>
  <c r="L216" i="5"/>
  <c r="L217" i="5"/>
  <c r="L218" i="5"/>
  <c r="L219" i="5"/>
  <c r="L220" i="5"/>
  <c r="L221" i="5"/>
  <c r="L222" i="5"/>
  <c r="L223" i="5"/>
  <c r="L224" i="5"/>
  <c r="L225" i="5"/>
  <c r="L226" i="5"/>
  <c r="L227" i="5"/>
  <c r="L228" i="5"/>
  <c r="L229" i="5"/>
  <c r="L230" i="5"/>
  <c r="L231" i="5"/>
  <c r="L232" i="5"/>
  <c r="L233" i="5"/>
  <c r="L234" i="5"/>
  <c r="L235" i="5"/>
  <c r="L236" i="5"/>
  <c r="L237" i="5"/>
  <c r="L238" i="5"/>
  <c r="L239" i="5"/>
  <c r="L240" i="5"/>
  <c r="L241" i="5"/>
  <c r="L242" i="5"/>
  <c r="L243" i="5"/>
  <c r="L244" i="5"/>
  <c r="L245" i="5"/>
  <c r="L246" i="5"/>
  <c r="L247" i="5"/>
  <c r="L248" i="5"/>
  <c r="L249" i="5"/>
  <c r="L250" i="5"/>
  <c r="L251" i="5"/>
  <c r="L252" i="5"/>
  <c r="Z5" i="5"/>
  <c r="X5" i="5"/>
  <c r="W5" i="5"/>
  <c r="V5" i="5"/>
  <c r="U5" i="5"/>
  <c r="T5" i="5"/>
  <c r="S5" i="5"/>
  <c r="R5" i="5"/>
  <c r="Q5" i="5"/>
  <c r="P5" i="5"/>
  <c r="O5" i="5"/>
  <c r="N5" i="5"/>
  <c r="M5" i="5"/>
  <c r="L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5" i="5"/>
  <c r="B2" i="4" a="1"/>
  <c r="B2" i="4" s="1"/>
  <c r="U41" i="16" a="1"/>
  <c r="U41" i="16" s="1"/>
  <c r="W41" i="16" s="1"/>
  <c r="U40" i="16" a="1"/>
  <c r="U40" i="16" s="1"/>
  <c r="W40" i="16" s="1"/>
  <c r="U39" i="16" a="1"/>
  <c r="U39" i="16" s="1"/>
  <c r="W39" i="16" s="1"/>
  <c r="U38" i="16" a="1"/>
  <c r="U38" i="16" s="1"/>
  <c r="W38" i="16" s="1"/>
  <c r="U37" i="16" a="1"/>
  <c r="U37" i="16" s="1"/>
  <c r="W37" i="16" s="1"/>
  <c r="U36" i="16" a="1"/>
  <c r="U36" i="16" s="1"/>
  <c r="W36" i="16" s="1"/>
  <c r="U35" i="16" a="1"/>
  <c r="U35" i="16" s="1"/>
  <c r="W35" i="16" s="1"/>
  <c r="U34" i="16" a="1"/>
  <c r="U34" i="16" s="1"/>
  <c r="W34" i="16" s="1"/>
  <c r="U33" i="16" a="1"/>
  <c r="U33" i="16" s="1"/>
  <c r="W33" i="16" s="1"/>
  <c r="U32" i="16" a="1"/>
  <c r="U32" i="16" s="1"/>
  <c r="W32" i="16" s="1"/>
  <c r="U31" i="16" a="1"/>
  <c r="U31" i="16" s="1"/>
  <c r="W31" i="16" s="1"/>
  <c r="U30" i="16" a="1"/>
  <c r="U30" i="16" s="1"/>
  <c r="W30" i="16" s="1"/>
  <c r="U29" i="16" a="1"/>
  <c r="U29" i="16" s="1"/>
  <c r="W29" i="16" s="1"/>
  <c r="U28" i="16" a="1"/>
  <c r="U28" i="16" s="1"/>
  <c r="W28" i="16" s="1"/>
  <c r="U27" i="16" a="1"/>
  <c r="U27" i="16" s="1"/>
  <c r="W27" i="16" s="1"/>
  <c r="U26" i="16" a="1"/>
  <c r="U26" i="16" s="1"/>
  <c r="W26" i="16" s="1"/>
  <c r="U25" i="16" a="1"/>
  <c r="U25" i="16" s="1"/>
  <c r="W25" i="16" s="1"/>
  <c r="U24" i="16" a="1"/>
  <c r="U24" i="16" s="1"/>
  <c r="W24" i="16" s="1"/>
  <c r="U23" i="16" a="1"/>
  <c r="U23" i="16" s="1"/>
  <c r="W23" i="16" s="1"/>
  <c r="U22" i="16" a="1"/>
  <c r="U22" i="16" s="1"/>
  <c r="W22" i="16" s="1"/>
  <c r="U21" i="16" a="1"/>
  <c r="U21" i="16" s="1"/>
  <c r="W21" i="16" s="1"/>
  <c r="U20" i="16" a="1"/>
  <c r="U20" i="16" s="1"/>
  <c r="W20" i="16" s="1"/>
  <c r="U19" i="16" a="1"/>
  <c r="U19" i="16" s="1"/>
  <c r="W19" i="16" s="1"/>
  <c r="U18" i="16" a="1"/>
  <c r="U18" i="16" s="1"/>
  <c r="W18" i="16" s="1"/>
  <c r="U17" i="16" a="1"/>
  <c r="U17" i="16" s="1"/>
  <c r="W17" i="16" s="1"/>
  <c r="U16" i="16" a="1"/>
  <c r="U16" i="16" s="1"/>
  <c r="W16" i="16" s="1"/>
  <c r="U15" i="16" a="1"/>
  <c r="U15" i="16" s="1"/>
  <c r="W15" i="16" s="1"/>
  <c r="U14" i="16" a="1"/>
  <c r="U14" i="16" s="1"/>
  <c r="W14" i="16" s="1"/>
  <c r="U13" i="16" a="1"/>
  <c r="U13" i="16" s="1"/>
  <c r="W13" i="16" s="1"/>
  <c r="U12" i="16" a="1"/>
  <c r="U12" i="16" s="1"/>
  <c r="W12" i="16" s="1"/>
  <c r="U11" i="16" a="1"/>
  <c r="U11" i="16" s="1"/>
  <c r="W11" i="16" s="1"/>
  <c r="U10" i="16" a="1"/>
  <c r="U10" i="16" s="1"/>
  <c r="W10" i="16" s="1"/>
  <c r="U9" i="16" a="1"/>
  <c r="U9" i="16" s="1"/>
  <c r="W9" i="16" s="1"/>
  <c r="U8" i="16" a="1"/>
  <c r="U8" i="16" s="1"/>
  <c r="W8" i="16" s="1"/>
  <c r="U7" i="16" a="1"/>
  <c r="U7" i="16" s="1"/>
  <c r="W7" i="16" s="1"/>
  <c r="U6" i="16" a="1"/>
  <c r="U6" i="16" s="1"/>
  <c r="W6" i="16" s="1"/>
  <c r="U5" i="16" a="1"/>
  <c r="U5" i="16" s="1"/>
  <c r="W5" i="16" s="1"/>
  <c r="U4" i="16" a="1"/>
  <c r="U4" i="16" s="1"/>
  <c r="W4" i="16" s="1"/>
  <c r="U3" i="16" a="1"/>
  <c r="U3" i="16" s="1"/>
  <c r="W3" i="16" s="1"/>
  <c r="U2" i="16" a="1"/>
  <c r="U2" i="16" s="1"/>
  <c r="R41" i="16"/>
  <c r="V41" i="16" s="1"/>
  <c r="R40" i="16"/>
  <c r="V40" i="16" s="1"/>
  <c r="R39" i="16"/>
  <c r="V39" i="16" s="1"/>
  <c r="R38" i="16"/>
  <c r="V38" i="16" s="1"/>
  <c r="R37" i="16"/>
  <c r="V37" i="16" s="1"/>
  <c r="R36" i="16"/>
  <c r="V36" i="16" s="1"/>
  <c r="R35" i="16"/>
  <c r="V35" i="16" s="1"/>
  <c r="R34" i="16"/>
  <c r="V34" i="16" s="1"/>
  <c r="R33" i="16"/>
  <c r="V33" i="16" s="1"/>
  <c r="R32" i="16"/>
  <c r="V32" i="16" s="1"/>
  <c r="R31" i="16"/>
  <c r="V31" i="16" s="1"/>
  <c r="R30" i="16"/>
  <c r="V30" i="16" s="1"/>
  <c r="R29" i="16"/>
  <c r="V29" i="16" s="1"/>
  <c r="R28" i="16"/>
  <c r="V28" i="16" s="1"/>
  <c r="R27" i="16"/>
  <c r="V27" i="16" s="1"/>
  <c r="R26" i="16"/>
  <c r="V26" i="16" s="1"/>
  <c r="R25" i="16"/>
  <c r="V25" i="16" s="1"/>
  <c r="R24" i="16"/>
  <c r="V24" i="16" s="1"/>
  <c r="R23" i="16"/>
  <c r="V23" i="16" s="1"/>
  <c r="R22" i="16"/>
  <c r="V22" i="16" s="1"/>
  <c r="R21" i="16"/>
  <c r="V21" i="16" s="1"/>
  <c r="R20" i="16"/>
  <c r="V20" i="16" s="1"/>
  <c r="R19" i="16"/>
  <c r="V19" i="16" s="1"/>
  <c r="R18" i="16"/>
  <c r="V18" i="16" s="1"/>
  <c r="R17" i="16"/>
  <c r="V17" i="16" s="1"/>
  <c r="R16" i="16"/>
  <c r="V16" i="16" s="1"/>
  <c r="R15" i="16"/>
  <c r="V15" i="16" s="1"/>
  <c r="R14" i="16"/>
  <c r="V14" i="16" s="1"/>
  <c r="R13" i="16"/>
  <c r="V13" i="16" s="1"/>
  <c r="R12" i="16"/>
  <c r="V12" i="16" s="1"/>
  <c r="R11" i="16"/>
  <c r="V11" i="16" s="1"/>
  <c r="R10" i="16"/>
  <c r="V10" i="16" s="1"/>
  <c r="R9" i="16"/>
  <c r="V9" i="16" s="1"/>
  <c r="R8" i="16"/>
  <c r="V8" i="16" s="1"/>
  <c r="R7" i="16"/>
  <c r="V7" i="16" s="1"/>
  <c r="R6" i="16"/>
  <c r="V6" i="16" s="1"/>
  <c r="R5" i="16"/>
  <c r="V5" i="16" s="1"/>
  <c r="R4" i="16"/>
  <c r="V4" i="16" s="1"/>
  <c r="R3" i="16"/>
  <c r="V3" i="16" s="1"/>
  <c r="R2" i="16"/>
  <c r="V2" i="16" s="1"/>
  <c r="X21" i="16" l="1"/>
  <c r="X11" i="16"/>
  <c r="X22" i="16"/>
  <c r="X34" i="16"/>
  <c r="X12" i="16"/>
  <c r="X23" i="16"/>
  <c r="X35" i="16"/>
  <c r="X13" i="16"/>
  <c r="X24" i="16"/>
  <c r="X36" i="16"/>
  <c r="U42" i="16"/>
  <c r="X14" i="16"/>
  <c r="X25" i="16"/>
  <c r="X37" i="16"/>
  <c r="X26" i="16"/>
  <c r="X38" i="16"/>
  <c r="X10" i="16"/>
  <c r="X33" i="16"/>
  <c r="X39" i="16"/>
  <c r="X5" i="16"/>
  <c r="X16" i="16"/>
  <c r="X28" i="16"/>
  <c r="X40" i="16"/>
  <c r="X17" i="16"/>
  <c r="X29" i="16"/>
  <c r="X41" i="16"/>
  <c r="X3" i="16"/>
  <c r="X4" i="16"/>
  <c r="X6" i="16"/>
  <c r="X7" i="16"/>
  <c r="X18" i="16"/>
  <c r="X30" i="16"/>
  <c r="X27" i="16"/>
  <c r="X19" i="16"/>
  <c r="X31" i="16"/>
  <c r="X15" i="16"/>
  <c r="X8" i="16"/>
  <c r="X9" i="16"/>
  <c r="X20" i="16"/>
  <c r="X32" i="16"/>
  <c r="W2" i="16"/>
  <c r="X2" i="16" s="1"/>
  <c r="B6243" i="12"/>
  <c r="B6240" i="12"/>
  <c r="B6237" i="12"/>
  <c r="B6234" i="12"/>
  <c r="B6079" i="12"/>
  <c r="B6076" i="12"/>
  <c r="B6073" i="12"/>
  <c r="B6070" i="12"/>
  <c r="B5915" i="12"/>
  <c r="B5912" i="12"/>
  <c r="B5909" i="12"/>
  <c r="B5906" i="12"/>
  <c r="B5751" i="12"/>
  <c r="B5748" i="12"/>
  <c r="B5745" i="12"/>
  <c r="B5742" i="12"/>
  <c r="B5587" i="12"/>
  <c r="B5584" i="12"/>
  <c r="B5581" i="12"/>
  <c r="B5578" i="12"/>
  <c r="B5423" i="12"/>
  <c r="B5420" i="12"/>
  <c r="B5417" i="12"/>
  <c r="B5414" i="12"/>
  <c r="B5259" i="12"/>
  <c r="B5256" i="12"/>
  <c r="B5253" i="12"/>
  <c r="B5250" i="12"/>
  <c r="B5095" i="12"/>
  <c r="B5092" i="12"/>
  <c r="B5089" i="12"/>
  <c r="B5086" i="12"/>
  <c r="B4931" i="12"/>
  <c r="B4928" i="12"/>
  <c r="B4925" i="12"/>
  <c r="B4922" i="12"/>
  <c r="B4767" i="12"/>
  <c r="B4764" i="12"/>
  <c r="B4761" i="12"/>
  <c r="B4758" i="12"/>
  <c r="B4603" i="12"/>
  <c r="B4600" i="12"/>
  <c r="B4597" i="12"/>
  <c r="B4594" i="12"/>
  <c r="B4439" i="12"/>
  <c r="B4436" i="12"/>
  <c r="B4433" i="12"/>
  <c r="B4430" i="12"/>
  <c r="B4275" i="12"/>
  <c r="B4272" i="12"/>
  <c r="B4269" i="12"/>
  <c r="B4266" i="12"/>
  <c r="B4111" i="12"/>
  <c r="B4108" i="12"/>
  <c r="B4105" i="12"/>
  <c r="B4102" i="12"/>
  <c r="B3947" i="12"/>
  <c r="B3944" i="12"/>
  <c r="B3941" i="12"/>
  <c r="B3938" i="12"/>
  <c r="B3783" i="12"/>
  <c r="B3780" i="12"/>
  <c r="B3777" i="12"/>
  <c r="B3774" i="12"/>
  <c r="B3619" i="12"/>
  <c r="B3616" i="12"/>
  <c r="B3613" i="12"/>
  <c r="B3610" i="12"/>
  <c r="B3455" i="12"/>
  <c r="B3452" i="12"/>
  <c r="B3449" i="12"/>
  <c r="B3446" i="12"/>
  <c r="B3291" i="12"/>
  <c r="B3288" i="12"/>
  <c r="B3285" i="12"/>
  <c r="B3282" i="12"/>
  <c r="B3127" i="12"/>
  <c r="B3124" i="12"/>
  <c r="B3121" i="12"/>
  <c r="B3118" i="12"/>
  <c r="B2963" i="12"/>
  <c r="B2960" i="12"/>
  <c r="B2957" i="12"/>
  <c r="B2954" i="12"/>
  <c r="B2799" i="12"/>
  <c r="B2796" i="12"/>
  <c r="B2793" i="12"/>
  <c r="B2790" i="12"/>
  <c r="B2635" i="12"/>
  <c r="B2632" i="12"/>
  <c r="B2629" i="12"/>
  <c r="B2626" i="12"/>
  <c r="B2471" i="12"/>
  <c r="B2468" i="12"/>
  <c r="B2465" i="12"/>
  <c r="B2462" i="12"/>
  <c r="B2307" i="12"/>
  <c r="B2304" i="12"/>
  <c r="B2301" i="12"/>
  <c r="B2298" i="12"/>
  <c r="B2143" i="12"/>
  <c r="B2140" i="12"/>
  <c r="B2137" i="12"/>
  <c r="B2134" i="12"/>
  <c r="B1979" i="12"/>
  <c r="B1976" i="12"/>
  <c r="B1973" i="12"/>
  <c r="B1970" i="12"/>
  <c r="B1815" i="12"/>
  <c r="B1812" i="12"/>
  <c r="B1809" i="12"/>
  <c r="B1806" i="12"/>
  <c r="B1651" i="12"/>
  <c r="B1648" i="12"/>
  <c r="B1645" i="12"/>
  <c r="B1642" i="12"/>
  <c r="B1487" i="12"/>
  <c r="B1484" i="12"/>
  <c r="B1481" i="12"/>
  <c r="B1478" i="12"/>
  <c r="B1323" i="12"/>
  <c r="B1320" i="12"/>
  <c r="B1317" i="12"/>
  <c r="B1314" i="12"/>
  <c r="B1159" i="12"/>
  <c r="B1156" i="12"/>
  <c r="B1153" i="12"/>
  <c r="B1150" i="12"/>
  <c r="B995" i="12"/>
  <c r="B992" i="12"/>
  <c r="B989" i="12"/>
  <c r="B986" i="12"/>
  <c r="B831" i="12"/>
  <c r="B828" i="12"/>
  <c r="B825" i="12"/>
  <c r="B822" i="12"/>
  <c r="B667" i="12"/>
  <c r="B664" i="12"/>
  <c r="B661" i="12"/>
  <c r="B658" i="12"/>
  <c r="B503" i="12"/>
  <c r="B500" i="12"/>
  <c r="B497" i="12"/>
  <c r="B494" i="12"/>
  <c r="B339" i="12"/>
  <c r="B336" i="12"/>
  <c r="B333" i="12"/>
  <c r="B330" i="12"/>
  <c r="B175" i="12"/>
  <c r="B172" i="12"/>
  <c r="B169" i="12"/>
  <c r="B166" i="12"/>
  <c r="B11" i="12"/>
  <c r="B8" i="12"/>
  <c r="B5" i="12"/>
  <c r="B2" i="12"/>
  <c r="X42" i="16" l="1"/>
  <c r="B3" i="4" s="1"/>
  <c r="B4" i="4" s="1"/>
  <c r="C27" i="18"/>
  <c r="C26" i="18"/>
  <c r="B27" i="18"/>
  <c r="B26" i="18"/>
  <c r="C36" i="18"/>
  <c r="B36" i="18"/>
  <c r="C35" i="18"/>
  <c r="B35" i="18"/>
  <c r="C33" i="18"/>
  <c r="C32" i="18"/>
  <c r="B33" i="18"/>
  <c r="B32" i="18"/>
  <c r="C30" i="18"/>
  <c r="C29" i="18"/>
  <c r="B30" i="18"/>
  <c r="B29" i="18"/>
  <c r="C24" i="18"/>
  <c r="C23" i="18"/>
  <c r="B24" i="18"/>
  <c r="B23" i="18"/>
  <c r="C21" i="18"/>
  <c r="B21" i="18"/>
  <c r="C20" i="18"/>
  <c r="B20" i="18"/>
  <c r="C18" i="18"/>
  <c r="C17" i="18"/>
  <c r="B18" i="18"/>
  <c r="B17" i="18"/>
  <c r="C15" i="18"/>
  <c r="C14" i="18"/>
  <c r="B15" i="18"/>
  <c r="B14" i="18"/>
  <c r="C12" i="18"/>
  <c r="B12" i="18"/>
  <c r="D21" i="18" l="1"/>
  <c r="D20" i="18"/>
  <c r="D17" i="18"/>
  <c r="D29" i="18"/>
  <c r="D32" i="18"/>
  <c r="D33" i="18"/>
  <c r="D14" i="18"/>
  <c r="D35" i="18"/>
  <c r="D12" i="18"/>
  <c r="D15" i="18"/>
  <c r="D24" i="18"/>
  <c r="D23" i="18"/>
  <c r="D36" i="18"/>
  <c r="D26" i="18"/>
  <c r="D18" i="18"/>
  <c r="D30" i="18"/>
  <c r="D27" i="18"/>
  <c r="C25" i="18"/>
  <c r="B25" i="18"/>
  <c r="C34" i="18"/>
  <c r="B34" i="18"/>
  <c r="C31" i="18"/>
  <c r="B31" i="18"/>
  <c r="C28" i="18"/>
  <c r="B28" i="18"/>
  <c r="C22" i="18"/>
  <c r="B22" i="18"/>
  <c r="C19" i="18"/>
  <c r="B19" i="18"/>
  <c r="C16" i="18"/>
  <c r="B16" i="18"/>
  <c r="C13" i="18"/>
  <c r="B13" i="18"/>
  <c r="C11" i="18"/>
  <c r="AA11" i="19"/>
  <c r="AA12" i="19"/>
  <c r="AA13" i="19"/>
  <c r="AA14" i="19"/>
  <c r="AA15" i="19"/>
  <c r="AA16" i="19"/>
  <c r="AA17" i="19"/>
  <c r="AA18" i="19"/>
  <c r="AA19" i="19"/>
  <c r="AA20" i="19"/>
  <c r="AA21" i="19"/>
  <c r="AA22" i="19"/>
  <c r="AA23" i="19"/>
  <c r="AA24" i="19"/>
  <c r="AA25" i="19"/>
  <c r="AA26" i="19"/>
  <c r="AA27" i="19"/>
  <c r="AA28" i="19"/>
  <c r="AA29" i="19"/>
  <c r="AA30" i="19"/>
  <c r="AA31" i="19"/>
  <c r="AA32" i="19"/>
  <c r="AA33" i="19"/>
  <c r="AA34" i="19"/>
  <c r="AA35" i="19"/>
  <c r="AA36" i="19"/>
  <c r="AA37" i="19"/>
  <c r="AA38" i="19"/>
  <c r="AA39" i="19"/>
  <c r="AA40" i="19"/>
  <c r="AA41" i="19"/>
  <c r="AA42" i="19"/>
  <c r="AA43" i="19"/>
  <c r="AA44" i="19"/>
  <c r="AA45" i="19"/>
  <c r="AA46" i="19"/>
  <c r="AA47" i="19"/>
  <c r="AA48" i="19"/>
  <c r="AA49" i="19"/>
  <c r="AA50" i="19"/>
  <c r="AA51" i="19"/>
  <c r="AA52" i="19"/>
  <c r="AA53" i="19"/>
  <c r="AA54" i="19"/>
  <c r="AA55" i="19"/>
  <c r="AA56" i="19"/>
  <c r="AA57" i="19"/>
  <c r="AA58" i="19"/>
  <c r="AA59" i="19"/>
  <c r="AA60" i="19"/>
  <c r="AA61" i="19"/>
  <c r="AA62" i="19"/>
  <c r="AA63" i="19"/>
  <c r="AA64" i="19"/>
  <c r="AA65" i="19"/>
  <c r="AA66" i="19"/>
  <c r="AA67" i="19"/>
  <c r="AA68" i="19"/>
  <c r="AA69" i="19"/>
  <c r="AA70" i="19"/>
  <c r="AA71" i="19"/>
  <c r="AA72" i="19"/>
  <c r="AA73" i="19"/>
  <c r="AA74" i="19"/>
  <c r="AA75" i="19"/>
  <c r="AA76" i="19"/>
  <c r="AA77" i="19"/>
  <c r="AA78" i="19"/>
  <c r="AA79" i="19"/>
  <c r="AA80" i="19"/>
  <c r="AA81" i="19"/>
  <c r="AA82" i="19"/>
  <c r="AA83" i="19"/>
  <c r="AA84" i="19"/>
  <c r="AA85" i="19"/>
  <c r="AA86" i="19"/>
  <c r="AA87" i="19"/>
  <c r="AA88" i="19"/>
  <c r="AA89" i="19"/>
  <c r="AA90" i="19"/>
  <c r="AA91" i="19"/>
  <c r="AA92" i="19"/>
  <c r="AA93" i="19"/>
  <c r="AA94" i="19"/>
  <c r="AA95" i="19"/>
  <c r="AA96" i="19"/>
  <c r="AA97" i="19"/>
  <c r="AA98" i="19"/>
  <c r="AA99" i="19"/>
  <c r="AA100" i="19"/>
  <c r="AA101" i="19"/>
  <c r="AA102" i="19"/>
  <c r="AA103" i="19"/>
  <c r="AA104" i="19"/>
  <c r="AA105" i="19"/>
  <c r="AA106" i="19"/>
  <c r="AA107" i="19"/>
  <c r="AA108" i="19"/>
  <c r="AA109" i="19"/>
  <c r="AA110" i="19"/>
  <c r="AA111" i="19"/>
  <c r="AA112" i="19"/>
  <c r="AA113" i="19"/>
  <c r="AA114" i="19"/>
  <c r="AA115" i="19"/>
  <c r="AA116" i="19"/>
  <c r="AA117" i="19"/>
  <c r="AA118" i="19"/>
  <c r="AA119" i="19"/>
  <c r="AA120" i="19"/>
  <c r="AA121" i="19"/>
  <c r="AA122" i="19"/>
  <c r="AA123" i="19"/>
  <c r="AA124" i="19"/>
  <c r="AA125" i="19"/>
  <c r="AA126" i="19"/>
  <c r="AA127" i="19"/>
  <c r="AA128" i="19"/>
  <c r="AA129" i="19"/>
  <c r="AA130" i="19"/>
  <c r="AA131" i="19"/>
  <c r="AA132" i="19"/>
  <c r="AA133" i="19"/>
  <c r="AA134" i="19"/>
  <c r="AA135" i="19"/>
  <c r="AA136" i="19"/>
  <c r="AA137" i="19"/>
  <c r="AA138" i="19"/>
  <c r="AA139" i="19"/>
  <c r="AA140" i="19"/>
  <c r="AA141" i="19"/>
  <c r="AA142" i="19"/>
  <c r="AA143" i="19"/>
  <c r="AA144" i="19"/>
  <c r="AA145" i="19"/>
  <c r="AA146" i="19"/>
  <c r="AA147" i="19"/>
  <c r="AA148" i="19"/>
  <c r="AA149" i="19"/>
  <c r="AA150" i="19"/>
  <c r="AA151" i="19"/>
  <c r="AA152" i="19"/>
  <c r="AA153" i="19"/>
  <c r="AA154" i="19"/>
  <c r="AA155" i="19"/>
  <c r="AA156" i="19"/>
  <c r="AA157" i="19"/>
  <c r="AA158" i="19"/>
  <c r="AA159" i="19"/>
  <c r="AA160" i="19"/>
  <c r="AA161" i="19"/>
  <c r="AA162" i="19"/>
  <c r="AA163" i="19"/>
  <c r="AA164" i="19"/>
  <c r="AA165" i="19"/>
  <c r="AA166" i="19"/>
  <c r="AA167" i="19"/>
  <c r="AA168" i="19"/>
  <c r="AA169" i="19"/>
  <c r="AA170" i="19"/>
  <c r="AA171" i="19"/>
  <c r="AA172" i="19"/>
  <c r="AA173" i="19"/>
  <c r="AA174" i="19"/>
  <c r="AA175" i="19"/>
  <c r="AA176" i="19"/>
  <c r="AA177" i="19"/>
  <c r="AA178" i="19"/>
  <c r="AA179" i="19"/>
  <c r="AA180" i="19"/>
  <c r="AA181" i="19"/>
  <c r="AA182" i="19"/>
  <c r="AA183" i="19"/>
  <c r="AA184" i="19"/>
  <c r="AA185" i="19"/>
  <c r="AA186" i="19"/>
  <c r="AA187" i="19"/>
  <c r="AA188" i="19"/>
  <c r="AA189" i="19"/>
  <c r="AA190" i="19"/>
  <c r="AA191" i="19"/>
  <c r="AA192" i="19"/>
  <c r="AA193" i="19"/>
  <c r="AA194" i="19"/>
  <c r="AA195" i="19"/>
  <c r="AA196" i="19"/>
  <c r="AA197" i="19"/>
  <c r="AA198" i="19"/>
  <c r="AA199" i="19"/>
  <c r="AA200" i="19"/>
  <c r="AA201" i="19"/>
  <c r="AA202" i="19"/>
  <c r="AA203" i="19"/>
  <c r="AA204" i="19"/>
  <c r="AA205" i="19"/>
  <c r="AA206" i="19"/>
  <c r="AA207" i="19"/>
  <c r="AA208" i="19"/>
  <c r="AA209" i="19"/>
  <c r="AA210" i="19"/>
  <c r="AA211" i="19"/>
  <c r="AA212" i="19"/>
  <c r="AA213" i="19"/>
  <c r="AA214" i="19"/>
  <c r="AA215" i="19"/>
  <c r="AA216" i="19"/>
  <c r="AA217" i="19"/>
  <c r="AA218" i="19"/>
  <c r="AA219" i="19"/>
  <c r="AA220" i="19"/>
  <c r="AA221" i="19"/>
  <c r="AA222" i="19"/>
  <c r="AA223" i="19"/>
  <c r="AA224" i="19"/>
  <c r="AA225" i="19"/>
  <c r="AA226" i="19"/>
  <c r="AA227" i="19"/>
  <c r="AA228" i="19"/>
  <c r="AA229" i="19"/>
  <c r="AA230" i="19"/>
  <c r="AA231" i="19"/>
  <c r="AA232" i="19"/>
  <c r="AA233" i="19"/>
  <c r="AA234" i="19"/>
  <c r="AA235" i="19"/>
  <c r="AA236" i="19"/>
  <c r="AA237" i="19"/>
  <c r="AA238" i="19"/>
  <c r="AA239" i="19"/>
  <c r="AA240" i="19"/>
  <c r="AA241" i="19"/>
  <c r="AA242" i="19"/>
  <c r="AA243" i="19"/>
  <c r="AA244" i="19"/>
  <c r="AA245" i="19"/>
  <c r="AA246" i="19"/>
  <c r="AA247" i="19"/>
  <c r="AA248" i="19"/>
  <c r="AA249" i="19"/>
  <c r="AA250" i="19"/>
  <c r="AA251" i="19"/>
  <c r="AA252" i="19"/>
  <c r="AA253" i="19"/>
  <c r="AA254" i="19"/>
  <c r="AA255" i="19"/>
  <c r="AA256" i="19"/>
  <c r="AA257" i="19"/>
  <c r="AA258" i="19"/>
  <c r="AA259" i="19"/>
  <c r="AA260" i="19"/>
  <c r="AA261" i="19"/>
  <c r="AA262" i="19"/>
  <c r="AA263" i="19"/>
  <c r="AA264" i="19"/>
  <c r="AA265" i="19"/>
  <c r="AA266" i="19"/>
  <c r="AA267" i="19"/>
  <c r="AA268" i="19"/>
  <c r="AA269" i="19"/>
  <c r="AA270" i="19"/>
  <c r="AA271" i="19"/>
  <c r="AA272" i="19"/>
  <c r="AA273" i="19"/>
  <c r="AA274" i="19"/>
  <c r="AA275" i="19"/>
  <c r="AA276" i="19"/>
  <c r="AA277" i="19"/>
  <c r="AA278" i="19"/>
  <c r="AA279" i="19"/>
  <c r="AA280" i="19"/>
  <c r="AA281" i="19"/>
  <c r="AA282" i="19"/>
  <c r="AA283" i="19"/>
  <c r="AA284" i="19"/>
  <c r="AA285" i="19"/>
  <c r="AA286" i="19"/>
  <c r="AA287" i="19"/>
  <c r="AA288" i="19"/>
  <c r="AA289" i="19"/>
  <c r="AA290" i="19"/>
  <c r="AA291" i="19"/>
  <c r="AA292" i="19"/>
  <c r="AA293" i="19"/>
  <c r="AA294" i="19"/>
  <c r="AA295" i="19"/>
  <c r="AA296" i="19"/>
  <c r="AA297" i="19"/>
  <c r="AA298" i="19"/>
  <c r="AA299" i="19"/>
  <c r="AA300" i="19"/>
  <c r="AA301" i="19"/>
  <c r="AA302" i="19"/>
  <c r="AA303" i="19"/>
  <c r="AA304" i="19"/>
  <c r="AA305" i="19"/>
  <c r="AA306" i="19"/>
  <c r="AA307" i="19"/>
  <c r="AA308" i="19"/>
  <c r="AA309" i="19"/>
  <c r="AA310" i="19"/>
  <c r="AA311" i="19"/>
  <c r="AA312" i="19"/>
  <c r="AA313" i="19"/>
  <c r="AA314" i="19"/>
  <c r="AA315" i="19"/>
  <c r="AA316" i="19"/>
  <c r="AA317" i="19"/>
  <c r="AA318" i="19"/>
  <c r="AA319" i="19"/>
  <c r="AA320" i="19"/>
  <c r="AA321" i="19"/>
  <c r="AA322" i="19"/>
  <c r="AA323" i="19"/>
  <c r="AA324" i="19"/>
  <c r="AA325" i="19"/>
  <c r="AA326" i="19"/>
  <c r="AA327" i="19"/>
  <c r="AA328" i="19"/>
  <c r="AA329" i="19"/>
  <c r="AA330" i="19"/>
  <c r="AA331" i="19"/>
  <c r="AA332" i="19"/>
  <c r="AA333" i="19"/>
  <c r="AA334" i="19"/>
  <c r="AA335" i="19"/>
  <c r="AA336" i="19"/>
  <c r="AA337" i="19"/>
  <c r="AA338" i="19"/>
  <c r="AA339" i="19"/>
  <c r="AA340" i="19"/>
  <c r="AA341" i="19"/>
  <c r="AA342" i="19"/>
  <c r="AA343" i="19"/>
  <c r="AA344" i="19"/>
  <c r="AA345" i="19"/>
  <c r="AA346" i="19"/>
  <c r="AA347" i="19"/>
  <c r="AA348" i="19"/>
  <c r="AA349" i="19"/>
  <c r="AA350" i="19"/>
  <c r="AA351" i="19"/>
  <c r="AA352" i="19"/>
  <c r="AA353" i="19"/>
  <c r="AA354" i="19"/>
  <c r="AA355" i="19"/>
  <c r="AA356" i="19"/>
  <c r="AA357" i="19"/>
  <c r="AA358" i="19"/>
  <c r="AA359" i="19"/>
  <c r="AA360" i="19"/>
  <c r="AA361" i="19"/>
  <c r="AA362" i="19"/>
  <c r="AA363" i="19"/>
  <c r="AA364" i="19"/>
  <c r="AA365" i="19"/>
  <c r="AA366" i="19"/>
  <c r="AA367" i="19"/>
  <c r="AA368" i="19"/>
  <c r="AA369" i="19"/>
  <c r="AA370" i="19"/>
  <c r="AA371" i="19"/>
  <c r="AA372" i="19"/>
  <c r="AA373" i="19"/>
  <c r="AA374" i="19"/>
  <c r="AA375" i="19"/>
  <c r="AA376" i="19"/>
  <c r="AA377" i="19"/>
  <c r="AA378" i="19"/>
  <c r="AA379" i="19"/>
  <c r="AA380" i="19"/>
  <c r="AA381" i="19"/>
  <c r="AA382" i="19"/>
  <c r="AA383" i="19"/>
  <c r="AA384" i="19"/>
  <c r="AA385" i="19"/>
  <c r="AA386" i="19"/>
  <c r="AA387" i="19"/>
  <c r="AA388" i="19"/>
  <c r="AA389" i="19"/>
  <c r="AA390" i="19"/>
  <c r="AA391" i="19"/>
  <c r="AA392" i="19"/>
  <c r="AA393" i="19"/>
  <c r="AA394" i="19"/>
  <c r="AA395" i="19"/>
  <c r="AA396" i="19"/>
  <c r="AA397" i="19"/>
  <c r="AA398" i="19"/>
  <c r="AA399" i="19"/>
  <c r="AA400" i="19"/>
  <c r="AA401" i="19"/>
  <c r="AA402" i="19"/>
  <c r="AA403" i="19"/>
  <c r="AA404" i="19"/>
  <c r="AA405" i="19"/>
  <c r="AA406" i="19"/>
  <c r="AA407" i="19"/>
  <c r="AA408" i="19"/>
  <c r="AA409" i="19"/>
  <c r="AA410" i="19"/>
  <c r="AA411" i="19"/>
  <c r="AA412" i="19"/>
  <c r="AA413" i="19"/>
  <c r="AA414" i="19"/>
  <c r="AA415" i="19"/>
  <c r="AA416" i="19"/>
  <c r="AA417" i="19"/>
  <c r="AA418" i="19"/>
  <c r="AA419" i="19"/>
  <c r="AA420" i="19"/>
  <c r="AA421" i="19"/>
  <c r="AA422" i="19"/>
  <c r="AA423" i="19"/>
  <c r="AA424" i="19"/>
  <c r="AA425" i="19"/>
  <c r="AA426" i="19"/>
  <c r="AA427" i="19"/>
  <c r="AA428" i="19"/>
  <c r="AA429" i="19"/>
  <c r="AA430" i="19"/>
  <c r="AA431" i="19"/>
  <c r="AA432" i="19"/>
  <c r="AA433" i="19"/>
  <c r="AA434" i="19"/>
  <c r="AA435" i="19"/>
  <c r="AA436" i="19"/>
  <c r="AA437" i="19"/>
  <c r="AA438" i="19"/>
  <c r="AA439" i="19"/>
  <c r="AA440" i="19"/>
  <c r="AA441" i="19"/>
  <c r="AA442" i="19"/>
  <c r="AA443" i="19"/>
  <c r="AA444" i="19"/>
  <c r="AA445" i="19"/>
  <c r="AA446" i="19"/>
  <c r="AA447" i="19"/>
  <c r="AA448" i="19"/>
  <c r="AA449" i="19"/>
  <c r="AA450" i="19"/>
  <c r="AA451" i="19"/>
  <c r="AA452" i="19"/>
  <c r="AA453" i="19"/>
  <c r="AA454" i="19"/>
  <c r="AA455" i="19"/>
  <c r="AA456" i="19"/>
  <c r="AA457" i="19"/>
  <c r="AA458" i="19"/>
  <c r="AA459" i="19"/>
  <c r="AA460" i="19"/>
  <c r="AA461" i="19"/>
  <c r="AA462" i="19"/>
  <c r="AA463" i="19"/>
  <c r="AA464" i="19"/>
  <c r="AA465" i="19"/>
  <c r="AA466" i="19"/>
  <c r="AA467" i="19"/>
  <c r="AA468" i="19"/>
  <c r="AA469" i="19"/>
  <c r="AA470" i="19"/>
  <c r="AA471" i="19"/>
  <c r="AA472" i="19"/>
  <c r="AA473" i="19"/>
  <c r="AA474" i="19"/>
  <c r="AA475" i="19"/>
  <c r="AA476" i="19"/>
  <c r="AA477" i="19"/>
  <c r="AA478" i="19"/>
  <c r="AA479" i="19"/>
  <c r="AA480" i="19"/>
  <c r="AA481" i="19"/>
  <c r="AA482" i="19"/>
  <c r="AA483" i="19"/>
  <c r="AA484" i="19"/>
  <c r="AA485" i="19"/>
  <c r="AA486" i="19"/>
  <c r="AA487" i="19"/>
  <c r="AA488" i="19"/>
  <c r="AA489" i="19"/>
  <c r="AA490" i="19"/>
  <c r="AA491" i="19"/>
  <c r="AA492" i="19"/>
  <c r="AA493" i="19"/>
  <c r="AA494" i="19"/>
  <c r="AA495" i="19"/>
  <c r="AA496" i="19"/>
  <c r="AA497" i="19"/>
  <c r="AA498" i="19"/>
  <c r="AA499" i="19"/>
  <c r="AA500" i="19"/>
  <c r="AA501" i="19"/>
  <c r="AA502" i="19"/>
  <c r="AA503" i="19"/>
  <c r="AA504" i="19"/>
  <c r="AA505" i="19"/>
  <c r="AA506" i="19"/>
  <c r="AA507" i="19"/>
  <c r="AA508" i="19"/>
  <c r="AA509" i="19"/>
  <c r="AA510" i="19"/>
  <c r="AA511" i="19"/>
  <c r="AA512" i="19"/>
  <c r="AA513" i="19"/>
  <c r="AA514" i="19"/>
  <c r="AA515" i="19"/>
  <c r="AA516" i="19"/>
  <c r="AA517" i="19"/>
  <c r="AA518" i="19"/>
  <c r="AA519" i="19"/>
  <c r="AA520" i="19"/>
  <c r="AA521" i="19"/>
  <c r="AA522" i="19"/>
  <c r="AA523" i="19"/>
  <c r="AA524" i="19"/>
  <c r="AA525" i="19"/>
  <c r="AA526" i="19"/>
  <c r="AA527" i="19"/>
  <c r="AA528" i="19"/>
  <c r="AA529" i="19"/>
  <c r="AA530" i="19"/>
  <c r="AA531" i="19"/>
  <c r="AA532" i="19"/>
  <c r="AA533" i="19"/>
  <c r="AA534" i="19"/>
  <c r="AA535" i="19"/>
  <c r="AA536" i="19"/>
  <c r="AA537" i="19"/>
  <c r="AA538" i="19"/>
  <c r="AA539" i="19"/>
  <c r="AA540" i="19"/>
  <c r="AA541" i="19"/>
  <c r="AA542" i="19"/>
  <c r="AA543" i="19"/>
  <c r="AA544" i="19"/>
  <c r="AA545" i="19"/>
  <c r="AA546" i="19"/>
  <c r="AA547" i="19"/>
  <c r="AA548" i="19"/>
  <c r="AA549" i="19"/>
  <c r="AA550" i="19"/>
  <c r="AA551" i="19"/>
  <c r="AA552" i="19"/>
  <c r="AA553" i="19"/>
  <c r="AA554" i="19"/>
  <c r="AA555" i="19"/>
  <c r="AA556" i="19"/>
  <c r="AA557" i="19"/>
  <c r="AA558" i="19"/>
  <c r="AA559" i="19"/>
  <c r="AA560" i="19"/>
  <c r="AA561" i="19"/>
  <c r="AA562" i="19"/>
  <c r="AA563" i="19"/>
  <c r="AA564" i="19"/>
  <c r="AA565" i="19"/>
  <c r="AA566" i="19"/>
  <c r="AA567" i="19"/>
  <c r="AA568" i="19"/>
  <c r="AA569" i="19"/>
  <c r="AA570" i="19"/>
  <c r="AA571" i="19"/>
  <c r="AA572" i="19"/>
  <c r="AA573" i="19"/>
  <c r="AA574" i="19"/>
  <c r="AA575" i="19"/>
  <c r="AA576" i="19"/>
  <c r="AA577" i="19"/>
  <c r="AA578" i="19"/>
  <c r="AA579" i="19"/>
  <c r="AA580" i="19"/>
  <c r="AA581" i="19"/>
  <c r="AA582" i="19"/>
  <c r="AA583" i="19"/>
  <c r="AA584" i="19"/>
  <c r="AA585" i="19"/>
  <c r="AA586" i="19"/>
  <c r="AA587" i="19"/>
  <c r="AA588" i="19"/>
  <c r="AA589" i="19"/>
  <c r="AA590" i="19"/>
  <c r="AA591" i="19"/>
  <c r="AA592" i="19"/>
  <c r="AA593" i="19"/>
  <c r="AA594" i="19"/>
  <c r="AA595" i="19"/>
  <c r="AA596" i="19"/>
  <c r="AA597" i="19"/>
  <c r="AA598" i="19"/>
  <c r="AA599" i="19"/>
  <c r="AA600" i="19"/>
  <c r="AA601" i="19"/>
  <c r="AA602" i="19"/>
  <c r="AA603" i="19"/>
  <c r="AA604" i="19"/>
  <c r="AA605" i="19"/>
  <c r="AA606" i="19"/>
  <c r="AA607" i="19"/>
  <c r="AA608" i="19"/>
  <c r="AA609" i="19"/>
  <c r="AA610" i="19"/>
  <c r="AA611" i="19"/>
  <c r="AA612" i="19"/>
  <c r="AA613" i="19"/>
  <c r="AA614" i="19"/>
  <c r="AA615" i="19"/>
  <c r="AA616" i="19"/>
  <c r="AA617" i="19"/>
  <c r="AA618" i="19"/>
  <c r="AA619" i="19"/>
  <c r="AA620" i="19"/>
  <c r="AA621" i="19"/>
  <c r="AA622" i="19"/>
  <c r="AA623" i="19"/>
  <c r="AA624" i="19"/>
  <c r="AA625" i="19"/>
  <c r="AA626" i="19"/>
  <c r="AA627" i="19"/>
  <c r="AA628" i="19"/>
  <c r="AA629" i="19"/>
  <c r="AA630" i="19"/>
  <c r="AA631" i="19"/>
  <c r="AA632" i="19"/>
  <c r="AA633" i="19"/>
  <c r="AA634" i="19"/>
  <c r="AA635" i="19"/>
  <c r="AA636" i="19"/>
  <c r="AA637" i="19"/>
  <c r="AA638" i="19"/>
  <c r="AA639" i="19"/>
  <c r="AA640" i="19"/>
  <c r="AA641" i="19"/>
  <c r="AA642" i="19"/>
  <c r="AA643" i="19"/>
  <c r="AA644" i="19"/>
  <c r="AA645" i="19"/>
  <c r="AA646" i="19"/>
  <c r="AA647" i="19"/>
  <c r="AA648" i="19"/>
  <c r="AA649" i="19"/>
  <c r="AA650" i="19"/>
  <c r="AA651" i="19"/>
  <c r="AA652" i="19"/>
  <c r="AA653" i="19"/>
  <c r="AA654" i="19"/>
  <c r="AA655" i="19"/>
  <c r="AA656" i="19"/>
  <c r="AA657" i="19"/>
  <c r="AA658" i="19"/>
  <c r="AA659" i="19"/>
  <c r="AA660" i="19"/>
  <c r="AA661" i="19"/>
  <c r="AA662" i="19"/>
  <c r="AA663" i="19"/>
  <c r="AA664" i="19"/>
  <c r="AA665" i="19"/>
  <c r="AA666" i="19"/>
  <c r="AA667" i="19"/>
  <c r="AA668" i="19"/>
  <c r="AA669" i="19"/>
  <c r="AA670" i="19"/>
  <c r="AA671" i="19"/>
  <c r="AA672" i="19"/>
  <c r="AA673" i="19"/>
  <c r="AA674" i="19"/>
  <c r="AA675" i="19"/>
  <c r="AA676" i="19"/>
  <c r="AA677" i="19"/>
  <c r="AA678" i="19"/>
  <c r="AA679" i="19"/>
  <c r="AA680" i="19"/>
  <c r="AA681" i="19"/>
  <c r="AA682" i="19"/>
  <c r="AA683" i="19"/>
  <c r="AA684" i="19"/>
  <c r="AA685" i="19"/>
  <c r="AA686" i="19"/>
  <c r="AA687" i="19"/>
  <c r="AA688" i="19"/>
  <c r="AA689" i="19"/>
  <c r="AA690" i="19"/>
  <c r="AA691" i="19"/>
  <c r="AA692" i="19"/>
  <c r="AA693" i="19"/>
  <c r="AA694" i="19"/>
  <c r="AA695" i="19"/>
  <c r="AA696" i="19"/>
  <c r="AA697" i="19"/>
  <c r="AA698" i="19"/>
  <c r="AA699" i="19"/>
  <c r="AA700" i="19"/>
  <c r="AA701" i="19"/>
  <c r="AA702" i="19"/>
  <c r="AA703" i="19"/>
  <c r="AA704" i="19"/>
  <c r="AA705" i="19"/>
  <c r="AA706" i="19"/>
  <c r="AA707" i="19"/>
  <c r="AA708" i="19"/>
  <c r="AA709" i="19"/>
  <c r="AA710" i="19"/>
  <c r="AA711" i="19"/>
  <c r="AA712" i="19"/>
  <c r="AA713" i="19"/>
  <c r="AA714" i="19"/>
  <c r="AA715" i="19"/>
  <c r="AA716" i="19"/>
  <c r="AA717" i="19"/>
  <c r="AA718" i="19"/>
  <c r="AA719" i="19"/>
  <c r="AA720" i="19"/>
  <c r="AA721" i="19"/>
  <c r="AA722" i="19"/>
  <c r="AA723" i="19"/>
  <c r="AA724" i="19"/>
  <c r="AA725" i="19"/>
  <c r="AA726" i="19"/>
  <c r="AA727" i="19"/>
  <c r="AA728" i="19"/>
  <c r="AA729" i="19"/>
  <c r="AA730" i="19"/>
  <c r="AA731" i="19"/>
  <c r="AA732" i="19"/>
  <c r="AA733" i="19"/>
  <c r="AA734" i="19"/>
  <c r="AA735" i="19"/>
  <c r="AA736" i="19"/>
  <c r="AA737" i="19"/>
  <c r="AA738" i="19"/>
  <c r="AA739" i="19"/>
  <c r="AA740" i="19"/>
  <c r="AA741" i="19"/>
  <c r="AA742" i="19"/>
  <c r="AA743" i="19"/>
  <c r="AA744" i="19"/>
  <c r="AA745" i="19"/>
  <c r="AA746" i="19"/>
  <c r="AA747" i="19"/>
  <c r="AA748" i="19"/>
  <c r="AA749" i="19"/>
  <c r="AA750" i="19"/>
  <c r="AA751" i="19"/>
  <c r="AA752" i="19"/>
  <c r="AA753" i="19"/>
  <c r="AA754" i="19"/>
  <c r="AA755" i="19"/>
  <c r="AA756" i="19"/>
  <c r="AA757" i="19"/>
  <c r="AA758" i="19"/>
  <c r="AA759" i="19"/>
  <c r="AA760" i="19"/>
  <c r="AA761" i="19"/>
  <c r="AA762" i="19"/>
  <c r="AA763" i="19"/>
  <c r="AA764" i="19"/>
  <c r="AA765" i="19"/>
  <c r="AA766" i="19"/>
  <c r="AA767" i="19"/>
  <c r="AA768" i="19"/>
  <c r="AA769" i="19"/>
  <c r="AA770" i="19"/>
  <c r="AA771" i="19"/>
  <c r="AA772" i="19"/>
  <c r="AA773" i="19"/>
  <c r="AA774" i="19"/>
  <c r="AA775" i="19"/>
  <c r="AA776" i="19"/>
  <c r="AA777" i="19"/>
  <c r="AA778" i="19"/>
  <c r="AA779" i="19"/>
  <c r="AA780" i="19"/>
  <c r="AA781" i="19"/>
  <c r="AA782" i="19"/>
  <c r="AA783" i="19"/>
  <c r="AA784" i="19"/>
  <c r="AA785" i="19"/>
  <c r="AA786" i="19"/>
  <c r="AA787" i="19"/>
  <c r="AA788" i="19"/>
  <c r="AA789" i="19"/>
  <c r="AA790" i="19"/>
  <c r="AA791" i="19"/>
  <c r="AA792" i="19"/>
  <c r="AA793" i="19"/>
  <c r="AA794" i="19"/>
  <c r="AA795" i="19"/>
  <c r="AA796" i="19"/>
  <c r="AA797" i="19"/>
  <c r="AA798" i="19"/>
  <c r="AA799" i="19"/>
  <c r="AA800" i="19"/>
  <c r="AA801" i="19"/>
  <c r="AA802" i="19"/>
  <c r="AA803" i="19"/>
  <c r="AA804" i="19"/>
  <c r="AA805" i="19"/>
  <c r="AA806" i="19"/>
  <c r="AA807" i="19"/>
  <c r="AA808" i="19"/>
  <c r="AA809" i="19"/>
  <c r="AA810" i="19"/>
  <c r="AA811" i="19"/>
  <c r="AA812" i="19"/>
  <c r="AA813" i="19"/>
  <c r="AA814" i="19"/>
  <c r="AA815" i="19"/>
  <c r="AA816" i="19"/>
  <c r="AA817" i="19"/>
  <c r="AA818" i="19"/>
  <c r="AA819" i="19"/>
  <c r="AA820" i="19"/>
  <c r="AA821" i="19"/>
  <c r="AA822" i="19"/>
  <c r="AA823" i="19"/>
  <c r="AA824" i="19"/>
  <c r="AA825" i="19"/>
  <c r="AA826" i="19"/>
  <c r="AA827" i="19"/>
  <c r="AA828" i="19"/>
  <c r="AA829" i="19"/>
  <c r="AA830" i="19"/>
  <c r="AA831" i="19"/>
  <c r="AA832" i="19"/>
  <c r="AA833" i="19"/>
  <c r="AA834" i="19"/>
  <c r="AA835" i="19"/>
  <c r="AA836" i="19"/>
  <c r="AA837" i="19"/>
  <c r="AA838" i="19"/>
  <c r="AA839" i="19"/>
  <c r="AA840" i="19"/>
  <c r="AA841" i="19"/>
  <c r="AA842" i="19"/>
  <c r="AA843" i="19"/>
  <c r="AA844" i="19"/>
  <c r="AA845" i="19"/>
  <c r="AA846" i="19"/>
  <c r="AA847" i="19"/>
  <c r="AA848" i="19"/>
  <c r="AA849" i="19"/>
  <c r="AA850" i="19"/>
  <c r="AA851" i="19"/>
  <c r="AA852" i="19"/>
  <c r="AA853" i="19"/>
  <c r="AA854" i="19"/>
  <c r="AA855" i="19"/>
  <c r="AA856" i="19"/>
  <c r="AA857" i="19"/>
  <c r="AA858" i="19"/>
  <c r="AA859" i="19"/>
  <c r="AA860" i="19"/>
  <c r="AA861" i="19"/>
  <c r="AA862" i="19"/>
  <c r="AA863" i="19"/>
  <c r="AA864" i="19"/>
  <c r="AA865" i="19"/>
  <c r="AA866" i="19"/>
  <c r="AA867" i="19"/>
  <c r="AA868" i="19"/>
  <c r="AA869" i="19"/>
  <c r="AA870" i="19"/>
  <c r="AA871" i="19"/>
  <c r="AA872" i="19"/>
  <c r="AA873" i="19"/>
  <c r="AA874" i="19"/>
  <c r="AA875" i="19"/>
  <c r="AA876" i="19"/>
  <c r="AA877" i="19"/>
  <c r="AA878" i="19"/>
  <c r="AA879" i="19"/>
  <c r="AA880" i="19"/>
  <c r="AA881" i="19"/>
  <c r="AA882" i="19"/>
  <c r="AA883" i="19"/>
  <c r="AA884" i="19"/>
  <c r="AA885" i="19"/>
  <c r="AA886" i="19"/>
  <c r="AA887" i="19"/>
  <c r="AA888" i="19"/>
  <c r="AA889" i="19"/>
  <c r="AA890" i="19"/>
  <c r="AA891" i="19"/>
  <c r="AA892" i="19"/>
  <c r="AA893" i="19"/>
  <c r="AA894" i="19"/>
  <c r="AA895" i="19"/>
  <c r="AA896" i="19"/>
  <c r="AA897" i="19"/>
  <c r="AA898" i="19"/>
  <c r="AA899" i="19"/>
  <c r="AA900" i="19"/>
  <c r="AA901" i="19"/>
  <c r="AA902" i="19"/>
  <c r="AA903" i="19"/>
  <c r="AA904" i="19"/>
  <c r="AA905" i="19"/>
  <c r="AA906" i="19"/>
  <c r="AA907" i="19"/>
  <c r="AA908" i="19"/>
  <c r="AA909" i="19"/>
  <c r="AA910" i="19"/>
  <c r="AA911" i="19"/>
  <c r="AA912" i="19"/>
  <c r="AA913" i="19"/>
  <c r="AA914" i="19"/>
  <c r="AA915" i="19"/>
  <c r="AA916" i="19"/>
  <c r="AA917" i="19"/>
  <c r="AA918" i="19"/>
  <c r="AA919" i="19"/>
  <c r="AA920" i="19"/>
  <c r="AA921" i="19"/>
  <c r="AA922" i="19"/>
  <c r="AA923" i="19"/>
  <c r="AA924" i="19"/>
  <c r="AA925" i="19"/>
  <c r="AA926" i="19"/>
  <c r="AA927" i="19"/>
  <c r="AA928" i="19"/>
  <c r="AA929" i="19"/>
  <c r="AA930" i="19"/>
  <c r="AA931" i="19"/>
  <c r="AA932" i="19"/>
  <c r="AA933" i="19"/>
  <c r="AA934" i="19"/>
  <c r="AA935" i="19"/>
  <c r="AA936" i="19"/>
  <c r="AA937" i="19"/>
  <c r="AA938" i="19"/>
  <c r="AA939" i="19"/>
  <c r="AA940" i="19"/>
  <c r="AA941" i="19"/>
  <c r="AA942" i="19"/>
  <c r="AA943" i="19"/>
  <c r="AA944" i="19"/>
  <c r="AA945" i="19"/>
  <c r="AA946" i="19"/>
  <c r="AA947" i="19"/>
  <c r="AA948" i="19"/>
  <c r="AA949" i="19"/>
  <c r="AA950" i="19"/>
  <c r="AA951" i="19"/>
  <c r="AA952" i="19"/>
  <c r="AA953" i="19"/>
  <c r="AA954" i="19"/>
  <c r="AA955" i="19"/>
  <c r="AA956" i="19"/>
  <c r="AA957" i="19"/>
  <c r="AA958" i="19"/>
  <c r="AA959" i="19"/>
  <c r="AA960" i="19"/>
  <c r="AA961" i="19"/>
  <c r="AA962" i="19"/>
  <c r="AA963" i="19"/>
  <c r="AA964" i="19"/>
  <c r="AA965" i="19"/>
  <c r="AA966" i="19"/>
  <c r="AA967" i="19"/>
  <c r="AA968" i="19"/>
  <c r="AA969" i="19"/>
  <c r="AA970" i="19"/>
  <c r="AA971" i="19"/>
  <c r="AA972" i="19"/>
  <c r="AA973" i="19"/>
  <c r="AA974" i="19"/>
  <c r="AA975" i="19"/>
  <c r="AA976" i="19"/>
  <c r="AA977" i="19"/>
  <c r="AA978" i="19"/>
  <c r="AA979" i="19"/>
  <c r="AA980" i="19"/>
  <c r="AA981" i="19"/>
  <c r="AA982" i="19"/>
  <c r="AA983" i="19"/>
  <c r="AA984" i="19"/>
  <c r="AA985" i="19"/>
  <c r="AA986" i="19"/>
  <c r="AA987" i="19"/>
  <c r="AA988" i="19"/>
  <c r="AA989" i="19"/>
  <c r="AA990" i="19"/>
  <c r="AA991" i="19"/>
  <c r="AA992" i="19"/>
  <c r="AA993" i="19"/>
  <c r="AA994" i="19"/>
  <c r="AA995" i="19"/>
  <c r="AA996" i="19"/>
  <c r="AA997" i="19"/>
  <c r="AA998" i="19"/>
  <c r="AA999" i="19"/>
  <c r="AA1000" i="19"/>
  <c r="AA1001" i="19"/>
  <c r="AA1002" i="19"/>
  <c r="AA1003" i="19"/>
  <c r="AA1004" i="19"/>
  <c r="AA1005" i="19"/>
  <c r="AA1006" i="19"/>
  <c r="AA1007" i="19"/>
  <c r="AA1008" i="19"/>
  <c r="AA1009" i="19"/>
  <c r="AA1010" i="19"/>
  <c r="AA1011" i="19"/>
  <c r="AA1012" i="19"/>
  <c r="AA1013" i="19"/>
  <c r="AA1014" i="19"/>
  <c r="AA1015" i="19"/>
  <c r="AA1016" i="19"/>
  <c r="AA1017" i="19"/>
  <c r="AA1018" i="19"/>
  <c r="AA1019" i="19"/>
  <c r="AA1020" i="19"/>
  <c r="AA1021" i="19"/>
  <c r="AA1022" i="19"/>
  <c r="AA1023" i="19"/>
  <c r="AA1024" i="19"/>
  <c r="AA1025" i="19"/>
  <c r="AA1026" i="19"/>
  <c r="AA1027" i="19"/>
  <c r="AA1028" i="19"/>
  <c r="AA1029" i="19"/>
  <c r="AA1030" i="19"/>
  <c r="AA1031" i="19"/>
  <c r="AA1032" i="19"/>
  <c r="AA1033" i="19"/>
  <c r="AA1034" i="19"/>
  <c r="AA1035" i="19"/>
  <c r="AA1036" i="19"/>
  <c r="AA1037" i="19"/>
  <c r="AA1038" i="19"/>
  <c r="AA1039" i="19"/>
  <c r="AA1040" i="19"/>
  <c r="AA1041" i="19"/>
  <c r="AA1042" i="19"/>
  <c r="AA1043" i="19"/>
  <c r="AA1044" i="19"/>
  <c r="AA1045" i="19"/>
  <c r="AA1046" i="19"/>
  <c r="AA1047" i="19"/>
  <c r="AA1048" i="19"/>
  <c r="AA1049" i="19"/>
  <c r="AA1050" i="19"/>
  <c r="AA1051" i="19"/>
  <c r="AA1052" i="19"/>
  <c r="AA1053" i="19"/>
  <c r="AA1054" i="19"/>
  <c r="AA1055" i="19"/>
  <c r="AA1056" i="19"/>
  <c r="AA1057" i="19"/>
  <c r="AA1058" i="19"/>
  <c r="AA1059" i="19"/>
  <c r="AA1060" i="19"/>
  <c r="AA1061" i="19"/>
  <c r="AA1062" i="19"/>
  <c r="AA1063" i="19"/>
  <c r="AA1064" i="19"/>
  <c r="AA1065" i="19"/>
  <c r="AA1066" i="19"/>
  <c r="AA1067" i="19"/>
  <c r="AA1068" i="19"/>
  <c r="AA1069" i="19"/>
  <c r="AA1070" i="19"/>
  <c r="AA1071" i="19"/>
  <c r="AA1072" i="19"/>
  <c r="AA1073" i="19"/>
  <c r="AA1074" i="19"/>
  <c r="AA1075" i="19"/>
  <c r="AA1076" i="19"/>
  <c r="AA1077" i="19"/>
  <c r="AA1078" i="19"/>
  <c r="AA1079" i="19"/>
  <c r="AA1080" i="19"/>
  <c r="AA1081" i="19"/>
  <c r="AA1082" i="19"/>
  <c r="AA1083" i="19"/>
  <c r="AA1084" i="19"/>
  <c r="AA1085" i="19"/>
  <c r="AA1086" i="19"/>
  <c r="AA1087" i="19"/>
  <c r="AA1088" i="19"/>
  <c r="AA1089" i="19"/>
  <c r="AA1090" i="19"/>
  <c r="AA1091" i="19"/>
  <c r="AA1092" i="19"/>
  <c r="AA1093" i="19"/>
  <c r="AA1094" i="19"/>
  <c r="AA1095" i="19"/>
  <c r="AA1096" i="19"/>
  <c r="AA1097" i="19"/>
  <c r="AA1098" i="19"/>
  <c r="AA1099" i="19"/>
  <c r="AA1100" i="19"/>
  <c r="AA1101" i="19"/>
  <c r="AA1102" i="19"/>
  <c r="AA1103" i="19"/>
  <c r="AA1104" i="19"/>
  <c r="AA1105" i="19"/>
  <c r="AA1106" i="19"/>
  <c r="AA1107" i="19"/>
  <c r="AA1108" i="19"/>
  <c r="AA1109" i="19"/>
  <c r="AA1110" i="19"/>
  <c r="Z11" i="19"/>
  <c r="Z12" i="19"/>
  <c r="Z13" i="19"/>
  <c r="Z14" i="19"/>
  <c r="Z15" i="19"/>
  <c r="Z16" i="19"/>
  <c r="Z17" i="19"/>
  <c r="Z18" i="19"/>
  <c r="Z19" i="19"/>
  <c r="Z20" i="19"/>
  <c r="Z21" i="19"/>
  <c r="Z22" i="19"/>
  <c r="Z23" i="19"/>
  <c r="Z24" i="19"/>
  <c r="Z25" i="19"/>
  <c r="Z26" i="19"/>
  <c r="Z27" i="19"/>
  <c r="Z28" i="19"/>
  <c r="Z29" i="19"/>
  <c r="Z30" i="19"/>
  <c r="Z31" i="19"/>
  <c r="Z32" i="19"/>
  <c r="Z33" i="19"/>
  <c r="Z34" i="19"/>
  <c r="Z35" i="19"/>
  <c r="Z36" i="19"/>
  <c r="Z37" i="19"/>
  <c r="Z38" i="19"/>
  <c r="Z39" i="19"/>
  <c r="Z40" i="19"/>
  <c r="Z41" i="19"/>
  <c r="Z42" i="19"/>
  <c r="Z43" i="19"/>
  <c r="Z44" i="19"/>
  <c r="Z45" i="19"/>
  <c r="Z46" i="19"/>
  <c r="Z47" i="19"/>
  <c r="Z48" i="19"/>
  <c r="Z49" i="19"/>
  <c r="Z50" i="19"/>
  <c r="Z51" i="19"/>
  <c r="Z52" i="19"/>
  <c r="Z53" i="19"/>
  <c r="Z54" i="19"/>
  <c r="Z55" i="19"/>
  <c r="Z56" i="19"/>
  <c r="Z57" i="19"/>
  <c r="Z58" i="19"/>
  <c r="Z59" i="19"/>
  <c r="Z60" i="19"/>
  <c r="Z61" i="19"/>
  <c r="Z62" i="19"/>
  <c r="Z63" i="19"/>
  <c r="Z64" i="19"/>
  <c r="Z65" i="19"/>
  <c r="Z66" i="19"/>
  <c r="Z67" i="19"/>
  <c r="Z68" i="19"/>
  <c r="Z69" i="19"/>
  <c r="Z70" i="19"/>
  <c r="Z71" i="19"/>
  <c r="Z72" i="19"/>
  <c r="Z73" i="19"/>
  <c r="Z74" i="19"/>
  <c r="Z75" i="19"/>
  <c r="Z76" i="19"/>
  <c r="Z77" i="19"/>
  <c r="Z78" i="19"/>
  <c r="Z79" i="19"/>
  <c r="Z80" i="19"/>
  <c r="Z81" i="19"/>
  <c r="Z82" i="19"/>
  <c r="Z83" i="19"/>
  <c r="Z84" i="19"/>
  <c r="Z85" i="19"/>
  <c r="Z86" i="19"/>
  <c r="Z87" i="19"/>
  <c r="Z88" i="19"/>
  <c r="Z89" i="19"/>
  <c r="Z90" i="19"/>
  <c r="Z91" i="19"/>
  <c r="Z92" i="19"/>
  <c r="Z93" i="19"/>
  <c r="Z94" i="19"/>
  <c r="Z95" i="19"/>
  <c r="Z96" i="19"/>
  <c r="Z97" i="19"/>
  <c r="Z98" i="19"/>
  <c r="Z99" i="19"/>
  <c r="Z100" i="19"/>
  <c r="Z101" i="19"/>
  <c r="Z102" i="19"/>
  <c r="Z103" i="19"/>
  <c r="Z104" i="19"/>
  <c r="Z105" i="19"/>
  <c r="Z106" i="19"/>
  <c r="Z107" i="19"/>
  <c r="Z108" i="19"/>
  <c r="Z109" i="19"/>
  <c r="Z110" i="19"/>
  <c r="Z111" i="19"/>
  <c r="Z112" i="19"/>
  <c r="Z113" i="19"/>
  <c r="Z114" i="19"/>
  <c r="Z115" i="19"/>
  <c r="Z116" i="19"/>
  <c r="Z117" i="19"/>
  <c r="Z118" i="19"/>
  <c r="Z119" i="19"/>
  <c r="Z120" i="19"/>
  <c r="Z121" i="19"/>
  <c r="Z122" i="19"/>
  <c r="Z123" i="19"/>
  <c r="Z124" i="19"/>
  <c r="Z125" i="19"/>
  <c r="Z126" i="19"/>
  <c r="Z127" i="19"/>
  <c r="Z128" i="19"/>
  <c r="Z129" i="19"/>
  <c r="Z130" i="19"/>
  <c r="Z131" i="19"/>
  <c r="Z132" i="19"/>
  <c r="Z133" i="19"/>
  <c r="Z134" i="19"/>
  <c r="Z135" i="19"/>
  <c r="Z136" i="19"/>
  <c r="Z137" i="19"/>
  <c r="Z138" i="19"/>
  <c r="Z139" i="19"/>
  <c r="Z140" i="19"/>
  <c r="Z141" i="19"/>
  <c r="Z142" i="19"/>
  <c r="Z143" i="19"/>
  <c r="Z144" i="19"/>
  <c r="Z145" i="19"/>
  <c r="Z146" i="19"/>
  <c r="Z147" i="19"/>
  <c r="Z148" i="19"/>
  <c r="Z149" i="19"/>
  <c r="Z150" i="19"/>
  <c r="Z151" i="19"/>
  <c r="Z152" i="19"/>
  <c r="Z153" i="19"/>
  <c r="Z154" i="19"/>
  <c r="Z155" i="19"/>
  <c r="Z156" i="19"/>
  <c r="Z157" i="19"/>
  <c r="Z158" i="19"/>
  <c r="Z159" i="19"/>
  <c r="Z160" i="19"/>
  <c r="Z161" i="19"/>
  <c r="Z162" i="19"/>
  <c r="Z163" i="19"/>
  <c r="Z164" i="19"/>
  <c r="Z165" i="19"/>
  <c r="Z166" i="19"/>
  <c r="Z167" i="19"/>
  <c r="Z168" i="19"/>
  <c r="Z169" i="19"/>
  <c r="Z170" i="19"/>
  <c r="Z171" i="19"/>
  <c r="Z172" i="19"/>
  <c r="Z173" i="19"/>
  <c r="Z174" i="19"/>
  <c r="Z175" i="19"/>
  <c r="Z176" i="19"/>
  <c r="Z177" i="19"/>
  <c r="Z178" i="19"/>
  <c r="Z179" i="19"/>
  <c r="Z180" i="19"/>
  <c r="Z181" i="19"/>
  <c r="Z182" i="19"/>
  <c r="Z183" i="19"/>
  <c r="Z184" i="19"/>
  <c r="Z185" i="19"/>
  <c r="Z186" i="19"/>
  <c r="Z187" i="19"/>
  <c r="Z188" i="19"/>
  <c r="Z189" i="19"/>
  <c r="Z190" i="19"/>
  <c r="Z191" i="19"/>
  <c r="Z192" i="19"/>
  <c r="Z193" i="19"/>
  <c r="Z194" i="19"/>
  <c r="Z195" i="19"/>
  <c r="Z196" i="19"/>
  <c r="Z197" i="19"/>
  <c r="Z198" i="19"/>
  <c r="Z199" i="19"/>
  <c r="Z200" i="19"/>
  <c r="Z201" i="19"/>
  <c r="Z202" i="19"/>
  <c r="Z203" i="19"/>
  <c r="Z204" i="19"/>
  <c r="Z205" i="19"/>
  <c r="Z206" i="19"/>
  <c r="Z207" i="19"/>
  <c r="Z208" i="19"/>
  <c r="Z209" i="19"/>
  <c r="Z210" i="19"/>
  <c r="Z211" i="19"/>
  <c r="Z212" i="19"/>
  <c r="Z213" i="19"/>
  <c r="Z214" i="19"/>
  <c r="Z215" i="19"/>
  <c r="Z216" i="19"/>
  <c r="Z217" i="19"/>
  <c r="Z218" i="19"/>
  <c r="Z219" i="19"/>
  <c r="Z220" i="19"/>
  <c r="Z221" i="19"/>
  <c r="Z222" i="19"/>
  <c r="Z223" i="19"/>
  <c r="Z224" i="19"/>
  <c r="Z225" i="19"/>
  <c r="Z226" i="19"/>
  <c r="Z227" i="19"/>
  <c r="Z228" i="19"/>
  <c r="Z229" i="19"/>
  <c r="Z230" i="19"/>
  <c r="Z231" i="19"/>
  <c r="Z232" i="19"/>
  <c r="Z233" i="19"/>
  <c r="Z234" i="19"/>
  <c r="Z235" i="19"/>
  <c r="Z236" i="19"/>
  <c r="Z237" i="19"/>
  <c r="Z238" i="19"/>
  <c r="Z239" i="19"/>
  <c r="Z240" i="19"/>
  <c r="Z241" i="19"/>
  <c r="Z242" i="19"/>
  <c r="Z243" i="19"/>
  <c r="Z244" i="19"/>
  <c r="Z245" i="19"/>
  <c r="Z246" i="19"/>
  <c r="Z247" i="19"/>
  <c r="Z248" i="19"/>
  <c r="Z249" i="19"/>
  <c r="Z250" i="19"/>
  <c r="Z251" i="19"/>
  <c r="Z252" i="19"/>
  <c r="Z253" i="19"/>
  <c r="Z254" i="19"/>
  <c r="Z255" i="19"/>
  <c r="Z256" i="19"/>
  <c r="Z257" i="19"/>
  <c r="Z258" i="19"/>
  <c r="Z259" i="19"/>
  <c r="Z260" i="19"/>
  <c r="Z261" i="19"/>
  <c r="Z262" i="19"/>
  <c r="Z263" i="19"/>
  <c r="Z264" i="19"/>
  <c r="Z265" i="19"/>
  <c r="Z266" i="19"/>
  <c r="Z267" i="19"/>
  <c r="Z268" i="19"/>
  <c r="Z269" i="19"/>
  <c r="Z270" i="19"/>
  <c r="Z271" i="19"/>
  <c r="Z272" i="19"/>
  <c r="Z273" i="19"/>
  <c r="Z274" i="19"/>
  <c r="Z275" i="19"/>
  <c r="Z276" i="19"/>
  <c r="Z277" i="19"/>
  <c r="Z278" i="19"/>
  <c r="Z279" i="19"/>
  <c r="Z280" i="19"/>
  <c r="Z281" i="19"/>
  <c r="Z282" i="19"/>
  <c r="Z283" i="19"/>
  <c r="Z284" i="19"/>
  <c r="Z285" i="19"/>
  <c r="Z286" i="19"/>
  <c r="Z287" i="19"/>
  <c r="Z288" i="19"/>
  <c r="Z289" i="19"/>
  <c r="Z290" i="19"/>
  <c r="Z291" i="19"/>
  <c r="Z292" i="19"/>
  <c r="Z293" i="19"/>
  <c r="Z294" i="19"/>
  <c r="Z295" i="19"/>
  <c r="Z296" i="19"/>
  <c r="Z297" i="19"/>
  <c r="Z298" i="19"/>
  <c r="Z299" i="19"/>
  <c r="Z300" i="19"/>
  <c r="Z301" i="19"/>
  <c r="Z302" i="19"/>
  <c r="Z303" i="19"/>
  <c r="Z304" i="19"/>
  <c r="Z305" i="19"/>
  <c r="Z306" i="19"/>
  <c r="Z307" i="19"/>
  <c r="Z308" i="19"/>
  <c r="Z309" i="19"/>
  <c r="Z310" i="19"/>
  <c r="Z311" i="19"/>
  <c r="Z312" i="19"/>
  <c r="Z313" i="19"/>
  <c r="Z314" i="19"/>
  <c r="Z315" i="19"/>
  <c r="Z316" i="19"/>
  <c r="Z317" i="19"/>
  <c r="Z318" i="19"/>
  <c r="Z319" i="19"/>
  <c r="Z320" i="19"/>
  <c r="Z321" i="19"/>
  <c r="Z322" i="19"/>
  <c r="Z323" i="19"/>
  <c r="Z324" i="19"/>
  <c r="Z325" i="19"/>
  <c r="Z326" i="19"/>
  <c r="Z327" i="19"/>
  <c r="Z328" i="19"/>
  <c r="Z329" i="19"/>
  <c r="Z330" i="19"/>
  <c r="Z331" i="19"/>
  <c r="Z332" i="19"/>
  <c r="Z333" i="19"/>
  <c r="Z334" i="19"/>
  <c r="Z335" i="19"/>
  <c r="Z336" i="19"/>
  <c r="Z337" i="19"/>
  <c r="Z338" i="19"/>
  <c r="Z339" i="19"/>
  <c r="Z340" i="19"/>
  <c r="Z341" i="19"/>
  <c r="Z342" i="19"/>
  <c r="Z343" i="19"/>
  <c r="Z344" i="19"/>
  <c r="Z345" i="19"/>
  <c r="Z346" i="19"/>
  <c r="Z347" i="19"/>
  <c r="Z348" i="19"/>
  <c r="Z349" i="19"/>
  <c r="Z350" i="19"/>
  <c r="Z351" i="19"/>
  <c r="Z352" i="19"/>
  <c r="Z353" i="19"/>
  <c r="Z354" i="19"/>
  <c r="Z355" i="19"/>
  <c r="Z356" i="19"/>
  <c r="Z357" i="19"/>
  <c r="Z358" i="19"/>
  <c r="Z359" i="19"/>
  <c r="Z360" i="19"/>
  <c r="Z361" i="19"/>
  <c r="Z362" i="19"/>
  <c r="Z363" i="19"/>
  <c r="Z364" i="19"/>
  <c r="Z365" i="19"/>
  <c r="Z366" i="19"/>
  <c r="Z367" i="19"/>
  <c r="Z368" i="19"/>
  <c r="Z369" i="19"/>
  <c r="Z370" i="19"/>
  <c r="Z371" i="19"/>
  <c r="Z372" i="19"/>
  <c r="Z373" i="19"/>
  <c r="Z374" i="19"/>
  <c r="Z375" i="19"/>
  <c r="Z376" i="19"/>
  <c r="Z377" i="19"/>
  <c r="Z378" i="19"/>
  <c r="Z379" i="19"/>
  <c r="Z380" i="19"/>
  <c r="Z381" i="19"/>
  <c r="Z382" i="19"/>
  <c r="Z383" i="19"/>
  <c r="Z384" i="19"/>
  <c r="Z385" i="19"/>
  <c r="Z386" i="19"/>
  <c r="Z387" i="19"/>
  <c r="Z388" i="19"/>
  <c r="Z389" i="19"/>
  <c r="Z390" i="19"/>
  <c r="Z391" i="19"/>
  <c r="Z392" i="19"/>
  <c r="Z393" i="19"/>
  <c r="Z394" i="19"/>
  <c r="Z395" i="19"/>
  <c r="Z396" i="19"/>
  <c r="Z397" i="19"/>
  <c r="Z398" i="19"/>
  <c r="Z399" i="19"/>
  <c r="Z400" i="19"/>
  <c r="Z401" i="19"/>
  <c r="Z402" i="19"/>
  <c r="Z403" i="19"/>
  <c r="Z404" i="19"/>
  <c r="Z405" i="19"/>
  <c r="Z406" i="19"/>
  <c r="Z407" i="19"/>
  <c r="Z408" i="19"/>
  <c r="Z409" i="19"/>
  <c r="Z410" i="19"/>
  <c r="Z411" i="19"/>
  <c r="Z412" i="19"/>
  <c r="Z413" i="19"/>
  <c r="Z414" i="19"/>
  <c r="Z415" i="19"/>
  <c r="Z416" i="19"/>
  <c r="Z417" i="19"/>
  <c r="Z418" i="19"/>
  <c r="Z419" i="19"/>
  <c r="Z420" i="19"/>
  <c r="Z421" i="19"/>
  <c r="Z422" i="19"/>
  <c r="Z423" i="19"/>
  <c r="Z424" i="19"/>
  <c r="Z425" i="19"/>
  <c r="Z426" i="19"/>
  <c r="Z427" i="19"/>
  <c r="Z428" i="19"/>
  <c r="Z429" i="19"/>
  <c r="Z430" i="19"/>
  <c r="Z431" i="19"/>
  <c r="Z432" i="19"/>
  <c r="Z433" i="19"/>
  <c r="Z434" i="19"/>
  <c r="Z435" i="19"/>
  <c r="Z436" i="19"/>
  <c r="Z437" i="19"/>
  <c r="Z438" i="19"/>
  <c r="Z439" i="19"/>
  <c r="Z440" i="19"/>
  <c r="Z441" i="19"/>
  <c r="Z442" i="19"/>
  <c r="Z443" i="19"/>
  <c r="Z444" i="19"/>
  <c r="Z445" i="19"/>
  <c r="Z446" i="19"/>
  <c r="Z447" i="19"/>
  <c r="Z448" i="19"/>
  <c r="Z449" i="19"/>
  <c r="Z450" i="19"/>
  <c r="Z451" i="19"/>
  <c r="Z452" i="19"/>
  <c r="Z453" i="19"/>
  <c r="Z454" i="19"/>
  <c r="Z455" i="19"/>
  <c r="Z456" i="19"/>
  <c r="Z457" i="19"/>
  <c r="Z458" i="19"/>
  <c r="Z459" i="19"/>
  <c r="Z460" i="19"/>
  <c r="Z461" i="19"/>
  <c r="Z462" i="19"/>
  <c r="Z463" i="19"/>
  <c r="Z464" i="19"/>
  <c r="Z465" i="19"/>
  <c r="Z466" i="19"/>
  <c r="Z467" i="19"/>
  <c r="Z468" i="19"/>
  <c r="Z469" i="19"/>
  <c r="Z470" i="19"/>
  <c r="Z471" i="19"/>
  <c r="Z472" i="19"/>
  <c r="Z473" i="19"/>
  <c r="Z474" i="19"/>
  <c r="Z475" i="19"/>
  <c r="Z476" i="19"/>
  <c r="Z477" i="19"/>
  <c r="Z478" i="19"/>
  <c r="Z479" i="19"/>
  <c r="Z480" i="19"/>
  <c r="Z481" i="19"/>
  <c r="Z482" i="19"/>
  <c r="Z483" i="19"/>
  <c r="Z484" i="19"/>
  <c r="Z485" i="19"/>
  <c r="Z486" i="19"/>
  <c r="Z487" i="19"/>
  <c r="Z488" i="19"/>
  <c r="Z489" i="19"/>
  <c r="Z490" i="19"/>
  <c r="Z491" i="19"/>
  <c r="Z492" i="19"/>
  <c r="Z493" i="19"/>
  <c r="Z494" i="19"/>
  <c r="Z495" i="19"/>
  <c r="Z496" i="19"/>
  <c r="Z497" i="19"/>
  <c r="Z498" i="19"/>
  <c r="Z499" i="19"/>
  <c r="Z500" i="19"/>
  <c r="Z501" i="19"/>
  <c r="Z502" i="19"/>
  <c r="Z503" i="19"/>
  <c r="Z504" i="19"/>
  <c r="Z505" i="19"/>
  <c r="Z506" i="19"/>
  <c r="Z507" i="19"/>
  <c r="Z508" i="19"/>
  <c r="Z509" i="19"/>
  <c r="Z510" i="19"/>
  <c r="Z511" i="19"/>
  <c r="Z512" i="19"/>
  <c r="Z513" i="19"/>
  <c r="Z514" i="19"/>
  <c r="Z515" i="19"/>
  <c r="Z516" i="19"/>
  <c r="Z517" i="19"/>
  <c r="Z518" i="19"/>
  <c r="Z519" i="19"/>
  <c r="Z520" i="19"/>
  <c r="Z521" i="19"/>
  <c r="Z522" i="19"/>
  <c r="Z523" i="19"/>
  <c r="Z524" i="19"/>
  <c r="Z525" i="19"/>
  <c r="Z526" i="19"/>
  <c r="Z527" i="19"/>
  <c r="Z528" i="19"/>
  <c r="Z529" i="19"/>
  <c r="Z530" i="19"/>
  <c r="Z531" i="19"/>
  <c r="Z532" i="19"/>
  <c r="Z533" i="19"/>
  <c r="Z534" i="19"/>
  <c r="Z535" i="19"/>
  <c r="Z536" i="19"/>
  <c r="Z537" i="19"/>
  <c r="Z538" i="19"/>
  <c r="Z539" i="19"/>
  <c r="Z540" i="19"/>
  <c r="Z541" i="19"/>
  <c r="Z542" i="19"/>
  <c r="Z543" i="19"/>
  <c r="Z544" i="19"/>
  <c r="Z545" i="19"/>
  <c r="Z546" i="19"/>
  <c r="Z547" i="19"/>
  <c r="Z548" i="19"/>
  <c r="Z549" i="19"/>
  <c r="Z550" i="19"/>
  <c r="Z551" i="19"/>
  <c r="Z552" i="19"/>
  <c r="Z553" i="19"/>
  <c r="Z554" i="19"/>
  <c r="Z555" i="19"/>
  <c r="Z556" i="19"/>
  <c r="Z557" i="19"/>
  <c r="Z558" i="19"/>
  <c r="Z559" i="19"/>
  <c r="Z560" i="19"/>
  <c r="Z561" i="19"/>
  <c r="Z562" i="19"/>
  <c r="Z563" i="19"/>
  <c r="Z564" i="19"/>
  <c r="Z565" i="19"/>
  <c r="Z566" i="19"/>
  <c r="Z567" i="19"/>
  <c r="Z568" i="19"/>
  <c r="Z569" i="19"/>
  <c r="Z570" i="19"/>
  <c r="Z571" i="19"/>
  <c r="Z572" i="19"/>
  <c r="Z573" i="19"/>
  <c r="Z574" i="19"/>
  <c r="Z575" i="19"/>
  <c r="Z576" i="19"/>
  <c r="Z577" i="19"/>
  <c r="Z578" i="19"/>
  <c r="Z579" i="19"/>
  <c r="Z580" i="19"/>
  <c r="Z581" i="19"/>
  <c r="Z582" i="19"/>
  <c r="Z583" i="19"/>
  <c r="Z584" i="19"/>
  <c r="Z585" i="19"/>
  <c r="Z586" i="19"/>
  <c r="Z587" i="19"/>
  <c r="Z588" i="19"/>
  <c r="Z589" i="19"/>
  <c r="Z590" i="19"/>
  <c r="Z591" i="19"/>
  <c r="Z592" i="19"/>
  <c r="Z593" i="19"/>
  <c r="Z594" i="19"/>
  <c r="Z595" i="19"/>
  <c r="Z596" i="19"/>
  <c r="Z597" i="19"/>
  <c r="Z598" i="19"/>
  <c r="Z599" i="19"/>
  <c r="Z600" i="19"/>
  <c r="Z601" i="19"/>
  <c r="Z602" i="19"/>
  <c r="Z603" i="19"/>
  <c r="Z604" i="19"/>
  <c r="Z605" i="19"/>
  <c r="Z606" i="19"/>
  <c r="Z607" i="19"/>
  <c r="Z608" i="19"/>
  <c r="Z609" i="19"/>
  <c r="Z610" i="19"/>
  <c r="Z611" i="19"/>
  <c r="Z612" i="19"/>
  <c r="Z613" i="19"/>
  <c r="Z614" i="19"/>
  <c r="Z615" i="19"/>
  <c r="Z616" i="19"/>
  <c r="Z617" i="19"/>
  <c r="Z618" i="19"/>
  <c r="Z619" i="19"/>
  <c r="Z620" i="19"/>
  <c r="Z621" i="19"/>
  <c r="Z622" i="19"/>
  <c r="Z623" i="19"/>
  <c r="Z624" i="19"/>
  <c r="Z625" i="19"/>
  <c r="Z626" i="19"/>
  <c r="Z627" i="19"/>
  <c r="Z628" i="19"/>
  <c r="Z629" i="19"/>
  <c r="Z630" i="19"/>
  <c r="Z631" i="19"/>
  <c r="Z632" i="19"/>
  <c r="Z633" i="19"/>
  <c r="Z634" i="19"/>
  <c r="Z635" i="19"/>
  <c r="Z636" i="19"/>
  <c r="Z637" i="19"/>
  <c r="Z638" i="19"/>
  <c r="Z639" i="19"/>
  <c r="Z640" i="19"/>
  <c r="Z641" i="19"/>
  <c r="Z642" i="19"/>
  <c r="Z643" i="19"/>
  <c r="Z644" i="19"/>
  <c r="Z645" i="19"/>
  <c r="Z646" i="19"/>
  <c r="Z647" i="19"/>
  <c r="Z648" i="19"/>
  <c r="Z649" i="19"/>
  <c r="Z650" i="19"/>
  <c r="Z651" i="19"/>
  <c r="Z652" i="19"/>
  <c r="Z653" i="19"/>
  <c r="Z654" i="19"/>
  <c r="Z655" i="19"/>
  <c r="Z656" i="19"/>
  <c r="Z657" i="19"/>
  <c r="Z658" i="19"/>
  <c r="Z659" i="19"/>
  <c r="Z660" i="19"/>
  <c r="Z661" i="19"/>
  <c r="Z662" i="19"/>
  <c r="Z663" i="19"/>
  <c r="Z664" i="19"/>
  <c r="Z665" i="19"/>
  <c r="Z666" i="19"/>
  <c r="Z667" i="19"/>
  <c r="Z668" i="19"/>
  <c r="Z669" i="19"/>
  <c r="Z670" i="19"/>
  <c r="Z671" i="19"/>
  <c r="Z672" i="19"/>
  <c r="Z673" i="19"/>
  <c r="Z674" i="19"/>
  <c r="Z675" i="19"/>
  <c r="Z676" i="19"/>
  <c r="Z677" i="19"/>
  <c r="Z678" i="19"/>
  <c r="Z679" i="19"/>
  <c r="Z680" i="19"/>
  <c r="Z681" i="19"/>
  <c r="Z682" i="19"/>
  <c r="Z683" i="19"/>
  <c r="Z684" i="19"/>
  <c r="Z685" i="19"/>
  <c r="Z686" i="19"/>
  <c r="Z687" i="19"/>
  <c r="Z688" i="19"/>
  <c r="Z689" i="19"/>
  <c r="Z690" i="19"/>
  <c r="Z691" i="19"/>
  <c r="Z692" i="19"/>
  <c r="Z693" i="19"/>
  <c r="Z694" i="19"/>
  <c r="Z695" i="19"/>
  <c r="Z696" i="19"/>
  <c r="Z697" i="19"/>
  <c r="Z698" i="19"/>
  <c r="Z699" i="19"/>
  <c r="Z700" i="19"/>
  <c r="Z701" i="19"/>
  <c r="Z702" i="19"/>
  <c r="Z703" i="19"/>
  <c r="Z704" i="19"/>
  <c r="Z705" i="19"/>
  <c r="Z706" i="19"/>
  <c r="Z707" i="19"/>
  <c r="Z708" i="19"/>
  <c r="Z709" i="19"/>
  <c r="Z710" i="19"/>
  <c r="Z711" i="19"/>
  <c r="Z712" i="19"/>
  <c r="Z713" i="19"/>
  <c r="Z714" i="19"/>
  <c r="Z715" i="19"/>
  <c r="Z716" i="19"/>
  <c r="Z717" i="19"/>
  <c r="Z718" i="19"/>
  <c r="Z719" i="19"/>
  <c r="Z720" i="19"/>
  <c r="Z721" i="19"/>
  <c r="Z722" i="19"/>
  <c r="Z723" i="19"/>
  <c r="Z724" i="19"/>
  <c r="Z725" i="19"/>
  <c r="Z726" i="19"/>
  <c r="Z727" i="19"/>
  <c r="Z728" i="19"/>
  <c r="Z729" i="19"/>
  <c r="Z730" i="19"/>
  <c r="Z731" i="19"/>
  <c r="Z732" i="19"/>
  <c r="Z733" i="19"/>
  <c r="Z734" i="19"/>
  <c r="Z735" i="19"/>
  <c r="Z736" i="19"/>
  <c r="Z737" i="19"/>
  <c r="Z738" i="19"/>
  <c r="Z739" i="19"/>
  <c r="Z740" i="19"/>
  <c r="Z741" i="19"/>
  <c r="Z742" i="19"/>
  <c r="Z743" i="19"/>
  <c r="Z744" i="19"/>
  <c r="Z745" i="19"/>
  <c r="Z746" i="19"/>
  <c r="Z747" i="19"/>
  <c r="Z748" i="19"/>
  <c r="Z749" i="19"/>
  <c r="Z750" i="19"/>
  <c r="Z751" i="19"/>
  <c r="Z752" i="19"/>
  <c r="Z753" i="19"/>
  <c r="Z754" i="19"/>
  <c r="Z755" i="19"/>
  <c r="Z756" i="19"/>
  <c r="Z757" i="19"/>
  <c r="Z758" i="19"/>
  <c r="Z759" i="19"/>
  <c r="Z760" i="19"/>
  <c r="Z761" i="19"/>
  <c r="Z762" i="19"/>
  <c r="Z763" i="19"/>
  <c r="Z764" i="19"/>
  <c r="Z765" i="19"/>
  <c r="Z766" i="19"/>
  <c r="Z767" i="19"/>
  <c r="Z768" i="19"/>
  <c r="Z769" i="19"/>
  <c r="Z770" i="19"/>
  <c r="Z771" i="19"/>
  <c r="Z772" i="19"/>
  <c r="Z773" i="19"/>
  <c r="Z774" i="19"/>
  <c r="Z775" i="19"/>
  <c r="Z776" i="19"/>
  <c r="Z777" i="19"/>
  <c r="Z778" i="19"/>
  <c r="Z779" i="19"/>
  <c r="Z780" i="19"/>
  <c r="Z781" i="19"/>
  <c r="Z782" i="19"/>
  <c r="Z783" i="19"/>
  <c r="Z784" i="19"/>
  <c r="Z785" i="19"/>
  <c r="Z786" i="19"/>
  <c r="Z787" i="19"/>
  <c r="Z788" i="19"/>
  <c r="Z789" i="19"/>
  <c r="Z790" i="19"/>
  <c r="Z791" i="19"/>
  <c r="Z792" i="19"/>
  <c r="Z793" i="19"/>
  <c r="Z794" i="19"/>
  <c r="Z795" i="19"/>
  <c r="Z796" i="19"/>
  <c r="Z797" i="19"/>
  <c r="Z798" i="19"/>
  <c r="Z799" i="19"/>
  <c r="Z800" i="19"/>
  <c r="Z801" i="19"/>
  <c r="Z802" i="19"/>
  <c r="Z803" i="19"/>
  <c r="Z804" i="19"/>
  <c r="Z805" i="19"/>
  <c r="Z806" i="19"/>
  <c r="Z807" i="19"/>
  <c r="Z808" i="19"/>
  <c r="Z809" i="19"/>
  <c r="Z810" i="19"/>
  <c r="Z811" i="19"/>
  <c r="Z812" i="19"/>
  <c r="Z813" i="19"/>
  <c r="Z814" i="19"/>
  <c r="Z815" i="19"/>
  <c r="Z816" i="19"/>
  <c r="Z817" i="19"/>
  <c r="Z818" i="19"/>
  <c r="Z819" i="19"/>
  <c r="Z820" i="19"/>
  <c r="Z821" i="19"/>
  <c r="Z822" i="19"/>
  <c r="Z823" i="19"/>
  <c r="Z824" i="19"/>
  <c r="Z825" i="19"/>
  <c r="Z826" i="19"/>
  <c r="Z827" i="19"/>
  <c r="Z828" i="19"/>
  <c r="Z829" i="19"/>
  <c r="Z830" i="19"/>
  <c r="Z831" i="19"/>
  <c r="Z832" i="19"/>
  <c r="Z833" i="19"/>
  <c r="Z834" i="19"/>
  <c r="Z835" i="19"/>
  <c r="Z836" i="19"/>
  <c r="Z837" i="19"/>
  <c r="Z838" i="19"/>
  <c r="Z839" i="19"/>
  <c r="Z840" i="19"/>
  <c r="Z841" i="19"/>
  <c r="Z842" i="19"/>
  <c r="Z843" i="19"/>
  <c r="Z844" i="19"/>
  <c r="Z845" i="19"/>
  <c r="Z846" i="19"/>
  <c r="Z847" i="19"/>
  <c r="Z848" i="19"/>
  <c r="Z849" i="19"/>
  <c r="Z850" i="19"/>
  <c r="Z851" i="19"/>
  <c r="Z852" i="19"/>
  <c r="Z853" i="19"/>
  <c r="Z854" i="19"/>
  <c r="Z855" i="19"/>
  <c r="Z856" i="19"/>
  <c r="Z857" i="19"/>
  <c r="Z858" i="19"/>
  <c r="Z859" i="19"/>
  <c r="Z860" i="19"/>
  <c r="Z861" i="19"/>
  <c r="Z862" i="19"/>
  <c r="Z863" i="19"/>
  <c r="Z864" i="19"/>
  <c r="Z865" i="19"/>
  <c r="Z866" i="19"/>
  <c r="Z867" i="19"/>
  <c r="Z868" i="19"/>
  <c r="Z869" i="19"/>
  <c r="Z870" i="19"/>
  <c r="Z871" i="19"/>
  <c r="Z872" i="19"/>
  <c r="Z873" i="19"/>
  <c r="Z874" i="19"/>
  <c r="Z875" i="19"/>
  <c r="Z876" i="19"/>
  <c r="Z877" i="19"/>
  <c r="Z878" i="19"/>
  <c r="Z879" i="19"/>
  <c r="Z880" i="19"/>
  <c r="Z881" i="19"/>
  <c r="Z882" i="19"/>
  <c r="Z883" i="19"/>
  <c r="Z884" i="19"/>
  <c r="Z885" i="19"/>
  <c r="Z886" i="19"/>
  <c r="Z887" i="19"/>
  <c r="Z888" i="19"/>
  <c r="Z889" i="19"/>
  <c r="Z890" i="19"/>
  <c r="Z891" i="19"/>
  <c r="Z892" i="19"/>
  <c r="Z893" i="19"/>
  <c r="Z894" i="19"/>
  <c r="Z895" i="19"/>
  <c r="Z896" i="19"/>
  <c r="Z897" i="19"/>
  <c r="Z898" i="19"/>
  <c r="Z899" i="19"/>
  <c r="Z900" i="19"/>
  <c r="Z901" i="19"/>
  <c r="Z902" i="19"/>
  <c r="Z903" i="19"/>
  <c r="Z904" i="19"/>
  <c r="Z905" i="19"/>
  <c r="Z906" i="19"/>
  <c r="Z907" i="19"/>
  <c r="Z908" i="19"/>
  <c r="Z909" i="19"/>
  <c r="Z910" i="19"/>
  <c r="Z911" i="19"/>
  <c r="Z912" i="19"/>
  <c r="Z913" i="19"/>
  <c r="Z914" i="19"/>
  <c r="Z915" i="19"/>
  <c r="Z916" i="19"/>
  <c r="Z917" i="19"/>
  <c r="Z918" i="19"/>
  <c r="Z919" i="19"/>
  <c r="Z920" i="19"/>
  <c r="Z921" i="19"/>
  <c r="Z922" i="19"/>
  <c r="Z923" i="19"/>
  <c r="Z924" i="19"/>
  <c r="Z925" i="19"/>
  <c r="Z926" i="19"/>
  <c r="Z927" i="19"/>
  <c r="Z928" i="19"/>
  <c r="Z929" i="19"/>
  <c r="Z930" i="19"/>
  <c r="Z931" i="19"/>
  <c r="Z932" i="19"/>
  <c r="Z933" i="19"/>
  <c r="Z934" i="19"/>
  <c r="Z935" i="19"/>
  <c r="Z936" i="19"/>
  <c r="Z937" i="19"/>
  <c r="Z938" i="19"/>
  <c r="Z939" i="19"/>
  <c r="Z940" i="19"/>
  <c r="Z941" i="19"/>
  <c r="Z942" i="19"/>
  <c r="Z943" i="19"/>
  <c r="Z944" i="19"/>
  <c r="Z945" i="19"/>
  <c r="Z946" i="19"/>
  <c r="Z947" i="19"/>
  <c r="Z948" i="19"/>
  <c r="Z949" i="19"/>
  <c r="Z950" i="19"/>
  <c r="Z951" i="19"/>
  <c r="Z952" i="19"/>
  <c r="Z953" i="19"/>
  <c r="Z954" i="19"/>
  <c r="Z955" i="19"/>
  <c r="Z956" i="19"/>
  <c r="Z957" i="19"/>
  <c r="Z958" i="19"/>
  <c r="Z959" i="19"/>
  <c r="Z960" i="19"/>
  <c r="Z961" i="19"/>
  <c r="Z962" i="19"/>
  <c r="Z963" i="19"/>
  <c r="Z964" i="19"/>
  <c r="Z965" i="19"/>
  <c r="Z966" i="19"/>
  <c r="Z967" i="19"/>
  <c r="Z968" i="19"/>
  <c r="Z969" i="19"/>
  <c r="Z970" i="19"/>
  <c r="Z971" i="19"/>
  <c r="Z972" i="19"/>
  <c r="Z973" i="19"/>
  <c r="Z974" i="19"/>
  <c r="Z975" i="19"/>
  <c r="Z976" i="19"/>
  <c r="Z977" i="19"/>
  <c r="Z978" i="19"/>
  <c r="Z979" i="19"/>
  <c r="Z980" i="19"/>
  <c r="Z981" i="19"/>
  <c r="Z982" i="19"/>
  <c r="Z983" i="19"/>
  <c r="Z984" i="19"/>
  <c r="Z985" i="19"/>
  <c r="Z986" i="19"/>
  <c r="Z987" i="19"/>
  <c r="Z988" i="19"/>
  <c r="Z989" i="19"/>
  <c r="Z990" i="19"/>
  <c r="Z991" i="19"/>
  <c r="Z992" i="19"/>
  <c r="Z993" i="19"/>
  <c r="Z994" i="19"/>
  <c r="Z995" i="19"/>
  <c r="Z996" i="19"/>
  <c r="Z997" i="19"/>
  <c r="Z998" i="19"/>
  <c r="Z999" i="19"/>
  <c r="Z1000" i="19"/>
  <c r="Z1001" i="19"/>
  <c r="Z1002" i="19"/>
  <c r="Z1003" i="19"/>
  <c r="Z1004" i="19"/>
  <c r="Z1005" i="19"/>
  <c r="Z1006" i="19"/>
  <c r="Z1007" i="19"/>
  <c r="Z1008" i="19"/>
  <c r="Z1009" i="19"/>
  <c r="Z1010" i="19"/>
  <c r="Z1011" i="19"/>
  <c r="Z1012" i="19"/>
  <c r="Z1013" i="19"/>
  <c r="Z1014" i="19"/>
  <c r="Z1015" i="19"/>
  <c r="Z1016" i="19"/>
  <c r="Z1017" i="19"/>
  <c r="Z1018" i="19"/>
  <c r="Z1019" i="19"/>
  <c r="Z1020" i="19"/>
  <c r="Z1021" i="19"/>
  <c r="Z1022" i="19"/>
  <c r="Z1023" i="19"/>
  <c r="Z1024" i="19"/>
  <c r="Z1025" i="19"/>
  <c r="Z1026" i="19"/>
  <c r="Z1027" i="19"/>
  <c r="Z1028" i="19"/>
  <c r="Z1029" i="19"/>
  <c r="Z1030" i="19"/>
  <c r="Z1031" i="19"/>
  <c r="Z1032" i="19"/>
  <c r="Z1033" i="19"/>
  <c r="Z1034" i="19"/>
  <c r="Z1035" i="19"/>
  <c r="Z1036" i="19"/>
  <c r="Z1037" i="19"/>
  <c r="Z1038" i="19"/>
  <c r="Z1039" i="19"/>
  <c r="Z1040" i="19"/>
  <c r="Z1041" i="19"/>
  <c r="Z1042" i="19"/>
  <c r="Z1043" i="19"/>
  <c r="Z1044" i="19"/>
  <c r="Z1045" i="19"/>
  <c r="Z1046" i="19"/>
  <c r="Z1047" i="19"/>
  <c r="Z1048" i="19"/>
  <c r="Z1049" i="19"/>
  <c r="Z1050" i="19"/>
  <c r="Z1051" i="19"/>
  <c r="Z1052" i="19"/>
  <c r="Z1053" i="19"/>
  <c r="Z1054" i="19"/>
  <c r="Z1055" i="19"/>
  <c r="Z1056" i="19"/>
  <c r="Z1057" i="19"/>
  <c r="Z1058" i="19"/>
  <c r="Z1059" i="19"/>
  <c r="Z1060" i="19"/>
  <c r="Z1061" i="19"/>
  <c r="Z1062" i="19"/>
  <c r="Z1063" i="19"/>
  <c r="Z1064" i="19"/>
  <c r="Z1065" i="19"/>
  <c r="Z1066" i="19"/>
  <c r="Z1067" i="19"/>
  <c r="Z1068" i="19"/>
  <c r="Z1069" i="19"/>
  <c r="Z1070" i="19"/>
  <c r="Z1071" i="19"/>
  <c r="Z1072" i="19"/>
  <c r="Z1073" i="19"/>
  <c r="Z1074" i="19"/>
  <c r="Z1075" i="19"/>
  <c r="Z1076" i="19"/>
  <c r="Z1077" i="19"/>
  <c r="Z1078" i="19"/>
  <c r="Z1079" i="19"/>
  <c r="Z1080" i="19"/>
  <c r="Z1081" i="19"/>
  <c r="Z1082" i="19"/>
  <c r="Z1083" i="19"/>
  <c r="Z1084" i="19"/>
  <c r="Z1085" i="19"/>
  <c r="Z1086" i="19"/>
  <c r="Z1087" i="19"/>
  <c r="Z1088" i="19"/>
  <c r="Z1089" i="19"/>
  <c r="Z1090" i="19"/>
  <c r="Z1091" i="19"/>
  <c r="Z1092" i="19"/>
  <c r="Z1093" i="19"/>
  <c r="Z1094" i="19"/>
  <c r="Z1095" i="19"/>
  <c r="Z1096" i="19"/>
  <c r="Z1097" i="19"/>
  <c r="Z1098" i="19"/>
  <c r="Z1099" i="19"/>
  <c r="Z1100" i="19"/>
  <c r="Z1101" i="19"/>
  <c r="Z1102" i="19"/>
  <c r="Z1103" i="19"/>
  <c r="Z1104" i="19"/>
  <c r="Z1105" i="19"/>
  <c r="Z1106" i="19"/>
  <c r="Z1107" i="19"/>
  <c r="Z1108" i="19"/>
  <c r="Z1109" i="19"/>
  <c r="Z1110" i="19"/>
  <c r="Y11" i="19"/>
  <c r="Y12" i="19"/>
  <c r="Y13" i="19"/>
  <c r="Y14" i="19"/>
  <c r="Y15" i="19"/>
  <c r="Y16" i="19"/>
  <c r="Y17" i="19"/>
  <c r="Y18" i="19"/>
  <c r="Y19" i="19"/>
  <c r="Y20" i="19"/>
  <c r="Y21" i="19"/>
  <c r="Y22" i="19"/>
  <c r="Y23" i="19"/>
  <c r="Y24" i="19"/>
  <c r="Y25" i="19"/>
  <c r="Y26" i="19"/>
  <c r="Y27" i="19"/>
  <c r="Y28" i="19"/>
  <c r="Y29" i="19"/>
  <c r="Y30" i="19"/>
  <c r="Y31" i="19"/>
  <c r="Y32" i="19"/>
  <c r="Y33" i="19"/>
  <c r="Y34" i="19"/>
  <c r="Y35" i="19"/>
  <c r="Y36" i="19"/>
  <c r="Y37" i="19"/>
  <c r="Y38" i="19"/>
  <c r="Y39" i="19"/>
  <c r="Y40" i="19"/>
  <c r="Y41" i="19"/>
  <c r="Y42" i="19"/>
  <c r="Y43" i="19"/>
  <c r="Y44" i="19"/>
  <c r="Y45" i="19"/>
  <c r="Y46" i="19"/>
  <c r="Y47" i="19"/>
  <c r="Y48" i="19"/>
  <c r="Y49" i="19"/>
  <c r="Y50" i="19"/>
  <c r="Y51" i="19"/>
  <c r="Y52" i="19"/>
  <c r="Y53" i="19"/>
  <c r="Y54" i="19"/>
  <c r="Y55" i="19"/>
  <c r="Y56" i="19"/>
  <c r="Y57" i="19"/>
  <c r="Y58" i="19"/>
  <c r="Y59" i="19"/>
  <c r="Y60" i="19"/>
  <c r="Y61" i="19"/>
  <c r="Y62" i="19"/>
  <c r="Y63" i="19"/>
  <c r="Y64" i="19"/>
  <c r="Y65" i="19"/>
  <c r="Y66" i="19"/>
  <c r="Y67" i="19"/>
  <c r="Y68" i="19"/>
  <c r="Y69" i="19"/>
  <c r="Y70" i="19"/>
  <c r="Y71" i="19"/>
  <c r="Y72" i="19"/>
  <c r="Y73" i="19"/>
  <c r="Y74" i="19"/>
  <c r="Y75" i="19"/>
  <c r="Y76" i="19"/>
  <c r="Y77" i="19"/>
  <c r="Y78" i="19"/>
  <c r="Y79" i="19"/>
  <c r="Y80" i="19"/>
  <c r="Y81" i="19"/>
  <c r="Y82" i="19"/>
  <c r="Y83" i="19"/>
  <c r="Y84" i="19"/>
  <c r="Y85" i="19"/>
  <c r="Y86" i="19"/>
  <c r="Y87" i="19"/>
  <c r="Y88" i="19"/>
  <c r="Y89" i="19"/>
  <c r="Y90" i="19"/>
  <c r="Y91" i="19"/>
  <c r="Y92" i="19"/>
  <c r="Y93" i="19"/>
  <c r="Y94" i="19"/>
  <c r="Y95" i="19"/>
  <c r="Y96" i="19"/>
  <c r="Y97" i="19"/>
  <c r="Y98" i="19"/>
  <c r="Y99" i="19"/>
  <c r="Y100" i="19"/>
  <c r="Y101" i="19"/>
  <c r="Y102" i="19"/>
  <c r="Y103" i="19"/>
  <c r="Y104" i="19"/>
  <c r="Y105" i="19"/>
  <c r="Y106" i="19"/>
  <c r="Y107" i="19"/>
  <c r="Y108" i="19"/>
  <c r="Y109" i="19"/>
  <c r="Y110" i="19"/>
  <c r="Y111" i="19"/>
  <c r="Y112" i="19"/>
  <c r="Y113" i="19"/>
  <c r="Y114" i="19"/>
  <c r="Y115" i="19"/>
  <c r="Y116" i="19"/>
  <c r="Y117" i="19"/>
  <c r="Y118" i="19"/>
  <c r="Y119" i="19"/>
  <c r="Y120" i="19"/>
  <c r="Y121" i="19"/>
  <c r="Y122" i="19"/>
  <c r="Y123" i="19"/>
  <c r="Y124" i="19"/>
  <c r="Y125" i="19"/>
  <c r="Y126" i="19"/>
  <c r="Y127" i="19"/>
  <c r="Y128" i="19"/>
  <c r="Y129" i="19"/>
  <c r="Y130" i="19"/>
  <c r="Y131" i="19"/>
  <c r="Y132" i="19"/>
  <c r="Y133" i="19"/>
  <c r="Y134" i="19"/>
  <c r="Y135" i="19"/>
  <c r="Y136" i="19"/>
  <c r="Y137" i="19"/>
  <c r="Y138" i="19"/>
  <c r="Y139" i="19"/>
  <c r="Y140" i="19"/>
  <c r="Y141" i="19"/>
  <c r="Y142" i="19"/>
  <c r="Y143" i="19"/>
  <c r="Y144" i="19"/>
  <c r="Y145" i="19"/>
  <c r="Y146" i="19"/>
  <c r="Y147" i="19"/>
  <c r="Y148" i="19"/>
  <c r="Y149" i="19"/>
  <c r="Y150" i="19"/>
  <c r="Y151" i="19"/>
  <c r="Y152" i="19"/>
  <c r="Y153" i="19"/>
  <c r="Y154" i="19"/>
  <c r="Y155" i="19"/>
  <c r="Y156" i="19"/>
  <c r="Y157" i="19"/>
  <c r="Y158" i="19"/>
  <c r="Y159" i="19"/>
  <c r="Y160" i="19"/>
  <c r="Y161" i="19"/>
  <c r="Y162" i="19"/>
  <c r="Y163" i="19"/>
  <c r="Y164" i="19"/>
  <c r="Y165" i="19"/>
  <c r="Y166" i="19"/>
  <c r="Y167" i="19"/>
  <c r="Y168" i="19"/>
  <c r="Y169" i="19"/>
  <c r="Y170" i="19"/>
  <c r="Y171" i="19"/>
  <c r="Y172" i="19"/>
  <c r="Y173" i="19"/>
  <c r="Y174" i="19"/>
  <c r="Y175" i="19"/>
  <c r="Y176" i="19"/>
  <c r="Y177" i="19"/>
  <c r="Y178" i="19"/>
  <c r="Y179" i="19"/>
  <c r="Y180" i="19"/>
  <c r="Y181" i="19"/>
  <c r="Y182" i="19"/>
  <c r="Y183" i="19"/>
  <c r="Y184" i="19"/>
  <c r="Y185" i="19"/>
  <c r="Y186" i="19"/>
  <c r="Y187" i="19"/>
  <c r="Y188" i="19"/>
  <c r="Y189" i="19"/>
  <c r="Y190" i="19"/>
  <c r="Y191" i="19"/>
  <c r="Y192" i="19"/>
  <c r="Y193" i="19"/>
  <c r="Y194" i="19"/>
  <c r="Y195" i="19"/>
  <c r="Y196" i="19"/>
  <c r="Y197" i="19"/>
  <c r="Y198" i="19"/>
  <c r="Y199" i="19"/>
  <c r="Y200" i="19"/>
  <c r="Y201" i="19"/>
  <c r="Y202" i="19"/>
  <c r="Y203" i="19"/>
  <c r="Y204" i="19"/>
  <c r="Y205" i="19"/>
  <c r="Y206" i="19"/>
  <c r="Y207" i="19"/>
  <c r="Y208" i="19"/>
  <c r="Y209" i="19"/>
  <c r="Y210" i="19"/>
  <c r="Y211" i="19"/>
  <c r="Y212" i="19"/>
  <c r="Y213" i="19"/>
  <c r="Y214" i="19"/>
  <c r="Y215" i="19"/>
  <c r="Y216" i="19"/>
  <c r="Y217" i="19"/>
  <c r="Y218" i="19"/>
  <c r="Y219" i="19"/>
  <c r="Y220" i="19"/>
  <c r="Y221" i="19"/>
  <c r="Y222" i="19"/>
  <c r="Y223" i="19"/>
  <c r="Y224" i="19"/>
  <c r="Y225" i="19"/>
  <c r="Y226" i="19"/>
  <c r="Y227" i="19"/>
  <c r="Y228" i="19"/>
  <c r="Y229" i="19"/>
  <c r="Y230" i="19"/>
  <c r="Y231" i="19"/>
  <c r="Y232" i="19"/>
  <c r="Y233" i="19"/>
  <c r="Y234" i="19"/>
  <c r="Y235" i="19"/>
  <c r="Y236" i="19"/>
  <c r="Y237" i="19"/>
  <c r="Y238" i="19"/>
  <c r="Y239" i="19"/>
  <c r="Y240" i="19"/>
  <c r="Y241" i="19"/>
  <c r="Y242" i="19"/>
  <c r="Y243" i="19"/>
  <c r="Y244" i="19"/>
  <c r="Y245" i="19"/>
  <c r="Y246" i="19"/>
  <c r="Y247" i="19"/>
  <c r="Y248" i="19"/>
  <c r="Y249" i="19"/>
  <c r="Y250" i="19"/>
  <c r="Y251" i="19"/>
  <c r="Y252" i="19"/>
  <c r="Y253" i="19"/>
  <c r="Y254" i="19"/>
  <c r="Y255" i="19"/>
  <c r="Y256" i="19"/>
  <c r="Y257" i="19"/>
  <c r="Y258" i="19"/>
  <c r="Y259" i="19"/>
  <c r="Y260" i="19"/>
  <c r="Y261" i="19"/>
  <c r="Y262" i="19"/>
  <c r="Y263" i="19"/>
  <c r="Y264" i="19"/>
  <c r="Y265" i="19"/>
  <c r="Y266" i="19"/>
  <c r="Y267" i="19"/>
  <c r="Y268" i="19"/>
  <c r="Y269" i="19"/>
  <c r="Y270" i="19"/>
  <c r="Y271" i="19"/>
  <c r="Y272" i="19"/>
  <c r="Y273" i="19"/>
  <c r="Y274" i="19"/>
  <c r="Y275" i="19"/>
  <c r="Y276" i="19"/>
  <c r="Y277" i="19"/>
  <c r="Y278" i="19"/>
  <c r="Y279" i="19"/>
  <c r="Y280" i="19"/>
  <c r="Y281" i="19"/>
  <c r="Y282" i="19"/>
  <c r="Y283" i="19"/>
  <c r="Y284" i="19"/>
  <c r="Y285" i="19"/>
  <c r="Y286" i="19"/>
  <c r="Y287" i="19"/>
  <c r="Y288" i="19"/>
  <c r="Y289" i="19"/>
  <c r="Y290" i="19"/>
  <c r="Y291" i="19"/>
  <c r="Y292" i="19"/>
  <c r="Y293" i="19"/>
  <c r="Y294" i="19"/>
  <c r="Y295" i="19"/>
  <c r="Y296" i="19"/>
  <c r="Y297" i="19"/>
  <c r="Y298" i="19"/>
  <c r="Y299" i="19"/>
  <c r="Y300" i="19"/>
  <c r="Y301" i="19"/>
  <c r="Y302" i="19"/>
  <c r="Y303" i="19"/>
  <c r="Y304" i="19"/>
  <c r="Y305" i="19"/>
  <c r="Y306" i="19"/>
  <c r="Y307" i="19"/>
  <c r="Y308" i="19"/>
  <c r="Y309" i="19"/>
  <c r="Y310" i="19"/>
  <c r="Y311" i="19"/>
  <c r="Y312" i="19"/>
  <c r="Y313" i="19"/>
  <c r="Y314" i="19"/>
  <c r="Y315" i="19"/>
  <c r="Y316" i="19"/>
  <c r="Y317" i="19"/>
  <c r="Y318" i="19"/>
  <c r="Y319" i="19"/>
  <c r="Y320" i="19"/>
  <c r="Y321" i="19"/>
  <c r="Y322" i="19"/>
  <c r="Y323" i="19"/>
  <c r="Y324" i="19"/>
  <c r="Y325" i="19"/>
  <c r="Y326" i="19"/>
  <c r="Y327" i="19"/>
  <c r="Y328" i="19"/>
  <c r="Y329" i="19"/>
  <c r="Y330" i="19"/>
  <c r="Y331" i="19"/>
  <c r="Y332" i="19"/>
  <c r="Y333" i="19"/>
  <c r="Y334" i="19"/>
  <c r="Y335" i="19"/>
  <c r="Y336" i="19"/>
  <c r="Y337" i="19"/>
  <c r="Y338" i="19"/>
  <c r="Y339" i="19"/>
  <c r="Y340" i="19"/>
  <c r="Y341" i="19"/>
  <c r="Y342" i="19"/>
  <c r="Y343" i="19"/>
  <c r="Y344" i="19"/>
  <c r="Y345" i="19"/>
  <c r="Y346" i="19"/>
  <c r="Y347" i="19"/>
  <c r="Y348" i="19"/>
  <c r="Y349" i="19"/>
  <c r="Y350" i="19"/>
  <c r="Y351" i="19"/>
  <c r="Y352" i="19"/>
  <c r="Y353" i="19"/>
  <c r="Y354" i="19"/>
  <c r="Y355" i="19"/>
  <c r="Y356" i="19"/>
  <c r="Y357" i="19"/>
  <c r="Y358" i="19"/>
  <c r="Y359" i="19"/>
  <c r="Y360" i="19"/>
  <c r="Y361" i="19"/>
  <c r="Y362" i="19"/>
  <c r="Y363" i="19"/>
  <c r="Y364" i="19"/>
  <c r="Y365" i="19"/>
  <c r="Y366" i="19"/>
  <c r="Y367" i="19"/>
  <c r="Y368" i="19"/>
  <c r="Y369" i="19"/>
  <c r="Y370" i="19"/>
  <c r="Y371" i="19"/>
  <c r="Y372" i="19"/>
  <c r="Y373" i="19"/>
  <c r="Y374" i="19"/>
  <c r="Y375" i="19"/>
  <c r="Y376" i="19"/>
  <c r="Y377" i="19"/>
  <c r="Y378" i="19"/>
  <c r="Y379" i="19"/>
  <c r="Y380" i="19"/>
  <c r="Y381" i="19"/>
  <c r="Y382" i="19"/>
  <c r="Y383" i="19"/>
  <c r="Y384" i="19"/>
  <c r="Y385" i="19"/>
  <c r="Y386" i="19"/>
  <c r="Y387" i="19"/>
  <c r="Y388" i="19"/>
  <c r="Y389" i="19"/>
  <c r="Y390" i="19"/>
  <c r="Y391" i="19"/>
  <c r="Y392" i="19"/>
  <c r="Y393" i="19"/>
  <c r="Y394" i="19"/>
  <c r="Y395" i="19"/>
  <c r="Y396" i="19"/>
  <c r="Y397" i="19"/>
  <c r="Y398" i="19"/>
  <c r="Y399" i="19"/>
  <c r="Y400" i="19"/>
  <c r="Y401" i="19"/>
  <c r="Y402" i="19"/>
  <c r="Y403" i="19"/>
  <c r="Y404" i="19"/>
  <c r="Y405" i="19"/>
  <c r="Y406" i="19"/>
  <c r="Y407" i="19"/>
  <c r="Y408" i="19"/>
  <c r="Y409" i="19"/>
  <c r="Y410" i="19"/>
  <c r="Y411" i="19"/>
  <c r="Y412" i="19"/>
  <c r="Y413" i="19"/>
  <c r="Y414" i="19"/>
  <c r="Y415" i="19"/>
  <c r="Y416" i="19"/>
  <c r="Y417" i="19"/>
  <c r="Y418" i="19"/>
  <c r="Y419" i="19"/>
  <c r="Y420" i="19"/>
  <c r="Y421" i="19"/>
  <c r="Y422" i="19"/>
  <c r="Y423" i="19"/>
  <c r="Y424" i="19"/>
  <c r="Y425" i="19"/>
  <c r="Y426" i="19"/>
  <c r="Y427" i="19"/>
  <c r="Y428" i="19"/>
  <c r="Y429" i="19"/>
  <c r="Y430" i="19"/>
  <c r="Y431" i="19"/>
  <c r="Y432" i="19"/>
  <c r="Y433" i="19"/>
  <c r="Y434" i="19"/>
  <c r="Y435" i="19"/>
  <c r="Y436" i="19"/>
  <c r="Y437" i="19"/>
  <c r="Y438" i="19"/>
  <c r="Y439" i="19"/>
  <c r="Y440" i="19"/>
  <c r="Y441" i="19"/>
  <c r="Y442" i="19"/>
  <c r="Y443" i="19"/>
  <c r="Y444" i="19"/>
  <c r="Y445" i="19"/>
  <c r="Y446" i="19"/>
  <c r="Y447" i="19"/>
  <c r="Y448" i="19"/>
  <c r="Y449" i="19"/>
  <c r="Y450" i="19"/>
  <c r="Y451" i="19"/>
  <c r="Y452" i="19"/>
  <c r="Y453" i="19"/>
  <c r="Y454" i="19"/>
  <c r="Y455" i="19"/>
  <c r="Y456" i="19"/>
  <c r="Y457" i="19"/>
  <c r="Y458" i="19"/>
  <c r="Y459" i="19"/>
  <c r="Y460" i="19"/>
  <c r="Y461" i="19"/>
  <c r="Y462" i="19"/>
  <c r="Y463" i="19"/>
  <c r="Y464" i="19"/>
  <c r="Y465" i="19"/>
  <c r="Y466" i="19"/>
  <c r="Y467" i="19"/>
  <c r="Y468" i="19"/>
  <c r="Y469" i="19"/>
  <c r="Y470" i="19"/>
  <c r="Y471" i="19"/>
  <c r="Y472" i="19"/>
  <c r="Y473" i="19"/>
  <c r="Y474" i="19"/>
  <c r="Y475" i="19"/>
  <c r="Y476" i="19"/>
  <c r="Y477" i="19"/>
  <c r="Y478" i="19"/>
  <c r="Y479" i="19"/>
  <c r="Y480" i="19"/>
  <c r="Y481" i="19"/>
  <c r="Y482" i="19"/>
  <c r="Y483" i="19"/>
  <c r="Y484" i="19"/>
  <c r="Y485" i="19"/>
  <c r="Y486" i="19"/>
  <c r="Y487" i="19"/>
  <c r="Y488" i="19"/>
  <c r="Y489" i="19"/>
  <c r="Y490" i="19"/>
  <c r="Y491" i="19"/>
  <c r="Y492" i="19"/>
  <c r="Y493" i="19"/>
  <c r="Y494" i="19"/>
  <c r="Y495" i="19"/>
  <c r="Y496" i="19"/>
  <c r="Y497" i="19"/>
  <c r="Y498" i="19"/>
  <c r="Y499" i="19"/>
  <c r="Y500" i="19"/>
  <c r="Y501" i="19"/>
  <c r="Y502" i="19"/>
  <c r="Y503" i="19"/>
  <c r="Y504" i="19"/>
  <c r="Y505" i="19"/>
  <c r="Y506" i="19"/>
  <c r="Y507" i="19"/>
  <c r="Y508" i="19"/>
  <c r="Y509" i="19"/>
  <c r="Y510" i="19"/>
  <c r="Y511" i="19"/>
  <c r="Y512" i="19"/>
  <c r="Y513" i="19"/>
  <c r="Y514" i="19"/>
  <c r="Y515" i="19"/>
  <c r="Y516" i="19"/>
  <c r="Y517" i="19"/>
  <c r="Y518" i="19"/>
  <c r="Y519" i="19"/>
  <c r="Y520" i="19"/>
  <c r="Y521" i="19"/>
  <c r="Y522" i="19"/>
  <c r="Y523" i="19"/>
  <c r="Y524" i="19"/>
  <c r="Y525" i="19"/>
  <c r="Y526" i="19"/>
  <c r="Y527" i="19"/>
  <c r="Y528" i="19"/>
  <c r="Y529" i="19"/>
  <c r="Y530" i="19"/>
  <c r="Y531" i="19"/>
  <c r="Y532" i="19"/>
  <c r="Y533" i="19"/>
  <c r="Y534" i="19"/>
  <c r="Y535" i="19"/>
  <c r="Y536" i="19"/>
  <c r="Y537" i="19"/>
  <c r="Y538" i="19"/>
  <c r="Y539" i="19"/>
  <c r="Y540" i="19"/>
  <c r="Y541" i="19"/>
  <c r="Y542" i="19"/>
  <c r="Y543" i="19"/>
  <c r="Y544" i="19"/>
  <c r="Y545" i="19"/>
  <c r="Y546" i="19"/>
  <c r="Y547" i="19"/>
  <c r="Y548" i="19"/>
  <c r="Y549" i="19"/>
  <c r="Y550" i="19"/>
  <c r="Y551" i="19"/>
  <c r="Y552" i="19"/>
  <c r="Y553" i="19"/>
  <c r="Y554" i="19"/>
  <c r="Y555" i="19"/>
  <c r="Y556" i="19"/>
  <c r="Y557" i="19"/>
  <c r="Y558" i="19"/>
  <c r="Y559" i="19"/>
  <c r="Y560" i="19"/>
  <c r="Y561" i="19"/>
  <c r="Y562" i="19"/>
  <c r="Y563" i="19"/>
  <c r="Y564" i="19"/>
  <c r="Y565" i="19"/>
  <c r="Y566" i="19"/>
  <c r="Y567" i="19"/>
  <c r="Y568" i="19"/>
  <c r="Y569" i="19"/>
  <c r="Y570" i="19"/>
  <c r="Y571" i="19"/>
  <c r="Y572" i="19"/>
  <c r="Y573" i="19"/>
  <c r="Y574" i="19"/>
  <c r="Y575" i="19"/>
  <c r="Y576" i="19"/>
  <c r="Y577" i="19"/>
  <c r="Y578" i="19"/>
  <c r="Y579" i="19"/>
  <c r="Y580" i="19"/>
  <c r="Y581" i="19"/>
  <c r="Y582" i="19"/>
  <c r="Y583" i="19"/>
  <c r="Y584" i="19"/>
  <c r="Y585" i="19"/>
  <c r="Y586" i="19"/>
  <c r="Y587" i="19"/>
  <c r="Y588" i="19"/>
  <c r="Y589" i="19"/>
  <c r="Y590" i="19"/>
  <c r="Y591" i="19"/>
  <c r="Y592" i="19"/>
  <c r="Y593" i="19"/>
  <c r="Y594" i="19"/>
  <c r="Y595" i="19"/>
  <c r="Y596" i="19"/>
  <c r="Y597" i="19"/>
  <c r="Y598" i="19"/>
  <c r="Y599" i="19"/>
  <c r="Y600" i="19"/>
  <c r="Y601" i="19"/>
  <c r="Y602" i="19"/>
  <c r="Y603" i="19"/>
  <c r="Y604" i="19"/>
  <c r="Y605" i="19"/>
  <c r="Y606" i="19"/>
  <c r="Y607" i="19"/>
  <c r="Y608" i="19"/>
  <c r="Y609" i="19"/>
  <c r="Y610" i="19"/>
  <c r="Y611" i="19"/>
  <c r="Y612" i="19"/>
  <c r="Y613" i="19"/>
  <c r="Y614" i="19"/>
  <c r="Y615" i="19"/>
  <c r="Y616" i="19"/>
  <c r="Y617" i="19"/>
  <c r="Y618" i="19"/>
  <c r="Y619" i="19"/>
  <c r="Y620" i="19"/>
  <c r="Y621" i="19"/>
  <c r="Y622" i="19"/>
  <c r="Y623" i="19"/>
  <c r="Y624" i="19"/>
  <c r="Y625" i="19"/>
  <c r="Y626" i="19"/>
  <c r="Y627" i="19"/>
  <c r="Y628" i="19"/>
  <c r="Y629" i="19"/>
  <c r="Y630" i="19"/>
  <c r="Y631" i="19"/>
  <c r="Y632" i="19"/>
  <c r="Y633" i="19"/>
  <c r="Y634" i="19"/>
  <c r="Y635" i="19"/>
  <c r="Y636" i="19"/>
  <c r="Y637" i="19"/>
  <c r="Y638" i="19"/>
  <c r="Y639" i="19"/>
  <c r="Y640" i="19"/>
  <c r="Y641" i="19"/>
  <c r="Y642" i="19"/>
  <c r="Y643" i="19"/>
  <c r="Y644" i="19"/>
  <c r="Y645" i="19"/>
  <c r="Y646" i="19"/>
  <c r="Y647" i="19"/>
  <c r="Y648" i="19"/>
  <c r="Y649" i="19"/>
  <c r="Y650" i="19"/>
  <c r="Y651" i="19"/>
  <c r="Y652" i="19"/>
  <c r="Y653" i="19"/>
  <c r="Y654" i="19"/>
  <c r="Y655" i="19"/>
  <c r="Y656" i="19"/>
  <c r="Y657" i="19"/>
  <c r="Y658" i="19"/>
  <c r="Y659" i="19"/>
  <c r="Y660" i="19"/>
  <c r="Y661" i="19"/>
  <c r="Y662" i="19"/>
  <c r="Y663" i="19"/>
  <c r="Y664" i="19"/>
  <c r="Y665" i="19"/>
  <c r="Y666" i="19"/>
  <c r="Y667" i="19"/>
  <c r="Y668" i="19"/>
  <c r="Y669" i="19"/>
  <c r="Y670" i="19"/>
  <c r="Y671" i="19"/>
  <c r="Y672" i="19"/>
  <c r="Y673" i="19"/>
  <c r="Y674" i="19"/>
  <c r="Y675" i="19"/>
  <c r="Y676" i="19"/>
  <c r="Y677" i="19"/>
  <c r="Y678" i="19"/>
  <c r="Y679" i="19"/>
  <c r="Y680" i="19"/>
  <c r="Y681" i="19"/>
  <c r="Y682" i="19"/>
  <c r="Y683" i="19"/>
  <c r="Y684" i="19"/>
  <c r="Y685" i="19"/>
  <c r="Y686" i="19"/>
  <c r="Y687" i="19"/>
  <c r="Y688" i="19"/>
  <c r="Y689" i="19"/>
  <c r="Y690" i="19"/>
  <c r="Y691" i="19"/>
  <c r="Y692" i="19"/>
  <c r="Y693" i="19"/>
  <c r="Y694" i="19"/>
  <c r="Y695" i="19"/>
  <c r="Y696" i="19"/>
  <c r="Y697" i="19"/>
  <c r="Y698" i="19"/>
  <c r="Y699" i="19"/>
  <c r="Y700" i="19"/>
  <c r="Y701" i="19"/>
  <c r="Y702" i="19"/>
  <c r="Y703" i="19"/>
  <c r="Y704" i="19"/>
  <c r="Y705" i="19"/>
  <c r="Y706" i="19"/>
  <c r="Y707" i="19"/>
  <c r="Y708" i="19"/>
  <c r="Y709" i="19"/>
  <c r="Y710" i="19"/>
  <c r="Y711" i="19"/>
  <c r="Y712" i="19"/>
  <c r="Y713" i="19"/>
  <c r="Y714" i="19"/>
  <c r="Y715" i="19"/>
  <c r="Y716" i="19"/>
  <c r="Y717" i="19"/>
  <c r="Y718" i="19"/>
  <c r="Y719" i="19"/>
  <c r="Y720" i="19"/>
  <c r="Y721" i="19"/>
  <c r="Y722" i="19"/>
  <c r="Y723" i="19"/>
  <c r="Y724" i="19"/>
  <c r="Y725" i="19"/>
  <c r="Y726" i="19"/>
  <c r="Y727" i="19"/>
  <c r="Y728" i="19"/>
  <c r="Y729" i="19"/>
  <c r="Y730" i="19"/>
  <c r="Y731" i="19"/>
  <c r="Y732" i="19"/>
  <c r="Y733" i="19"/>
  <c r="Y734" i="19"/>
  <c r="Y735" i="19"/>
  <c r="Y736" i="19"/>
  <c r="Y737" i="19"/>
  <c r="Y738" i="19"/>
  <c r="Y739" i="19"/>
  <c r="Y740" i="19"/>
  <c r="Y741" i="19"/>
  <c r="Y742" i="19"/>
  <c r="Y743" i="19"/>
  <c r="Y744" i="19"/>
  <c r="Y745" i="19"/>
  <c r="Y746" i="19"/>
  <c r="Y747" i="19"/>
  <c r="Y748" i="19"/>
  <c r="Y749" i="19"/>
  <c r="Y750" i="19"/>
  <c r="Y751" i="19"/>
  <c r="Y752" i="19"/>
  <c r="Y753" i="19"/>
  <c r="Y754" i="19"/>
  <c r="Y755" i="19"/>
  <c r="Y756" i="19"/>
  <c r="Y757" i="19"/>
  <c r="Y758" i="19"/>
  <c r="Y759" i="19"/>
  <c r="Y760" i="19"/>
  <c r="Y761" i="19"/>
  <c r="Y762" i="19"/>
  <c r="Y763" i="19"/>
  <c r="Y764" i="19"/>
  <c r="Y765" i="19"/>
  <c r="Y766" i="19"/>
  <c r="Y767" i="19"/>
  <c r="Y768" i="19"/>
  <c r="Y769" i="19"/>
  <c r="Y770" i="19"/>
  <c r="Y771" i="19"/>
  <c r="Y772" i="19"/>
  <c r="Y773" i="19"/>
  <c r="Y774" i="19"/>
  <c r="Y775" i="19"/>
  <c r="Y776" i="19"/>
  <c r="Y777" i="19"/>
  <c r="Y778" i="19"/>
  <c r="Y779" i="19"/>
  <c r="Y780" i="19"/>
  <c r="Y781" i="19"/>
  <c r="Y782" i="19"/>
  <c r="Y783" i="19"/>
  <c r="Y784" i="19"/>
  <c r="Y785" i="19"/>
  <c r="Y786" i="19"/>
  <c r="Y787" i="19"/>
  <c r="Y788" i="19"/>
  <c r="Y789" i="19"/>
  <c r="Y790" i="19"/>
  <c r="Y791" i="19"/>
  <c r="Y792" i="19"/>
  <c r="Y793" i="19"/>
  <c r="Y794" i="19"/>
  <c r="Y795" i="19"/>
  <c r="Y796" i="19"/>
  <c r="Y797" i="19"/>
  <c r="Y798" i="19"/>
  <c r="Y799" i="19"/>
  <c r="Y800" i="19"/>
  <c r="Y801" i="19"/>
  <c r="Y802" i="19"/>
  <c r="Y803" i="19"/>
  <c r="Y804" i="19"/>
  <c r="Y805" i="19"/>
  <c r="Y806" i="19"/>
  <c r="Y807" i="19"/>
  <c r="Y808" i="19"/>
  <c r="Y809" i="19"/>
  <c r="Y810" i="19"/>
  <c r="Y811" i="19"/>
  <c r="Y812" i="19"/>
  <c r="Y813" i="19"/>
  <c r="Y814" i="19"/>
  <c r="Y815" i="19"/>
  <c r="Y816" i="19"/>
  <c r="Y817" i="19"/>
  <c r="Y818" i="19"/>
  <c r="Y819" i="19"/>
  <c r="Y820" i="19"/>
  <c r="Y821" i="19"/>
  <c r="Y822" i="19"/>
  <c r="Y823" i="19"/>
  <c r="Y824" i="19"/>
  <c r="Y825" i="19"/>
  <c r="Y826" i="19"/>
  <c r="Y827" i="19"/>
  <c r="Y828" i="19"/>
  <c r="Y829" i="19"/>
  <c r="Y830" i="19"/>
  <c r="Y831" i="19"/>
  <c r="Y832" i="19"/>
  <c r="Y833" i="19"/>
  <c r="Y834" i="19"/>
  <c r="Y835" i="19"/>
  <c r="Y836" i="19"/>
  <c r="Y837" i="19"/>
  <c r="Y838" i="19"/>
  <c r="Y839" i="19"/>
  <c r="Y840" i="19"/>
  <c r="Y841" i="19"/>
  <c r="Y842" i="19"/>
  <c r="Y843" i="19"/>
  <c r="Y844" i="19"/>
  <c r="Y845" i="19"/>
  <c r="Y846" i="19"/>
  <c r="Y847" i="19"/>
  <c r="Y848" i="19"/>
  <c r="Y849" i="19"/>
  <c r="Y850" i="19"/>
  <c r="Y851" i="19"/>
  <c r="Y852" i="19"/>
  <c r="Y853" i="19"/>
  <c r="Y854" i="19"/>
  <c r="Y855" i="19"/>
  <c r="Y856" i="19"/>
  <c r="Y857" i="19"/>
  <c r="Y858" i="19"/>
  <c r="Y859" i="19"/>
  <c r="Y860" i="19"/>
  <c r="Y861" i="19"/>
  <c r="Y862" i="19"/>
  <c r="Y863" i="19"/>
  <c r="Y864" i="19"/>
  <c r="Y865" i="19"/>
  <c r="Y866" i="19"/>
  <c r="Y867" i="19"/>
  <c r="Y868" i="19"/>
  <c r="Y869" i="19"/>
  <c r="Y870" i="19"/>
  <c r="Y871" i="19"/>
  <c r="Y872" i="19"/>
  <c r="Y873" i="19"/>
  <c r="Y874" i="19"/>
  <c r="Y875" i="19"/>
  <c r="Y876" i="19"/>
  <c r="Y877" i="19"/>
  <c r="Y878" i="19"/>
  <c r="Y879" i="19"/>
  <c r="Y880" i="19"/>
  <c r="Y881" i="19"/>
  <c r="Y882" i="19"/>
  <c r="Y883" i="19"/>
  <c r="Y884" i="19"/>
  <c r="Y885" i="19"/>
  <c r="Y886" i="19"/>
  <c r="Y887" i="19"/>
  <c r="Y888" i="19"/>
  <c r="Y889" i="19"/>
  <c r="Y890" i="19"/>
  <c r="Y891" i="19"/>
  <c r="Y892" i="19"/>
  <c r="Y893" i="19"/>
  <c r="Y894" i="19"/>
  <c r="Y895" i="19"/>
  <c r="Y896" i="19"/>
  <c r="Y897" i="19"/>
  <c r="Y898" i="19"/>
  <c r="Y899" i="19"/>
  <c r="Y900" i="19"/>
  <c r="Y901" i="19"/>
  <c r="Y902" i="19"/>
  <c r="Y903" i="19"/>
  <c r="Y904" i="19"/>
  <c r="Y905" i="19"/>
  <c r="Y906" i="19"/>
  <c r="Y907" i="19"/>
  <c r="Y908" i="19"/>
  <c r="Y909" i="19"/>
  <c r="Y910" i="19"/>
  <c r="Y911" i="19"/>
  <c r="Y912" i="19"/>
  <c r="Y913" i="19"/>
  <c r="Y914" i="19"/>
  <c r="Y915" i="19"/>
  <c r="Y916" i="19"/>
  <c r="Y917" i="19"/>
  <c r="Y918" i="19"/>
  <c r="Y919" i="19"/>
  <c r="Y920" i="19"/>
  <c r="Y921" i="19"/>
  <c r="Y922" i="19"/>
  <c r="Y923" i="19"/>
  <c r="Y924" i="19"/>
  <c r="Y925" i="19"/>
  <c r="Y926" i="19"/>
  <c r="Y927" i="19"/>
  <c r="Y928" i="19"/>
  <c r="Y929" i="19"/>
  <c r="Y930" i="19"/>
  <c r="Y931" i="19"/>
  <c r="Y932" i="19"/>
  <c r="Y933" i="19"/>
  <c r="Y934" i="19"/>
  <c r="Y935" i="19"/>
  <c r="Y936" i="19"/>
  <c r="Y937" i="19"/>
  <c r="Y938" i="19"/>
  <c r="Y939" i="19"/>
  <c r="Y940" i="19"/>
  <c r="Y941" i="19"/>
  <c r="Y942" i="19"/>
  <c r="Y943" i="19"/>
  <c r="Y944" i="19"/>
  <c r="Y945" i="19"/>
  <c r="Y946" i="19"/>
  <c r="Y947" i="19"/>
  <c r="Y948" i="19"/>
  <c r="Y949" i="19"/>
  <c r="Y950" i="19"/>
  <c r="Y951" i="19"/>
  <c r="Y952" i="19"/>
  <c r="Y953" i="19"/>
  <c r="Y954" i="19"/>
  <c r="Y955" i="19"/>
  <c r="Y956" i="19"/>
  <c r="Y957" i="19"/>
  <c r="Y958" i="19"/>
  <c r="Y959" i="19"/>
  <c r="Y960" i="19"/>
  <c r="Y961" i="19"/>
  <c r="Y962" i="19"/>
  <c r="Y963" i="19"/>
  <c r="Y964" i="19"/>
  <c r="Y965" i="19"/>
  <c r="Y966" i="19"/>
  <c r="Y967" i="19"/>
  <c r="Y968" i="19"/>
  <c r="Y969" i="19"/>
  <c r="Y970" i="19"/>
  <c r="Y971" i="19"/>
  <c r="Y972" i="19"/>
  <c r="Y973" i="19"/>
  <c r="Y974" i="19"/>
  <c r="Y975" i="19"/>
  <c r="Y976" i="19"/>
  <c r="Y977" i="19"/>
  <c r="Y978" i="19"/>
  <c r="Y979" i="19"/>
  <c r="Y980" i="19"/>
  <c r="Y981" i="19"/>
  <c r="Y982" i="19"/>
  <c r="Y983" i="19"/>
  <c r="Y984" i="19"/>
  <c r="Y985" i="19"/>
  <c r="Y986" i="19"/>
  <c r="Y987" i="19"/>
  <c r="Y988" i="19"/>
  <c r="Y989" i="19"/>
  <c r="Y990" i="19"/>
  <c r="Y991" i="19"/>
  <c r="Y992" i="19"/>
  <c r="Y993" i="19"/>
  <c r="Y994" i="19"/>
  <c r="Y995" i="19"/>
  <c r="Y996" i="19"/>
  <c r="Y997" i="19"/>
  <c r="Y998" i="19"/>
  <c r="Y999" i="19"/>
  <c r="Y1000" i="19"/>
  <c r="Y1001" i="19"/>
  <c r="Y1002" i="19"/>
  <c r="Y1003" i="19"/>
  <c r="Y1004" i="19"/>
  <c r="Y1005" i="19"/>
  <c r="Y1006" i="19"/>
  <c r="Y1007" i="19"/>
  <c r="Y1008" i="19"/>
  <c r="Y1009" i="19"/>
  <c r="Y1010" i="19"/>
  <c r="Y1011" i="19"/>
  <c r="Y1012" i="19"/>
  <c r="Y1013" i="19"/>
  <c r="Y1014" i="19"/>
  <c r="Y1015" i="19"/>
  <c r="Y1016" i="19"/>
  <c r="Y1017" i="19"/>
  <c r="Y1018" i="19"/>
  <c r="Y1019" i="19"/>
  <c r="Y1020" i="19"/>
  <c r="Y1021" i="19"/>
  <c r="Y1022" i="19"/>
  <c r="Y1023" i="19"/>
  <c r="Y1024" i="19"/>
  <c r="Y1025" i="19"/>
  <c r="Y1026" i="19"/>
  <c r="Y1027" i="19"/>
  <c r="Y1028" i="19"/>
  <c r="Y1029" i="19"/>
  <c r="Y1030" i="19"/>
  <c r="Y1031" i="19"/>
  <c r="Y1032" i="19"/>
  <c r="Y1033" i="19"/>
  <c r="Y1034" i="19"/>
  <c r="Y1035" i="19"/>
  <c r="Y1036" i="19"/>
  <c r="Y1037" i="19"/>
  <c r="Y1038" i="19"/>
  <c r="Y1039" i="19"/>
  <c r="Y1040" i="19"/>
  <c r="Y1041" i="19"/>
  <c r="Y1042" i="19"/>
  <c r="Y1043" i="19"/>
  <c r="Y1044" i="19"/>
  <c r="Y1045" i="19"/>
  <c r="Y1046" i="19"/>
  <c r="Y1047" i="19"/>
  <c r="Y1048" i="19"/>
  <c r="Y1049" i="19"/>
  <c r="Y1050" i="19"/>
  <c r="Y1051" i="19"/>
  <c r="Y1052" i="19"/>
  <c r="Y1053" i="19"/>
  <c r="Y1054" i="19"/>
  <c r="Y1055" i="19"/>
  <c r="Y1056" i="19"/>
  <c r="Y1057" i="19"/>
  <c r="Y1058" i="19"/>
  <c r="Y1059" i="19"/>
  <c r="Y1060" i="19"/>
  <c r="Y1061" i="19"/>
  <c r="Y1062" i="19"/>
  <c r="Y1063" i="19"/>
  <c r="Y1064" i="19"/>
  <c r="Y1065" i="19"/>
  <c r="Y1066" i="19"/>
  <c r="Y1067" i="19"/>
  <c r="Y1068" i="19"/>
  <c r="Y1069" i="19"/>
  <c r="Y1070" i="19"/>
  <c r="Y1071" i="19"/>
  <c r="Y1072" i="19"/>
  <c r="Y1073" i="19"/>
  <c r="Y1074" i="19"/>
  <c r="Y1075" i="19"/>
  <c r="Y1076" i="19"/>
  <c r="Y1077" i="19"/>
  <c r="Y1078" i="19"/>
  <c r="Y1079" i="19"/>
  <c r="Y1080" i="19"/>
  <c r="Y1081" i="19"/>
  <c r="Y1082" i="19"/>
  <c r="Y1083" i="19"/>
  <c r="Y1084" i="19"/>
  <c r="Y1085" i="19"/>
  <c r="Y1086" i="19"/>
  <c r="Y1087" i="19"/>
  <c r="Y1088" i="19"/>
  <c r="Y1089" i="19"/>
  <c r="Y1090" i="19"/>
  <c r="Y1091" i="19"/>
  <c r="Y1092" i="19"/>
  <c r="Y1093" i="19"/>
  <c r="Y1094" i="19"/>
  <c r="Y1095" i="19"/>
  <c r="Y1096" i="19"/>
  <c r="Y1097" i="19"/>
  <c r="Y1098" i="19"/>
  <c r="Y1099" i="19"/>
  <c r="Y1100" i="19"/>
  <c r="Y1101" i="19"/>
  <c r="Y1102" i="19"/>
  <c r="Y1103" i="19"/>
  <c r="Y1104" i="19"/>
  <c r="Y1105" i="19"/>
  <c r="Y1106" i="19"/>
  <c r="Y1107" i="19"/>
  <c r="Y1108" i="19"/>
  <c r="Y1109" i="19"/>
  <c r="Y1110" i="19"/>
  <c r="X11" i="19"/>
  <c r="X12" i="19"/>
  <c r="X13" i="19"/>
  <c r="X14" i="19"/>
  <c r="X15" i="19"/>
  <c r="X16" i="19"/>
  <c r="X17" i="19"/>
  <c r="X18" i="19"/>
  <c r="X19" i="19"/>
  <c r="X20" i="19"/>
  <c r="X21" i="19"/>
  <c r="X22" i="19"/>
  <c r="X23" i="19"/>
  <c r="X24" i="19"/>
  <c r="X25" i="19"/>
  <c r="X26" i="19"/>
  <c r="X27" i="19"/>
  <c r="X28" i="19"/>
  <c r="X29" i="19"/>
  <c r="X30" i="19"/>
  <c r="X31" i="19"/>
  <c r="X32" i="19"/>
  <c r="X33" i="19"/>
  <c r="X34" i="19"/>
  <c r="X35" i="19"/>
  <c r="X36" i="19"/>
  <c r="X37" i="19"/>
  <c r="X38" i="19"/>
  <c r="X39" i="19"/>
  <c r="X40" i="19"/>
  <c r="X41" i="19"/>
  <c r="X42" i="19"/>
  <c r="X43" i="19"/>
  <c r="X44" i="19"/>
  <c r="X45" i="19"/>
  <c r="X46" i="19"/>
  <c r="X47" i="19"/>
  <c r="X48" i="19"/>
  <c r="X49" i="19"/>
  <c r="X50" i="19"/>
  <c r="X51" i="19"/>
  <c r="X52" i="19"/>
  <c r="X53" i="19"/>
  <c r="X54" i="19"/>
  <c r="X55" i="19"/>
  <c r="X56" i="19"/>
  <c r="X57" i="19"/>
  <c r="X58" i="19"/>
  <c r="X59" i="19"/>
  <c r="X60" i="19"/>
  <c r="X61" i="19"/>
  <c r="X62" i="19"/>
  <c r="X63" i="19"/>
  <c r="X64" i="19"/>
  <c r="X65" i="19"/>
  <c r="X66" i="19"/>
  <c r="X67" i="19"/>
  <c r="X68" i="19"/>
  <c r="X69" i="19"/>
  <c r="X70" i="19"/>
  <c r="X71" i="19"/>
  <c r="X72" i="19"/>
  <c r="X73" i="19"/>
  <c r="X74" i="19"/>
  <c r="X75" i="19"/>
  <c r="X76" i="19"/>
  <c r="X77" i="19"/>
  <c r="X78" i="19"/>
  <c r="X79" i="19"/>
  <c r="X80" i="19"/>
  <c r="X81" i="19"/>
  <c r="X82" i="19"/>
  <c r="X83" i="19"/>
  <c r="X84" i="19"/>
  <c r="X85" i="19"/>
  <c r="X86" i="19"/>
  <c r="X87" i="19"/>
  <c r="X88" i="19"/>
  <c r="X89" i="19"/>
  <c r="X90" i="19"/>
  <c r="X91" i="19"/>
  <c r="X92" i="19"/>
  <c r="X93" i="19"/>
  <c r="X94" i="19"/>
  <c r="X95" i="19"/>
  <c r="X96" i="19"/>
  <c r="X97" i="19"/>
  <c r="X98" i="19"/>
  <c r="X99" i="19"/>
  <c r="X100" i="19"/>
  <c r="X101" i="19"/>
  <c r="X102" i="19"/>
  <c r="X103" i="19"/>
  <c r="X104" i="19"/>
  <c r="X105" i="19"/>
  <c r="X106" i="19"/>
  <c r="X107" i="19"/>
  <c r="X108" i="19"/>
  <c r="X109" i="19"/>
  <c r="X110" i="19"/>
  <c r="X111" i="19"/>
  <c r="X112" i="19"/>
  <c r="X113" i="19"/>
  <c r="X114" i="19"/>
  <c r="X115" i="19"/>
  <c r="X116" i="19"/>
  <c r="X117" i="19"/>
  <c r="X118" i="19"/>
  <c r="X119" i="19"/>
  <c r="X120" i="19"/>
  <c r="X121" i="19"/>
  <c r="X122" i="19"/>
  <c r="X123" i="19"/>
  <c r="X124" i="19"/>
  <c r="X125" i="19"/>
  <c r="X126" i="19"/>
  <c r="X127" i="19"/>
  <c r="X128" i="19"/>
  <c r="X129" i="19"/>
  <c r="X130" i="19"/>
  <c r="X131" i="19"/>
  <c r="X132" i="19"/>
  <c r="X133" i="19"/>
  <c r="X134" i="19"/>
  <c r="X135" i="19"/>
  <c r="X136" i="19"/>
  <c r="X137" i="19"/>
  <c r="X138" i="19"/>
  <c r="X139" i="19"/>
  <c r="X140" i="19"/>
  <c r="X141" i="19"/>
  <c r="X142" i="19"/>
  <c r="X143" i="19"/>
  <c r="X144" i="19"/>
  <c r="X145" i="19"/>
  <c r="X146" i="19"/>
  <c r="X147" i="19"/>
  <c r="X148" i="19"/>
  <c r="X149" i="19"/>
  <c r="X150" i="19"/>
  <c r="X151" i="19"/>
  <c r="X152" i="19"/>
  <c r="X153" i="19"/>
  <c r="X154" i="19"/>
  <c r="X155" i="19"/>
  <c r="X156" i="19"/>
  <c r="X157" i="19"/>
  <c r="X158" i="19"/>
  <c r="X159" i="19"/>
  <c r="X160" i="19"/>
  <c r="X161" i="19"/>
  <c r="X162" i="19"/>
  <c r="X163" i="19"/>
  <c r="X164" i="19"/>
  <c r="X165" i="19"/>
  <c r="X166" i="19"/>
  <c r="X167" i="19"/>
  <c r="X168" i="19"/>
  <c r="X169" i="19"/>
  <c r="X170" i="19"/>
  <c r="X171" i="19"/>
  <c r="X172" i="19"/>
  <c r="X173" i="19"/>
  <c r="X174" i="19"/>
  <c r="X175" i="19"/>
  <c r="X176" i="19"/>
  <c r="X177" i="19"/>
  <c r="X178" i="19"/>
  <c r="X179" i="19"/>
  <c r="X180" i="19"/>
  <c r="X181" i="19"/>
  <c r="X182" i="19"/>
  <c r="X183" i="19"/>
  <c r="X184" i="19"/>
  <c r="X185" i="19"/>
  <c r="X186" i="19"/>
  <c r="X187" i="19"/>
  <c r="X188" i="19"/>
  <c r="X189" i="19"/>
  <c r="X190" i="19"/>
  <c r="X191" i="19"/>
  <c r="X192" i="19"/>
  <c r="X193" i="19"/>
  <c r="X194" i="19"/>
  <c r="X195" i="19"/>
  <c r="X196" i="19"/>
  <c r="X197" i="19"/>
  <c r="X198" i="19"/>
  <c r="X199" i="19"/>
  <c r="X200" i="19"/>
  <c r="X201" i="19"/>
  <c r="X202" i="19"/>
  <c r="X203" i="19"/>
  <c r="X204" i="19"/>
  <c r="X205" i="19"/>
  <c r="X206" i="19"/>
  <c r="X207" i="19"/>
  <c r="X208" i="19"/>
  <c r="X209" i="19"/>
  <c r="X210" i="19"/>
  <c r="X211" i="19"/>
  <c r="X212" i="19"/>
  <c r="X213" i="19"/>
  <c r="X214" i="19"/>
  <c r="X215" i="19"/>
  <c r="X216" i="19"/>
  <c r="X217" i="19"/>
  <c r="X218" i="19"/>
  <c r="X219" i="19"/>
  <c r="X220" i="19"/>
  <c r="X221" i="19"/>
  <c r="X222" i="19"/>
  <c r="X223" i="19"/>
  <c r="X224" i="19"/>
  <c r="X225" i="19"/>
  <c r="X226" i="19"/>
  <c r="X227" i="19"/>
  <c r="X228" i="19"/>
  <c r="X229" i="19"/>
  <c r="X230" i="19"/>
  <c r="X231" i="19"/>
  <c r="X232" i="19"/>
  <c r="X233" i="19"/>
  <c r="X234" i="19"/>
  <c r="X235" i="19"/>
  <c r="X236" i="19"/>
  <c r="X237" i="19"/>
  <c r="X238" i="19"/>
  <c r="X239" i="19"/>
  <c r="X240" i="19"/>
  <c r="X241" i="19"/>
  <c r="X242" i="19"/>
  <c r="X243" i="19"/>
  <c r="X244" i="19"/>
  <c r="X245" i="19"/>
  <c r="X246" i="19"/>
  <c r="X247" i="19"/>
  <c r="X248" i="19"/>
  <c r="X249" i="19"/>
  <c r="X250" i="19"/>
  <c r="X251" i="19"/>
  <c r="X252" i="19"/>
  <c r="X253" i="19"/>
  <c r="X254" i="19"/>
  <c r="X255" i="19"/>
  <c r="X256" i="19"/>
  <c r="X257" i="19"/>
  <c r="X258" i="19"/>
  <c r="X259" i="19"/>
  <c r="X260" i="19"/>
  <c r="X261" i="19"/>
  <c r="X262" i="19"/>
  <c r="X263" i="19"/>
  <c r="X264" i="19"/>
  <c r="X265" i="19"/>
  <c r="X266" i="19"/>
  <c r="X267" i="19"/>
  <c r="X268" i="19"/>
  <c r="X269" i="19"/>
  <c r="X270" i="19"/>
  <c r="X271" i="19"/>
  <c r="X272" i="19"/>
  <c r="X273" i="19"/>
  <c r="X274" i="19"/>
  <c r="X275" i="19"/>
  <c r="X276" i="19"/>
  <c r="X277" i="19"/>
  <c r="X278" i="19"/>
  <c r="X279" i="19"/>
  <c r="X280" i="19"/>
  <c r="X281" i="19"/>
  <c r="X282" i="19"/>
  <c r="X283" i="19"/>
  <c r="X284" i="19"/>
  <c r="X285" i="19"/>
  <c r="X286" i="19"/>
  <c r="X287" i="19"/>
  <c r="X288" i="19"/>
  <c r="X289" i="19"/>
  <c r="X290" i="19"/>
  <c r="X291" i="19"/>
  <c r="X292" i="19"/>
  <c r="X293" i="19"/>
  <c r="X294" i="19"/>
  <c r="X295" i="19"/>
  <c r="X296" i="19"/>
  <c r="X297" i="19"/>
  <c r="X298" i="19"/>
  <c r="X299" i="19"/>
  <c r="X300" i="19"/>
  <c r="X301" i="19"/>
  <c r="X302" i="19"/>
  <c r="X303" i="19"/>
  <c r="X304" i="19"/>
  <c r="X305" i="19"/>
  <c r="X306" i="19"/>
  <c r="X307" i="19"/>
  <c r="X308" i="19"/>
  <c r="X309" i="19"/>
  <c r="X310" i="19"/>
  <c r="X311" i="19"/>
  <c r="X312" i="19"/>
  <c r="X313" i="19"/>
  <c r="X314" i="19"/>
  <c r="X315" i="19"/>
  <c r="X316" i="19"/>
  <c r="X317" i="19"/>
  <c r="X318" i="19"/>
  <c r="X319" i="19"/>
  <c r="X320" i="19"/>
  <c r="X321" i="19"/>
  <c r="X322" i="19"/>
  <c r="X323" i="19"/>
  <c r="X324" i="19"/>
  <c r="X325" i="19"/>
  <c r="X326" i="19"/>
  <c r="X327" i="19"/>
  <c r="X328" i="19"/>
  <c r="X329" i="19"/>
  <c r="X330" i="19"/>
  <c r="X331" i="19"/>
  <c r="X332" i="19"/>
  <c r="X333" i="19"/>
  <c r="X334" i="19"/>
  <c r="X335" i="19"/>
  <c r="X336" i="19"/>
  <c r="X337" i="19"/>
  <c r="X338" i="19"/>
  <c r="X339" i="19"/>
  <c r="X340" i="19"/>
  <c r="X341" i="19"/>
  <c r="X342" i="19"/>
  <c r="X343" i="19"/>
  <c r="X344" i="19"/>
  <c r="X345" i="19"/>
  <c r="X346" i="19"/>
  <c r="X347" i="19"/>
  <c r="X348" i="19"/>
  <c r="X349" i="19"/>
  <c r="X350" i="19"/>
  <c r="X351" i="19"/>
  <c r="X352" i="19"/>
  <c r="X353" i="19"/>
  <c r="X354" i="19"/>
  <c r="X355" i="19"/>
  <c r="X356" i="19"/>
  <c r="X357" i="19"/>
  <c r="X358" i="19"/>
  <c r="X359" i="19"/>
  <c r="X360" i="19"/>
  <c r="X361" i="19"/>
  <c r="X362" i="19"/>
  <c r="X363" i="19"/>
  <c r="X364" i="19"/>
  <c r="X365" i="19"/>
  <c r="X366" i="19"/>
  <c r="X367" i="19"/>
  <c r="X368" i="19"/>
  <c r="X369" i="19"/>
  <c r="X370" i="19"/>
  <c r="X371" i="19"/>
  <c r="X372" i="19"/>
  <c r="X373" i="19"/>
  <c r="X374" i="19"/>
  <c r="X375" i="19"/>
  <c r="X376" i="19"/>
  <c r="X377" i="19"/>
  <c r="X378" i="19"/>
  <c r="X379" i="19"/>
  <c r="X380" i="19"/>
  <c r="X381" i="19"/>
  <c r="X382" i="19"/>
  <c r="X383" i="19"/>
  <c r="X384" i="19"/>
  <c r="X385" i="19"/>
  <c r="X386" i="19"/>
  <c r="X387" i="19"/>
  <c r="X388" i="19"/>
  <c r="X389" i="19"/>
  <c r="X390" i="19"/>
  <c r="X391" i="19"/>
  <c r="X392" i="19"/>
  <c r="X393" i="19"/>
  <c r="X394" i="19"/>
  <c r="X395" i="19"/>
  <c r="X396" i="19"/>
  <c r="X397" i="19"/>
  <c r="X398" i="19"/>
  <c r="X399" i="19"/>
  <c r="X400" i="19"/>
  <c r="X401" i="19"/>
  <c r="X402" i="19"/>
  <c r="X403" i="19"/>
  <c r="X404" i="19"/>
  <c r="X405" i="19"/>
  <c r="X406" i="19"/>
  <c r="X407" i="19"/>
  <c r="X408" i="19"/>
  <c r="X409" i="19"/>
  <c r="X410" i="19"/>
  <c r="X411" i="19"/>
  <c r="X412" i="19"/>
  <c r="X413" i="19"/>
  <c r="X414" i="19"/>
  <c r="X415" i="19"/>
  <c r="X416" i="19"/>
  <c r="X417" i="19"/>
  <c r="X418" i="19"/>
  <c r="X419" i="19"/>
  <c r="X420" i="19"/>
  <c r="X421" i="19"/>
  <c r="X422" i="19"/>
  <c r="X423" i="19"/>
  <c r="X424" i="19"/>
  <c r="X425" i="19"/>
  <c r="X426" i="19"/>
  <c r="X427" i="19"/>
  <c r="X428" i="19"/>
  <c r="X429" i="19"/>
  <c r="X430" i="19"/>
  <c r="X431" i="19"/>
  <c r="X432" i="19"/>
  <c r="X433" i="19"/>
  <c r="X434" i="19"/>
  <c r="X435" i="19"/>
  <c r="X436" i="19"/>
  <c r="X437" i="19"/>
  <c r="X438" i="19"/>
  <c r="X439" i="19"/>
  <c r="X440" i="19"/>
  <c r="X441" i="19"/>
  <c r="X442" i="19"/>
  <c r="X443" i="19"/>
  <c r="X444" i="19"/>
  <c r="X445" i="19"/>
  <c r="X446" i="19"/>
  <c r="X447" i="19"/>
  <c r="X448" i="19"/>
  <c r="X449" i="19"/>
  <c r="X450" i="19"/>
  <c r="X451" i="19"/>
  <c r="X452" i="19"/>
  <c r="X453" i="19"/>
  <c r="X454" i="19"/>
  <c r="X455" i="19"/>
  <c r="X456" i="19"/>
  <c r="X457" i="19"/>
  <c r="X458" i="19"/>
  <c r="X459" i="19"/>
  <c r="X460" i="19"/>
  <c r="X461" i="19"/>
  <c r="X462" i="19"/>
  <c r="X463" i="19"/>
  <c r="X464" i="19"/>
  <c r="X465" i="19"/>
  <c r="X466" i="19"/>
  <c r="X467" i="19"/>
  <c r="X468" i="19"/>
  <c r="X469" i="19"/>
  <c r="X470" i="19"/>
  <c r="X471" i="19"/>
  <c r="X472" i="19"/>
  <c r="X473" i="19"/>
  <c r="X474" i="19"/>
  <c r="X475" i="19"/>
  <c r="X476" i="19"/>
  <c r="X477" i="19"/>
  <c r="X478" i="19"/>
  <c r="X479" i="19"/>
  <c r="X480" i="19"/>
  <c r="X481" i="19"/>
  <c r="X482" i="19"/>
  <c r="X483" i="19"/>
  <c r="X484" i="19"/>
  <c r="X485" i="19"/>
  <c r="X486" i="19"/>
  <c r="X487" i="19"/>
  <c r="X488" i="19"/>
  <c r="X489" i="19"/>
  <c r="X490" i="19"/>
  <c r="X491" i="19"/>
  <c r="X492" i="19"/>
  <c r="X493" i="19"/>
  <c r="X494" i="19"/>
  <c r="X495" i="19"/>
  <c r="X496" i="19"/>
  <c r="X497" i="19"/>
  <c r="X498" i="19"/>
  <c r="X499" i="19"/>
  <c r="X500" i="19"/>
  <c r="X501" i="19"/>
  <c r="X502" i="19"/>
  <c r="X503" i="19"/>
  <c r="X504" i="19"/>
  <c r="X505" i="19"/>
  <c r="X506" i="19"/>
  <c r="X507" i="19"/>
  <c r="X508" i="19"/>
  <c r="X509" i="19"/>
  <c r="X510" i="19"/>
  <c r="X511" i="19"/>
  <c r="X512" i="19"/>
  <c r="X513" i="19"/>
  <c r="X514" i="19"/>
  <c r="X515" i="19"/>
  <c r="X516" i="19"/>
  <c r="X517" i="19"/>
  <c r="X518" i="19"/>
  <c r="X519" i="19"/>
  <c r="X520" i="19"/>
  <c r="X521" i="19"/>
  <c r="X522" i="19"/>
  <c r="X523" i="19"/>
  <c r="X524" i="19"/>
  <c r="X525" i="19"/>
  <c r="X526" i="19"/>
  <c r="X527" i="19"/>
  <c r="X528" i="19"/>
  <c r="X529" i="19"/>
  <c r="X530" i="19"/>
  <c r="X531" i="19"/>
  <c r="X532" i="19"/>
  <c r="X533" i="19"/>
  <c r="X534" i="19"/>
  <c r="X535" i="19"/>
  <c r="X536" i="19"/>
  <c r="X537" i="19"/>
  <c r="X538" i="19"/>
  <c r="X539" i="19"/>
  <c r="X540" i="19"/>
  <c r="X541" i="19"/>
  <c r="X542" i="19"/>
  <c r="X543" i="19"/>
  <c r="X544" i="19"/>
  <c r="X545" i="19"/>
  <c r="X546" i="19"/>
  <c r="X547" i="19"/>
  <c r="X548" i="19"/>
  <c r="X549" i="19"/>
  <c r="X550" i="19"/>
  <c r="X551" i="19"/>
  <c r="X552" i="19"/>
  <c r="X553" i="19"/>
  <c r="X554" i="19"/>
  <c r="X555" i="19"/>
  <c r="X556" i="19"/>
  <c r="X557" i="19"/>
  <c r="X558" i="19"/>
  <c r="X559" i="19"/>
  <c r="X560" i="19"/>
  <c r="X561" i="19"/>
  <c r="X562" i="19"/>
  <c r="X563" i="19"/>
  <c r="X564" i="19"/>
  <c r="X565" i="19"/>
  <c r="X566" i="19"/>
  <c r="X567" i="19"/>
  <c r="X568" i="19"/>
  <c r="X569" i="19"/>
  <c r="X570" i="19"/>
  <c r="X571" i="19"/>
  <c r="X572" i="19"/>
  <c r="X573" i="19"/>
  <c r="X574" i="19"/>
  <c r="X575" i="19"/>
  <c r="X576" i="19"/>
  <c r="X577" i="19"/>
  <c r="X578" i="19"/>
  <c r="X579" i="19"/>
  <c r="X580" i="19"/>
  <c r="X581" i="19"/>
  <c r="X582" i="19"/>
  <c r="X583" i="19"/>
  <c r="X584" i="19"/>
  <c r="X585" i="19"/>
  <c r="X586" i="19"/>
  <c r="X587" i="19"/>
  <c r="X588" i="19"/>
  <c r="X589" i="19"/>
  <c r="X590" i="19"/>
  <c r="X591" i="19"/>
  <c r="X592" i="19"/>
  <c r="X593" i="19"/>
  <c r="X594" i="19"/>
  <c r="X595" i="19"/>
  <c r="X596" i="19"/>
  <c r="X597" i="19"/>
  <c r="X598" i="19"/>
  <c r="X599" i="19"/>
  <c r="X600" i="19"/>
  <c r="X601" i="19"/>
  <c r="X602" i="19"/>
  <c r="X603" i="19"/>
  <c r="X604" i="19"/>
  <c r="X605" i="19"/>
  <c r="X606" i="19"/>
  <c r="X607" i="19"/>
  <c r="X608" i="19"/>
  <c r="X609" i="19"/>
  <c r="X610" i="19"/>
  <c r="X611" i="19"/>
  <c r="X612" i="19"/>
  <c r="X613" i="19"/>
  <c r="X614" i="19"/>
  <c r="X615" i="19"/>
  <c r="X616" i="19"/>
  <c r="X617" i="19"/>
  <c r="X618" i="19"/>
  <c r="X619" i="19"/>
  <c r="X620" i="19"/>
  <c r="X621" i="19"/>
  <c r="X622" i="19"/>
  <c r="X623" i="19"/>
  <c r="X624" i="19"/>
  <c r="X625" i="19"/>
  <c r="X626" i="19"/>
  <c r="X627" i="19"/>
  <c r="X628" i="19"/>
  <c r="X629" i="19"/>
  <c r="X630" i="19"/>
  <c r="X631" i="19"/>
  <c r="X632" i="19"/>
  <c r="X633" i="19"/>
  <c r="X634" i="19"/>
  <c r="X635" i="19"/>
  <c r="X636" i="19"/>
  <c r="X637" i="19"/>
  <c r="X638" i="19"/>
  <c r="X639" i="19"/>
  <c r="X640" i="19"/>
  <c r="X641" i="19"/>
  <c r="X642" i="19"/>
  <c r="X643" i="19"/>
  <c r="X644" i="19"/>
  <c r="X645" i="19"/>
  <c r="X646" i="19"/>
  <c r="X647" i="19"/>
  <c r="X648" i="19"/>
  <c r="X649" i="19"/>
  <c r="X650" i="19"/>
  <c r="X651" i="19"/>
  <c r="X652" i="19"/>
  <c r="X653" i="19"/>
  <c r="X654" i="19"/>
  <c r="X655" i="19"/>
  <c r="X656" i="19"/>
  <c r="X657" i="19"/>
  <c r="X658" i="19"/>
  <c r="X659" i="19"/>
  <c r="X660" i="19"/>
  <c r="X661" i="19"/>
  <c r="X662" i="19"/>
  <c r="X663" i="19"/>
  <c r="X664" i="19"/>
  <c r="X665" i="19"/>
  <c r="X666" i="19"/>
  <c r="X667" i="19"/>
  <c r="X668" i="19"/>
  <c r="X669" i="19"/>
  <c r="X670" i="19"/>
  <c r="X671" i="19"/>
  <c r="X672" i="19"/>
  <c r="X673" i="19"/>
  <c r="X674" i="19"/>
  <c r="X675" i="19"/>
  <c r="X676" i="19"/>
  <c r="X677" i="19"/>
  <c r="X678" i="19"/>
  <c r="X679" i="19"/>
  <c r="X680" i="19"/>
  <c r="X681" i="19"/>
  <c r="X682" i="19"/>
  <c r="X683" i="19"/>
  <c r="X684" i="19"/>
  <c r="X685" i="19"/>
  <c r="X686" i="19"/>
  <c r="X687" i="19"/>
  <c r="X688" i="19"/>
  <c r="X689" i="19"/>
  <c r="X690" i="19"/>
  <c r="X691" i="19"/>
  <c r="X692" i="19"/>
  <c r="X693" i="19"/>
  <c r="X694" i="19"/>
  <c r="X695" i="19"/>
  <c r="X696" i="19"/>
  <c r="X697" i="19"/>
  <c r="X698" i="19"/>
  <c r="X699" i="19"/>
  <c r="X700" i="19"/>
  <c r="X701" i="19"/>
  <c r="X702" i="19"/>
  <c r="X703" i="19"/>
  <c r="X704" i="19"/>
  <c r="X705" i="19"/>
  <c r="X706" i="19"/>
  <c r="X707" i="19"/>
  <c r="X708" i="19"/>
  <c r="X709" i="19"/>
  <c r="X710" i="19"/>
  <c r="X711" i="19"/>
  <c r="X712" i="19"/>
  <c r="X713" i="19"/>
  <c r="X714" i="19"/>
  <c r="X715" i="19"/>
  <c r="X716" i="19"/>
  <c r="X717" i="19"/>
  <c r="X718" i="19"/>
  <c r="X719" i="19"/>
  <c r="X720" i="19"/>
  <c r="X721" i="19"/>
  <c r="X722" i="19"/>
  <c r="X723" i="19"/>
  <c r="X724" i="19"/>
  <c r="X725" i="19"/>
  <c r="X726" i="19"/>
  <c r="X727" i="19"/>
  <c r="X728" i="19"/>
  <c r="X729" i="19"/>
  <c r="X730" i="19"/>
  <c r="X731" i="19"/>
  <c r="X732" i="19"/>
  <c r="X733" i="19"/>
  <c r="X734" i="19"/>
  <c r="X735" i="19"/>
  <c r="X736" i="19"/>
  <c r="X737" i="19"/>
  <c r="X738" i="19"/>
  <c r="X739" i="19"/>
  <c r="X740" i="19"/>
  <c r="X741" i="19"/>
  <c r="X742" i="19"/>
  <c r="X743" i="19"/>
  <c r="X744" i="19"/>
  <c r="X745" i="19"/>
  <c r="X746" i="19"/>
  <c r="X747" i="19"/>
  <c r="X748" i="19"/>
  <c r="X749" i="19"/>
  <c r="X750" i="19"/>
  <c r="X751" i="19"/>
  <c r="X752" i="19"/>
  <c r="X753" i="19"/>
  <c r="X754" i="19"/>
  <c r="X755" i="19"/>
  <c r="X756" i="19"/>
  <c r="X757" i="19"/>
  <c r="X758" i="19"/>
  <c r="X759" i="19"/>
  <c r="X760" i="19"/>
  <c r="X761" i="19"/>
  <c r="X762" i="19"/>
  <c r="X763" i="19"/>
  <c r="X764" i="19"/>
  <c r="X765" i="19"/>
  <c r="X766" i="19"/>
  <c r="X767" i="19"/>
  <c r="X768" i="19"/>
  <c r="X769" i="19"/>
  <c r="X770" i="19"/>
  <c r="X771" i="19"/>
  <c r="X772" i="19"/>
  <c r="X773" i="19"/>
  <c r="X774" i="19"/>
  <c r="X775" i="19"/>
  <c r="X776" i="19"/>
  <c r="X777" i="19"/>
  <c r="X778" i="19"/>
  <c r="X779" i="19"/>
  <c r="X780" i="19"/>
  <c r="X781" i="19"/>
  <c r="X782" i="19"/>
  <c r="X783" i="19"/>
  <c r="X784" i="19"/>
  <c r="X785" i="19"/>
  <c r="X786" i="19"/>
  <c r="X787" i="19"/>
  <c r="X788" i="19"/>
  <c r="X789" i="19"/>
  <c r="X790" i="19"/>
  <c r="X791" i="19"/>
  <c r="X792" i="19"/>
  <c r="X793" i="19"/>
  <c r="X794" i="19"/>
  <c r="X795" i="19"/>
  <c r="X796" i="19"/>
  <c r="X797" i="19"/>
  <c r="X798" i="19"/>
  <c r="X799" i="19"/>
  <c r="X800" i="19"/>
  <c r="X801" i="19"/>
  <c r="X802" i="19"/>
  <c r="X803" i="19"/>
  <c r="X804" i="19"/>
  <c r="X805" i="19"/>
  <c r="X806" i="19"/>
  <c r="X807" i="19"/>
  <c r="X808" i="19"/>
  <c r="X809" i="19"/>
  <c r="X810" i="19"/>
  <c r="X811" i="19"/>
  <c r="X812" i="19"/>
  <c r="X813" i="19"/>
  <c r="X814" i="19"/>
  <c r="X815" i="19"/>
  <c r="X816" i="19"/>
  <c r="X817" i="19"/>
  <c r="X818" i="19"/>
  <c r="X819" i="19"/>
  <c r="X820" i="19"/>
  <c r="X821" i="19"/>
  <c r="X822" i="19"/>
  <c r="X823" i="19"/>
  <c r="X824" i="19"/>
  <c r="X825" i="19"/>
  <c r="X826" i="19"/>
  <c r="X827" i="19"/>
  <c r="X828" i="19"/>
  <c r="X829" i="19"/>
  <c r="X830" i="19"/>
  <c r="X831" i="19"/>
  <c r="X832" i="19"/>
  <c r="X833" i="19"/>
  <c r="X834" i="19"/>
  <c r="X835" i="19"/>
  <c r="X836" i="19"/>
  <c r="X837" i="19"/>
  <c r="X838" i="19"/>
  <c r="X839" i="19"/>
  <c r="X840" i="19"/>
  <c r="X841" i="19"/>
  <c r="X842" i="19"/>
  <c r="X843" i="19"/>
  <c r="X844" i="19"/>
  <c r="X845" i="19"/>
  <c r="X846" i="19"/>
  <c r="X847" i="19"/>
  <c r="X848" i="19"/>
  <c r="X849" i="19"/>
  <c r="X850" i="19"/>
  <c r="X851" i="19"/>
  <c r="X852" i="19"/>
  <c r="X853" i="19"/>
  <c r="X854" i="19"/>
  <c r="X855" i="19"/>
  <c r="X856" i="19"/>
  <c r="X857" i="19"/>
  <c r="X858" i="19"/>
  <c r="X859" i="19"/>
  <c r="X860" i="19"/>
  <c r="X861" i="19"/>
  <c r="X862" i="19"/>
  <c r="X863" i="19"/>
  <c r="X864" i="19"/>
  <c r="X865" i="19"/>
  <c r="X866" i="19"/>
  <c r="X867" i="19"/>
  <c r="X868" i="19"/>
  <c r="X869" i="19"/>
  <c r="X870" i="19"/>
  <c r="X871" i="19"/>
  <c r="X872" i="19"/>
  <c r="X873" i="19"/>
  <c r="X874" i="19"/>
  <c r="X875" i="19"/>
  <c r="X876" i="19"/>
  <c r="X877" i="19"/>
  <c r="X878" i="19"/>
  <c r="X879" i="19"/>
  <c r="X880" i="19"/>
  <c r="X881" i="19"/>
  <c r="X882" i="19"/>
  <c r="X883" i="19"/>
  <c r="X884" i="19"/>
  <c r="X885" i="19"/>
  <c r="X886" i="19"/>
  <c r="X887" i="19"/>
  <c r="X888" i="19"/>
  <c r="X889" i="19"/>
  <c r="X890" i="19"/>
  <c r="X891" i="19"/>
  <c r="X892" i="19"/>
  <c r="X893" i="19"/>
  <c r="X894" i="19"/>
  <c r="X895" i="19"/>
  <c r="X896" i="19"/>
  <c r="X897" i="19"/>
  <c r="X898" i="19"/>
  <c r="X899" i="19"/>
  <c r="X900" i="19"/>
  <c r="X901" i="19"/>
  <c r="X902" i="19"/>
  <c r="X903" i="19"/>
  <c r="X904" i="19"/>
  <c r="X905" i="19"/>
  <c r="X906" i="19"/>
  <c r="X907" i="19"/>
  <c r="X908" i="19"/>
  <c r="X909" i="19"/>
  <c r="X910" i="19"/>
  <c r="X911" i="19"/>
  <c r="X912" i="19"/>
  <c r="X913" i="19"/>
  <c r="X914" i="19"/>
  <c r="X915" i="19"/>
  <c r="X916" i="19"/>
  <c r="X917" i="19"/>
  <c r="X918" i="19"/>
  <c r="X919" i="19"/>
  <c r="X920" i="19"/>
  <c r="X921" i="19"/>
  <c r="X922" i="19"/>
  <c r="X923" i="19"/>
  <c r="X924" i="19"/>
  <c r="X925" i="19"/>
  <c r="X926" i="19"/>
  <c r="X927" i="19"/>
  <c r="X928" i="19"/>
  <c r="X929" i="19"/>
  <c r="X930" i="19"/>
  <c r="X931" i="19"/>
  <c r="X932" i="19"/>
  <c r="X933" i="19"/>
  <c r="X934" i="19"/>
  <c r="X935" i="19"/>
  <c r="X936" i="19"/>
  <c r="X937" i="19"/>
  <c r="X938" i="19"/>
  <c r="X939" i="19"/>
  <c r="X940" i="19"/>
  <c r="X941" i="19"/>
  <c r="X942" i="19"/>
  <c r="X943" i="19"/>
  <c r="X944" i="19"/>
  <c r="X945" i="19"/>
  <c r="X946" i="19"/>
  <c r="X947" i="19"/>
  <c r="X948" i="19"/>
  <c r="X949" i="19"/>
  <c r="X950" i="19"/>
  <c r="X951" i="19"/>
  <c r="X952" i="19"/>
  <c r="X953" i="19"/>
  <c r="X954" i="19"/>
  <c r="X955" i="19"/>
  <c r="X956" i="19"/>
  <c r="X957" i="19"/>
  <c r="X958" i="19"/>
  <c r="X959" i="19"/>
  <c r="X960" i="19"/>
  <c r="X961" i="19"/>
  <c r="X962" i="19"/>
  <c r="X963" i="19"/>
  <c r="X964" i="19"/>
  <c r="X965" i="19"/>
  <c r="X966" i="19"/>
  <c r="X967" i="19"/>
  <c r="X968" i="19"/>
  <c r="X969" i="19"/>
  <c r="X970" i="19"/>
  <c r="X971" i="19"/>
  <c r="X972" i="19"/>
  <c r="X973" i="19"/>
  <c r="X974" i="19"/>
  <c r="X975" i="19"/>
  <c r="X976" i="19"/>
  <c r="X977" i="19"/>
  <c r="X978" i="19"/>
  <c r="X979" i="19"/>
  <c r="X980" i="19"/>
  <c r="X981" i="19"/>
  <c r="X982" i="19"/>
  <c r="X983" i="19"/>
  <c r="X984" i="19"/>
  <c r="X985" i="19"/>
  <c r="X986" i="19"/>
  <c r="X987" i="19"/>
  <c r="X988" i="19"/>
  <c r="X989" i="19"/>
  <c r="X990" i="19"/>
  <c r="X991" i="19"/>
  <c r="X992" i="19"/>
  <c r="X993" i="19"/>
  <c r="X994" i="19"/>
  <c r="X995" i="19"/>
  <c r="X996" i="19"/>
  <c r="X997" i="19"/>
  <c r="X998" i="19"/>
  <c r="X999" i="19"/>
  <c r="X1000" i="19"/>
  <c r="X1001" i="19"/>
  <c r="X1002" i="19"/>
  <c r="X1003" i="19"/>
  <c r="X1004" i="19"/>
  <c r="X1005" i="19"/>
  <c r="X1006" i="19"/>
  <c r="X1007" i="19"/>
  <c r="X1008" i="19"/>
  <c r="X1009" i="19"/>
  <c r="X1010" i="19"/>
  <c r="X1011" i="19"/>
  <c r="X1012" i="19"/>
  <c r="X1013" i="19"/>
  <c r="X1014" i="19"/>
  <c r="X1015" i="19"/>
  <c r="X1016" i="19"/>
  <c r="X1017" i="19"/>
  <c r="X1018" i="19"/>
  <c r="X1019" i="19"/>
  <c r="X1020" i="19"/>
  <c r="X1021" i="19"/>
  <c r="X1022" i="19"/>
  <c r="X1023" i="19"/>
  <c r="X1024" i="19"/>
  <c r="X1025" i="19"/>
  <c r="X1026" i="19"/>
  <c r="X1027" i="19"/>
  <c r="X1028" i="19"/>
  <c r="X1029" i="19"/>
  <c r="X1030" i="19"/>
  <c r="X1031" i="19"/>
  <c r="X1032" i="19"/>
  <c r="X1033" i="19"/>
  <c r="X1034" i="19"/>
  <c r="X1035" i="19"/>
  <c r="X1036" i="19"/>
  <c r="X1037" i="19"/>
  <c r="X1038" i="19"/>
  <c r="X1039" i="19"/>
  <c r="X1040" i="19"/>
  <c r="X1041" i="19"/>
  <c r="X1042" i="19"/>
  <c r="X1043" i="19"/>
  <c r="X1044" i="19"/>
  <c r="X1045" i="19"/>
  <c r="X1046" i="19"/>
  <c r="X1047" i="19"/>
  <c r="X1048" i="19"/>
  <c r="X1049" i="19"/>
  <c r="X1050" i="19"/>
  <c r="X1051" i="19"/>
  <c r="X1052" i="19"/>
  <c r="X1053" i="19"/>
  <c r="X1054" i="19"/>
  <c r="X1055" i="19"/>
  <c r="X1056" i="19"/>
  <c r="X1057" i="19"/>
  <c r="X1058" i="19"/>
  <c r="X1059" i="19"/>
  <c r="X1060" i="19"/>
  <c r="X1061" i="19"/>
  <c r="X1062" i="19"/>
  <c r="X1063" i="19"/>
  <c r="X1064" i="19"/>
  <c r="X1065" i="19"/>
  <c r="X1066" i="19"/>
  <c r="X1067" i="19"/>
  <c r="X1068" i="19"/>
  <c r="X1069" i="19"/>
  <c r="X1070" i="19"/>
  <c r="X1071" i="19"/>
  <c r="X1072" i="19"/>
  <c r="X1073" i="19"/>
  <c r="X1074" i="19"/>
  <c r="X1075" i="19"/>
  <c r="X1076" i="19"/>
  <c r="X1077" i="19"/>
  <c r="X1078" i="19"/>
  <c r="X1079" i="19"/>
  <c r="X1080" i="19"/>
  <c r="X1081" i="19"/>
  <c r="X1082" i="19"/>
  <c r="X1083" i="19"/>
  <c r="X1084" i="19"/>
  <c r="X1085" i="19"/>
  <c r="X1086" i="19"/>
  <c r="X1087" i="19"/>
  <c r="X1088" i="19"/>
  <c r="X1089" i="19"/>
  <c r="X1090" i="19"/>
  <c r="X1091" i="19"/>
  <c r="X1092" i="19"/>
  <c r="X1093" i="19"/>
  <c r="X1094" i="19"/>
  <c r="X1095" i="19"/>
  <c r="X1096" i="19"/>
  <c r="X1097" i="19"/>
  <c r="X1098" i="19"/>
  <c r="X1099" i="19"/>
  <c r="X1100" i="19"/>
  <c r="X1101" i="19"/>
  <c r="X1102" i="19"/>
  <c r="X1103" i="19"/>
  <c r="X1104" i="19"/>
  <c r="X1105" i="19"/>
  <c r="X1106" i="19"/>
  <c r="X1107" i="19"/>
  <c r="X1108" i="19"/>
  <c r="X1109" i="19"/>
  <c r="X1110" i="19"/>
  <c r="W11" i="19"/>
  <c r="W12" i="19"/>
  <c r="W13" i="19"/>
  <c r="W14" i="19"/>
  <c r="W15" i="19"/>
  <c r="W16" i="19"/>
  <c r="W17" i="19"/>
  <c r="W18" i="19"/>
  <c r="W19" i="19"/>
  <c r="W20" i="19"/>
  <c r="W21" i="19"/>
  <c r="W22" i="19"/>
  <c r="W23" i="19"/>
  <c r="W24" i="19"/>
  <c r="W25" i="19"/>
  <c r="W26" i="19"/>
  <c r="W27" i="19"/>
  <c r="W28" i="19"/>
  <c r="W29" i="19"/>
  <c r="W30" i="19"/>
  <c r="W31" i="19"/>
  <c r="W32" i="19"/>
  <c r="W33" i="19"/>
  <c r="W34" i="19"/>
  <c r="W35" i="19"/>
  <c r="W36" i="19"/>
  <c r="W37" i="19"/>
  <c r="W38" i="19"/>
  <c r="W39" i="19"/>
  <c r="W40" i="19"/>
  <c r="W41" i="19"/>
  <c r="W42" i="19"/>
  <c r="W43" i="19"/>
  <c r="W44" i="19"/>
  <c r="W45" i="19"/>
  <c r="W46" i="19"/>
  <c r="W47" i="19"/>
  <c r="W48" i="19"/>
  <c r="W49" i="19"/>
  <c r="W50" i="19"/>
  <c r="W51" i="19"/>
  <c r="W52" i="19"/>
  <c r="W53" i="19"/>
  <c r="W54" i="19"/>
  <c r="W55" i="19"/>
  <c r="W56" i="19"/>
  <c r="W57" i="19"/>
  <c r="W58" i="19"/>
  <c r="W59" i="19"/>
  <c r="W60" i="19"/>
  <c r="W61" i="19"/>
  <c r="W62" i="19"/>
  <c r="W63" i="19"/>
  <c r="W64" i="19"/>
  <c r="W65" i="19"/>
  <c r="W66" i="19"/>
  <c r="W67" i="19"/>
  <c r="W68" i="19"/>
  <c r="W69" i="19"/>
  <c r="W70" i="19"/>
  <c r="W71" i="19"/>
  <c r="W72" i="19"/>
  <c r="W73" i="19"/>
  <c r="W74" i="19"/>
  <c r="W75" i="19"/>
  <c r="W76" i="19"/>
  <c r="W77" i="19"/>
  <c r="W78" i="19"/>
  <c r="W79" i="19"/>
  <c r="W80" i="19"/>
  <c r="W81" i="19"/>
  <c r="W82" i="19"/>
  <c r="W83" i="19"/>
  <c r="W84" i="19"/>
  <c r="W85" i="19"/>
  <c r="W86" i="19"/>
  <c r="W87" i="19"/>
  <c r="W88" i="19"/>
  <c r="W89" i="19"/>
  <c r="W90" i="19"/>
  <c r="W91" i="19"/>
  <c r="W92" i="19"/>
  <c r="W93" i="19"/>
  <c r="W94" i="19"/>
  <c r="W95" i="19"/>
  <c r="W96" i="19"/>
  <c r="W97" i="19"/>
  <c r="W98" i="19"/>
  <c r="W99" i="19"/>
  <c r="W100" i="19"/>
  <c r="W101" i="19"/>
  <c r="W102" i="19"/>
  <c r="W103" i="19"/>
  <c r="W104" i="19"/>
  <c r="W105" i="19"/>
  <c r="W106" i="19"/>
  <c r="W107" i="19"/>
  <c r="W108" i="19"/>
  <c r="W109" i="19"/>
  <c r="W110" i="19"/>
  <c r="W111" i="19"/>
  <c r="W112" i="19"/>
  <c r="W113" i="19"/>
  <c r="W114" i="19"/>
  <c r="W115" i="19"/>
  <c r="W116" i="19"/>
  <c r="W117" i="19"/>
  <c r="W118" i="19"/>
  <c r="W119" i="19"/>
  <c r="W120" i="19"/>
  <c r="W121" i="19"/>
  <c r="W122" i="19"/>
  <c r="W123" i="19"/>
  <c r="W124" i="19"/>
  <c r="W125" i="19"/>
  <c r="W126" i="19"/>
  <c r="W127" i="19"/>
  <c r="W128" i="19"/>
  <c r="W129" i="19"/>
  <c r="W130" i="19"/>
  <c r="W131" i="19"/>
  <c r="W132" i="19"/>
  <c r="W133" i="19"/>
  <c r="W134" i="19"/>
  <c r="W135" i="19"/>
  <c r="W136" i="19"/>
  <c r="W137" i="19"/>
  <c r="W138" i="19"/>
  <c r="W139" i="19"/>
  <c r="W140" i="19"/>
  <c r="W141" i="19"/>
  <c r="W142" i="19"/>
  <c r="W143" i="19"/>
  <c r="W144" i="19"/>
  <c r="W145" i="19"/>
  <c r="W146" i="19"/>
  <c r="W147" i="19"/>
  <c r="W148" i="19"/>
  <c r="W149" i="19"/>
  <c r="W150" i="19"/>
  <c r="W151" i="19"/>
  <c r="W152" i="19"/>
  <c r="W153" i="19"/>
  <c r="W154" i="19"/>
  <c r="W155" i="19"/>
  <c r="W156" i="19"/>
  <c r="W157" i="19"/>
  <c r="W158" i="19"/>
  <c r="W159" i="19"/>
  <c r="W160" i="19"/>
  <c r="W161" i="19"/>
  <c r="W162" i="19"/>
  <c r="W163" i="19"/>
  <c r="W164" i="19"/>
  <c r="W165" i="19"/>
  <c r="W166" i="19"/>
  <c r="W167" i="19"/>
  <c r="W168" i="19"/>
  <c r="W169" i="19"/>
  <c r="W170" i="19"/>
  <c r="W171" i="19"/>
  <c r="W172" i="19"/>
  <c r="W173" i="19"/>
  <c r="W174" i="19"/>
  <c r="W175" i="19"/>
  <c r="W176" i="19"/>
  <c r="W177" i="19"/>
  <c r="W178" i="19"/>
  <c r="W179" i="19"/>
  <c r="W180" i="19"/>
  <c r="W181" i="19"/>
  <c r="W182" i="19"/>
  <c r="W183" i="19"/>
  <c r="W184" i="19"/>
  <c r="W185" i="19"/>
  <c r="W186" i="19"/>
  <c r="W187" i="19"/>
  <c r="W188" i="19"/>
  <c r="W189" i="19"/>
  <c r="W190" i="19"/>
  <c r="W191" i="19"/>
  <c r="W192" i="19"/>
  <c r="W193" i="19"/>
  <c r="W194" i="19"/>
  <c r="W195" i="19"/>
  <c r="W196" i="19"/>
  <c r="W197" i="19"/>
  <c r="W198" i="19"/>
  <c r="W199" i="19"/>
  <c r="W200" i="19"/>
  <c r="W201" i="19"/>
  <c r="W202" i="19"/>
  <c r="W203" i="19"/>
  <c r="W204" i="19"/>
  <c r="W205" i="19"/>
  <c r="W206" i="19"/>
  <c r="W207" i="19"/>
  <c r="W208" i="19"/>
  <c r="W209" i="19"/>
  <c r="W210" i="19"/>
  <c r="W211" i="19"/>
  <c r="W212" i="19"/>
  <c r="W213" i="19"/>
  <c r="W214" i="19"/>
  <c r="W215" i="19"/>
  <c r="W216" i="19"/>
  <c r="W217" i="19"/>
  <c r="W218" i="19"/>
  <c r="W219" i="19"/>
  <c r="W220" i="19"/>
  <c r="W221" i="19"/>
  <c r="W222" i="19"/>
  <c r="W223" i="19"/>
  <c r="W224" i="19"/>
  <c r="W225" i="19"/>
  <c r="W226" i="19"/>
  <c r="W227" i="19"/>
  <c r="W228" i="19"/>
  <c r="W229" i="19"/>
  <c r="W230" i="19"/>
  <c r="W231" i="19"/>
  <c r="W232" i="19"/>
  <c r="W233" i="19"/>
  <c r="W234" i="19"/>
  <c r="W235" i="19"/>
  <c r="W236" i="19"/>
  <c r="W237" i="19"/>
  <c r="W238" i="19"/>
  <c r="W239" i="19"/>
  <c r="W240" i="19"/>
  <c r="W241" i="19"/>
  <c r="W242" i="19"/>
  <c r="W243" i="19"/>
  <c r="W244" i="19"/>
  <c r="W245" i="19"/>
  <c r="W246" i="19"/>
  <c r="W247" i="19"/>
  <c r="W248" i="19"/>
  <c r="W249" i="19"/>
  <c r="W250" i="19"/>
  <c r="W251" i="19"/>
  <c r="W252" i="19"/>
  <c r="W253" i="19"/>
  <c r="W254" i="19"/>
  <c r="W255" i="19"/>
  <c r="W256" i="19"/>
  <c r="W257" i="19"/>
  <c r="W258" i="19"/>
  <c r="W259" i="19"/>
  <c r="W260" i="19"/>
  <c r="W261" i="19"/>
  <c r="W262" i="19"/>
  <c r="W263" i="19"/>
  <c r="W264" i="19"/>
  <c r="W265" i="19"/>
  <c r="W266" i="19"/>
  <c r="W267" i="19"/>
  <c r="W268" i="19"/>
  <c r="W269" i="19"/>
  <c r="W270" i="19"/>
  <c r="W271" i="19"/>
  <c r="W272" i="19"/>
  <c r="W273" i="19"/>
  <c r="W274" i="19"/>
  <c r="W275" i="19"/>
  <c r="W276" i="19"/>
  <c r="W277" i="19"/>
  <c r="W278" i="19"/>
  <c r="W279" i="19"/>
  <c r="W280" i="19"/>
  <c r="W281" i="19"/>
  <c r="W282" i="19"/>
  <c r="W283" i="19"/>
  <c r="W284" i="19"/>
  <c r="W285" i="19"/>
  <c r="W286" i="19"/>
  <c r="W287" i="19"/>
  <c r="W288" i="19"/>
  <c r="W289" i="19"/>
  <c r="W290" i="19"/>
  <c r="W291" i="19"/>
  <c r="W292" i="19"/>
  <c r="W293" i="19"/>
  <c r="W294" i="19"/>
  <c r="W295" i="19"/>
  <c r="W296" i="19"/>
  <c r="W297" i="19"/>
  <c r="W298" i="19"/>
  <c r="W299" i="19"/>
  <c r="W300" i="19"/>
  <c r="W301" i="19"/>
  <c r="W302" i="19"/>
  <c r="W303" i="19"/>
  <c r="W304" i="19"/>
  <c r="W305" i="19"/>
  <c r="W306" i="19"/>
  <c r="W307" i="19"/>
  <c r="W308" i="19"/>
  <c r="W309" i="19"/>
  <c r="W310" i="19"/>
  <c r="W311" i="19"/>
  <c r="W312" i="19"/>
  <c r="W313" i="19"/>
  <c r="W314" i="19"/>
  <c r="W315" i="19"/>
  <c r="W316" i="19"/>
  <c r="W317" i="19"/>
  <c r="W318" i="19"/>
  <c r="W319" i="19"/>
  <c r="W320" i="19"/>
  <c r="W321" i="19"/>
  <c r="W322" i="19"/>
  <c r="W323" i="19"/>
  <c r="W324" i="19"/>
  <c r="W325" i="19"/>
  <c r="W326" i="19"/>
  <c r="W327" i="19"/>
  <c r="W328" i="19"/>
  <c r="W329" i="19"/>
  <c r="W330" i="19"/>
  <c r="W331" i="19"/>
  <c r="W332" i="19"/>
  <c r="W333" i="19"/>
  <c r="W334" i="19"/>
  <c r="W335" i="19"/>
  <c r="W336" i="19"/>
  <c r="W337" i="19"/>
  <c r="W338" i="19"/>
  <c r="W339" i="19"/>
  <c r="W340" i="19"/>
  <c r="W341" i="19"/>
  <c r="W342" i="19"/>
  <c r="W343" i="19"/>
  <c r="W344" i="19"/>
  <c r="W345" i="19"/>
  <c r="W346" i="19"/>
  <c r="W347" i="19"/>
  <c r="W348" i="19"/>
  <c r="W349" i="19"/>
  <c r="W350" i="19"/>
  <c r="W351" i="19"/>
  <c r="W352" i="19"/>
  <c r="W353" i="19"/>
  <c r="W354" i="19"/>
  <c r="W355" i="19"/>
  <c r="W356" i="19"/>
  <c r="W357" i="19"/>
  <c r="W358" i="19"/>
  <c r="W359" i="19"/>
  <c r="W360" i="19"/>
  <c r="W361" i="19"/>
  <c r="W362" i="19"/>
  <c r="W363" i="19"/>
  <c r="W364" i="19"/>
  <c r="W365" i="19"/>
  <c r="W366" i="19"/>
  <c r="W367" i="19"/>
  <c r="W368" i="19"/>
  <c r="W369" i="19"/>
  <c r="W370" i="19"/>
  <c r="W371" i="19"/>
  <c r="W372" i="19"/>
  <c r="W373" i="19"/>
  <c r="W374" i="19"/>
  <c r="W375" i="19"/>
  <c r="W376" i="19"/>
  <c r="W377" i="19"/>
  <c r="W378" i="19"/>
  <c r="W379" i="19"/>
  <c r="W380" i="19"/>
  <c r="W381" i="19"/>
  <c r="W382" i="19"/>
  <c r="W383" i="19"/>
  <c r="W384" i="19"/>
  <c r="W385" i="19"/>
  <c r="W386" i="19"/>
  <c r="W387" i="19"/>
  <c r="W388" i="19"/>
  <c r="W389" i="19"/>
  <c r="W390" i="19"/>
  <c r="W391" i="19"/>
  <c r="W392" i="19"/>
  <c r="W393" i="19"/>
  <c r="W394" i="19"/>
  <c r="W395" i="19"/>
  <c r="W396" i="19"/>
  <c r="W397" i="19"/>
  <c r="W398" i="19"/>
  <c r="W399" i="19"/>
  <c r="W400" i="19"/>
  <c r="W401" i="19"/>
  <c r="W402" i="19"/>
  <c r="W403" i="19"/>
  <c r="W404" i="19"/>
  <c r="W405" i="19"/>
  <c r="W406" i="19"/>
  <c r="W407" i="19"/>
  <c r="W408" i="19"/>
  <c r="W409" i="19"/>
  <c r="W410" i="19"/>
  <c r="W411" i="19"/>
  <c r="W412" i="19"/>
  <c r="W413" i="19"/>
  <c r="W414" i="19"/>
  <c r="W415" i="19"/>
  <c r="W416" i="19"/>
  <c r="W417" i="19"/>
  <c r="W418" i="19"/>
  <c r="W419" i="19"/>
  <c r="W420" i="19"/>
  <c r="W421" i="19"/>
  <c r="W422" i="19"/>
  <c r="W423" i="19"/>
  <c r="W424" i="19"/>
  <c r="W425" i="19"/>
  <c r="W426" i="19"/>
  <c r="W427" i="19"/>
  <c r="W428" i="19"/>
  <c r="W429" i="19"/>
  <c r="W430" i="19"/>
  <c r="W431" i="19"/>
  <c r="W432" i="19"/>
  <c r="W433" i="19"/>
  <c r="W434" i="19"/>
  <c r="W435" i="19"/>
  <c r="W436" i="19"/>
  <c r="W437" i="19"/>
  <c r="W438" i="19"/>
  <c r="W439" i="19"/>
  <c r="W440" i="19"/>
  <c r="W441" i="19"/>
  <c r="W442" i="19"/>
  <c r="W443" i="19"/>
  <c r="W444" i="19"/>
  <c r="W445" i="19"/>
  <c r="W446" i="19"/>
  <c r="W447" i="19"/>
  <c r="W448" i="19"/>
  <c r="W449" i="19"/>
  <c r="W450" i="19"/>
  <c r="W451" i="19"/>
  <c r="W452" i="19"/>
  <c r="W453" i="19"/>
  <c r="W454" i="19"/>
  <c r="W455" i="19"/>
  <c r="W456" i="19"/>
  <c r="W457" i="19"/>
  <c r="W458" i="19"/>
  <c r="W459" i="19"/>
  <c r="W460" i="19"/>
  <c r="W461" i="19"/>
  <c r="W462" i="19"/>
  <c r="W463" i="19"/>
  <c r="W464" i="19"/>
  <c r="W465" i="19"/>
  <c r="W466" i="19"/>
  <c r="W467" i="19"/>
  <c r="W468" i="19"/>
  <c r="W469" i="19"/>
  <c r="W470" i="19"/>
  <c r="W471" i="19"/>
  <c r="W472" i="19"/>
  <c r="W473" i="19"/>
  <c r="W474" i="19"/>
  <c r="W475" i="19"/>
  <c r="W476" i="19"/>
  <c r="W477" i="19"/>
  <c r="W478" i="19"/>
  <c r="W479" i="19"/>
  <c r="W480" i="19"/>
  <c r="W481" i="19"/>
  <c r="W482" i="19"/>
  <c r="W483" i="19"/>
  <c r="W484" i="19"/>
  <c r="W485" i="19"/>
  <c r="W486" i="19"/>
  <c r="W487" i="19"/>
  <c r="W488" i="19"/>
  <c r="W489" i="19"/>
  <c r="W490" i="19"/>
  <c r="W491" i="19"/>
  <c r="W492" i="19"/>
  <c r="W493" i="19"/>
  <c r="W494" i="19"/>
  <c r="W495" i="19"/>
  <c r="W496" i="19"/>
  <c r="W497" i="19"/>
  <c r="W498" i="19"/>
  <c r="W499" i="19"/>
  <c r="W500" i="19"/>
  <c r="W501" i="19"/>
  <c r="W502" i="19"/>
  <c r="W503" i="19"/>
  <c r="W504" i="19"/>
  <c r="W505" i="19"/>
  <c r="W506" i="19"/>
  <c r="W507" i="19"/>
  <c r="W508" i="19"/>
  <c r="W509" i="19"/>
  <c r="W510" i="19"/>
  <c r="W511" i="19"/>
  <c r="W512" i="19"/>
  <c r="W513" i="19"/>
  <c r="W514" i="19"/>
  <c r="W515" i="19"/>
  <c r="W516" i="19"/>
  <c r="W517" i="19"/>
  <c r="W518" i="19"/>
  <c r="W519" i="19"/>
  <c r="W520" i="19"/>
  <c r="W521" i="19"/>
  <c r="W522" i="19"/>
  <c r="W523" i="19"/>
  <c r="W524" i="19"/>
  <c r="W525" i="19"/>
  <c r="W526" i="19"/>
  <c r="W527" i="19"/>
  <c r="W528" i="19"/>
  <c r="W529" i="19"/>
  <c r="W530" i="19"/>
  <c r="W531" i="19"/>
  <c r="W532" i="19"/>
  <c r="W533" i="19"/>
  <c r="W534" i="19"/>
  <c r="W535" i="19"/>
  <c r="W536" i="19"/>
  <c r="W537" i="19"/>
  <c r="W538" i="19"/>
  <c r="W539" i="19"/>
  <c r="W540" i="19"/>
  <c r="W541" i="19"/>
  <c r="W542" i="19"/>
  <c r="W543" i="19"/>
  <c r="W544" i="19"/>
  <c r="W545" i="19"/>
  <c r="W546" i="19"/>
  <c r="W547" i="19"/>
  <c r="W548" i="19"/>
  <c r="W549" i="19"/>
  <c r="W550" i="19"/>
  <c r="W551" i="19"/>
  <c r="W552" i="19"/>
  <c r="W553" i="19"/>
  <c r="W554" i="19"/>
  <c r="W555" i="19"/>
  <c r="W556" i="19"/>
  <c r="W557" i="19"/>
  <c r="W558" i="19"/>
  <c r="W559" i="19"/>
  <c r="W560" i="19"/>
  <c r="W561" i="19"/>
  <c r="W562" i="19"/>
  <c r="W563" i="19"/>
  <c r="W564" i="19"/>
  <c r="W565" i="19"/>
  <c r="W566" i="19"/>
  <c r="W567" i="19"/>
  <c r="W568" i="19"/>
  <c r="W569" i="19"/>
  <c r="W570" i="19"/>
  <c r="W571" i="19"/>
  <c r="W572" i="19"/>
  <c r="W573" i="19"/>
  <c r="W574" i="19"/>
  <c r="W575" i="19"/>
  <c r="W576" i="19"/>
  <c r="W577" i="19"/>
  <c r="W578" i="19"/>
  <c r="W579" i="19"/>
  <c r="W580" i="19"/>
  <c r="W581" i="19"/>
  <c r="W582" i="19"/>
  <c r="W583" i="19"/>
  <c r="W584" i="19"/>
  <c r="W585" i="19"/>
  <c r="W586" i="19"/>
  <c r="W587" i="19"/>
  <c r="W588" i="19"/>
  <c r="W589" i="19"/>
  <c r="W590" i="19"/>
  <c r="W591" i="19"/>
  <c r="W592" i="19"/>
  <c r="W593" i="19"/>
  <c r="W594" i="19"/>
  <c r="W595" i="19"/>
  <c r="W596" i="19"/>
  <c r="W597" i="19"/>
  <c r="W598" i="19"/>
  <c r="W599" i="19"/>
  <c r="W600" i="19"/>
  <c r="W601" i="19"/>
  <c r="W602" i="19"/>
  <c r="W603" i="19"/>
  <c r="W604" i="19"/>
  <c r="W605" i="19"/>
  <c r="W606" i="19"/>
  <c r="W607" i="19"/>
  <c r="W608" i="19"/>
  <c r="W609" i="19"/>
  <c r="W610" i="19"/>
  <c r="W611" i="19"/>
  <c r="W612" i="19"/>
  <c r="W613" i="19"/>
  <c r="W614" i="19"/>
  <c r="W615" i="19"/>
  <c r="W616" i="19"/>
  <c r="W617" i="19"/>
  <c r="W618" i="19"/>
  <c r="W619" i="19"/>
  <c r="W620" i="19"/>
  <c r="W621" i="19"/>
  <c r="W622" i="19"/>
  <c r="W623" i="19"/>
  <c r="W624" i="19"/>
  <c r="W625" i="19"/>
  <c r="W626" i="19"/>
  <c r="W627" i="19"/>
  <c r="W628" i="19"/>
  <c r="W629" i="19"/>
  <c r="W630" i="19"/>
  <c r="W631" i="19"/>
  <c r="W632" i="19"/>
  <c r="W633" i="19"/>
  <c r="W634" i="19"/>
  <c r="W635" i="19"/>
  <c r="W636" i="19"/>
  <c r="W637" i="19"/>
  <c r="W638" i="19"/>
  <c r="W639" i="19"/>
  <c r="W640" i="19"/>
  <c r="W641" i="19"/>
  <c r="W642" i="19"/>
  <c r="W643" i="19"/>
  <c r="W644" i="19"/>
  <c r="W645" i="19"/>
  <c r="W646" i="19"/>
  <c r="W647" i="19"/>
  <c r="W648" i="19"/>
  <c r="W649" i="19"/>
  <c r="W650" i="19"/>
  <c r="W651" i="19"/>
  <c r="W652" i="19"/>
  <c r="W653" i="19"/>
  <c r="W654" i="19"/>
  <c r="W655" i="19"/>
  <c r="W656" i="19"/>
  <c r="W657" i="19"/>
  <c r="W658" i="19"/>
  <c r="W659" i="19"/>
  <c r="W660" i="19"/>
  <c r="W661" i="19"/>
  <c r="W662" i="19"/>
  <c r="W663" i="19"/>
  <c r="W664" i="19"/>
  <c r="W665" i="19"/>
  <c r="W666" i="19"/>
  <c r="W667" i="19"/>
  <c r="W668" i="19"/>
  <c r="W669" i="19"/>
  <c r="W670" i="19"/>
  <c r="W671" i="19"/>
  <c r="W672" i="19"/>
  <c r="W673" i="19"/>
  <c r="W674" i="19"/>
  <c r="W675" i="19"/>
  <c r="W676" i="19"/>
  <c r="W677" i="19"/>
  <c r="W678" i="19"/>
  <c r="W679" i="19"/>
  <c r="W680" i="19"/>
  <c r="W681" i="19"/>
  <c r="W682" i="19"/>
  <c r="W683" i="19"/>
  <c r="W684" i="19"/>
  <c r="W685" i="19"/>
  <c r="W686" i="19"/>
  <c r="W687" i="19"/>
  <c r="W688" i="19"/>
  <c r="W689" i="19"/>
  <c r="W690" i="19"/>
  <c r="W691" i="19"/>
  <c r="W692" i="19"/>
  <c r="W693" i="19"/>
  <c r="W694" i="19"/>
  <c r="W695" i="19"/>
  <c r="W696" i="19"/>
  <c r="W697" i="19"/>
  <c r="W698" i="19"/>
  <c r="W699" i="19"/>
  <c r="W700" i="19"/>
  <c r="W701" i="19"/>
  <c r="W702" i="19"/>
  <c r="W703" i="19"/>
  <c r="W704" i="19"/>
  <c r="W705" i="19"/>
  <c r="W706" i="19"/>
  <c r="W707" i="19"/>
  <c r="W708" i="19"/>
  <c r="W709" i="19"/>
  <c r="W710" i="19"/>
  <c r="W711" i="19"/>
  <c r="W712" i="19"/>
  <c r="W713" i="19"/>
  <c r="W714" i="19"/>
  <c r="W715" i="19"/>
  <c r="W716" i="19"/>
  <c r="W717" i="19"/>
  <c r="W718" i="19"/>
  <c r="W719" i="19"/>
  <c r="W720" i="19"/>
  <c r="W721" i="19"/>
  <c r="W722" i="19"/>
  <c r="W723" i="19"/>
  <c r="W724" i="19"/>
  <c r="W725" i="19"/>
  <c r="W726" i="19"/>
  <c r="W727" i="19"/>
  <c r="W728" i="19"/>
  <c r="W729" i="19"/>
  <c r="W730" i="19"/>
  <c r="W731" i="19"/>
  <c r="W732" i="19"/>
  <c r="W733" i="19"/>
  <c r="W734" i="19"/>
  <c r="W735" i="19"/>
  <c r="W736" i="19"/>
  <c r="W737" i="19"/>
  <c r="W738" i="19"/>
  <c r="W739" i="19"/>
  <c r="W740" i="19"/>
  <c r="W741" i="19"/>
  <c r="W742" i="19"/>
  <c r="W743" i="19"/>
  <c r="W744" i="19"/>
  <c r="W745" i="19"/>
  <c r="W746" i="19"/>
  <c r="W747" i="19"/>
  <c r="W748" i="19"/>
  <c r="W749" i="19"/>
  <c r="W750" i="19"/>
  <c r="W751" i="19"/>
  <c r="W752" i="19"/>
  <c r="W753" i="19"/>
  <c r="W754" i="19"/>
  <c r="W755" i="19"/>
  <c r="W756" i="19"/>
  <c r="W757" i="19"/>
  <c r="W758" i="19"/>
  <c r="W759" i="19"/>
  <c r="W760" i="19"/>
  <c r="W761" i="19"/>
  <c r="W762" i="19"/>
  <c r="W763" i="19"/>
  <c r="W764" i="19"/>
  <c r="W765" i="19"/>
  <c r="W766" i="19"/>
  <c r="W767" i="19"/>
  <c r="W768" i="19"/>
  <c r="W769" i="19"/>
  <c r="W770" i="19"/>
  <c r="W771" i="19"/>
  <c r="W772" i="19"/>
  <c r="W773" i="19"/>
  <c r="W774" i="19"/>
  <c r="W775" i="19"/>
  <c r="W776" i="19"/>
  <c r="W777" i="19"/>
  <c r="W778" i="19"/>
  <c r="W779" i="19"/>
  <c r="W780" i="19"/>
  <c r="W781" i="19"/>
  <c r="W782" i="19"/>
  <c r="W783" i="19"/>
  <c r="W784" i="19"/>
  <c r="W785" i="19"/>
  <c r="W786" i="19"/>
  <c r="W787" i="19"/>
  <c r="W788" i="19"/>
  <c r="W789" i="19"/>
  <c r="W790" i="19"/>
  <c r="W791" i="19"/>
  <c r="W792" i="19"/>
  <c r="W793" i="19"/>
  <c r="W794" i="19"/>
  <c r="W795" i="19"/>
  <c r="W796" i="19"/>
  <c r="W797" i="19"/>
  <c r="W798" i="19"/>
  <c r="W799" i="19"/>
  <c r="W800" i="19"/>
  <c r="W801" i="19"/>
  <c r="W802" i="19"/>
  <c r="W803" i="19"/>
  <c r="W804" i="19"/>
  <c r="W805" i="19"/>
  <c r="W806" i="19"/>
  <c r="W807" i="19"/>
  <c r="W808" i="19"/>
  <c r="W809" i="19"/>
  <c r="W810" i="19"/>
  <c r="W811" i="19"/>
  <c r="W812" i="19"/>
  <c r="W813" i="19"/>
  <c r="W814" i="19"/>
  <c r="W815" i="19"/>
  <c r="W816" i="19"/>
  <c r="W817" i="19"/>
  <c r="W818" i="19"/>
  <c r="W819" i="19"/>
  <c r="W820" i="19"/>
  <c r="W821" i="19"/>
  <c r="W822" i="19"/>
  <c r="W823" i="19"/>
  <c r="W824" i="19"/>
  <c r="W825" i="19"/>
  <c r="W826" i="19"/>
  <c r="W827" i="19"/>
  <c r="W828" i="19"/>
  <c r="W829" i="19"/>
  <c r="W830" i="19"/>
  <c r="W831" i="19"/>
  <c r="W832" i="19"/>
  <c r="W833" i="19"/>
  <c r="W834" i="19"/>
  <c r="W835" i="19"/>
  <c r="W836" i="19"/>
  <c r="W837" i="19"/>
  <c r="W838" i="19"/>
  <c r="W839" i="19"/>
  <c r="W840" i="19"/>
  <c r="W841" i="19"/>
  <c r="W842" i="19"/>
  <c r="W843" i="19"/>
  <c r="W844" i="19"/>
  <c r="W845" i="19"/>
  <c r="W846" i="19"/>
  <c r="W847" i="19"/>
  <c r="W848" i="19"/>
  <c r="W849" i="19"/>
  <c r="W850" i="19"/>
  <c r="W851" i="19"/>
  <c r="W852" i="19"/>
  <c r="W853" i="19"/>
  <c r="W854" i="19"/>
  <c r="W855" i="19"/>
  <c r="W856" i="19"/>
  <c r="W857" i="19"/>
  <c r="W858" i="19"/>
  <c r="W859" i="19"/>
  <c r="W860" i="19"/>
  <c r="W861" i="19"/>
  <c r="W862" i="19"/>
  <c r="W863" i="19"/>
  <c r="W864" i="19"/>
  <c r="W865" i="19"/>
  <c r="W866" i="19"/>
  <c r="W867" i="19"/>
  <c r="W868" i="19"/>
  <c r="W869" i="19"/>
  <c r="W870" i="19"/>
  <c r="W871" i="19"/>
  <c r="W872" i="19"/>
  <c r="W873" i="19"/>
  <c r="W874" i="19"/>
  <c r="W875" i="19"/>
  <c r="W876" i="19"/>
  <c r="W877" i="19"/>
  <c r="W878" i="19"/>
  <c r="W879" i="19"/>
  <c r="W880" i="19"/>
  <c r="W881" i="19"/>
  <c r="W882" i="19"/>
  <c r="W883" i="19"/>
  <c r="W884" i="19"/>
  <c r="W885" i="19"/>
  <c r="W886" i="19"/>
  <c r="W887" i="19"/>
  <c r="W888" i="19"/>
  <c r="W889" i="19"/>
  <c r="W890" i="19"/>
  <c r="W891" i="19"/>
  <c r="W892" i="19"/>
  <c r="W893" i="19"/>
  <c r="W894" i="19"/>
  <c r="W895" i="19"/>
  <c r="W896" i="19"/>
  <c r="W897" i="19"/>
  <c r="W898" i="19"/>
  <c r="W899" i="19"/>
  <c r="W900" i="19"/>
  <c r="W901" i="19"/>
  <c r="W902" i="19"/>
  <c r="W903" i="19"/>
  <c r="W904" i="19"/>
  <c r="W905" i="19"/>
  <c r="W906" i="19"/>
  <c r="W907" i="19"/>
  <c r="W908" i="19"/>
  <c r="W909" i="19"/>
  <c r="W910" i="19"/>
  <c r="W911" i="19"/>
  <c r="W912" i="19"/>
  <c r="W913" i="19"/>
  <c r="W914" i="19"/>
  <c r="W915" i="19"/>
  <c r="W916" i="19"/>
  <c r="W917" i="19"/>
  <c r="W918" i="19"/>
  <c r="W919" i="19"/>
  <c r="W920" i="19"/>
  <c r="W921" i="19"/>
  <c r="W922" i="19"/>
  <c r="W923" i="19"/>
  <c r="W924" i="19"/>
  <c r="W925" i="19"/>
  <c r="W926" i="19"/>
  <c r="W927" i="19"/>
  <c r="W928" i="19"/>
  <c r="W929" i="19"/>
  <c r="W930" i="19"/>
  <c r="W931" i="19"/>
  <c r="W932" i="19"/>
  <c r="W933" i="19"/>
  <c r="W934" i="19"/>
  <c r="W935" i="19"/>
  <c r="W936" i="19"/>
  <c r="W937" i="19"/>
  <c r="W938" i="19"/>
  <c r="W939" i="19"/>
  <c r="W940" i="19"/>
  <c r="W941" i="19"/>
  <c r="W942" i="19"/>
  <c r="W943" i="19"/>
  <c r="W944" i="19"/>
  <c r="W945" i="19"/>
  <c r="W946" i="19"/>
  <c r="W947" i="19"/>
  <c r="W948" i="19"/>
  <c r="W949" i="19"/>
  <c r="W950" i="19"/>
  <c r="W951" i="19"/>
  <c r="W952" i="19"/>
  <c r="W953" i="19"/>
  <c r="W954" i="19"/>
  <c r="W955" i="19"/>
  <c r="W956" i="19"/>
  <c r="W957" i="19"/>
  <c r="W958" i="19"/>
  <c r="W959" i="19"/>
  <c r="W960" i="19"/>
  <c r="W961" i="19"/>
  <c r="W962" i="19"/>
  <c r="W963" i="19"/>
  <c r="W964" i="19"/>
  <c r="W965" i="19"/>
  <c r="W966" i="19"/>
  <c r="W967" i="19"/>
  <c r="W968" i="19"/>
  <c r="W969" i="19"/>
  <c r="W970" i="19"/>
  <c r="W971" i="19"/>
  <c r="W972" i="19"/>
  <c r="W973" i="19"/>
  <c r="W974" i="19"/>
  <c r="W975" i="19"/>
  <c r="W976" i="19"/>
  <c r="W977" i="19"/>
  <c r="W978" i="19"/>
  <c r="W979" i="19"/>
  <c r="W980" i="19"/>
  <c r="W981" i="19"/>
  <c r="W982" i="19"/>
  <c r="W983" i="19"/>
  <c r="W984" i="19"/>
  <c r="W985" i="19"/>
  <c r="W986" i="19"/>
  <c r="W987" i="19"/>
  <c r="W988" i="19"/>
  <c r="W989" i="19"/>
  <c r="W990" i="19"/>
  <c r="W991" i="19"/>
  <c r="W992" i="19"/>
  <c r="W993" i="19"/>
  <c r="W994" i="19"/>
  <c r="W995" i="19"/>
  <c r="W996" i="19"/>
  <c r="W997" i="19"/>
  <c r="W998" i="19"/>
  <c r="W999" i="19"/>
  <c r="W1000" i="19"/>
  <c r="W1001" i="19"/>
  <c r="W1002" i="19"/>
  <c r="W1003" i="19"/>
  <c r="W1004" i="19"/>
  <c r="W1005" i="19"/>
  <c r="W1006" i="19"/>
  <c r="W1007" i="19"/>
  <c r="W1008" i="19"/>
  <c r="W1009" i="19"/>
  <c r="W1010" i="19"/>
  <c r="W1011" i="19"/>
  <c r="W1012" i="19"/>
  <c r="W1013" i="19"/>
  <c r="W1014" i="19"/>
  <c r="W1015" i="19"/>
  <c r="W1016" i="19"/>
  <c r="W1017" i="19"/>
  <c r="W1018" i="19"/>
  <c r="W1019" i="19"/>
  <c r="W1020" i="19"/>
  <c r="W1021" i="19"/>
  <c r="W1022" i="19"/>
  <c r="W1023" i="19"/>
  <c r="W1024" i="19"/>
  <c r="W1025" i="19"/>
  <c r="W1026" i="19"/>
  <c r="W1027" i="19"/>
  <c r="W1028" i="19"/>
  <c r="W1029" i="19"/>
  <c r="W1030" i="19"/>
  <c r="W1031" i="19"/>
  <c r="W1032" i="19"/>
  <c r="W1033" i="19"/>
  <c r="W1034" i="19"/>
  <c r="W1035" i="19"/>
  <c r="W1036" i="19"/>
  <c r="W1037" i="19"/>
  <c r="W1038" i="19"/>
  <c r="W1039" i="19"/>
  <c r="W1040" i="19"/>
  <c r="W1041" i="19"/>
  <c r="W1042" i="19"/>
  <c r="W1043" i="19"/>
  <c r="W1044" i="19"/>
  <c r="W1045" i="19"/>
  <c r="W1046" i="19"/>
  <c r="W1047" i="19"/>
  <c r="W1048" i="19"/>
  <c r="W1049" i="19"/>
  <c r="W1050" i="19"/>
  <c r="W1051" i="19"/>
  <c r="W1052" i="19"/>
  <c r="W1053" i="19"/>
  <c r="W1054" i="19"/>
  <c r="W1055" i="19"/>
  <c r="W1056" i="19"/>
  <c r="W1057" i="19"/>
  <c r="W1058" i="19"/>
  <c r="W1059" i="19"/>
  <c r="W1060" i="19"/>
  <c r="W1061" i="19"/>
  <c r="W1062" i="19"/>
  <c r="W1063" i="19"/>
  <c r="W1064" i="19"/>
  <c r="W1065" i="19"/>
  <c r="W1066" i="19"/>
  <c r="W1067" i="19"/>
  <c r="W1068" i="19"/>
  <c r="W1069" i="19"/>
  <c r="W1070" i="19"/>
  <c r="W1071" i="19"/>
  <c r="W1072" i="19"/>
  <c r="W1073" i="19"/>
  <c r="W1074" i="19"/>
  <c r="W1075" i="19"/>
  <c r="W1076" i="19"/>
  <c r="W1077" i="19"/>
  <c r="W1078" i="19"/>
  <c r="W1079" i="19"/>
  <c r="W1080" i="19"/>
  <c r="W1081" i="19"/>
  <c r="W1082" i="19"/>
  <c r="W1083" i="19"/>
  <c r="W1084" i="19"/>
  <c r="W1085" i="19"/>
  <c r="W1086" i="19"/>
  <c r="W1087" i="19"/>
  <c r="W1088" i="19"/>
  <c r="W1089" i="19"/>
  <c r="W1090" i="19"/>
  <c r="W1091" i="19"/>
  <c r="W1092" i="19"/>
  <c r="W1093" i="19"/>
  <c r="W1094" i="19"/>
  <c r="W1095" i="19"/>
  <c r="W1096" i="19"/>
  <c r="W1097" i="19"/>
  <c r="W1098" i="19"/>
  <c r="W1099" i="19"/>
  <c r="W1100" i="19"/>
  <c r="W1101" i="19"/>
  <c r="W1102" i="19"/>
  <c r="W1103" i="19"/>
  <c r="W1104" i="19"/>
  <c r="W1105" i="19"/>
  <c r="W1106" i="19"/>
  <c r="W1107" i="19"/>
  <c r="W1108" i="19"/>
  <c r="W1109" i="19"/>
  <c r="W1110" i="19"/>
  <c r="V11" i="19"/>
  <c r="V12" i="19"/>
  <c r="V13" i="19"/>
  <c r="V14" i="19"/>
  <c r="V15" i="19"/>
  <c r="V16" i="19"/>
  <c r="V17" i="19"/>
  <c r="V18" i="19"/>
  <c r="V19" i="19"/>
  <c r="V20" i="19"/>
  <c r="V21" i="19"/>
  <c r="V22" i="19"/>
  <c r="V23" i="19"/>
  <c r="V24" i="19"/>
  <c r="V25" i="19"/>
  <c r="V26" i="19"/>
  <c r="V27" i="19"/>
  <c r="V28" i="19"/>
  <c r="V29" i="19"/>
  <c r="V30" i="19"/>
  <c r="V31" i="19"/>
  <c r="V32" i="19"/>
  <c r="V33" i="19"/>
  <c r="V34" i="19"/>
  <c r="V35" i="19"/>
  <c r="V36" i="19"/>
  <c r="V37" i="19"/>
  <c r="V38" i="19"/>
  <c r="V39" i="19"/>
  <c r="V40" i="19"/>
  <c r="V41" i="19"/>
  <c r="V42" i="19"/>
  <c r="V43" i="19"/>
  <c r="V44" i="19"/>
  <c r="V45" i="19"/>
  <c r="V46" i="19"/>
  <c r="V47" i="19"/>
  <c r="V48" i="19"/>
  <c r="V49" i="19"/>
  <c r="V50" i="19"/>
  <c r="V51" i="19"/>
  <c r="V52" i="19"/>
  <c r="V53" i="19"/>
  <c r="V54" i="19"/>
  <c r="V55" i="19"/>
  <c r="V56" i="19"/>
  <c r="V57" i="19"/>
  <c r="V58" i="19"/>
  <c r="V59" i="19"/>
  <c r="V60" i="19"/>
  <c r="V61" i="19"/>
  <c r="V62" i="19"/>
  <c r="V63" i="19"/>
  <c r="V64" i="19"/>
  <c r="V65" i="19"/>
  <c r="V66" i="19"/>
  <c r="V67" i="19"/>
  <c r="V68" i="19"/>
  <c r="V69" i="19"/>
  <c r="V70" i="19"/>
  <c r="V71" i="19"/>
  <c r="V72" i="19"/>
  <c r="V73" i="19"/>
  <c r="V74" i="19"/>
  <c r="V75" i="19"/>
  <c r="V76" i="19"/>
  <c r="V77" i="19"/>
  <c r="V78" i="19"/>
  <c r="V79" i="19"/>
  <c r="V80" i="19"/>
  <c r="V81" i="19"/>
  <c r="V82" i="19"/>
  <c r="V83" i="19"/>
  <c r="V84" i="19"/>
  <c r="V85" i="19"/>
  <c r="V86" i="19"/>
  <c r="V87" i="19"/>
  <c r="V88" i="19"/>
  <c r="V89" i="19"/>
  <c r="V90" i="19"/>
  <c r="V91" i="19"/>
  <c r="V92" i="19"/>
  <c r="V93" i="19"/>
  <c r="V94" i="19"/>
  <c r="V95" i="19"/>
  <c r="V96" i="19"/>
  <c r="V97" i="19"/>
  <c r="V98" i="19"/>
  <c r="V99" i="19"/>
  <c r="V100" i="19"/>
  <c r="V101" i="19"/>
  <c r="V102" i="19"/>
  <c r="V103" i="19"/>
  <c r="V104" i="19"/>
  <c r="V105" i="19"/>
  <c r="V106" i="19"/>
  <c r="V107" i="19"/>
  <c r="V108" i="19"/>
  <c r="V109" i="19"/>
  <c r="V110" i="19"/>
  <c r="V111" i="19"/>
  <c r="V112" i="19"/>
  <c r="V113" i="19"/>
  <c r="V114" i="19"/>
  <c r="V115" i="19"/>
  <c r="V116" i="19"/>
  <c r="V117" i="19"/>
  <c r="V118" i="19"/>
  <c r="V119" i="19"/>
  <c r="V120" i="19"/>
  <c r="V121" i="19"/>
  <c r="V122" i="19"/>
  <c r="V123" i="19"/>
  <c r="V124" i="19"/>
  <c r="V125" i="19"/>
  <c r="V126" i="19"/>
  <c r="V127" i="19"/>
  <c r="V128" i="19"/>
  <c r="V129" i="19"/>
  <c r="V130" i="19"/>
  <c r="V131" i="19"/>
  <c r="V132" i="19"/>
  <c r="V133" i="19"/>
  <c r="V134" i="19"/>
  <c r="V135" i="19"/>
  <c r="V136" i="19"/>
  <c r="V137" i="19"/>
  <c r="V138" i="19"/>
  <c r="V139" i="19"/>
  <c r="V140" i="19"/>
  <c r="V141" i="19"/>
  <c r="V142" i="19"/>
  <c r="V143" i="19"/>
  <c r="V144" i="19"/>
  <c r="V145" i="19"/>
  <c r="V146" i="19"/>
  <c r="V147" i="19"/>
  <c r="V148" i="19"/>
  <c r="V149" i="19"/>
  <c r="V150" i="19"/>
  <c r="V151" i="19"/>
  <c r="V152" i="19"/>
  <c r="V153" i="19"/>
  <c r="V154" i="19"/>
  <c r="V155" i="19"/>
  <c r="V156" i="19"/>
  <c r="V157" i="19"/>
  <c r="V158" i="19"/>
  <c r="V159" i="19"/>
  <c r="V160" i="19"/>
  <c r="V161" i="19"/>
  <c r="V162" i="19"/>
  <c r="V163" i="19"/>
  <c r="V164" i="19"/>
  <c r="V165" i="19"/>
  <c r="V166" i="19"/>
  <c r="V167" i="19"/>
  <c r="V168" i="19"/>
  <c r="V169" i="19"/>
  <c r="V170" i="19"/>
  <c r="V171" i="19"/>
  <c r="V172" i="19"/>
  <c r="V173" i="19"/>
  <c r="V174" i="19"/>
  <c r="V175" i="19"/>
  <c r="V176" i="19"/>
  <c r="V177" i="19"/>
  <c r="V178" i="19"/>
  <c r="V179" i="19"/>
  <c r="V180" i="19"/>
  <c r="V181" i="19"/>
  <c r="V182" i="19"/>
  <c r="V183" i="19"/>
  <c r="V184" i="19"/>
  <c r="V185" i="19"/>
  <c r="V186" i="19"/>
  <c r="V187" i="19"/>
  <c r="V188" i="19"/>
  <c r="V189" i="19"/>
  <c r="V190" i="19"/>
  <c r="V191" i="19"/>
  <c r="V192" i="19"/>
  <c r="V193" i="19"/>
  <c r="V194" i="19"/>
  <c r="V195" i="19"/>
  <c r="V196" i="19"/>
  <c r="V197" i="19"/>
  <c r="V198" i="19"/>
  <c r="V199" i="19"/>
  <c r="V200" i="19"/>
  <c r="V201" i="19"/>
  <c r="V202" i="19"/>
  <c r="V203" i="19"/>
  <c r="V204" i="19"/>
  <c r="V205" i="19"/>
  <c r="V206" i="19"/>
  <c r="V207" i="19"/>
  <c r="V208" i="19"/>
  <c r="V209" i="19"/>
  <c r="V210" i="19"/>
  <c r="V211" i="19"/>
  <c r="V212" i="19"/>
  <c r="V213" i="19"/>
  <c r="V214" i="19"/>
  <c r="V215" i="19"/>
  <c r="V216" i="19"/>
  <c r="V217" i="19"/>
  <c r="V218" i="19"/>
  <c r="V219" i="19"/>
  <c r="V220" i="19"/>
  <c r="V221" i="19"/>
  <c r="V222" i="19"/>
  <c r="V223" i="19"/>
  <c r="V224" i="19"/>
  <c r="V225" i="19"/>
  <c r="V226" i="19"/>
  <c r="V227" i="19"/>
  <c r="V228" i="19"/>
  <c r="V229" i="19"/>
  <c r="V230" i="19"/>
  <c r="V231" i="19"/>
  <c r="V232" i="19"/>
  <c r="V233" i="19"/>
  <c r="V234" i="19"/>
  <c r="V235" i="19"/>
  <c r="V236" i="19"/>
  <c r="V237" i="19"/>
  <c r="V238" i="19"/>
  <c r="V239" i="19"/>
  <c r="V240" i="19"/>
  <c r="V241" i="19"/>
  <c r="V242" i="19"/>
  <c r="V243" i="19"/>
  <c r="V244" i="19"/>
  <c r="V245" i="19"/>
  <c r="V246" i="19"/>
  <c r="V247" i="19"/>
  <c r="V248" i="19"/>
  <c r="V249" i="19"/>
  <c r="V250" i="19"/>
  <c r="V251" i="19"/>
  <c r="V252" i="19"/>
  <c r="V253" i="19"/>
  <c r="V254" i="19"/>
  <c r="V255" i="19"/>
  <c r="V256" i="19"/>
  <c r="V257" i="19"/>
  <c r="V258" i="19"/>
  <c r="V259" i="19"/>
  <c r="V260" i="19"/>
  <c r="V261" i="19"/>
  <c r="V262" i="19"/>
  <c r="V263" i="19"/>
  <c r="V264" i="19"/>
  <c r="V265" i="19"/>
  <c r="V266" i="19"/>
  <c r="V267" i="19"/>
  <c r="V268" i="19"/>
  <c r="V269" i="19"/>
  <c r="V270" i="19"/>
  <c r="V271" i="19"/>
  <c r="V272" i="19"/>
  <c r="V273" i="19"/>
  <c r="V274" i="19"/>
  <c r="V275" i="19"/>
  <c r="V276" i="19"/>
  <c r="V277" i="19"/>
  <c r="V278" i="19"/>
  <c r="V279" i="19"/>
  <c r="V280" i="19"/>
  <c r="V281" i="19"/>
  <c r="V282" i="19"/>
  <c r="V283" i="19"/>
  <c r="V284" i="19"/>
  <c r="V285" i="19"/>
  <c r="V286" i="19"/>
  <c r="V287" i="19"/>
  <c r="V288" i="19"/>
  <c r="V289" i="19"/>
  <c r="V290" i="19"/>
  <c r="V291" i="19"/>
  <c r="V292" i="19"/>
  <c r="V293" i="19"/>
  <c r="V294" i="19"/>
  <c r="V295" i="19"/>
  <c r="V296" i="19"/>
  <c r="V297" i="19"/>
  <c r="V298" i="19"/>
  <c r="V299" i="19"/>
  <c r="V300" i="19"/>
  <c r="V301" i="19"/>
  <c r="V302" i="19"/>
  <c r="V303" i="19"/>
  <c r="V304" i="19"/>
  <c r="V305" i="19"/>
  <c r="V306" i="19"/>
  <c r="V307" i="19"/>
  <c r="V308" i="19"/>
  <c r="V309" i="19"/>
  <c r="V310" i="19"/>
  <c r="V311" i="19"/>
  <c r="V312" i="19"/>
  <c r="V313" i="19"/>
  <c r="V314" i="19"/>
  <c r="V315" i="19"/>
  <c r="V316" i="19"/>
  <c r="V317" i="19"/>
  <c r="V318" i="19"/>
  <c r="V319" i="19"/>
  <c r="V320" i="19"/>
  <c r="V321" i="19"/>
  <c r="V322" i="19"/>
  <c r="V323" i="19"/>
  <c r="V324" i="19"/>
  <c r="V325" i="19"/>
  <c r="V326" i="19"/>
  <c r="V327" i="19"/>
  <c r="V328" i="19"/>
  <c r="V329" i="19"/>
  <c r="V330" i="19"/>
  <c r="V331" i="19"/>
  <c r="V332" i="19"/>
  <c r="V333" i="19"/>
  <c r="V334" i="19"/>
  <c r="V335" i="19"/>
  <c r="V336" i="19"/>
  <c r="V337" i="19"/>
  <c r="V338" i="19"/>
  <c r="V339" i="19"/>
  <c r="V340" i="19"/>
  <c r="V341" i="19"/>
  <c r="V342" i="19"/>
  <c r="V343" i="19"/>
  <c r="V344" i="19"/>
  <c r="V345" i="19"/>
  <c r="V346" i="19"/>
  <c r="V347" i="19"/>
  <c r="V348" i="19"/>
  <c r="V349" i="19"/>
  <c r="V350" i="19"/>
  <c r="V351" i="19"/>
  <c r="V352" i="19"/>
  <c r="V353" i="19"/>
  <c r="V354" i="19"/>
  <c r="V355" i="19"/>
  <c r="V356" i="19"/>
  <c r="V357" i="19"/>
  <c r="V358" i="19"/>
  <c r="V359" i="19"/>
  <c r="V360" i="19"/>
  <c r="V361" i="19"/>
  <c r="V362" i="19"/>
  <c r="V363" i="19"/>
  <c r="V364" i="19"/>
  <c r="V365" i="19"/>
  <c r="V366" i="19"/>
  <c r="V367" i="19"/>
  <c r="V368" i="19"/>
  <c r="V369" i="19"/>
  <c r="V370" i="19"/>
  <c r="V371" i="19"/>
  <c r="V372" i="19"/>
  <c r="V373" i="19"/>
  <c r="V374" i="19"/>
  <c r="V375" i="19"/>
  <c r="V376" i="19"/>
  <c r="V377" i="19"/>
  <c r="V378" i="19"/>
  <c r="V379" i="19"/>
  <c r="V380" i="19"/>
  <c r="V381" i="19"/>
  <c r="V382" i="19"/>
  <c r="V383" i="19"/>
  <c r="V384" i="19"/>
  <c r="V385" i="19"/>
  <c r="V386" i="19"/>
  <c r="V387" i="19"/>
  <c r="V388" i="19"/>
  <c r="V389" i="19"/>
  <c r="V390" i="19"/>
  <c r="V391" i="19"/>
  <c r="V392" i="19"/>
  <c r="V393" i="19"/>
  <c r="V394" i="19"/>
  <c r="V395" i="19"/>
  <c r="V396" i="19"/>
  <c r="V397" i="19"/>
  <c r="V398" i="19"/>
  <c r="V399" i="19"/>
  <c r="V400" i="19"/>
  <c r="V401" i="19"/>
  <c r="V402" i="19"/>
  <c r="V403" i="19"/>
  <c r="V404" i="19"/>
  <c r="V405" i="19"/>
  <c r="V406" i="19"/>
  <c r="V407" i="19"/>
  <c r="V408" i="19"/>
  <c r="V409" i="19"/>
  <c r="V410" i="19"/>
  <c r="V411" i="19"/>
  <c r="V412" i="19"/>
  <c r="V413" i="19"/>
  <c r="V414" i="19"/>
  <c r="V415" i="19"/>
  <c r="V416" i="19"/>
  <c r="V417" i="19"/>
  <c r="V418" i="19"/>
  <c r="V419" i="19"/>
  <c r="V420" i="19"/>
  <c r="V421" i="19"/>
  <c r="V422" i="19"/>
  <c r="V423" i="19"/>
  <c r="V424" i="19"/>
  <c r="V425" i="19"/>
  <c r="V426" i="19"/>
  <c r="V427" i="19"/>
  <c r="V428" i="19"/>
  <c r="V429" i="19"/>
  <c r="V430" i="19"/>
  <c r="V431" i="19"/>
  <c r="V432" i="19"/>
  <c r="V433" i="19"/>
  <c r="V434" i="19"/>
  <c r="V435" i="19"/>
  <c r="V436" i="19"/>
  <c r="V437" i="19"/>
  <c r="V438" i="19"/>
  <c r="V439" i="19"/>
  <c r="V440" i="19"/>
  <c r="V441" i="19"/>
  <c r="V442" i="19"/>
  <c r="V443" i="19"/>
  <c r="V444" i="19"/>
  <c r="V445" i="19"/>
  <c r="V446" i="19"/>
  <c r="V447" i="19"/>
  <c r="V448" i="19"/>
  <c r="V449" i="19"/>
  <c r="V450" i="19"/>
  <c r="V451" i="19"/>
  <c r="V452" i="19"/>
  <c r="V453" i="19"/>
  <c r="V454" i="19"/>
  <c r="V455" i="19"/>
  <c r="V456" i="19"/>
  <c r="V457" i="19"/>
  <c r="V458" i="19"/>
  <c r="V459" i="19"/>
  <c r="V460" i="19"/>
  <c r="V461" i="19"/>
  <c r="V462" i="19"/>
  <c r="V463" i="19"/>
  <c r="V464" i="19"/>
  <c r="V465" i="19"/>
  <c r="V466" i="19"/>
  <c r="V467" i="19"/>
  <c r="V468" i="19"/>
  <c r="V469" i="19"/>
  <c r="V470" i="19"/>
  <c r="V471" i="19"/>
  <c r="V472" i="19"/>
  <c r="V473" i="19"/>
  <c r="V474" i="19"/>
  <c r="V475" i="19"/>
  <c r="V476" i="19"/>
  <c r="V477" i="19"/>
  <c r="V478" i="19"/>
  <c r="V479" i="19"/>
  <c r="V480" i="19"/>
  <c r="V481" i="19"/>
  <c r="V482" i="19"/>
  <c r="V483" i="19"/>
  <c r="V484" i="19"/>
  <c r="V485" i="19"/>
  <c r="V486" i="19"/>
  <c r="V487" i="19"/>
  <c r="V488" i="19"/>
  <c r="V489" i="19"/>
  <c r="V490" i="19"/>
  <c r="V491" i="19"/>
  <c r="V492" i="19"/>
  <c r="V493" i="19"/>
  <c r="V494" i="19"/>
  <c r="V495" i="19"/>
  <c r="V496" i="19"/>
  <c r="V497" i="19"/>
  <c r="V498" i="19"/>
  <c r="V499" i="19"/>
  <c r="V500" i="19"/>
  <c r="V501" i="19"/>
  <c r="V502" i="19"/>
  <c r="V503" i="19"/>
  <c r="V504" i="19"/>
  <c r="V505" i="19"/>
  <c r="V506" i="19"/>
  <c r="V507" i="19"/>
  <c r="V508" i="19"/>
  <c r="V509" i="19"/>
  <c r="V510" i="19"/>
  <c r="V511" i="19"/>
  <c r="V512" i="19"/>
  <c r="V513" i="19"/>
  <c r="V514" i="19"/>
  <c r="V515" i="19"/>
  <c r="V516" i="19"/>
  <c r="V517" i="19"/>
  <c r="V518" i="19"/>
  <c r="V519" i="19"/>
  <c r="V520" i="19"/>
  <c r="V521" i="19"/>
  <c r="V522" i="19"/>
  <c r="V523" i="19"/>
  <c r="V524" i="19"/>
  <c r="V525" i="19"/>
  <c r="V526" i="19"/>
  <c r="V527" i="19"/>
  <c r="V528" i="19"/>
  <c r="V529" i="19"/>
  <c r="V530" i="19"/>
  <c r="V531" i="19"/>
  <c r="V532" i="19"/>
  <c r="V533" i="19"/>
  <c r="V534" i="19"/>
  <c r="V535" i="19"/>
  <c r="V536" i="19"/>
  <c r="V537" i="19"/>
  <c r="V538" i="19"/>
  <c r="V539" i="19"/>
  <c r="V540" i="19"/>
  <c r="V541" i="19"/>
  <c r="V542" i="19"/>
  <c r="V543" i="19"/>
  <c r="V544" i="19"/>
  <c r="V545" i="19"/>
  <c r="V546" i="19"/>
  <c r="V547" i="19"/>
  <c r="V548" i="19"/>
  <c r="V549" i="19"/>
  <c r="V550" i="19"/>
  <c r="V551" i="19"/>
  <c r="V552" i="19"/>
  <c r="V553" i="19"/>
  <c r="V554" i="19"/>
  <c r="V555" i="19"/>
  <c r="V556" i="19"/>
  <c r="V557" i="19"/>
  <c r="V558" i="19"/>
  <c r="V559" i="19"/>
  <c r="V560" i="19"/>
  <c r="V561" i="19"/>
  <c r="V562" i="19"/>
  <c r="V563" i="19"/>
  <c r="V564" i="19"/>
  <c r="V565" i="19"/>
  <c r="V566" i="19"/>
  <c r="V567" i="19"/>
  <c r="V568" i="19"/>
  <c r="V569" i="19"/>
  <c r="V570" i="19"/>
  <c r="V571" i="19"/>
  <c r="V572" i="19"/>
  <c r="V573" i="19"/>
  <c r="V574" i="19"/>
  <c r="V575" i="19"/>
  <c r="V576" i="19"/>
  <c r="V577" i="19"/>
  <c r="V578" i="19"/>
  <c r="V579" i="19"/>
  <c r="V580" i="19"/>
  <c r="V581" i="19"/>
  <c r="V582" i="19"/>
  <c r="V583" i="19"/>
  <c r="V584" i="19"/>
  <c r="V585" i="19"/>
  <c r="V586" i="19"/>
  <c r="V587" i="19"/>
  <c r="V588" i="19"/>
  <c r="V589" i="19"/>
  <c r="V590" i="19"/>
  <c r="V591" i="19"/>
  <c r="V592" i="19"/>
  <c r="V593" i="19"/>
  <c r="V594" i="19"/>
  <c r="V595" i="19"/>
  <c r="V596" i="19"/>
  <c r="V597" i="19"/>
  <c r="V598" i="19"/>
  <c r="V599" i="19"/>
  <c r="V600" i="19"/>
  <c r="V601" i="19"/>
  <c r="V602" i="19"/>
  <c r="V603" i="19"/>
  <c r="V604" i="19"/>
  <c r="V605" i="19"/>
  <c r="V606" i="19"/>
  <c r="V607" i="19"/>
  <c r="V608" i="19"/>
  <c r="V609" i="19"/>
  <c r="V610" i="19"/>
  <c r="V611" i="19"/>
  <c r="V612" i="19"/>
  <c r="V613" i="19"/>
  <c r="V614" i="19"/>
  <c r="V615" i="19"/>
  <c r="V616" i="19"/>
  <c r="V617" i="19"/>
  <c r="V618" i="19"/>
  <c r="V619" i="19"/>
  <c r="V620" i="19"/>
  <c r="V621" i="19"/>
  <c r="V622" i="19"/>
  <c r="V623" i="19"/>
  <c r="V624" i="19"/>
  <c r="V625" i="19"/>
  <c r="V626" i="19"/>
  <c r="V627" i="19"/>
  <c r="V628" i="19"/>
  <c r="V629" i="19"/>
  <c r="V630" i="19"/>
  <c r="V631" i="19"/>
  <c r="V632" i="19"/>
  <c r="V633" i="19"/>
  <c r="V634" i="19"/>
  <c r="V635" i="19"/>
  <c r="V636" i="19"/>
  <c r="V637" i="19"/>
  <c r="V638" i="19"/>
  <c r="V639" i="19"/>
  <c r="V640" i="19"/>
  <c r="V641" i="19"/>
  <c r="V642" i="19"/>
  <c r="V643" i="19"/>
  <c r="V644" i="19"/>
  <c r="V645" i="19"/>
  <c r="V646" i="19"/>
  <c r="V647" i="19"/>
  <c r="V648" i="19"/>
  <c r="V649" i="19"/>
  <c r="V650" i="19"/>
  <c r="V651" i="19"/>
  <c r="V652" i="19"/>
  <c r="V653" i="19"/>
  <c r="V654" i="19"/>
  <c r="V655" i="19"/>
  <c r="V656" i="19"/>
  <c r="V657" i="19"/>
  <c r="V658" i="19"/>
  <c r="V659" i="19"/>
  <c r="V660" i="19"/>
  <c r="V661" i="19"/>
  <c r="V662" i="19"/>
  <c r="V663" i="19"/>
  <c r="V664" i="19"/>
  <c r="V665" i="19"/>
  <c r="V666" i="19"/>
  <c r="V667" i="19"/>
  <c r="V668" i="19"/>
  <c r="V669" i="19"/>
  <c r="V670" i="19"/>
  <c r="V671" i="19"/>
  <c r="V672" i="19"/>
  <c r="V673" i="19"/>
  <c r="V674" i="19"/>
  <c r="V675" i="19"/>
  <c r="V676" i="19"/>
  <c r="V677" i="19"/>
  <c r="V678" i="19"/>
  <c r="V679" i="19"/>
  <c r="V680" i="19"/>
  <c r="V681" i="19"/>
  <c r="V682" i="19"/>
  <c r="V683" i="19"/>
  <c r="V684" i="19"/>
  <c r="V685" i="19"/>
  <c r="V686" i="19"/>
  <c r="V687" i="19"/>
  <c r="V688" i="19"/>
  <c r="V689" i="19"/>
  <c r="V690" i="19"/>
  <c r="V691" i="19"/>
  <c r="V692" i="19"/>
  <c r="V693" i="19"/>
  <c r="V694" i="19"/>
  <c r="V695" i="19"/>
  <c r="V696" i="19"/>
  <c r="V697" i="19"/>
  <c r="V698" i="19"/>
  <c r="V699" i="19"/>
  <c r="V700" i="19"/>
  <c r="V701" i="19"/>
  <c r="V702" i="19"/>
  <c r="V703" i="19"/>
  <c r="V704" i="19"/>
  <c r="V705" i="19"/>
  <c r="V706" i="19"/>
  <c r="V707" i="19"/>
  <c r="V708" i="19"/>
  <c r="V709" i="19"/>
  <c r="V710" i="19"/>
  <c r="V711" i="19"/>
  <c r="V712" i="19"/>
  <c r="V713" i="19"/>
  <c r="V714" i="19"/>
  <c r="V715" i="19"/>
  <c r="V716" i="19"/>
  <c r="V717" i="19"/>
  <c r="V718" i="19"/>
  <c r="V719" i="19"/>
  <c r="V720" i="19"/>
  <c r="V721" i="19"/>
  <c r="V722" i="19"/>
  <c r="V723" i="19"/>
  <c r="V724" i="19"/>
  <c r="V725" i="19"/>
  <c r="V726" i="19"/>
  <c r="V727" i="19"/>
  <c r="V728" i="19"/>
  <c r="V729" i="19"/>
  <c r="V730" i="19"/>
  <c r="V731" i="19"/>
  <c r="V732" i="19"/>
  <c r="V733" i="19"/>
  <c r="V734" i="19"/>
  <c r="V735" i="19"/>
  <c r="V736" i="19"/>
  <c r="V737" i="19"/>
  <c r="V738" i="19"/>
  <c r="V739" i="19"/>
  <c r="V740" i="19"/>
  <c r="V741" i="19"/>
  <c r="V742" i="19"/>
  <c r="V743" i="19"/>
  <c r="V744" i="19"/>
  <c r="V745" i="19"/>
  <c r="V746" i="19"/>
  <c r="V747" i="19"/>
  <c r="V748" i="19"/>
  <c r="V749" i="19"/>
  <c r="V750" i="19"/>
  <c r="V751" i="19"/>
  <c r="V752" i="19"/>
  <c r="V753" i="19"/>
  <c r="V754" i="19"/>
  <c r="V755" i="19"/>
  <c r="V756" i="19"/>
  <c r="V757" i="19"/>
  <c r="V758" i="19"/>
  <c r="V759" i="19"/>
  <c r="V760" i="19"/>
  <c r="V761" i="19"/>
  <c r="V762" i="19"/>
  <c r="V763" i="19"/>
  <c r="V764" i="19"/>
  <c r="V765" i="19"/>
  <c r="V766" i="19"/>
  <c r="V767" i="19"/>
  <c r="V768" i="19"/>
  <c r="V769" i="19"/>
  <c r="V770" i="19"/>
  <c r="V771" i="19"/>
  <c r="V772" i="19"/>
  <c r="V773" i="19"/>
  <c r="V774" i="19"/>
  <c r="V775" i="19"/>
  <c r="V776" i="19"/>
  <c r="V777" i="19"/>
  <c r="V778" i="19"/>
  <c r="V779" i="19"/>
  <c r="V780" i="19"/>
  <c r="V781" i="19"/>
  <c r="V782" i="19"/>
  <c r="V783" i="19"/>
  <c r="V784" i="19"/>
  <c r="V785" i="19"/>
  <c r="V786" i="19"/>
  <c r="V787" i="19"/>
  <c r="V788" i="19"/>
  <c r="V789" i="19"/>
  <c r="V790" i="19"/>
  <c r="V791" i="19"/>
  <c r="V792" i="19"/>
  <c r="V793" i="19"/>
  <c r="V794" i="19"/>
  <c r="V795" i="19"/>
  <c r="V796" i="19"/>
  <c r="V797" i="19"/>
  <c r="V798" i="19"/>
  <c r="V799" i="19"/>
  <c r="V800" i="19"/>
  <c r="V801" i="19"/>
  <c r="V802" i="19"/>
  <c r="V803" i="19"/>
  <c r="V804" i="19"/>
  <c r="V805" i="19"/>
  <c r="V806" i="19"/>
  <c r="V807" i="19"/>
  <c r="V808" i="19"/>
  <c r="V809" i="19"/>
  <c r="V810" i="19"/>
  <c r="V811" i="19"/>
  <c r="V812" i="19"/>
  <c r="V813" i="19"/>
  <c r="V814" i="19"/>
  <c r="V815" i="19"/>
  <c r="V816" i="19"/>
  <c r="V817" i="19"/>
  <c r="V818" i="19"/>
  <c r="V819" i="19"/>
  <c r="V820" i="19"/>
  <c r="V821" i="19"/>
  <c r="V822" i="19"/>
  <c r="V823" i="19"/>
  <c r="V824" i="19"/>
  <c r="V825" i="19"/>
  <c r="V826" i="19"/>
  <c r="V827" i="19"/>
  <c r="V828" i="19"/>
  <c r="V829" i="19"/>
  <c r="V830" i="19"/>
  <c r="V831" i="19"/>
  <c r="V832" i="19"/>
  <c r="V833" i="19"/>
  <c r="V834" i="19"/>
  <c r="V835" i="19"/>
  <c r="V836" i="19"/>
  <c r="V837" i="19"/>
  <c r="V838" i="19"/>
  <c r="V839" i="19"/>
  <c r="V840" i="19"/>
  <c r="V841" i="19"/>
  <c r="V842" i="19"/>
  <c r="V843" i="19"/>
  <c r="V844" i="19"/>
  <c r="V845" i="19"/>
  <c r="V846" i="19"/>
  <c r="V847" i="19"/>
  <c r="V848" i="19"/>
  <c r="V849" i="19"/>
  <c r="V850" i="19"/>
  <c r="V851" i="19"/>
  <c r="V852" i="19"/>
  <c r="V853" i="19"/>
  <c r="V854" i="19"/>
  <c r="V855" i="19"/>
  <c r="V856" i="19"/>
  <c r="V857" i="19"/>
  <c r="V858" i="19"/>
  <c r="V859" i="19"/>
  <c r="V860" i="19"/>
  <c r="V861" i="19"/>
  <c r="V862" i="19"/>
  <c r="V863" i="19"/>
  <c r="V864" i="19"/>
  <c r="V865" i="19"/>
  <c r="V866" i="19"/>
  <c r="V867" i="19"/>
  <c r="V868" i="19"/>
  <c r="V869" i="19"/>
  <c r="V870" i="19"/>
  <c r="V871" i="19"/>
  <c r="V872" i="19"/>
  <c r="V873" i="19"/>
  <c r="V874" i="19"/>
  <c r="V875" i="19"/>
  <c r="V876" i="19"/>
  <c r="V877" i="19"/>
  <c r="V878" i="19"/>
  <c r="V879" i="19"/>
  <c r="V880" i="19"/>
  <c r="V881" i="19"/>
  <c r="V882" i="19"/>
  <c r="V883" i="19"/>
  <c r="V884" i="19"/>
  <c r="V885" i="19"/>
  <c r="V886" i="19"/>
  <c r="V887" i="19"/>
  <c r="V888" i="19"/>
  <c r="V889" i="19"/>
  <c r="V890" i="19"/>
  <c r="V891" i="19"/>
  <c r="V892" i="19"/>
  <c r="V893" i="19"/>
  <c r="V894" i="19"/>
  <c r="V895" i="19"/>
  <c r="V896" i="19"/>
  <c r="V897" i="19"/>
  <c r="V898" i="19"/>
  <c r="V899" i="19"/>
  <c r="V900" i="19"/>
  <c r="V901" i="19"/>
  <c r="V902" i="19"/>
  <c r="V903" i="19"/>
  <c r="V904" i="19"/>
  <c r="V905" i="19"/>
  <c r="V906" i="19"/>
  <c r="V907" i="19"/>
  <c r="V908" i="19"/>
  <c r="V909" i="19"/>
  <c r="V910" i="19"/>
  <c r="V911" i="19"/>
  <c r="V912" i="19"/>
  <c r="V913" i="19"/>
  <c r="V914" i="19"/>
  <c r="V915" i="19"/>
  <c r="V916" i="19"/>
  <c r="V917" i="19"/>
  <c r="V918" i="19"/>
  <c r="V919" i="19"/>
  <c r="V920" i="19"/>
  <c r="V921" i="19"/>
  <c r="V922" i="19"/>
  <c r="V923" i="19"/>
  <c r="V924" i="19"/>
  <c r="V925" i="19"/>
  <c r="V926" i="19"/>
  <c r="V927" i="19"/>
  <c r="V928" i="19"/>
  <c r="V929" i="19"/>
  <c r="V930" i="19"/>
  <c r="V931" i="19"/>
  <c r="V932" i="19"/>
  <c r="V933" i="19"/>
  <c r="V934" i="19"/>
  <c r="V935" i="19"/>
  <c r="V936" i="19"/>
  <c r="V937" i="19"/>
  <c r="V938" i="19"/>
  <c r="V939" i="19"/>
  <c r="V940" i="19"/>
  <c r="V941" i="19"/>
  <c r="V942" i="19"/>
  <c r="V943" i="19"/>
  <c r="V944" i="19"/>
  <c r="V945" i="19"/>
  <c r="V946" i="19"/>
  <c r="V947" i="19"/>
  <c r="V948" i="19"/>
  <c r="V949" i="19"/>
  <c r="V950" i="19"/>
  <c r="V951" i="19"/>
  <c r="V952" i="19"/>
  <c r="V953" i="19"/>
  <c r="V954" i="19"/>
  <c r="V955" i="19"/>
  <c r="V956" i="19"/>
  <c r="V957" i="19"/>
  <c r="V958" i="19"/>
  <c r="V959" i="19"/>
  <c r="V960" i="19"/>
  <c r="V961" i="19"/>
  <c r="V962" i="19"/>
  <c r="V963" i="19"/>
  <c r="V964" i="19"/>
  <c r="V965" i="19"/>
  <c r="V966" i="19"/>
  <c r="V967" i="19"/>
  <c r="V968" i="19"/>
  <c r="V969" i="19"/>
  <c r="V970" i="19"/>
  <c r="V971" i="19"/>
  <c r="V972" i="19"/>
  <c r="V973" i="19"/>
  <c r="V974" i="19"/>
  <c r="V975" i="19"/>
  <c r="V976" i="19"/>
  <c r="V977" i="19"/>
  <c r="V978" i="19"/>
  <c r="V979" i="19"/>
  <c r="V980" i="19"/>
  <c r="V981" i="19"/>
  <c r="V982" i="19"/>
  <c r="V983" i="19"/>
  <c r="V984" i="19"/>
  <c r="V985" i="19"/>
  <c r="V986" i="19"/>
  <c r="V987" i="19"/>
  <c r="V988" i="19"/>
  <c r="V989" i="19"/>
  <c r="V990" i="19"/>
  <c r="V991" i="19"/>
  <c r="V992" i="19"/>
  <c r="V993" i="19"/>
  <c r="V994" i="19"/>
  <c r="V995" i="19"/>
  <c r="V996" i="19"/>
  <c r="V997" i="19"/>
  <c r="V998" i="19"/>
  <c r="V999" i="19"/>
  <c r="V1000" i="19"/>
  <c r="V1001" i="19"/>
  <c r="V1002" i="19"/>
  <c r="V1003" i="19"/>
  <c r="V1004" i="19"/>
  <c r="V1005" i="19"/>
  <c r="V1006" i="19"/>
  <c r="V1007" i="19"/>
  <c r="V1008" i="19"/>
  <c r="V1009" i="19"/>
  <c r="V1010" i="19"/>
  <c r="V1011" i="19"/>
  <c r="V1012" i="19"/>
  <c r="V1013" i="19"/>
  <c r="V1014" i="19"/>
  <c r="V1015" i="19"/>
  <c r="V1016" i="19"/>
  <c r="V1017" i="19"/>
  <c r="V1018" i="19"/>
  <c r="V1019" i="19"/>
  <c r="V1020" i="19"/>
  <c r="V1021" i="19"/>
  <c r="V1022" i="19"/>
  <c r="V1023" i="19"/>
  <c r="V1024" i="19"/>
  <c r="V1025" i="19"/>
  <c r="V1026" i="19"/>
  <c r="V1027" i="19"/>
  <c r="V1028" i="19"/>
  <c r="V1029" i="19"/>
  <c r="V1030" i="19"/>
  <c r="V1031" i="19"/>
  <c r="V1032" i="19"/>
  <c r="V1033" i="19"/>
  <c r="V1034" i="19"/>
  <c r="V1035" i="19"/>
  <c r="V1036" i="19"/>
  <c r="V1037" i="19"/>
  <c r="V1038" i="19"/>
  <c r="V1039" i="19"/>
  <c r="V1040" i="19"/>
  <c r="V1041" i="19"/>
  <c r="V1042" i="19"/>
  <c r="V1043" i="19"/>
  <c r="V1044" i="19"/>
  <c r="V1045" i="19"/>
  <c r="V1046" i="19"/>
  <c r="V1047" i="19"/>
  <c r="V1048" i="19"/>
  <c r="V1049" i="19"/>
  <c r="V1050" i="19"/>
  <c r="V1051" i="19"/>
  <c r="V1052" i="19"/>
  <c r="V1053" i="19"/>
  <c r="V1054" i="19"/>
  <c r="V1055" i="19"/>
  <c r="V1056" i="19"/>
  <c r="V1057" i="19"/>
  <c r="V1058" i="19"/>
  <c r="V1059" i="19"/>
  <c r="V1060" i="19"/>
  <c r="V1061" i="19"/>
  <c r="V1062" i="19"/>
  <c r="V1063" i="19"/>
  <c r="V1064" i="19"/>
  <c r="V1065" i="19"/>
  <c r="V1066" i="19"/>
  <c r="V1067" i="19"/>
  <c r="V1068" i="19"/>
  <c r="V1069" i="19"/>
  <c r="V1070" i="19"/>
  <c r="V1071" i="19"/>
  <c r="V1072" i="19"/>
  <c r="V1073" i="19"/>
  <c r="V1074" i="19"/>
  <c r="V1075" i="19"/>
  <c r="V1076" i="19"/>
  <c r="V1077" i="19"/>
  <c r="V1078" i="19"/>
  <c r="V1079" i="19"/>
  <c r="V1080" i="19"/>
  <c r="V1081" i="19"/>
  <c r="V1082" i="19"/>
  <c r="V1083" i="19"/>
  <c r="V1084" i="19"/>
  <c r="V1085" i="19"/>
  <c r="V1086" i="19"/>
  <c r="V1087" i="19"/>
  <c r="V1088" i="19"/>
  <c r="V1089" i="19"/>
  <c r="V1090" i="19"/>
  <c r="V1091" i="19"/>
  <c r="V1092" i="19"/>
  <c r="V1093" i="19"/>
  <c r="V1094" i="19"/>
  <c r="V1095" i="19"/>
  <c r="V1096" i="19"/>
  <c r="V1097" i="19"/>
  <c r="V1098" i="19"/>
  <c r="V1099" i="19"/>
  <c r="V1100" i="19"/>
  <c r="V1101" i="19"/>
  <c r="V1102" i="19"/>
  <c r="V1103" i="19"/>
  <c r="V1104" i="19"/>
  <c r="V1105" i="19"/>
  <c r="V1106" i="19"/>
  <c r="V1107" i="19"/>
  <c r="V1108" i="19"/>
  <c r="V1109" i="19"/>
  <c r="V1110" i="19"/>
  <c r="U11" i="19"/>
  <c r="U12" i="19"/>
  <c r="U13" i="19"/>
  <c r="U14" i="19"/>
  <c r="U15" i="19"/>
  <c r="U16" i="19"/>
  <c r="U17" i="19"/>
  <c r="U18" i="19"/>
  <c r="U19" i="19"/>
  <c r="U20" i="19"/>
  <c r="U21" i="19"/>
  <c r="U22" i="19"/>
  <c r="U23" i="19"/>
  <c r="U24" i="19"/>
  <c r="U25" i="19"/>
  <c r="U26" i="19"/>
  <c r="U27" i="19"/>
  <c r="U28" i="19"/>
  <c r="U29" i="19"/>
  <c r="U30" i="19"/>
  <c r="U31" i="19"/>
  <c r="U32" i="19"/>
  <c r="U33" i="19"/>
  <c r="U34" i="19"/>
  <c r="U35" i="19"/>
  <c r="U36" i="19"/>
  <c r="U37" i="19"/>
  <c r="U38" i="19"/>
  <c r="U39" i="19"/>
  <c r="U40" i="19"/>
  <c r="U41" i="19"/>
  <c r="U42" i="19"/>
  <c r="U43" i="19"/>
  <c r="U44" i="19"/>
  <c r="U45" i="19"/>
  <c r="U46" i="19"/>
  <c r="U47" i="19"/>
  <c r="U48" i="19"/>
  <c r="U49" i="19"/>
  <c r="U50" i="19"/>
  <c r="U51" i="19"/>
  <c r="U52" i="19"/>
  <c r="U53" i="19"/>
  <c r="U54" i="19"/>
  <c r="U55" i="19"/>
  <c r="U56" i="19"/>
  <c r="U57" i="19"/>
  <c r="U58" i="19"/>
  <c r="U59" i="19"/>
  <c r="U60" i="19"/>
  <c r="U61" i="19"/>
  <c r="U62" i="19"/>
  <c r="U63" i="19"/>
  <c r="U64" i="19"/>
  <c r="U65" i="19"/>
  <c r="U66" i="19"/>
  <c r="U67" i="19"/>
  <c r="U68" i="19"/>
  <c r="U69" i="19"/>
  <c r="U70" i="19"/>
  <c r="U71" i="19"/>
  <c r="U72" i="19"/>
  <c r="U73" i="19"/>
  <c r="U74" i="19"/>
  <c r="U75" i="19"/>
  <c r="U76" i="19"/>
  <c r="U77" i="19"/>
  <c r="U78" i="19"/>
  <c r="U79" i="19"/>
  <c r="U80" i="19"/>
  <c r="U81" i="19"/>
  <c r="U82" i="19"/>
  <c r="U83" i="19"/>
  <c r="U84" i="19"/>
  <c r="U85" i="19"/>
  <c r="U86" i="19"/>
  <c r="U87" i="19"/>
  <c r="U88" i="19"/>
  <c r="U89" i="19"/>
  <c r="U90" i="19"/>
  <c r="U91" i="19"/>
  <c r="U92" i="19"/>
  <c r="U93" i="19"/>
  <c r="U94" i="19"/>
  <c r="U95" i="19"/>
  <c r="U96" i="19"/>
  <c r="U97" i="19"/>
  <c r="U98" i="19"/>
  <c r="U99" i="19"/>
  <c r="U100" i="19"/>
  <c r="U101" i="19"/>
  <c r="U102" i="19"/>
  <c r="U103" i="19"/>
  <c r="U104" i="19"/>
  <c r="U105" i="19"/>
  <c r="U106" i="19"/>
  <c r="U107" i="19"/>
  <c r="U108" i="19"/>
  <c r="U109" i="19"/>
  <c r="U110" i="19"/>
  <c r="U111" i="19"/>
  <c r="U112" i="19"/>
  <c r="U113" i="19"/>
  <c r="U114" i="19"/>
  <c r="U115" i="19"/>
  <c r="U116" i="19"/>
  <c r="U117" i="19"/>
  <c r="U118" i="19"/>
  <c r="U119" i="19"/>
  <c r="U120" i="19"/>
  <c r="U121" i="19"/>
  <c r="U122" i="19"/>
  <c r="U123" i="19"/>
  <c r="U124" i="19"/>
  <c r="U125" i="19"/>
  <c r="U126" i="19"/>
  <c r="U127" i="19"/>
  <c r="U128" i="19"/>
  <c r="U129" i="19"/>
  <c r="U130" i="19"/>
  <c r="U131" i="19"/>
  <c r="U132" i="19"/>
  <c r="U133" i="19"/>
  <c r="U134" i="19"/>
  <c r="U135" i="19"/>
  <c r="U136" i="19"/>
  <c r="U137" i="19"/>
  <c r="U138" i="19"/>
  <c r="U139" i="19"/>
  <c r="U140" i="19"/>
  <c r="U141" i="19"/>
  <c r="U142" i="19"/>
  <c r="U143" i="19"/>
  <c r="U144" i="19"/>
  <c r="U145" i="19"/>
  <c r="U146" i="19"/>
  <c r="U147" i="19"/>
  <c r="U148" i="19"/>
  <c r="U149" i="19"/>
  <c r="U150" i="19"/>
  <c r="U151" i="19"/>
  <c r="U152" i="19"/>
  <c r="U153" i="19"/>
  <c r="U154" i="19"/>
  <c r="U155" i="19"/>
  <c r="U156" i="19"/>
  <c r="U157" i="19"/>
  <c r="U158" i="19"/>
  <c r="U159" i="19"/>
  <c r="U160" i="19"/>
  <c r="U161" i="19"/>
  <c r="U162" i="19"/>
  <c r="U163" i="19"/>
  <c r="U164" i="19"/>
  <c r="U165" i="19"/>
  <c r="U166" i="19"/>
  <c r="U167" i="19"/>
  <c r="U168" i="19"/>
  <c r="U169" i="19"/>
  <c r="U170" i="19"/>
  <c r="U171" i="19"/>
  <c r="U172" i="19"/>
  <c r="U173" i="19"/>
  <c r="U174" i="19"/>
  <c r="U175" i="19"/>
  <c r="U176" i="19"/>
  <c r="U177" i="19"/>
  <c r="U178" i="19"/>
  <c r="U179" i="19"/>
  <c r="U180" i="19"/>
  <c r="U181" i="19"/>
  <c r="U182" i="19"/>
  <c r="U183" i="19"/>
  <c r="U184" i="19"/>
  <c r="U185" i="19"/>
  <c r="U186" i="19"/>
  <c r="U187" i="19"/>
  <c r="U188" i="19"/>
  <c r="U189" i="19"/>
  <c r="U190" i="19"/>
  <c r="U191" i="19"/>
  <c r="U192" i="19"/>
  <c r="U193" i="19"/>
  <c r="U194" i="19"/>
  <c r="U195" i="19"/>
  <c r="U196" i="19"/>
  <c r="U197" i="19"/>
  <c r="U198" i="19"/>
  <c r="U199" i="19"/>
  <c r="U200" i="19"/>
  <c r="U201" i="19"/>
  <c r="U202" i="19"/>
  <c r="U203" i="19"/>
  <c r="U204" i="19"/>
  <c r="U205" i="19"/>
  <c r="U206" i="19"/>
  <c r="U207" i="19"/>
  <c r="U208" i="19"/>
  <c r="U209" i="19"/>
  <c r="U210" i="19"/>
  <c r="U211" i="19"/>
  <c r="U212" i="19"/>
  <c r="U213" i="19"/>
  <c r="U214" i="19"/>
  <c r="U215" i="19"/>
  <c r="U216" i="19"/>
  <c r="U217" i="19"/>
  <c r="U218" i="19"/>
  <c r="U219" i="19"/>
  <c r="U220" i="19"/>
  <c r="U221" i="19"/>
  <c r="U222" i="19"/>
  <c r="U223" i="19"/>
  <c r="U224" i="19"/>
  <c r="U225" i="19"/>
  <c r="U226" i="19"/>
  <c r="U227" i="19"/>
  <c r="U228" i="19"/>
  <c r="U229" i="19"/>
  <c r="U230" i="19"/>
  <c r="U231" i="19"/>
  <c r="U232" i="19"/>
  <c r="U233" i="19"/>
  <c r="U234" i="19"/>
  <c r="U235" i="19"/>
  <c r="U236" i="19"/>
  <c r="U237" i="19"/>
  <c r="U238" i="19"/>
  <c r="U239" i="19"/>
  <c r="U240" i="19"/>
  <c r="U241" i="19"/>
  <c r="U242" i="19"/>
  <c r="U243" i="19"/>
  <c r="U244" i="19"/>
  <c r="U245" i="19"/>
  <c r="U246" i="19"/>
  <c r="U247" i="19"/>
  <c r="U248" i="19"/>
  <c r="U249" i="19"/>
  <c r="U250" i="19"/>
  <c r="U251" i="19"/>
  <c r="U252" i="19"/>
  <c r="U253" i="19"/>
  <c r="U254" i="19"/>
  <c r="U255" i="19"/>
  <c r="U256" i="19"/>
  <c r="U257" i="19"/>
  <c r="U258" i="19"/>
  <c r="U259" i="19"/>
  <c r="U260" i="19"/>
  <c r="U261" i="19"/>
  <c r="U262" i="19"/>
  <c r="U263" i="19"/>
  <c r="U264" i="19"/>
  <c r="U265" i="19"/>
  <c r="U266" i="19"/>
  <c r="U267" i="19"/>
  <c r="U268" i="19"/>
  <c r="U269" i="19"/>
  <c r="U270" i="19"/>
  <c r="U271" i="19"/>
  <c r="U272" i="19"/>
  <c r="U273" i="19"/>
  <c r="U274" i="19"/>
  <c r="U275" i="19"/>
  <c r="U276" i="19"/>
  <c r="U277" i="19"/>
  <c r="U278" i="19"/>
  <c r="U279" i="19"/>
  <c r="U280" i="19"/>
  <c r="U281" i="19"/>
  <c r="U282" i="19"/>
  <c r="U283" i="19"/>
  <c r="U284" i="19"/>
  <c r="U285" i="19"/>
  <c r="U286" i="19"/>
  <c r="U287" i="19"/>
  <c r="U288" i="19"/>
  <c r="U289" i="19"/>
  <c r="U290" i="19"/>
  <c r="U291" i="19"/>
  <c r="U292" i="19"/>
  <c r="U293" i="19"/>
  <c r="U294" i="19"/>
  <c r="U295" i="19"/>
  <c r="U296" i="19"/>
  <c r="U297" i="19"/>
  <c r="U298" i="19"/>
  <c r="U299" i="19"/>
  <c r="U300" i="19"/>
  <c r="U301" i="19"/>
  <c r="U302" i="19"/>
  <c r="U303" i="19"/>
  <c r="U304" i="19"/>
  <c r="U305" i="19"/>
  <c r="U306" i="19"/>
  <c r="U307" i="19"/>
  <c r="U308" i="19"/>
  <c r="U309" i="19"/>
  <c r="U310" i="19"/>
  <c r="U311" i="19"/>
  <c r="U312" i="19"/>
  <c r="U313" i="19"/>
  <c r="U314" i="19"/>
  <c r="U315" i="19"/>
  <c r="U316" i="19"/>
  <c r="U317" i="19"/>
  <c r="U318" i="19"/>
  <c r="U319" i="19"/>
  <c r="U320" i="19"/>
  <c r="U321" i="19"/>
  <c r="U322" i="19"/>
  <c r="U323" i="19"/>
  <c r="U324" i="19"/>
  <c r="U325" i="19"/>
  <c r="U326" i="19"/>
  <c r="U327" i="19"/>
  <c r="U328" i="19"/>
  <c r="U329" i="19"/>
  <c r="U330" i="19"/>
  <c r="U331" i="19"/>
  <c r="U332" i="19"/>
  <c r="U333" i="19"/>
  <c r="U334" i="19"/>
  <c r="U335" i="19"/>
  <c r="U336" i="19"/>
  <c r="U337" i="19"/>
  <c r="U338" i="19"/>
  <c r="U339" i="19"/>
  <c r="U340" i="19"/>
  <c r="U341" i="19"/>
  <c r="U342" i="19"/>
  <c r="U343" i="19"/>
  <c r="U344" i="19"/>
  <c r="U345" i="19"/>
  <c r="U346" i="19"/>
  <c r="U347" i="19"/>
  <c r="U348" i="19"/>
  <c r="U349" i="19"/>
  <c r="U350" i="19"/>
  <c r="U351" i="19"/>
  <c r="U352" i="19"/>
  <c r="U353" i="19"/>
  <c r="U354" i="19"/>
  <c r="U355" i="19"/>
  <c r="U356" i="19"/>
  <c r="U357" i="19"/>
  <c r="U358" i="19"/>
  <c r="U359" i="19"/>
  <c r="U360" i="19"/>
  <c r="U361" i="19"/>
  <c r="U362" i="19"/>
  <c r="U363" i="19"/>
  <c r="U364" i="19"/>
  <c r="U365" i="19"/>
  <c r="U366" i="19"/>
  <c r="U367" i="19"/>
  <c r="U368" i="19"/>
  <c r="U369" i="19"/>
  <c r="U370" i="19"/>
  <c r="U371" i="19"/>
  <c r="U372" i="19"/>
  <c r="U373" i="19"/>
  <c r="U374" i="19"/>
  <c r="U375" i="19"/>
  <c r="U376" i="19"/>
  <c r="U377" i="19"/>
  <c r="U378" i="19"/>
  <c r="U379" i="19"/>
  <c r="U380" i="19"/>
  <c r="U381" i="19"/>
  <c r="U382" i="19"/>
  <c r="U383" i="19"/>
  <c r="U384" i="19"/>
  <c r="U385" i="19"/>
  <c r="U386" i="19"/>
  <c r="U387" i="19"/>
  <c r="U388" i="19"/>
  <c r="U389" i="19"/>
  <c r="U390" i="19"/>
  <c r="U391" i="19"/>
  <c r="U392" i="19"/>
  <c r="U393" i="19"/>
  <c r="U394" i="19"/>
  <c r="U395" i="19"/>
  <c r="U396" i="19"/>
  <c r="U397" i="19"/>
  <c r="U398" i="19"/>
  <c r="U399" i="19"/>
  <c r="U400" i="19"/>
  <c r="U401" i="19"/>
  <c r="U402" i="19"/>
  <c r="U403" i="19"/>
  <c r="U404" i="19"/>
  <c r="U405" i="19"/>
  <c r="U406" i="19"/>
  <c r="U407" i="19"/>
  <c r="U408" i="19"/>
  <c r="U409" i="19"/>
  <c r="U410" i="19"/>
  <c r="U411" i="19"/>
  <c r="U412" i="19"/>
  <c r="U413" i="19"/>
  <c r="U414" i="19"/>
  <c r="U415" i="19"/>
  <c r="U416" i="19"/>
  <c r="U417" i="19"/>
  <c r="U418" i="19"/>
  <c r="U419" i="19"/>
  <c r="U420" i="19"/>
  <c r="U421" i="19"/>
  <c r="U422" i="19"/>
  <c r="U423" i="19"/>
  <c r="U424" i="19"/>
  <c r="U425" i="19"/>
  <c r="U426" i="19"/>
  <c r="U427" i="19"/>
  <c r="U428" i="19"/>
  <c r="U429" i="19"/>
  <c r="U430" i="19"/>
  <c r="U431" i="19"/>
  <c r="U432" i="19"/>
  <c r="U433" i="19"/>
  <c r="U434" i="19"/>
  <c r="U435" i="19"/>
  <c r="U436" i="19"/>
  <c r="U437" i="19"/>
  <c r="U438" i="19"/>
  <c r="U439" i="19"/>
  <c r="U440" i="19"/>
  <c r="U441" i="19"/>
  <c r="U442" i="19"/>
  <c r="U443" i="19"/>
  <c r="U444" i="19"/>
  <c r="U445" i="19"/>
  <c r="U446" i="19"/>
  <c r="U447" i="19"/>
  <c r="U448" i="19"/>
  <c r="U449" i="19"/>
  <c r="U450" i="19"/>
  <c r="U451" i="19"/>
  <c r="U452" i="19"/>
  <c r="U453" i="19"/>
  <c r="U454" i="19"/>
  <c r="U455" i="19"/>
  <c r="U456" i="19"/>
  <c r="U457" i="19"/>
  <c r="U458" i="19"/>
  <c r="U459" i="19"/>
  <c r="U460" i="19"/>
  <c r="U461" i="19"/>
  <c r="U462" i="19"/>
  <c r="U463" i="19"/>
  <c r="U464" i="19"/>
  <c r="U465" i="19"/>
  <c r="U466" i="19"/>
  <c r="U467" i="19"/>
  <c r="U468" i="19"/>
  <c r="U469" i="19"/>
  <c r="U470" i="19"/>
  <c r="U471" i="19"/>
  <c r="U472" i="19"/>
  <c r="U473" i="19"/>
  <c r="U474" i="19"/>
  <c r="U475" i="19"/>
  <c r="U476" i="19"/>
  <c r="U477" i="19"/>
  <c r="U478" i="19"/>
  <c r="U479" i="19"/>
  <c r="U480" i="19"/>
  <c r="U481" i="19"/>
  <c r="U482" i="19"/>
  <c r="U483" i="19"/>
  <c r="U484" i="19"/>
  <c r="U485" i="19"/>
  <c r="U486" i="19"/>
  <c r="U487" i="19"/>
  <c r="U488" i="19"/>
  <c r="U489" i="19"/>
  <c r="U490" i="19"/>
  <c r="U491" i="19"/>
  <c r="U492" i="19"/>
  <c r="U493" i="19"/>
  <c r="U494" i="19"/>
  <c r="U495" i="19"/>
  <c r="U496" i="19"/>
  <c r="U497" i="19"/>
  <c r="U498" i="19"/>
  <c r="U499" i="19"/>
  <c r="U500" i="19"/>
  <c r="U501" i="19"/>
  <c r="U502" i="19"/>
  <c r="U503" i="19"/>
  <c r="U504" i="19"/>
  <c r="U505" i="19"/>
  <c r="U506" i="19"/>
  <c r="U507" i="19"/>
  <c r="U508" i="19"/>
  <c r="U509" i="19"/>
  <c r="U510" i="19"/>
  <c r="U511" i="19"/>
  <c r="U512" i="19"/>
  <c r="U513" i="19"/>
  <c r="U514" i="19"/>
  <c r="U515" i="19"/>
  <c r="U516" i="19"/>
  <c r="U517" i="19"/>
  <c r="U518" i="19"/>
  <c r="U519" i="19"/>
  <c r="U520" i="19"/>
  <c r="U521" i="19"/>
  <c r="U522" i="19"/>
  <c r="U523" i="19"/>
  <c r="U524" i="19"/>
  <c r="U525" i="19"/>
  <c r="U526" i="19"/>
  <c r="U527" i="19"/>
  <c r="U528" i="19"/>
  <c r="U529" i="19"/>
  <c r="U530" i="19"/>
  <c r="U531" i="19"/>
  <c r="U532" i="19"/>
  <c r="U533" i="19"/>
  <c r="U534" i="19"/>
  <c r="U535" i="19"/>
  <c r="U536" i="19"/>
  <c r="U537" i="19"/>
  <c r="U538" i="19"/>
  <c r="U539" i="19"/>
  <c r="U540" i="19"/>
  <c r="U541" i="19"/>
  <c r="U542" i="19"/>
  <c r="U543" i="19"/>
  <c r="U544" i="19"/>
  <c r="U545" i="19"/>
  <c r="U546" i="19"/>
  <c r="U547" i="19"/>
  <c r="U548" i="19"/>
  <c r="U549" i="19"/>
  <c r="U550" i="19"/>
  <c r="U551" i="19"/>
  <c r="U552" i="19"/>
  <c r="U553" i="19"/>
  <c r="U554" i="19"/>
  <c r="U555" i="19"/>
  <c r="U556" i="19"/>
  <c r="U557" i="19"/>
  <c r="U558" i="19"/>
  <c r="U559" i="19"/>
  <c r="U560" i="19"/>
  <c r="U561" i="19"/>
  <c r="U562" i="19"/>
  <c r="U563" i="19"/>
  <c r="U564" i="19"/>
  <c r="U565" i="19"/>
  <c r="U566" i="19"/>
  <c r="U567" i="19"/>
  <c r="U568" i="19"/>
  <c r="U569" i="19"/>
  <c r="U570" i="19"/>
  <c r="U571" i="19"/>
  <c r="U572" i="19"/>
  <c r="U573" i="19"/>
  <c r="U574" i="19"/>
  <c r="U575" i="19"/>
  <c r="U576" i="19"/>
  <c r="U577" i="19"/>
  <c r="U578" i="19"/>
  <c r="U579" i="19"/>
  <c r="U580" i="19"/>
  <c r="U581" i="19"/>
  <c r="U582" i="19"/>
  <c r="U583" i="19"/>
  <c r="U584" i="19"/>
  <c r="U585" i="19"/>
  <c r="U586" i="19"/>
  <c r="U587" i="19"/>
  <c r="U588" i="19"/>
  <c r="U589" i="19"/>
  <c r="U590" i="19"/>
  <c r="U591" i="19"/>
  <c r="U592" i="19"/>
  <c r="U593" i="19"/>
  <c r="U594" i="19"/>
  <c r="U595" i="19"/>
  <c r="U596" i="19"/>
  <c r="U597" i="19"/>
  <c r="U598" i="19"/>
  <c r="U599" i="19"/>
  <c r="U600" i="19"/>
  <c r="U601" i="19"/>
  <c r="U602" i="19"/>
  <c r="U603" i="19"/>
  <c r="U604" i="19"/>
  <c r="U605" i="19"/>
  <c r="U606" i="19"/>
  <c r="U607" i="19"/>
  <c r="U608" i="19"/>
  <c r="U609" i="19"/>
  <c r="U610" i="19"/>
  <c r="U611" i="19"/>
  <c r="U612" i="19"/>
  <c r="U613" i="19"/>
  <c r="U614" i="19"/>
  <c r="U615" i="19"/>
  <c r="U616" i="19"/>
  <c r="U617" i="19"/>
  <c r="U618" i="19"/>
  <c r="U619" i="19"/>
  <c r="U620" i="19"/>
  <c r="U621" i="19"/>
  <c r="U622" i="19"/>
  <c r="U623" i="19"/>
  <c r="U624" i="19"/>
  <c r="U625" i="19"/>
  <c r="U626" i="19"/>
  <c r="U627" i="19"/>
  <c r="U628" i="19"/>
  <c r="U629" i="19"/>
  <c r="U630" i="19"/>
  <c r="U631" i="19"/>
  <c r="U632" i="19"/>
  <c r="U633" i="19"/>
  <c r="U634" i="19"/>
  <c r="U635" i="19"/>
  <c r="U636" i="19"/>
  <c r="U637" i="19"/>
  <c r="U638" i="19"/>
  <c r="U639" i="19"/>
  <c r="U640" i="19"/>
  <c r="U641" i="19"/>
  <c r="U642" i="19"/>
  <c r="U643" i="19"/>
  <c r="U644" i="19"/>
  <c r="U645" i="19"/>
  <c r="U646" i="19"/>
  <c r="U647" i="19"/>
  <c r="U648" i="19"/>
  <c r="U649" i="19"/>
  <c r="U650" i="19"/>
  <c r="U651" i="19"/>
  <c r="U652" i="19"/>
  <c r="U653" i="19"/>
  <c r="U654" i="19"/>
  <c r="U655" i="19"/>
  <c r="U656" i="19"/>
  <c r="U657" i="19"/>
  <c r="U658" i="19"/>
  <c r="U659" i="19"/>
  <c r="U660" i="19"/>
  <c r="U661" i="19"/>
  <c r="U662" i="19"/>
  <c r="U663" i="19"/>
  <c r="U664" i="19"/>
  <c r="U665" i="19"/>
  <c r="U666" i="19"/>
  <c r="U667" i="19"/>
  <c r="U668" i="19"/>
  <c r="U669" i="19"/>
  <c r="U670" i="19"/>
  <c r="U671" i="19"/>
  <c r="U672" i="19"/>
  <c r="U673" i="19"/>
  <c r="U674" i="19"/>
  <c r="U675" i="19"/>
  <c r="U676" i="19"/>
  <c r="U677" i="19"/>
  <c r="U678" i="19"/>
  <c r="U679" i="19"/>
  <c r="U680" i="19"/>
  <c r="U681" i="19"/>
  <c r="U682" i="19"/>
  <c r="U683" i="19"/>
  <c r="U684" i="19"/>
  <c r="U685" i="19"/>
  <c r="U686" i="19"/>
  <c r="U687" i="19"/>
  <c r="U688" i="19"/>
  <c r="U689" i="19"/>
  <c r="U690" i="19"/>
  <c r="U691" i="19"/>
  <c r="U692" i="19"/>
  <c r="U693" i="19"/>
  <c r="U694" i="19"/>
  <c r="U695" i="19"/>
  <c r="U696" i="19"/>
  <c r="U697" i="19"/>
  <c r="U698" i="19"/>
  <c r="U699" i="19"/>
  <c r="U700" i="19"/>
  <c r="U701" i="19"/>
  <c r="U702" i="19"/>
  <c r="U703" i="19"/>
  <c r="U704" i="19"/>
  <c r="U705" i="19"/>
  <c r="U706" i="19"/>
  <c r="U707" i="19"/>
  <c r="U708" i="19"/>
  <c r="U709" i="19"/>
  <c r="U710" i="19"/>
  <c r="U711" i="19"/>
  <c r="U712" i="19"/>
  <c r="U713" i="19"/>
  <c r="U714" i="19"/>
  <c r="U715" i="19"/>
  <c r="U716" i="19"/>
  <c r="U717" i="19"/>
  <c r="U718" i="19"/>
  <c r="U719" i="19"/>
  <c r="U720" i="19"/>
  <c r="U721" i="19"/>
  <c r="U722" i="19"/>
  <c r="U723" i="19"/>
  <c r="U724" i="19"/>
  <c r="U725" i="19"/>
  <c r="U726" i="19"/>
  <c r="U727" i="19"/>
  <c r="U728" i="19"/>
  <c r="U729" i="19"/>
  <c r="U730" i="19"/>
  <c r="U731" i="19"/>
  <c r="U732" i="19"/>
  <c r="U733" i="19"/>
  <c r="U734" i="19"/>
  <c r="U735" i="19"/>
  <c r="U736" i="19"/>
  <c r="U737" i="19"/>
  <c r="U738" i="19"/>
  <c r="U739" i="19"/>
  <c r="U740" i="19"/>
  <c r="U741" i="19"/>
  <c r="U742" i="19"/>
  <c r="U743" i="19"/>
  <c r="U744" i="19"/>
  <c r="U745" i="19"/>
  <c r="U746" i="19"/>
  <c r="U747" i="19"/>
  <c r="U748" i="19"/>
  <c r="U749" i="19"/>
  <c r="U750" i="19"/>
  <c r="U751" i="19"/>
  <c r="U752" i="19"/>
  <c r="U753" i="19"/>
  <c r="U754" i="19"/>
  <c r="U755" i="19"/>
  <c r="U756" i="19"/>
  <c r="U757" i="19"/>
  <c r="U758" i="19"/>
  <c r="U759" i="19"/>
  <c r="U760" i="19"/>
  <c r="U761" i="19"/>
  <c r="U762" i="19"/>
  <c r="U763" i="19"/>
  <c r="U764" i="19"/>
  <c r="U765" i="19"/>
  <c r="U766" i="19"/>
  <c r="U767" i="19"/>
  <c r="U768" i="19"/>
  <c r="U769" i="19"/>
  <c r="U770" i="19"/>
  <c r="U771" i="19"/>
  <c r="U772" i="19"/>
  <c r="U773" i="19"/>
  <c r="U774" i="19"/>
  <c r="U775" i="19"/>
  <c r="U776" i="19"/>
  <c r="U777" i="19"/>
  <c r="U778" i="19"/>
  <c r="U779" i="19"/>
  <c r="U780" i="19"/>
  <c r="U781" i="19"/>
  <c r="U782" i="19"/>
  <c r="U783" i="19"/>
  <c r="U784" i="19"/>
  <c r="U785" i="19"/>
  <c r="U786" i="19"/>
  <c r="U787" i="19"/>
  <c r="U788" i="19"/>
  <c r="U789" i="19"/>
  <c r="U790" i="19"/>
  <c r="U791" i="19"/>
  <c r="U792" i="19"/>
  <c r="U793" i="19"/>
  <c r="U794" i="19"/>
  <c r="U795" i="19"/>
  <c r="U796" i="19"/>
  <c r="U797" i="19"/>
  <c r="U798" i="19"/>
  <c r="U799" i="19"/>
  <c r="U800" i="19"/>
  <c r="U801" i="19"/>
  <c r="U802" i="19"/>
  <c r="U803" i="19"/>
  <c r="U804" i="19"/>
  <c r="U805" i="19"/>
  <c r="U806" i="19"/>
  <c r="U807" i="19"/>
  <c r="U808" i="19"/>
  <c r="U809" i="19"/>
  <c r="U810" i="19"/>
  <c r="U811" i="19"/>
  <c r="U812" i="19"/>
  <c r="U813" i="19"/>
  <c r="U814" i="19"/>
  <c r="U815" i="19"/>
  <c r="U816" i="19"/>
  <c r="U817" i="19"/>
  <c r="U818" i="19"/>
  <c r="U819" i="19"/>
  <c r="U820" i="19"/>
  <c r="U821" i="19"/>
  <c r="U822" i="19"/>
  <c r="U823" i="19"/>
  <c r="U824" i="19"/>
  <c r="U825" i="19"/>
  <c r="U826" i="19"/>
  <c r="U827" i="19"/>
  <c r="U828" i="19"/>
  <c r="U829" i="19"/>
  <c r="U830" i="19"/>
  <c r="U831" i="19"/>
  <c r="U832" i="19"/>
  <c r="U833" i="19"/>
  <c r="U834" i="19"/>
  <c r="U835" i="19"/>
  <c r="U836" i="19"/>
  <c r="U837" i="19"/>
  <c r="U838" i="19"/>
  <c r="U839" i="19"/>
  <c r="U840" i="19"/>
  <c r="U841" i="19"/>
  <c r="U842" i="19"/>
  <c r="U843" i="19"/>
  <c r="U844" i="19"/>
  <c r="U845" i="19"/>
  <c r="U846" i="19"/>
  <c r="U847" i="19"/>
  <c r="U848" i="19"/>
  <c r="U849" i="19"/>
  <c r="U850" i="19"/>
  <c r="U851" i="19"/>
  <c r="U852" i="19"/>
  <c r="U853" i="19"/>
  <c r="U854" i="19"/>
  <c r="U855" i="19"/>
  <c r="U856" i="19"/>
  <c r="U857" i="19"/>
  <c r="U858" i="19"/>
  <c r="U859" i="19"/>
  <c r="U860" i="19"/>
  <c r="U861" i="19"/>
  <c r="U862" i="19"/>
  <c r="U863" i="19"/>
  <c r="U864" i="19"/>
  <c r="U865" i="19"/>
  <c r="U866" i="19"/>
  <c r="U867" i="19"/>
  <c r="U868" i="19"/>
  <c r="U869" i="19"/>
  <c r="U870" i="19"/>
  <c r="U871" i="19"/>
  <c r="U872" i="19"/>
  <c r="U873" i="19"/>
  <c r="U874" i="19"/>
  <c r="U875" i="19"/>
  <c r="U876" i="19"/>
  <c r="U877" i="19"/>
  <c r="U878" i="19"/>
  <c r="U879" i="19"/>
  <c r="U880" i="19"/>
  <c r="U881" i="19"/>
  <c r="U882" i="19"/>
  <c r="U883" i="19"/>
  <c r="U884" i="19"/>
  <c r="U885" i="19"/>
  <c r="U886" i="19"/>
  <c r="U887" i="19"/>
  <c r="U888" i="19"/>
  <c r="U889" i="19"/>
  <c r="U890" i="19"/>
  <c r="U891" i="19"/>
  <c r="U892" i="19"/>
  <c r="U893" i="19"/>
  <c r="U894" i="19"/>
  <c r="U895" i="19"/>
  <c r="U896" i="19"/>
  <c r="U897" i="19"/>
  <c r="U898" i="19"/>
  <c r="U899" i="19"/>
  <c r="U900" i="19"/>
  <c r="U901" i="19"/>
  <c r="U902" i="19"/>
  <c r="U903" i="19"/>
  <c r="U904" i="19"/>
  <c r="U905" i="19"/>
  <c r="U906" i="19"/>
  <c r="U907" i="19"/>
  <c r="U908" i="19"/>
  <c r="U909" i="19"/>
  <c r="U910" i="19"/>
  <c r="U911" i="19"/>
  <c r="U912" i="19"/>
  <c r="U913" i="19"/>
  <c r="U914" i="19"/>
  <c r="U915" i="19"/>
  <c r="U916" i="19"/>
  <c r="U917" i="19"/>
  <c r="U918" i="19"/>
  <c r="U919" i="19"/>
  <c r="U920" i="19"/>
  <c r="U921" i="19"/>
  <c r="U922" i="19"/>
  <c r="U923" i="19"/>
  <c r="U924" i="19"/>
  <c r="U925" i="19"/>
  <c r="U926" i="19"/>
  <c r="U927" i="19"/>
  <c r="U928" i="19"/>
  <c r="U929" i="19"/>
  <c r="U930" i="19"/>
  <c r="U931" i="19"/>
  <c r="U932" i="19"/>
  <c r="U933" i="19"/>
  <c r="U934" i="19"/>
  <c r="U935" i="19"/>
  <c r="U936" i="19"/>
  <c r="U937" i="19"/>
  <c r="U938" i="19"/>
  <c r="U939" i="19"/>
  <c r="U940" i="19"/>
  <c r="U941" i="19"/>
  <c r="U942" i="19"/>
  <c r="U943" i="19"/>
  <c r="U944" i="19"/>
  <c r="U945" i="19"/>
  <c r="U946" i="19"/>
  <c r="U947" i="19"/>
  <c r="U948" i="19"/>
  <c r="U949" i="19"/>
  <c r="U950" i="19"/>
  <c r="U951" i="19"/>
  <c r="U952" i="19"/>
  <c r="U953" i="19"/>
  <c r="U954" i="19"/>
  <c r="U955" i="19"/>
  <c r="U956" i="19"/>
  <c r="U957" i="19"/>
  <c r="U958" i="19"/>
  <c r="U959" i="19"/>
  <c r="U960" i="19"/>
  <c r="U961" i="19"/>
  <c r="U962" i="19"/>
  <c r="U963" i="19"/>
  <c r="U964" i="19"/>
  <c r="U965" i="19"/>
  <c r="U966" i="19"/>
  <c r="U967" i="19"/>
  <c r="U968" i="19"/>
  <c r="U969" i="19"/>
  <c r="U970" i="19"/>
  <c r="U971" i="19"/>
  <c r="U972" i="19"/>
  <c r="U973" i="19"/>
  <c r="U974" i="19"/>
  <c r="U975" i="19"/>
  <c r="U976" i="19"/>
  <c r="U977" i="19"/>
  <c r="U978" i="19"/>
  <c r="U979" i="19"/>
  <c r="U980" i="19"/>
  <c r="U981" i="19"/>
  <c r="U982" i="19"/>
  <c r="U983" i="19"/>
  <c r="U984" i="19"/>
  <c r="U985" i="19"/>
  <c r="U986" i="19"/>
  <c r="U987" i="19"/>
  <c r="U988" i="19"/>
  <c r="U989" i="19"/>
  <c r="U990" i="19"/>
  <c r="U991" i="19"/>
  <c r="U992" i="19"/>
  <c r="U993" i="19"/>
  <c r="U994" i="19"/>
  <c r="U995" i="19"/>
  <c r="U996" i="19"/>
  <c r="U997" i="19"/>
  <c r="U998" i="19"/>
  <c r="U999" i="19"/>
  <c r="U1000" i="19"/>
  <c r="U1001" i="19"/>
  <c r="U1002" i="19"/>
  <c r="U1003" i="19"/>
  <c r="U1004" i="19"/>
  <c r="U1005" i="19"/>
  <c r="U1006" i="19"/>
  <c r="U1007" i="19"/>
  <c r="U1008" i="19"/>
  <c r="U1009" i="19"/>
  <c r="U1010" i="19"/>
  <c r="U1011" i="19"/>
  <c r="U1012" i="19"/>
  <c r="U1013" i="19"/>
  <c r="U1014" i="19"/>
  <c r="U1015" i="19"/>
  <c r="U1016" i="19"/>
  <c r="U1017" i="19"/>
  <c r="U1018" i="19"/>
  <c r="U1019" i="19"/>
  <c r="U1020" i="19"/>
  <c r="U1021" i="19"/>
  <c r="U1022" i="19"/>
  <c r="U1023" i="19"/>
  <c r="U1024" i="19"/>
  <c r="U1025" i="19"/>
  <c r="U1026" i="19"/>
  <c r="U1027" i="19"/>
  <c r="U1028" i="19"/>
  <c r="U1029" i="19"/>
  <c r="U1030" i="19"/>
  <c r="U1031" i="19"/>
  <c r="U1032" i="19"/>
  <c r="U1033" i="19"/>
  <c r="U1034" i="19"/>
  <c r="U1035" i="19"/>
  <c r="U1036" i="19"/>
  <c r="U1037" i="19"/>
  <c r="U1038" i="19"/>
  <c r="U1039" i="19"/>
  <c r="U1040" i="19"/>
  <c r="U1041" i="19"/>
  <c r="U1042" i="19"/>
  <c r="U1043" i="19"/>
  <c r="U1044" i="19"/>
  <c r="U1045" i="19"/>
  <c r="U1046" i="19"/>
  <c r="U1047" i="19"/>
  <c r="U1048" i="19"/>
  <c r="U1049" i="19"/>
  <c r="U1050" i="19"/>
  <c r="U1051" i="19"/>
  <c r="U1052" i="19"/>
  <c r="U1053" i="19"/>
  <c r="U1054" i="19"/>
  <c r="U1055" i="19"/>
  <c r="U1056" i="19"/>
  <c r="U1057" i="19"/>
  <c r="U1058" i="19"/>
  <c r="U1059" i="19"/>
  <c r="U1060" i="19"/>
  <c r="U1061" i="19"/>
  <c r="U1062" i="19"/>
  <c r="U1063" i="19"/>
  <c r="U1064" i="19"/>
  <c r="U1065" i="19"/>
  <c r="U1066" i="19"/>
  <c r="U1067" i="19"/>
  <c r="U1068" i="19"/>
  <c r="U1069" i="19"/>
  <c r="U1070" i="19"/>
  <c r="U1071" i="19"/>
  <c r="U1072" i="19"/>
  <c r="U1073" i="19"/>
  <c r="U1074" i="19"/>
  <c r="U1075" i="19"/>
  <c r="U1076" i="19"/>
  <c r="U1077" i="19"/>
  <c r="U1078" i="19"/>
  <c r="U1079" i="19"/>
  <c r="U1080" i="19"/>
  <c r="U1081" i="19"/>
  <c r="U1082" i="19"/>
  <c r="U1083" i="19"/>
  <c r="U1084" i="19"/>
  <c r="U1085" i="19"/>
  <c r="U1086" i="19"/>
  <c r="U1087" i="19"/>
  <c r="U1088" i="19"/>
  <c r="U1089" i="19"/>
  <c r="U1090" i="19"/>
  <c r="U1091" i="19"/>
  <c r="U1092" i="19"/>
  <c r="U1093" i="19"/>
  <c r="U1094" i="19"/>
  <c r="U1095" i="19"/>
  <c r="U1096" i="19"/>
  <c r="U1097" i="19"/>
  <c r="U1098" i="19"/>
  <c r="U1099" i="19"/>
  <c r="U1100" i="19"/>
  <c r="U1101" i="19"/>
  <c r="U1102" i="19"/>
  <c r="U1103" i="19"/>
  <c r="U1104" i="19"/>
  <c r="U1105" i="19"/>
  <c r="U1106" i="19"/>
  <c r="U1107" i="19"/>
  <c r="U1108" i="19"/>
  <c r="U1109" i="19"/>
  <c r="U1110" i="19"/>
  <c r="T11" i="19"/>
  <c r="T12" i="19"/>
  <c r="T13" i="19"/>
  <c r="T14" i="19"/>
  <c r="T15" i="19"/>
  <c r="T16" i="19"/>
  <c r="T17" i="19"/>
  <c r="T18" i="19"/>
  <c r="T19" i="19"/>
  <c r="T20" i="19"/>
  <c r="T21" i="19"/>
  <c r="T22" i="19"/>
  <c r="T23" i="19"/>
  <c r="T24" i="19"/>
  <c r="T25" i="19"/>
  <c r="T26" i="19"/>
  <c r="T27" i="19"/>
  <c r="T28" i="19"/>
  <c r="T29" i="19"/>
  <c r="T30" i="19"/>
  <c r="T31" i="19"/>
  <c r="T32" i="19"/>
  <c r="T33" i="19"/>
  <c r="T34" i="19"/>
  <c r="T35" i="19"/>
  <c r="T36" i="19"/>
  <c r="T37" i="19"/>
  <c r="T38" i="19"/>
  <c r="T39" i="19"/>
  <c r="T40" i="19"/>
  <c r="T41" i="19"/>
  <c r="T42" i="19"/>
  <c r="T43" i="19"/>
  <c r="T44" i="19"/>
  <c r="T45" i="19"/>
  <c r="T46" i="19"/>
  <c r="T47" i="19"/>
  <c r="T48" i="19"/>
  <c r="T49" i="19"/>
  <c r="T50" i="19"/>
  <c r="T51" i="19"/>
  <c r="T52" i="19"/>
  <c r="T53" i="19"/>
  <c r="T54" i="19"/>
  <c r="T55" i="19"/>
  <c r="T56" i="19"/>
  <c r="T57" i="19"/>
  <c r="T58" i="19"/>
  <c r="T59" i="19"/>
  <c r="T60" i="19"/>
  <c r="T61" i="19"/>
  <c r="T62" i="19"/>
  <c r="T63" i="19"/>
  <c r="T64" i="19"/>
  <c r="T65" i="19"/>
  <c r="T66" i="19"/>
  <c r="T67" i="19"/>
  <c r="T68" i="19"/>
  <c r="T69" i="19"/>
  <c r="T70" i="19"/>
  <c r="T71" i="19"/>
  <c r="T72" i="19"/>
  <c r="T73" i="19"/>
  <c r="T74" i="19"/>
  <c r="T75" i="19"/>
  <c r="T76" i="19"/>
  <c r="T77" i="19"/>
  <c r="T78" i="19"/>
  <c r="T79" i="19"/>
  <c r="T80" i="19"/>
  <c r="T81" i="19"/>
  <c r="T82" i="19"/>
  <c r="T83" i="19"/>
  <c r="T84" i="19"/>
  <c r="T85" i="19"/>
  <c r="T86" i="19"/>
  <c r="T87" i="19"/>
  <c r="T88" i="19"/>
  <c r="T89" i="19"/>
  <c r="T90" i="19"/>
  <c r="T91" i="19"/>
  <c r="T92" i="19"/>
  <c r="T93" i="19"/>
  <c r="T94" i="19"/>
  <c r="T95" i="19"/>
  <c r="T96" i="19"/>
  <c r="T97" i="19"/>
  <c r="T98" i="19"/>
  <c r="T99" i="19"/>
  <c r="T100" i="19"/>
  <c r="T101" i="19"/>
  <c r="T102" i="19"/>
  <c r="T103" i="19"/>
  <c r="T104" i="19"/>
  <c r="T105" i="19"/>
  <c r="T106" i="19"/>
  <c r="T107" i="19"/>
  <c r="T108" i="19"/>
  <c r="T109" i="19"/>
  <c r="T110" i="19"/>
  <c r="T111" i="19"/>
  <c r="T112" i="19"/>
  <c r="T113" i="19"/>
  <c r="T114" i="19"/>
  <c r="T115" i="19"/>
  <c r="T116" i="19"/>
  <c r="T117" i="19"/>
  <c r="T118" i="19"/>
  <c r="T119" i="19"/>
  <c r="T120" i="19"/>
  <c r="T121" i="19"/>
  <c r="T122" i="19"/>
  <c r="T123" i="19"/>
  <c r="T124" i="19"/>
  <c r="T125" i="19"/>
  <c r="T126" i="19"/>
  <c r="T127" i="19"/>
  <c r="T128" i="19"/>
  <c r="T129" i="19"/>
  <c r="T130" i="19"/>
  <c r="T131" i="19"/>
  <c r="T132" i="19"/>
  <c r="T133" i="19"/>
  <c r="T134" i="19"/>
  <c r="T135" i="19"/>
  <c r="T136" i="19"/>
  <c r="T137" i="19"/>
  <c r="T138" i="19"/>
  <c r="T139" i="19"/>
  <c r="T140" i="19"/>
  <c r="T141" i="19"/>
  <c r="T142" i="19"/>
  <c r="T143" i="19"/>
  <c r="T144" i="19"/>
  <c r="T145" i="19"/>
  <c r="T146" i="19"/>
  <c r="T147" i="19"/>
  <c r="T148" i="19"/>
  <c r="T149" i="19"/>
  <c r="T150" i="19"/>
  <c r="T151" i="19"/>
  <c r="T152" i="19"/>
  <c r="T153" i="19"/>
  <c r="T154" i="19"/>
  <c r="T155" i="19"/>
  <c r="T156" i="19"/>
  <c r="T157" i="19"/>
  <c r="T158" i="19"/>
  <c r="T159" i="19"/>
  <c r="T160" i="19"/>
  <c r="T161" i="19"/>
  <c r="T162" i="19"/>
  <c r="T163" i="19"/>
  <c r="T164" i="19"/>
  <c r="T165" i="19"/>
  <c r="T166" i="19"/>
  <c r="T167" i="19"/>
  <c r="T168" i="19"/>
  <c r="T169" i="19"/>
  <c r="T170" i="19"/>
  <c r="T171" i="19"/>
  <c r="T172" i="19"/>
  <c r="T173" i="19"/>
  <c r="T174" i="19"/>
  <c r="T175" i="19"/>
  <c r="T176" i="19"/>
  <c r="T177" i="19"/>
  <c r="T178" i="19"/>
  <c r="T179" i="19"/>
  <c r="T180" i="19"/>
  <c r="T181" i="19"/>
  <c r="T182" i="19"/>
  <c r="T183" i="19"/>
  <c r="T184" i="19"/>
  <c r="T185" i="19"/>
  <c r="T186" i="19"/>
  <c r="T187" i="19"/>
  <c r="T188" i="19"/>
  <c r="T189" i="19"/>
  <c r="T190" i="19"/>
  <c r="T191" i="19"/>
  <c r="T192" i="19"/>
  <c r="T193" i="19"/>
  <c r="T194" i="19"/>
  <c r="T195" i="19"/>
  <c r="T196" i="19"/>
  <c r="T197" i="19"/>
  <c r="T198" i="19"/>
  <c r="T199" i="19"/>
  <c r="T200" i="19"/>
  <c r="T201" i="19"/>
  <c r="T202" i="19"/>
  <c r="T203" i="19"/>
  <c r="T204" i="19"/>
  <c r="T205" i="19"/>
  <c r="T206" i="19"/>
  <c r="T207" i="19"/>
  <c r="T208" i="19"/>
  <c r="T209" i="19"/>
  <c r="T210" i="19"/>
  <c r="T211" i="19"/>
  <c r="T212" i="19"/>
  <c r="T213" i="19"/>
  <c r="T214" i="19"/>
  <c r="T215" i="19"/>
  <c r="T216" i="19"/>
  <c r="T217" i="19"/>
  <c r="T218" i="19"/>
  <c r="T219" i="19"/>
  <c r="T220" i="19"/>
  <c r="T221" i="19"/>
  <c r="T222" i="19"/>
  <c r="T223" i="19"/>
  <c r="T224" i="19"/>
  <c r="T225" i="19"/>
  <c r="T226" i="19"/>
  <c r="T227" i="19"/>
  <c r="T228" i="19"/>
  <c r="T229" i="19"/>
  <c r="T230" i="19"/>
  <c r="T231" i="19"/>
  <c r="T232" i="19"/>
  <c r="T233" i="19"/>
  <c r="T234" i="19"/>
  <c r="T235" i="19"/>
  <c r="T236" i="19"/>
  <c r="T237" i="19"/>
  <c r="T238" i="19"/>
  <c r="T239" i="19"/>
  <c r="T240" i="19"/>
  <c r="T241" i="19"/>
  <c r="T242" i="19"/>
  <c r="T243" i="19"/>
  <c r="T244" i="19"/>
  <c r="T245" i="19"/>
  <c r="T246" i="19"/>
  <c r="T247" i="19"/>
  <c r="T248" i="19"/>
  <c r="T249" i="19"/>
  <c r="T250" i="19"/>
  <c r="T251" i="19"/>
  <c r="T252" i="19"/>
  <c r="T253" i="19"/>
  <c r="T254" i="19"/>
  <c r="T255" i="19"/>
  <c r="T256" i="19"/>
  <c r="T257" i="19"/>
  <c r="T258" i="19"/>
  <c r="T259" i="19"/>
  <c r="T260" i="19"/>
  <c r="T261" i="19"/>
  <c r="T262" i="19"/>
  <c r="T263" i="19"/>
  <c r="T264" i="19"/>
  <c r="T265" i="19"/>
  <c r="T266" i="19"/>
  <c r="T267" i="19"/>
  <c r="T268" i="19"/>
  <c r="T269" i="19"/>
  <c r="T270" i="19"/>
  <c r="T271" i="19"/>
  <c r="T272" i="19"/>
  <c r="T273" i="19"/>
  <c r="T274" i="19"/>
  <c r="T275" i="19"/>
  <c r="T276" i="19"/>
  <c r="T277" i="19"/>
  <c r="T278" i="19"/>
  <c r="T279" i="19"/>
  <c r="T280" i="19"/>
  <c r="T281" i="19"/>
  <c r="T282" i="19"/>
  <c r="T283" i="19"/>
  <c r="T284" i="19"/>
  <c r="T285" i="19"/>
  <c r="T286" i="19"/>
  <c r="T287" i="19"/>
  <c r="T288" i="19"/>
  <c r="T289" i="19"/>
  <c r="T290" i="19"/>
  <c r="T291" i="19"/>
  <c r="T292" i="19"/>
  <c r="T293" i="19"/>
  <c r="T294" i="19"/>
  <c r="T295" i="19"/>
  <c r="T296" i="19"/>
  <c r="T297" i="19"/>
  <c r="T298" i="19"/>
  <c r="T299" i="19"/>
  <c r="T300" i="19"/>
  <c r="T301" i="19"/>
  <c r="T302" i="19"/>
  <c r="T303" i="19"/>
  <c r="T304" i="19"/>
  <c r="T305" i="19"/>
  <c r="T306" i="19"/>
  <c r="T307" i="19"/>
  <c r="T308" i="19"/>
  <c r="T309" i="19"/>
  <c r="T310" i="19"/>
  <c r="T311" i="19"/>
  <c r="T312" i="19"/>
  <c r="T313" i="19"/>
  <c r="T314" i="19"/>
  <c r="T315" i="19"/>
  <c r="T316" i="19"/>
  <c r="T317" i="19"/>
  <c r="T318" i="19"/>
  <c r="T319" i="19"/>
  <c r="T320" i="19"/>
  <c r="T321" i="19"/>
  <c r="T322" i="19"/>
  <c r="T323" i="19"/>
  <c r="T324" i="19"/>
  <c r="T325" i="19"/>
  <c r="T326" i="19"/>
  <c r="T327" i="19"/>
  <c r="T328" i="19"/>
  <c r="T329" i="19"/>
  <c r="T330" i="19"/>
  <c r="T331" i="19"/>
  <c r="T332" i="19"/>
  <c r="T333" i="19"/>
  <c r="T334" i="19"/>
  <c r="T335" i="19"/>
  <c r="T336" i="19"/>
  <c r="T337" i="19"/>
  <c r="T338" i="19"/>
  <c r="T339" i="19"/>
  <c r="T340" i="19"/>
  <c r="T341" i="19"/>
  <c r="T342" i="19"/>
  <c r="T343" i="19"/>
  <c r="T344" i="19"/>
  <c r="T345" i="19"/>
  <c r="T346" i="19"/>
  <c r="T347" i="19"/>
  <c r="T348" i="19"/>
  <c r="T349" i="19"/>
  <c r="T350" i="19"/>
  <c r="T351" i="19"/>
  <c r="T352" i="19"/>
  <c r="T353" i="19"/>
  <c r="T354" i="19"/>
  <c r="T355" i="19"/>
  <c r="T356" i="19"/>
  <c r="T357" i="19"/>
  <c r="T358" i="19"/>
  <c r="T359" i="19"/>
  <c r="T360" i="19"/>
  <c r="T361" i="19"/>
  <c r="T362" i="19"/>
  <c r="T363" i="19"/>
  <c r="T364" i="19"/>
  <c r="T365" i="19"/>
  <c r="T366" i="19"/>
  <c r="T367" i="19"/>
  <c r="T368" i="19"/>
  <c r="T369" i="19"/>
  <c r="T370" i="19"/>
  <c r="T371" i="19"/>
  <c r="T372" i="19"/>
  <c r="T373" i="19"/>
  <c r="T374" i="19"/>
  <c r="T375" i="19"/>
  <c r="T376" i="19"/>
  <c r="T377" i="19"/>
  <c r="T378" i="19"/>
  <c r="T379" i="19"/>
  <c r="T380" i="19"/>
  <c r="T381" i="19"/>
  <c r="T382" i="19"/>
  <c r="T383" i="19"/>
  <c r="T384" i="19"/>
  <c r="T385" i="19"/>
  <c r="T386" i="19"/>
  <c r="T387" i="19"/>
  <c r="T388" i="19"/>
  <c r="T389" i="19"/>
  <c r="T390" i="19"/>
  <c r="T391" i="19"/>
  <c r="T392" i="19"/>
  <c r="T393" i="19"/>
  <c r="T394" i="19"/>
  <c r="T395" i="19"/>
  <c r="T396" i="19"/>
  <c r="T397" i="19"/>
  <c r="T398" i="19"/>
  <c r="T399" i="19"/>
  <c r="T400" i="19"/>
  <c r="T401" i="19"/>
  <c r="T402" i="19"/>
  <c r="T403" i="19"/>
  <c r="T404" i="19"/>
  <c r="T405" i="19"/>
  <c r="T406" i="19"/>
  <c r="T407" i="19"/>
  <c r="T408" i="19"/>
  <c r="T409" i="19"/>
  <c r="T410" i="19"/>
  <c r="T411" i="19"/>
  <c r="T412" i="19"/>
  <c r="T413" i="19"/>
  <c r="T414" i="19"/>
  <c r="T415" i="19"/>
  <c r="T416" i="19"/>
  <c r="T417" i="19"/>
  <c r="T418" i="19"/>
  <c r="T419" i="19"/>
  <c r="T420" i="19"/>
  <c r="T421" i="19"/>
  <c r="T422" i="19"/>
  <c r="T423" i="19"/>
  <c r="T424" i="19"/>
  <c r="T425" i="19"/>
  <c r="T426" i="19"/>
  <c r="T427" i="19"/>
  <c r="T428" i="19"/>
  <c r="T429" i="19"/>
  <c r="T430" i="19"/>
  <c r="T431" i="19"/>
  <c r="T432" i="19"/>
  <c r="T433" i="19"/>
  <c r="T434" i="19"/>
  <c r="T435" i="19"/>
  <c r="T436" i="19"/>
  <c r="T437" i="19"/>
  <c r="T438" i="19"/>
  <c r="T439" i="19"/>
  <c r="T440" i="19"/>
  <c r="T441" i="19"/>
  <c r="T442" i="19"/>
  <c r="T443" i="19"/>
  <c r="T444" i="19"/>
  <c r="T445" i="19"/>
  <c r="T446" i="19"/>
  <c r="T447" i="19"/>
  <c r="T448" i="19"/>
  <c r="T449" i="19"/>
  <c r="T450" i="19"/>
  <c r="T451" i="19"/>
  <c r="T452" i="19"/>
  <c r="T453" i="19"/>
  <c r="T454" i="19"/>
  <c r="T455" i="19"/>
  <c r="T456" i="19"/>
  <c r="T457" i="19"/>
  <c r="T458" i="19"/>
  <c r="T459" i="19"/>
  <c r="T460" i="19"/>
  <c r="T461" i="19"/>
  <c r="T462" i="19"/>
  <c r="T463" i="19"/>
  <c r="T464" i="19"/>
  <c r="T465" i="19"/>
  <c r="T466" i="19"/>
  <c r="T467" i="19"/>
  <c r="T468" i="19"/>
  <c r="T469" i="19"/>
  <c r="T470" i="19"/>
  <c r="T471" i="19"/>
  <c r="T472" i="19"/>
  <c r="T473" i="19"/>
  <c r="T474" i="19"/>
  <c r="T475" i="19"/>
  <c r="T476" i="19"/>
  <c r="T477" i="19"/>
  <c r="T478" i="19"/>
  <c r="T479" i="19"/>
  <c r="T480" i="19"/>
  <c r="T481" i="19"/>
  <c r="T482" i="19"/>
  <c r="T483" i="19"/>
  <c r="T484" i="19"/>
  <c r="T485" i="19"/>
  <c r="T486" i="19"/>
  <c r="T487" i="19"/>
  <c r="T488" i="19"/>
  <c r="T489" i="19"/>
  <c r="T490" i="19"/>
  <c r="T491" i="19"/>
  <c r="T492" i="19"/>
  <c r="T493" i="19"/>
  <c r="T494" i="19"/>
  <c r="T495" i="19"/>
  <c r="T496" i="19"/>
  <c r="T497" i="19"/>
  <c r="T498" i="19"/>
  <c r="T499" i="19"/>
  <c r="T500" i="19"/>
  <c r="T501" i="19"/>
  <c r="T502" i="19"/>
  <c r="T503" i="19"/>
  <c r="T504" i="19"/>
  <c r="T505" i="19"/>
  <c r="T506" i="19"/>
  <c r="T507" i="19"/>
  <c r="T508" i="19"/>
  <c r="T509" i="19"/>
  <c r="T510" i="19"/>
  <c r="T511" i="19"/>
  <c r="T512" i="19"/>
  <c r="T513" i="19"/>
  <c r="T514" i="19"/>
  <c r="T515" i="19"/>
  <c r="T516" i="19"/>
  <c r="T517" i="19"/>
  <c r="T518" i="19"/>
  <c r="T519" i="19"/>
  <c r="T520" i="19"/>
  <c r="T521" i="19"/>
  <c r="T522" i="19"/>
  <c r="T523" i="19"/>
  <c r="T524" i="19"/>
  <c r="T525" i="19"/>
  <c r="T526" i="19"/>
  <c r="T527" i="19"/>
  <c r="T528" i="19"/>
  <c r="T529" i="19"/>
  <c r="T530" i="19"/>
  <c r="T531" i="19"/>
  <c r="T532" i="19"/>
  <c r="T533" i="19"/>
  <c r="T534" i="19"/>
  <c r="T535" i="19"/>
  <c r="T536" i="19"/>
  <c r="T537" i="19"/>
  <c r="T538" i="19"/>
  <c r="T539" i="19"/>
  <c r="T540" i="19"/>
  <c r="T541" i="19"/>
  <c r="T542" i="19"/>
  <c r="T543" i="19"/>
  <c r="T544" i="19"/>
  <c r="T545" i="19"/>
  <c r="T546" i="19"/>
  <c r="T547" i="19"/>
  <c r="T548" i="19"/>
  <c r="T549" i="19"/>
  <c r="T550" i="19"/>
  <c r="T551" i="19"/>
  <c r="T552" i="19"/>
  <c r="T553" i="19"/>
  <c r="T554" i="19"/>
  <c r="T555" i="19"/>
  <c r="T556" i="19"/>
  <c r="T557" i="19"/>
  <c r="T558" i="19"/>
  <c r="T559" i="19"/>
  <c r="T560" i="19"/>
  <c r="T561" i="19"/>
  <c r="T562" i="19"/>
  <c r="T563" i="19"/>
  <c r="T564" i="19"/>
  <c r="T565" i="19"/>
  <c r="T566" i="19"/>
  <c r="T567" i="19"/>
  <c r="T568" i="19"/>
  <c r="T569" i="19"/>
  <c r="T570" i="19"/>
  <c r="T571" i="19"/>
  <c r="T572" i="19"/>
  <c r="T573" i="19"/>
  <c r="T574" i="19"/>
  <c r="T575" i="19"/>
  <c r="T576" i="19"/>
  <c r="T577" i="19"/>
  <c r="T578" i="19"/>
  <c r="T579" i="19"/>
  <c r="T580" i="19"/>
  <c r="T581" i="19"/>
  <c r="T582" i="19"/>
  <c r="T583" i="19"/>
  <c r="T584" i="19"/>
  <c r="T585" i="19"/>
  <c r="T586" i="19"/>
  <c r="T587" i="19"/>
  <c r="T588" i="19"/>
  <c r="T589" i="19"/>
  <c r="T590" i="19"/>
  <c r="T591" i="19"/>
  <c r="T592" i="19"/>
  <c r="T593" i="19"/>
  <c r="T594" i="19"/>
  <c r="T595" i="19"/>
  <c r="T596" i="19"/>
  <c r="T597" i="19"/>
  <c r="T598" i="19"/>
  <c r="T599" i="19"/>
  <c r="T600" i="19"/>
  <c r="T601" i="19"/>
  <c r="T602" i="19"/>
  <c r="T603" i="19"/>
  <c r="T604" i="19"/>
  <c r="T605" i="19"/>
  <c r="T606" i="19"/>
  <c r="T607" i="19"/>
  <c r="T608" i="19"/>
  <c r="T609" i="19"/>
  <c r="T610" i="19"/>
  <c r="T611" i="19"/>
  <c r="T612" i="19"/>
  <c r="T613" i="19"/>
  <c r="T614" i="19"/>
  <c r="T615" i="19"/>
  <c r="T616" i="19"/>
  <c r="T617" i="19"/>
  <c r="T618" i="19"/>
  <c r="T619" i="19"/>
  <c r="T620" i="19"/>
  <c r="T621" i="19"/>
  <c r="T622" i="19"/>
  <c r="T623" i="19"/>
  <c r="T624" i="19"/>
  <c r="T625" i="19"/>
  <c r="T626" i="19"/>
  <c r="T627" i="19"/>
  <c r="T628" i="19"/>
  <c r="T629" i="19"/>
  <c r="T630" i="19"/>
  <c r="T631" i="19"/>
  <c r="T632" i="19"/>
  <c r="T633" i="19"/>
  <c r="T634" i="19"/>
  <c r="T635" i="19"/>
  <c r="T636" i="19"/>
  <c r="T637" i="19"/>
  <c r="T638" i="19"/>
  <c r="T639" i="19"/>
  <c r="T640" i="19"/>
  <c r="T641" i="19"/>
  <c r="T642" i="19"/>
  <c r="T643" i="19"/>
  <c r="T644" i="19"/>
  <c r="T645" i="19"/>
  <c r="T646" i="19"/>
  <c r="T647" i="19"/>
  <c r="T648" i="19"/>
  <c r="T649" i="19"/>
  <c r="T650" i="19"/>
  <c r="T651" i="19"/>
  <c r="T652" i="19"/>
  <c r="T653" i="19"/>
  <c r="T654" i="19"/>
  <c r="T655" i="19"/>
  <c r="T656" i="19"/>
  <c r="T657" i="19"/>
  <c r="T658" i="19"/>
  <c r="T659" i="19"/>
  <c r="T660" i="19"/>
  <c r="T661" i="19"/>
  <c r="T662" i="19"/>
  <c r="T663" i="19"/>
  <c r="T664" i="19"/>
  <c r="T665" i="19"/>
  <c r="T666" i="19"/>
  <c r="T667" i="19"/>
  <c r="T668" i="19"/>
  <c r="T669" i="19"/>
  <c r="T670" i="19"/>
  <c r="T671" i="19"/>
  <c r="T672" i="19"/>
  <c r="T673" i="19"/>
  <c r="T674" i="19"/>
  <c r="T675" i="19"/>
  <c r="T676" i="19"/>
  <c r="T677" i="19"/>
  <c r="T678" i="19"/>
  <c r="T679" i="19"/>
  <c r="T680" i="19"/>
  <c r="T681" i="19"/>
  <c r="T682" i="19"/>
  <c r="T683" i="19"/>
  <c r="T684" i="19"/>
  <c r="T685" i="19"/>
  <c r="T686" i="19"/>
  <c r="T687" i="19"/>
  <c r="T688" i="19"/>
  <c r="T689" i="19"/>
  <c r="T690" i="19"/>
  <c r="T691" i="19"/>
  <c r="T692" i="19"/>
  <c r="T693" i="19"/>
  <c r="T694" i="19"/>
  <c r="T695" i="19"/>
  <c r="T696" i="19"/>
  <c r="T697" i="19"/>
  <c r="T698" i="19"/>
  <c r="T699" i="19"/>
  <c r="T700" i="19"/>
  <c r="T701" i="19"/>
  <c r="T702" i="19"/>
  <c r="T703" i="19"/>
  <c r="T704" i="19"/>
  <c r="T705" i="19"/>
  <c r="T706" i="19"/>
  <c r="T707" i="19"/>
  <c r="T708" i="19"/>
  <c r="T709" i="19"/>
  <c r="T710" i="19"/>
  <c r="T711" i="19"/>
  <c r="T712" i="19"/>
  <c r="T713" i="19"/>
  <c r="T714" i="19"/>
  <c r="T715" i="19"/>
  <c r="T716" i="19"/>
  <c r="T717" i="19"/>
  <c r="T718" i="19"/>
  <c r="T719" i="19"/>
  <c r="T720" i="19"/>
  <c r="T721" i="19"/>
  <c r="T722" i="19"/>
  <c r="T723" i="19"/>
  <c r="T724" i="19"/>
  <c r="T725" i="19"/>
  <c r="T726" i="19"/>
  <c r="T727" i="19"/>
  <c r="T728" i="19"/>
  <c r="T729" i="19"/>
  <c r="T730" i="19"/>
  <c r="T731" i="19"/>
  <c r="T732" i="19"/>
  <c r="T733" i="19"/>
  <c r="T734" i="19"/>
  <c r="T735" i="19"/>
  <c r="T736" i="19"/>
  <c r="T737" i="19"/>
  <c r="T738" i="19"/>
  <c r="T739" i="19"/>
  <c r="T740" i="19"/>
  <c r="T741" i="19"/>
  <c r="T742" i="19"/>
  <c r="T743" i="19"/>
  <c r="T744" i="19"/>
  <c r="T745" i="19"/>
  <c r="T746" i="19"/>
  <c r="T747" i="19"/>
  <c r="T748" i="19"/>
  <c r="T749" i="19"/>
  <c r="T750" i="19"/>
  <c r="T751" i="19"/>
  <c r="T752" i="19"/>
  <c r="T753" i="19"/>
  <c r="T754" i="19"/>
  <c r="T755" i="19"/>
  <c r="T756" i="19"/>
  <c r="T757" i="19"/>
  <c r="T758" i="19"/>
  <c r="T759" i="19"/>
  <c r="T760" i="19"/>
  <c r="T761" i="19"/>
  <c r="T762" i="19"/>
  <c r="T763" i="19"/>
  <c r="T764" i="19"/>
  <c r="T765" i="19"/>
  <c r="T766" i="19"/>
  <c r="T767" i="19"/>
  <c r="T768" i="19"/>
  <c r="T769" i="19"/>
  <c r="T770" i="19"/>
  <c r="T771" i="19"/>
  <c r="T772" i="19"/>
  <c r="T773" i="19"/>
  <c r="T774" i="19"/>
  <c r="T775" i="19"/>
  <c r="T776" i="19"/>
  <c r="T777" i="19"/>
  <c r="T778" i="19"/>
  <c r="T779" i="19"/>
  <c r="T780" i="19"/>
  <c r="T781" i="19"/>
  <c r="T782" i="19"/>
  <c r="T783" i="19"/>
  <c r="T784" i="19"/>
  <c r="T785" i="19"/>
  <c r="T786" i="19"/>
  <c r="T787" i="19"/>
  <c r="T788" i="19"/>
  <c r="T789" i="19"/>
  <c r="T790" i="19"/>
  <c r="T791" i="19"/>
  <c r="T792" i="19"/>
  <c r="T793" i="19"/>
  <c r="T794" i="19"/>
  <c r="T795" i="19"/>
  <c r="T796" i="19"/>
  <c r="T797" i="19"/>
  <c r="T798" i="19"/>
  <c r="T799" i="19"/>
  <c r="T800" i="19"/>
  <c r="T801" i="19"/>
  <c r="T802" i="19"/>
  <c r="T803" i="19"/>
  <c r="T804" i="19"/>
  <c r="T805" i="19"/>
  <c r="T806" i="19"/>
  <c r="T807" i="19"/>
  <c r="T808" i="19"/>
  <c r="T809" i="19"/>
  <c r="T810" i="19"/>
  <c r="T811" i="19"/>
  <c r="T812" i="19"/>
  <c r="T813" i="19"/>
  <c r="T814" i="19"/>
  <c r="T815" i="19"/>
  <c r="T816" i="19"/>
  <c r="T817" i="19"/>
  <c r="T818" i="19"/>
  <c r="T819" i="19"/>
  <c r="T820" i="19"/>
  <c r="T821" i="19"/>
  <c r="T822" i="19"/>
  <c r="T823" i="19"/>
  <c r="T824" i="19"/>
  <c r="T825" i="19"/>
  <c r="T826" i="19"/>
  <c r="T827" i="19"/>
  <c r="T828" i="19"/>
  <c r="T829" i="19"/>
  <c r="T830" i="19"/>
  <c r="T831" i="19"/>
  <c r="T832" i="19"/>
  <c r="T833" i="19"/>
  <c r="T834" i="19"/>
  <c r="T835" i="19"/>
  <c r="T836" i="19"/>
  <c r="T837" i="19"/>
  <c r="T838" i="19"/>
  <c r="T839" i="19"/>
  <c r="T840" i="19"/>
  <c r="T841" i="19"/>
  <c r="T842" i="19"/>
  <c r="T843" i="19"/>
  <c r="T844" i="19"/>
  <c r="T845" i="19"/>
  <c r="T846" i="19"/>
  <c r="T847" i="19"/>
  <c r="T848" i="19"/>
  <c r="T849" i="19"/>
  <c r="T850" i="19"/>
  <c r="T851" i="19"/>
  <c r="T852" i="19"/>
  <c r="T853" i="19"/>
  <c r="T854" i="19"/>
  <c r="T855" i="19"/>
  <c r="T856" i="19"/>
  <c r="T857" i="19"/>
  <c r="T858" i="19"/>
  <c r="T859" i="19"/>
  <c r="T860" i="19"/>
  <c r="T861" i="19"/>
  <c r="T862" i="19"/>
  <c r="T863" i="19"/>
  <c r="T864" i="19"/>
  <c r="T865" i="19"/>
  <c r="T866" i="19"/>
  <c r="T867" i="19"/>
  <c r="T868" i="19"/>
  <c r="T869" i="19"/>
  <c r="T870" i="19"/>
  <c r="T871" i="19"/>
  <c r="T872" i="19"/>
  <c r="T873" i="19"/>
  <c r="T874" i="19"/>
  <c r="T875" i="19"/>
  <c r="T876" i="19"/>
  <c r="T877" i="19"/>
  <c r="T878" i="19"/>
  <c r="T879" i="19"/>
  <c r="T880" i="19"/>
  <c r="T881" i="19"/>
  <c r="T882" i="19"/>
  <c r="T883" i="19"/>
  <c r="T884" i="19"/>
  <c r="T885" i="19"/>
  <c r="T886" i="19"/>
  <c r="T887" i="19"/>
  <c r="T888" i="19"/>
  <c r="T889" i="19"/>
  <c r="T890" i="19"/>
  <c r="T891" i="19"/>
  <c r="T892" i="19"/>
  <c r="T893" i="19"/>
  <c r="T894" i="19"/>
  <c r="T895" i="19"/>
  <c r="T896" i="19"/>
  <c r="T897" i="19"/>
  <c r="T898" i="19"/>
  <c r="T899" i="19"/>
  <c r="T900" i="19"/>
  <c r="T901" i="19"/>
  <c r="T902" i="19"/>
  <c r="T903" i="19"/>
  <c r="T904" i="19"/>
  <c r="T905" i="19"/>
  <c r="T906" i="19"/>
  <c r="T907" i="19"/>
  <c r="T908" i="19"/>
  <c r="T909" i="19"/>
  <c r="T910" i="19"/>
  <c r="T911" i="19"/>
  <c r="T912" i="19"/>
  <c r="T913" i="19"/>
  <c r="T914" i="19"/>
  <c r="T915" i="19"/>
  <c r="T916" i="19"/>
  <c r="T917" i="19"/>
  <c r="T918" i="19"/>
  <c r="T919" i="19"/>
  <c r="T920" i="19"/>
  <c r="T921" i="19"/>
  <c r="T922" i="19"/>
  <c r="T923" i="19"/>
  <c r="T924" i="19"/>
  <c r="T925" i="19"/>
  <c r="T926" i="19"/>
  <c r="T927" i="19"/>
  <c r="T928" i="19"/>
  <c r="T929" i="19"/>
  <c r="T930" i="19"/>
  <c r="T931" i="19"/>
  <c r="T932" i="19"/>
  <c r="T933" i="19"/>
  <c r="T934" i="19"/>
  <c r="T935" i="19"/>
  <c r="T936" i="19"/>
  <c r="T937" i="19"/>
  <c r="T938" i="19"/>
  <c r="T939" i="19"/>
  <c r="T940" i="19"/>
  <c r="T941" i="19"/>
  <c r="T942" i="19"/>
  <c r="T943" i="19"/>
  <c r="T944" i="19"/>
  <c r="T945" i="19"/>
  <c r="T946" i="19"/>
  <c r="T947" i="19"/>
  <c r="T948" i="19"/>
  <c r="T949" i="19"/>
  <c r="T950" i="19"/>
  <c r="T951" i="19"/>
  <c r="T952" i="19"/>
  <c r="T953" i="19"/>
  <c r="T954" i="19"/>
  <c r="T955" i="19"/>
  <c r="T956" i="19"/>
  <c r="T957" i="19"/>
  <c r="T958" i="19"/>
  <c r="T959" i="19"/>
  <c r="T960" i="19"/>
  <c r="T961" i="19"/>
  <c r="T962" i="19"/>
  <c r="T963" i="19"/>
  <c r="T964" i="19"/>
  <c r="T965" i="19"/>
  <c r="T966" i="19"/>
  <c r="T967" i="19"/>
  <c r="T968" i="19"/>
  <c r="T969" i="19"/>
  <c r="T970" i="19"/>
  <c r="T971" i="19"/>
  <c r="T972" i="19"/>
  <c r="T973" i="19"/>
  <c r="T974" i="19"/>
  <c r="T975" i="19"/>
  <c r="T976" i="19"/>
  <c r="T977" i="19"/>
  <c r="T978" i="19"/>
  <c r="T979" i="19"/>
  <c r="T980" i="19"/>
  <c r="T981" i="19"/>
  <c r="T982" i="19"/>
  <c r="T983" i="19"/>
  <c r="T984" i="19"/>
  <c r="T985" i="19"/>
  <c r="T986" i="19"/>
  <c r="T987" i="19"/>
  <c r="T988" i="19"/>
  <c r="T989" i="19"/>
  <c r="T990" i="19"/>
  <c r="T991" i="19"/>
  <c r="T992" i="19"/>
  <c r="T993" i="19"/>
  <c r="T994" i="19"/>
  <c r="T995" i="19"/>
  <c r="T996" i="19"/>
  <c r="T997" i="19"/>
  <c r="T998" i="19"/>
  <c r="T999" i="19"/>
  <c r="T1000" i="19"/>
  <c r="T1001" i="19"/>
  <c r="T1002" i="19"/>
  <c r="T1003" i="19"/>
  <c r="T1004" i="19"/>
  <c r="T1005" i="19"/>
  <c r="T1006" i="19"/>
  <c r="T1007" i="19"/>
  <c r="T1008" i="19"/>
  <c r="T1009" i="19"/>
  <c r="T1010" i="19"/>
  <c r="T1011" i="19"/>
  <c r="T1012" i="19"/>
  <c r="T1013" i="19"/>
  <c r="T1014" i="19"/>
  <c r="T1015" i="19"/>
  <c r="T1016" i="19"/>
  <c r="T1017" i="19"/>
  <c r="T1018" i="19"/>
  <c r="T1019" i="19"/>
  <c r="T1020" i="19"/>
  <c r="T1021" i="19"/>
  <c r="T1022" i="19"/>
  <c r="T1023" i="19"/>
  <c r="T1024" i="19"/>
  <c r="T1025" i="19"/>
  <c r="T1026" i="19"/>
  <c r="T1027" i="19"/>
  <c r="T1028" i="19"/>
  <c r="T1029" i="19"/>
  <c r="T1030" i="19"/>
  <c r="T1031" i="19"/>
  <c r="T1032" i="19"/>
  <c r="T1033" i="19"/>
  <c r="T1034" i="19"/>
  <c r="T1035" i="19"/>
  <c r="T1036" i="19"/>
  <c r="T1037" i="19"/>
  <c r="T1038" i="19"/>
  <c r="T1039" i="19"/>
  <c r="T1040" i="19"/>
  <c r="T1041" i="19"/>
  <c r="T1042" i="19"/>
  <c r="T1043" i="19"/>
  <c r="T1044" i="19"/>
  <c r="T1045" i="19"/>
  <c r="T1046" i="19"/>
  <c r="T1047" i="19"/>
  <c r="T1048" i="19"/>
  <c r="T1049" i="19"/>
  <c r="T1050" i="19"/>
  <c r="T1051" i="19"/>
  <c r="T1052" i="19"/>
  <c r="T1053" i="19"/>
  <c r="T1054" i="19"/>
  <c r="T1055" i="19"/>
  <c r="T1056" i="19"/>
  <c r="T1057" i="19"/>
  <c r="T1058" i="19"/>
  <c r="T1059" i="19"/>
  <c r="T1060" i="19"/>
  <c r="T1061" i="19"/>
  <c r="T1062" i="19"/>
  <c r="T1063" i="19"/>
  <c r="T1064" i="19"/>
  <c r="T1065" i="19"/>
  <c r="T1066" i="19"/>
  <c r="T1067" i="19"/>
  <c r="T1068" i="19"/>
  <c r="T1069" i="19"/>
  <c r="T1070" i="19"/>
  <c r="T1071" i="19"/>
  <c r="T1072" i="19"/>
  <c r="T1073" i="19"/>
  <c r="T1074" i="19"/>
  <c r="T1075" i="19"/>
  <c r="T1076" i="19"/>
  <c r="T1077" i="19"/>
  <c r="T1078" i="19"/>
  <c r="T1079" i="19"/>
  <c r="T1080" i="19"/>
  <c r="T1081" i="19"/>
  <c r="T1082" i="19"/>
  <c r="T1083" i="19"/>
  <c r="T1084" i="19"/>
  <c r="T1085" i="19"/>
  <c r="T1086" i="19"/>
  <c r="T1087" i="19"/>
  <c r="T1088" i="19"/>
  <c r="T1089" i="19"/>
  <c r="T1090" i="19"/>
  <c r="T1091" i="19"/>
  <c r="T1092" i="19"/>
  <c r="T1093" i="19"/>
  <c r="T1094" i="19"/>
  <c r="T1095" i="19"/>
  <c r="T1096" i="19"/>
  <c r="T1097" i="19"/>
  <c r="T1098" i="19"/>
  <c r="T1099" i="19"/>
  <c r="T1100" i="19"/>
  <c r="T1101" i="19"/>
  <c r="T1102" i="19"/>
  <c r="T1103" i="19"/>
  <c r="T1104" i="19"/>
  <c r="T1105" i="19"/>
  <c r="T1106" i="19"/>
  <c r="T1107" i="19"/>
  <c r="T1108" i="19"/>
  <c r="T1109" i="19"/>
  <c r="T1110" i="19"/>
  <c r="S11" i="19"/>
  <c r="S12" i="19"/>
  <c r="S13" i="19"/>
  <c r="S14" i="19"/>
  <c r="S15" i="19"/>
  <c r="S16" i="19"/>
  <c r="S17" i="19"/>
  <c r="S18" i="19"/>
  <c r="S19" i="19"/>
  <c r="S20" i="19"/>
  <c r="S21" i="19"/>
  <c r="S22" i="19"/>
  <c r="S23" i="19"/>
  <c r="S24" i="19"/>
  <c r="S25" i="19"/>
  <c r="S26" i="19"/>
  <c r="S27" i="19"/>
  <c r="S28" i="19"/>
  <c r="S29" i="19"/>
  <c r="S30" i="19"/>
  <c r="S31" i="19"/>
  <c r="S32" i="19"/>
  <c r="S33" i="19"/>
  <c r="S34" i="19"/>
  <c r="S35" i="19"/>
  <c r="S36" i="19"/>
  <c r="S37" i="19"/>
  <c r="S38" i="19"/>
  <c r="S39" i="19"/>
  <c r="S40" i="19"/>
  <c r="S41" i="19"/>
  <c r="S42" i="19"/>
  <c r="S43" i="19"/>
  <c r="S44" i="19"/>
  <c r="S45" i="19"/>
  <c r="S46" i="19"/>
  <c r="S47" i="19"/>
  <c r="S48" i="19"/>
  <c r="S49" i="19"/>
  <c r="S50" i="19"/>
  <c r="S51" i="19"/>
  <c r="S52" i="19"/>
  <c r="S53" i="19"/>
  <c r="S54" i="19"/>
  <c r="S55" i="19"/>
  <c r="S56" i="19"/>
  <c r="S57" i="19"/>
  <c r="S58" i="19"/>
  <c r="S59" i="19"/>
  <c r="S60" i="19"/>
  <c r="S61" i="19"/>
  <c r="S62" i="19"/>
  <c r="S63" i="19"/>
  <c r="S64" i="19"/>
  <c r="S65" i="19"/>
  <c r="S66" i="19"/>
  <c r="S67" i="19"/>
  <c r="S68" i="19"/>
  <c r="S69" i="19"/>
  <c r="S70" i="19"/>
  <c r="S71" i="19"/>
  <c r="S72" i="19"/>
  <c r="S73" i="19"/>
  <c r="S74" i="19"/>
  <c r="S75" i="19"/>
  <c r="S76" i="19"/>
  <c r="S77" i="19"/>
  <c r="S78" i="19"/>
  <c r="S79" i="19"/>
  <c r="S80" i="19"/>
  <c r="S81" i="19"/>
  <c r="S82" i="19"/>
  <c r="S83" i="19"/>
  <c r="S84" i="19"/>
  <c r="S85" i="19"/>
  <c r="S86" i="19"/>
  <c r="S87" i="19"/>
  <c r="S88" i="19"/>
  <c r="S89" i="19"/>
  <c r="S90" i="19"/>
  <c r="S91" i="19"/>
  <c r="S92" i="19"/>
  <c r="S93" i="19"/>
  <c r="S94" i="19"/>
  <c r="S95" i="19"/>
  <c r="S96" i="19"/>
  <c r="S97" i="19"/>
  <c r="S98" i="19"/>
  <c r="S99" i="19"/>
  <c r="S100" i="19"/>
  <c r="S101" i="19"/>
  <c r="S102" i="19"/>
  <c r="S103" i="19"/>
  <c r="S104" i="19"/>
  <c r="S105" i="19"/>
  <c r="S106" i="19"/>
  <c r="S107" i="19"/>
  <c r="S108" i="19"/>
  <c r="S109" i="19"/>
  <c r="S110" i="19"/>
  <c r="S111" i="19"/>
  <c r="S112" i="19"/>
  <c r="S113" i="19"/>
  <c r="S114" i="19"/>
  <c r="S115" i="19"/>
  <c r="S116" i="19"/>
  <c r="S117" i="19"/>
  <c r="S118" i="19"/>
  <c r="S119" i="19"/>
  <c r="S120" i="19"/>
  <c r="S121" i="19"/>
  <c r="S122" i="19"/>
  <c r="S123" i="19"/>
  <c r="S124" i="19"/>
  <c r="S125" i="19"/>
  <c r="S126" i="19"/>
  <c r="S127" i="19"/>
  <c r="S128" i="19"/>
  <c r="S129" i="19"/>
  <c r="S130" i="19"/>
  <c r="S131" i="19"/>
  <c r="S132" i="19"/>
  <c r="S133" i="19"/>
  <c r="S134" i="19"/>
  <c r="S135" i="19"/>
  <c r="S136" i="19"/>
  <c r="S137" i="19"/>
  <c r="S138" i="19"/>
  <c r="S139" i="19"/>
  <c r="S140" i="19"/>
  <c r="S141" i="19"/>
  <c r="S142" i="19"/>
  <c r="S143" i="19"/>
  <c r="S144" i="19"/>
  <c r="S145" i="19"/>
  <c r="S146" i="19"/>
  <c r="S147" i="19"/>
  <c r="S148" i="19"/>
  <c r="S149" i="19"/>
  <c r="S150" i="19"/>
  <c r="S151" i="19"/>
  <c r="S152" i="19"/>
  <c r="S153" i="19"/>
  <c r="S154" i="19"/>
  <c r="S155" i="19"/>
  <c r="S156" i="19"/>
  <c r="S157" i="19"/>
  <c r="S158" i="19"/>
  <c r="S159" i="19"/>
  <c r="S160" i="19"/>
  <c r="S161" i="19"/>
  <c r="S162" i="19"/>
  <c r="S163" i="19"/>
  <c r="S164" i="19"/>
  <c r="S165" i="19"/>
  <c r="S166" i="19"/>
  <c r="S167" i="19"/>
  <c r="S168" i="19"/>
  <c r="S169" i="19"/>
  <c r="S170" i="19"/>
  <c r="S171" i="19"/>
  <c r="S172" i="19"/>
  <c r="S173" i="19"/>
  <c r="S174" i="19"/>
  <c r="S175" i="19"/>
  <c r="S176" i="19"/>
  <c r="S177" i="19"/>
  <c r="S178" i="19"/>
  <c r="S179" i="19"/>
  <c r="S180" i="19"/>
  <c r="S181" i="19"/>
  <c r="S182" i="19"/>
  <c r="S183" i="19"/>
  <c r="S184" i="19"/>
  <c r="S185" i="19"/>
  <c r="S186" i="19"/>
  <c r="S187" i="19"/>
  <c r="S188" i="19"/>
  <c r="S189" i="19"/>
  <c r="S190" i="19"/>
  <c r="S191" i="19"/>
  <c r="S192" i="19"/>
  <c r="S193" i="19"/>
  <c r="S194" i="19"/>
  <c r="S195" i="19"/>
  <c r="S196" i="19"/>
  <c r="S197" i="19"/>
  <c r="S198" i="19"/>
  <c r="S199" i="19"/>
  <c r="S200" i="19"/>
  <c r="S201" i="19"/>
  <c r="S202" i="19"/>
  <c r="S203" i="19"/>
  <c r="S204" i="19"/>
  <c r="S205" i="19"/>
  <c r="S206" i="19"/>
  <c r="S207" i="19"/>
  <c r="S208" i="19"/>
  <c r="S209" i="19"/>
  <c r="S210" i="19"/>
  <c r="S211" i="19"/>
  <c r="S212" i="19"/>
  <c r="S213" i="19"/>
  <c r="S214" i="19"/>
  <c r="S215" i="19"/>
  <c r="S216" i="19"/>
  <c r="S217" i="19"/>
  <c r="S218" i="19"/>
  <c r="S219" i="19"/>
  <c r="S220" i="19"/>
  <c r="S221" i="19"/>
  <c r="S222" i="19"/>
  <c r="S223" i="19"/>
  <c r="S224" i="19"/>
  <c r="S225" i="19"/>
  <c r="S226" i="19"/>
  <c r="S227" i="19"/>
  <c r="S228" i="19"/>
  <c r="S229" i="19"/>
  <c r="S230" i="19"/>
  <c r="S231" i="19"/>
  <c r="S232" i="19"/>
  <c r="S233" i="19"/>
  <c r="S234" i="19"/>
  <c r="S235" i="19"/>
  <c r="S236" i="19"/>
  <c r="S237" i="19"/>
  <c r="S238" i="19"/>
  <c r="S239" i="19"/>
  <c r="S240" i="19"/>
  <c r="S241" i="19"/>
  <c r="S242" i="19"/>
  <c r="S243" i="19"/>
  <c r="S244" i="19"/>
  <c r="S245" i="19"/>
  <c r="S246" i="19"/>
  <c r="S247" i="19"/>
  <c r="S248" i="19"/>
  <c r="S249" i="19"/>
  <c r="S250" i="19"/>
  <c r="S251" i="19"/>
  <c r="S252" i="19"/>
  <c r="S253" i="19"/>
  <c r="S254" i="19"/>
  <c r="S255" i="19"/>
  <c r="S256" i="19"/>
  <c r="S257" i="19"/>
  <c r="S258" i="19"/>
  <c r="S259" i="19"/>
  <c r="S260" i="19"/>
  <c r="S261" i="19"/>
  <c r="S262" i="19"/>
  <c r="S263" i="19"/>
  <c r="S264" i="19"/>
  <c r="S265" i="19"/>
  <c r="S266" i="19"/>
  <c r="S267" i="19"/>
  <c r="S268" i="19"/>
  <c r="S269" i="19"/>
  <c r="S270" i="19"/>
  <c r="S271" i="19"/>
  <c r="S272" i="19"/>
  <c r="S273" i="19"/>
  <c r="S274" i="19"/>
  <c r="S275" i="19"/>
  <c r="S276" i="19"/>
  <c r="S277" i="19"/>
  <c r="S278" i="19"/>
  <c r="S279" i="19"/>
  <c r="S280" i="19"/>
  <c r="S281" i="19"/>
  <c r="S282" i="19"/>
  <c r="S283" i="19"/>
  <c r="S284" i="19"/>
  <c r="S285" i="19"/>
  <c r="S286" i="19"/>
  <c r="S287" i="19"/>
  <c r="S288" i="19"/>
  <c r="S289" i="19"/>
  <c r="S290" i="19"/>
  <c r="S291" i="19"/>
  <c r="S292" i="19"/>
  <c r="S293" i="19"/>
  <c r="S294" i="19"/>
  <c r="S295" i="19"/>
  <c r="S296" i="19"/>
  <c r="S297" i="19"/>
  <c r="S298" i="19"/>
  <c r="S299" i="19"/>
  <c r="S300" i="19"/>
  <c r="S301" i="19"/>
  <c r="S302" i="19"/>
  <c r="S303" i="19"/>
  <c r="S304" i="19"/>
  <c r="S305" i="19"/>
  <c r="S306" i="19"/>
  <c r="S307" i="19"/>
  <c r="S308" i="19"/>
  <c r="S309" i="19"/>
  <c r="S310" i="19"/>
  <c r="S311" i="19"/>
  <c r="S312" i="19"/>
  <c r="S313" i="19"/>
  <c r="S314" i="19"/>
  <c r="S315" i="19"/>
  <c r="S316" i="19"/>
  <c r="S317" i="19"/>
  <c r="S318" i="19"/>
  <c r="S319" i="19"/>
  <c r="S320" i="19"/>
  <c r="S321" i="19"/>
  <c r="S322" i="19"/>
  <c r="S323" i="19"/>
  <c r="S324" i="19"/>
  <c r="S325" i="19"/>
  <c r="S326" i="19"/>
  <c r="S327" i="19"/>
  <c r="S328" i="19"/>
  <c r="S329" i="19"/>
  <c r="S330" i="19"/>
  <c r="S331" i="19"/>
  <c r="S332" i="19"/>
  <c r="S333" i="19"/>
  <c r="S334" i="19"/>
  <c r="S335" i="19"/>
  <c r="S336" i="19"/>
  <c r="S337" i="19"/>
  <c r="S338" i="19"/>
  <c r="S339" i="19"/>
  <c r="S340" i="19"/>
  <c r="S341" i="19"/>
  <c r="S342" i="19"/>
  <c r="S343" i="19"/>
  <c r="S344" i="19"/>
  <c r="S345" i="19"/>
  <c r="S346" i="19"/>
  <c r="S347" i="19"/>
  <c r="S348" i="19"/>
  <c r="S349" i="19"/>
  <c r="S350" i="19"/>
  <c r="S351" i="19"/>
  <c r="S352" i="19"/>
  <c r="S353" i="19"/>
  <c r="S354" i="19"/>
  <c r="S355" i="19"/>
  <c r="S356" i="19"/>
  <c r="S357" i="19"/>
  <c r="S358" i="19"/>
  <c r="S359" i="19"/>
  <c r="S360" i="19"/>
  <c r="S361" i="19"/>
  <c r="S362" i="19"/>
  <c r="S363" i="19"/>
  <c r="S364" i="19"/>
  <c r="S365" i="19"/>
  <c r="S366" i="19"/>
  <c r="S367" i="19"/>
  <c r="S368" i="19"/>
  <c r="S369" i="19"/>
  <c r="S370" i="19"/>
  <c r="S371" i="19"/>
  <c r="S372" i="19"/>
  <c r="S373" i="19"/>
  <c r="S374" i="19"/>
  <c r="S375" i="19"/>
  <c r="S376" i="19"/>
  <c r="S377" i="19"/>
  <c r="S378" i="19"/>
  <c r="S379" i="19"/>
  <c r="S380" i="19"/>
  <c r="S381" i="19"/>
  <c r="S382" i="19"/>
  <c r="S383" i="19"/>
  <c r="S384" i="19"/>
  <c r="S385" i="19"/>
  <c r="S386" i="19"/>
  <c r="S387" i="19"/>
  <c r="S388" i="19"/>
  <c r="S389" i="19"/>
  <c r="S390" i="19"/>
  <c r="S391" i="19"/>
  <c r="S392" i="19"/>
  <c r="S393" i="19"/>
  <c r="S394" i="19"/>
  <c r="S395" i="19"/>
  <c r="S396" i="19"/>
  <c r="S397" i="19"/>
  <c r="S398" i="19"/>
  <c r="S399" i="19"/>
  <c r="S400" i="19"/>
  <c r="S401" i="19"/>
  <c r="S402" i="19"/>
  <c r="S403" i="19"/>
  <c r="S404" i="19"/>
  <c r="S405" i="19"/>
  <c r="S406" i="19"/>
  <c r="S407" i="19"/>
  <c r="S408" i="19"/>
  <c r="S409" i="19"/>
  <c r="S410" i="19"/>
  <c r="S411" i="19"/>
  <c r="S412" i="19"/>
  <c r="S413" i="19"/>
  <c r="S414" i="19"/>
  <c r="S415" i="19"/>
  <c r="S416" i="19"/>
  <c r="S417" i="19"/>
  <c r="S418" i="19"/>
  <c r="S419" i="19"/>
  <c r="S420" i="19"/>
  <c r="S421" i="19"/>
  <c r="S422" i="19"/>
  <c r="S423" i="19"/>
  <c r="S424" i="19"/>
  <c r="S425" i="19"/>
  <c r="S426" i="19"/>
  <c r="S427" i="19"/>
  <c r="S428" i="19"/>
  <c r="S429" i="19"/>
  <c r="S430" i="19"/>
  <c r="S431" i="19"/>
  <c r="S432" i="19"/>
  <c r="S433" i="19"/>
  <c r="S434" i="19"/>
  <c r="S435" i="19"/>
  <c r="S436" i="19"/>
  <c r="S437" i="19"/>
  <c r="S438" i="19"/>
  <c r="S439" i="19"/>
  <c r="S440" i="19"/>
  <c r="S441" i="19"/>
  <c r="S442" i="19"/>
  <c r="S443" i="19"/>
  <c r="S444" i="19"/>
  <c r="S445" i="19"/>
  <c r="S446" i="19"/>
  <c r="S447" i="19"/>
  <c r="S448" i="19"/>
  <c r="S449" i="19"/>
  <c r="S450" i="19"/>
  <c r="S451" i="19"/>
  <c r="S452" i="19"/>
  <c r="S453" i="19"/>
  <c r="S454" i="19"/>
  <c r="S455" i="19"/>
  <c r="S456" i="19"/>
  <c r="S457" i="19"/>
  <c r="S458" i="19"/>
  <c r="S459" i="19"/>
  <c r="S460" i="19"/>
  <c r="S461" i="19"/>
  <c r="S462" i="19"/>
  <c r="S463" i="19"/>
  <c r="S464" i="19"/>
  <c r="S465" i="19"/>
  <c r="S466" i="19"/>
  <c r="S467" i="19"/>
  <c r="S468" i="19"/>
  <c r="S469" i="19"/>
  <c r="S470" i="19"/>
  <c r="S471" i="19"/>
  <c r="S472" i="19"/>
  <c r="S473" i="19"/>
  <c r="S474" i="19"/>
  <c r="S475" i="19"/>
  <c r="S476" i="19"/>
  <c r="S477" i="19"/>
  <c r="S478" i="19"/>
  <c r="S479" i="19"/>
  <c r="S480" i="19"/>
  <c r="S481" i="19"/>
  <c r="S482" i="19"/>
  <c r="S483" i="19"/>
  <c r="S484" i="19"/>
  <c r="S485" i="19"/>
  <c r="S486" i="19"/>
  <c r="S487" i="19"/>
  <c r="S488" i="19"/>
  <c r="S489" i="19"/>
  <c r="S490" i="19"/>
  <c r="S491" i="19"/>
  <c r="S492" i="19"/>
  <c r="S493" i="19"/>
  <c r="S494" i="19"/>
  <c r="S495" i="19"/>
  <c r="S496" i="19"/>
  <c r="S497" i="19"/>
  <c r="S498" i="19"/>
  <c r="S499" i="19"/>
  <c r="S500" i="19"/>
  <c r="S501" i="19"/>
  <c r="S502" i="19"/>
  <c r="S503" i="19"/>
  <c r="S504" i="19"/>
  <c r="S505" i="19"/>
  <c r="S506" i="19"/>
  <c r="S507" i="19"/>
  <c r="S508" i="19"/>
  <c r="S509" i="19"/>
  <c r="S510" i="19"/>
  <c r="S511" i="19"/>
  <c r="S512" i="19"/>
  <c r="S513" i="19"/>
  <c r="S514" i="19"/>
  <c r="S515" i="19"/>
  <c r="S516" i="19"/>
  <c r="S517" i="19"/>
  <c r="S518" i="19"/>
  <c r="S519" i="19"/>
  <c r="S520" i="19"/>
  <c r="S521" i="19"/>
  <c r="S522" i="19"/>
  <c r="S523" i="19"/>
  <c r="S524" i="19"/>
  <c r="S525" i="19"/>
  <c r="S526" i="19"/>
  <c r="S527" i="19"/>
  <c r="S528" i="19"/>
  <c r="S529" i="19"/>
  <c r="S530" i="19"/>
  <c r="S531" i="19"/>
  <c r="S532" i="19"/>
  <c r="S533" i="19"/>
  <c r="S534" i="19"/>
  <c r="S535" i="19"/>
  <c r="S536" i="19"/>
  <c r="S537" i="19"/>
  <c r="S538" i="19"/>
  <c r="S539" i="19"/>
  <c r="S540" i="19"/>
  <c r="S541" i="19"/>
  <c r="S542" i="19"/>
  <c r="S543" i="19"/>
  <c r="S544" i="19"/>
  <c r="S545" i="19"/>
  <c r="S546" i="19"/>
  <c r="S547" i="19"/>
  <c r="S548" i="19"/>
  <c r="S549" i="19"/>
  <c r="S550" i="19"/>
  <c r="S551" i="19"/>
  <c r="S552" i="19"/>
  <c r="S553" i="19"/>
  <c r="S554" i="19"/>
  <c r="S555" i="19"/>
  <c r="S556" i="19"/>
  <c r="S557" i="19"/>
  <c r="S558" i="19"/>
  <c r="S559" i="19"/>
  <c r="S560" i="19"/>
  <c r="S561" i="19"/>
  <c r="S562" i="19"/>
  <c r="S563" i="19"/>
  <c r="S564" i="19"/>
  <c r="S565" i="19"/>
  <c r="S566" i="19"/>
  <c r="S567" i="19"/>
  <c r="S568" i="19"/>
  <c r="S569" i="19"/>
  <c r="S570" i="19"/>
  <c r="S571" i="19"/>
  <c r="S572" i="19"/>
  <c r="S573" i="19"/>
  <c r="S574" i="19"/>
  <c r="S575" i="19"/>
  <c r="S576" i="19"/>
  <c r="S577" i="19"/>
  <c r="S578" i="19"/>
  <c r="S579" i="19"/>
  <c r="S580" i="19"/>
  <c r="S581" i="19"/>
  <c r="S582" i="19"/>
  <c r="S583" i="19"/>
  <c r="S584" i="19"/>
  <c r="S585" i="19"/>
  <c r="S586" i="19"/>
  <c r="S587" i="19"/>
  <c r="S588" i="19"/>
  <c r="S589" i="19"/>
  <c r="S590" i="19"/>
  <c r="S591" i="19"/>
  <c r="S592" i="19"/>
  <c r="S593" i="19"/>
  <c r="S594" i="19"/>
  <c r="S595" i="19"/>
  <c r="S596" i="19"/>
  <c r="S597" i="19"/>
  <c r="S598" i="19"/>
  <c r="S599" i="19"/>
  <c r="S600" i="19"/>
  <c r="S601" i="19"/>
  <c r="S602" i="19"/>
  <c r="S603" i="19"/>
  <c r="S604" i="19"/>
  <c r="S605" i="19"/>
  <c r="S606" i="19"/>
  <c r="S607" i="19"/>
  <c r="S608" i="19"/>
  <c r="S609" i="19"/>
  <c r="S610" i="19"/>
  <c r="S611" i="19"/>
  <c r="S612" i="19"/>
  <c r="S613" i="19"/>
  <c r="S614" i="19"/>
  <c r="S615" i="19"/>
  <c r="S616" i="19"/>
  <c r="S617" i="19"/>
  <c r="S618" i="19"/>
  <c r="S619" i="19"/>
  <c r="S620" i="19"/>
  <c r="S621" i="19"/>
  <c r="S622" i="19"/>
  <c r="S623" i="19"/>
  <c r="S624" i="19"/>
  <c r="S625" i="19"/>
  <c r="S626" i="19"/>
  <c r="S627" i="19"/>
  <c r="S628" i="19"/>
  <c r="S629" i="19"/>
  <c r="S630" i="19"/>
  <c r="S631" i="19"/>
  <c r="S632" i="19"/>
  <c r="S633" i="19"/>
  <c r="S634" i="19"/>
  <c r="S635" i="19"/>
  <c r="S636" i="19"/>
  <c r="S637" i="19"/>
  <c r="S638" i="19"/>
  <c r="S639" i="19"/>
  <c r="S640" i="19"/>
  <c r="S641" i="19"/>
  <c r="S642" i="19"/>
  <c r="S643" i="19"/>
  <c r="S644" i="19"/>
  <c r="S645" i="19"/>
  <c r="S646" i="19"/>
  <c r="S647" i="19"/>
  <c r="S648" i="19"/>
  <c r="S649" i="19"/>
  <c r="S650" i="19"/>
  <c r="S651" i="19"/>
  <c r="S652" i="19"/>
  <c r="S653" i="19"/>
  <c r="S654" i="19"/>
  <c r="S655" i="19"/>
  <c r="S656" i="19"/>
  <c r="S657" i="19"/>
  <c r="S658" i="19"/>
  <c r="S659" i="19"/>
  <c r="S660" i="19"/>
  <c r="S661" i="19"/>
  <c r="S662" i="19"/>
  <c r="S663" i="19"/>
  <c r="S664" i="19"/>
  <c r="S665" i="19"/>
  <c r="S666" i="19"/>
  <c r="S667" i="19"/>
  <c r="S668" i="19"/>
  <c r="S669" i="19"/>
  <c r="S670" i="19"/>
  <c r="S671" i="19"/>
  <c r="S672" i="19"/>
  <c r="S673" i="19"/>
  <c r="S674" i="19"/>
  <c r="S675" i="19"/>
  <c r="S676" i="19"/>
  <c r="S677" i="19"/>
  <c r="S678" i="19"/>
  <c r="S679" i="19"/>
  <c r="S680" i="19"/>
  <c r="S681" i="19"/>
  <c r="S682" i="19"/>
  <c r="S683" i="19"/>
  <c r="S684" i="19"/>
  <c r="S685" i="19"/>
  <c r="S686" i="19"/>
  <c r="S687" i="19"/>
  <c r="S688" i="19"/>
  <c r="S689" i="19"/>
  <c r="S690" i="19"/>
  <c r="S691" i="19"/>
  <c r="S692" i="19"/>
  <c r="S693" i="19"/>
  <c r="S694" i="19"/>
  <c r="S695" i="19"/>
  <c r="S696" i="19"/>
  <c r="S697" i="19"/>
  <c r="S698" i="19"/>
  <c r="S699" i="19"/>
  <c r="S700" i="19"/>
  <c r="S701" i="19"/>
  <c r="S702" i="19"/>
  <c r="S703" i="19"/>
  <c r="S704" i="19"/>
  <c r="S705" i="19"/>
  <c r="S706" i="19"/>
  <c r="S707" i="19"/>
  <c r="S708" i="19"/>
  <c r="S709" i="19"/>
  <c r="S710" i="19"/>
  <c r="S711" i="19"/>
  <c r="S712" i="19"/>
  <c r="S713" i="19"/>
  <c r="S714" i="19"/>
  <c r="S715" i="19"/>
  <c r="S716" i="19"/>
  <c r="S717" i="19"/>
  <c r="S718" i="19"/>
  <c r="S719" i="19"/>
  <c r="S720" i="19"/>
  <c r="S721" i="19"/>
  <c r="S722" i="19"/>
  <c r="S723" i="19"/>
  <c r="S724" i="19"/>
  <c r="S725" i="19"/>
  <c r="S726" i="19"/>
  <c r="S727" i="19"/>
  <c r="S728" i="19"/>
  <c r="S729" i="19"/>
  <c r="S730" i="19"/>
  <c r="S731" i="19"/>
  <c r="S732" i="19"/>
  <c r="S733" i="19"/>
  <c r="S734" i="19"/>
  <c r="S735" i="19"/>
  <c r="S736" i="19"/>
  <c r="S737" i="19"/>
  <c r="S738" i="19"/>
  <c r="S739" i="19"/>
  <c r="S740" i="19"/>
  <c r="S741" i="19"/>
  <c r="S742" i="19"/>
  <c r="S743" i="19"/>
  <c r="S744" i="19"/>
  <c r="S745" i="19"/>
  <c r="S746" i="19"/>
  <c r="S747" i="19"/>
  <c r="S748" i="19"/>
  <c r="S749" i="19"/>
  <c r="S750" i="19"/>
  <c r="S751" i="19"/>
  <c r="S752" i="19"/>
  <c r="S753" i="19"/>
  <c r="S754" i="19"/>
  <c r="S755" i="19"/>
  <c r="S756" i="19"/>
  <c r="S757" i="19"/>
  <c r="S758" i="19"/>
  <c r="S759" i="19"/>
  <c r="S760" i="19"/>
  <c r="S761" i="19"/>
  <c r="S762" i="19"/>
  <c r="S763" i="19"/>
  <c r="S764" i="19"/>
  <c r="S765" i="19"/>
  <c r="S766" i="19"/>
  <c r="S767" i="19"/>
  <c r="S768" i="19"/>
  <c r="S769" i="19"/>
  <c r="S770" i="19"/>
  <c r="S771" i="19"/>
  <c r="S772" i="19"/>
  <c r="S773" i="19"/>
  <c r="S774" i="19"/>
  <c r="S775" i="19"/>
  <c r="S776" i="19"/>
  <c r="S777" i="19"/>
  <c r="S778" i="19"/>
  <c r="S779" i="19"/>
  <c r="S780" i="19"/>
  <c r="S781" i="19"/>
  <c r="S782" i="19"/>
  <c r="S783" i="19"/>
  <c r="S784" i="19"/>
  <c r="S785" i="19"/>
  <c r="S786" i="19"/>
  <c r="S787" i="19"/>
  <c r="S788" i="19"/>
  <c r="S789" i="19"/>
  <c r="S790" i="19"/>
  <c r="S791" i="19"/>
  <c r="S792" i="19"/>
  <c r="S793" i="19"/>
  <c r="S794" i="19"/>
  <c r="S795" i="19"/>
  <c r="S796" i="19"/>
  <c r="S797" i="19"/>
  <c r="S798" i="19"/>
  <c r="S799" i="19"/>
  <c r="S800" i="19"/>
  <c r="S801" i="19"/>
  <c r="S802" i="19"/>
  <c r="S803" i="19"/>
  <c r="S804" i="19"/>
  <c r="S805" i="19"/>
  <c r="S806" i="19"/>
  <c r="S807" i="19"/>
  <c r="S808" i="19"/>
  <c r="S809" i="19"/>
  <c r="S810" i="19"/>
  <c r="S811" i="19"/>
  <c r="S812" i="19"/>
  <c r="S813" i="19"/>
  <c r="S814" i="19"/>
  <c r="S815" i="19"/>
  <c r="S816" i="19"/>
  <c r="S817" i="19"/>
  <c r="S818" i="19"/>
  <c r="S819" i="19"/>
  <c r="S820" i="19"/>
  <c r="S821" i="19"/>
  <c r="S822" i="19"/>
  <c r="S823" i="19"/>
  <c r="S824" i="19"/>
  <c r="S825" i="19"/>
  <c r="S826" i="19"/>
  <c r="S827" i="19"/>
  <c r="S828" i="19"/>
  <c r="S829" i="19"/>
  <c r="S830" i="19"/>
  <c r="S831" i="19"/>
  <c r="S832" i="19"/>
  <c r="S833" i="19"/>
  <c r="S834" i="19"/>
  <c r="S835" i="19"/>
  <c r="S836" i="19"/>
  <c r="S837" i="19"/>
  <c r="S838" i="19"/>
  <c r="S839" i="19"/>
  <c r="S840" i="19"/>
  <c r="S841" i="19"/>
  <c r="S842" i="19"/>
  <c r="S843" i="19"/>
  <c r="S844" i="19"/>
  <c r="S845" i="19"/>
  <c r="S846" i="19"/>
  <c r="S847" i="19"/>
  <c r="S848" i="19"/>
  <c r="S849" i="19"/>
  <c r="S850" i="19"/>
  <c r="S851" i="19"/>
  <c r="S852" i="19"/>
  <c r="S853" i="19"/>
  <c r="S854" i="19"/>
  <c r="S855" i="19"/>
  <c r="S856" i="19"/>
  <c r="S857" i="19"/>
  <c r="S858" i="19"/>
  <c r="S859" i="19"/>
  <c r="S860" i="19"/>
  <c r="S861" i="19"/>
  <c r="S862" i="19"/>
  <c r="S863" i="19"/>
  <c r="S864" i="19"/>
  <c r="S865" i="19"/>
  <c r="S866" i="19"/>
  <c r="S867" i="19"/>
  <c r="S868" i="19"/>
  <c r="S869" i="19"/>
  <c r="S870" i="19"/>
  <c r="S871" i="19"/>
  <c r="S872" i="19"/>
  <c r="S873" i="19"/>
  <c r="S874" i="19"/>
  <c r="S875" i="19"/>
  <c r="S876" i="19"/>
  <c r="S877" i="19"/>
  <c r="S878" i="19"/>
  <c r="S879" i="19"/>
  <c r="S880" i="19"/>
  <c r="S881" i="19"/>
  <c r="S882" i="19"/>
  <c r="S883" i="19"/>
  <c r="S884" i="19"/>
  <c r="S885" i="19"/>
  <c r="S886" i="19"/>
  <c r="S887" i="19"/>
  <c r="S888" i="19"/>
  <c r="S889" i="19"/>
  <c r="S890" i="19"/>
  <c r="S891" i="19"/>
  <c r="S892" i="19"/>
  <c r="S893" i="19"/>
  <c r="S894" i="19"/>
  <c r="S895" i="19"/>
  <c r="S896" i="19"/>
  <c r="S897" i="19"/>
  <c r="S898" i="19"/>
  <c r="S899" i="19"/>
  <c r="S900" i="19"/>
  <c r="S901" i="19"/>
  <c r="S902" i="19"/>
  <c r="S903" i="19"/>
  <c r="S904" i="19"/>
  <c r="S905" i="19"/>
  <c r="S906" i="19"/>
  <c r="S907" i="19"/>
  <c r="S908" i="19"/>
  <c r="S909" i="19"/>
  <c r="S910" i="19"/>
  <c r="S911" i="19"/>
  <c r="S912" i="19"/>
  <c r="S913" i="19"/>
  <c r="S914" i="19"/>
  <c r="S915" i="19"/>
  <c r="S916" i="19"/>
  <c r="S917" i="19"/>
  <c r="S918" i="19"/>
  <c r="S919" i="19"/>
  <c r="S920" i="19"/>
  <c r="S921" i="19"/>
  <c r="S922" i="19"/>
  <c r="S923" i="19"/>
  <c r="S924" i="19"/>
  <c r="S925" i="19"/>
  <c r="S926" i="19"/>
  <c r="S927" i="19"/>
  <c r="S928" i="19"/>
  <c r="S929" i="19"/>
  <c r="S930" i="19"/>
  <c r="S931" i="19"/>
  <c r="S932" i="19"/>
  <c r="S933" i="19"/>
  <c r="S934" i="19"/>
  <c r="S935" i="19"/>
  <c r="S936" i="19"/>
  <c r="S937" i="19"/>
  <c r="S938" i="19"/>
  <c r="S939" i="19"/>
  <c r="S940" i="19"/>
  <c r="S941" i="19"/>
  <c r="S942" i="19"/>
  <c r="S943" i="19"/>
  <c r="S944" i="19"/>
  <c r="S945" i="19"/>
  <c r="S946" i="19"/>
  <c r="S947" i="19"/>
  <c r="S948" i="19"/>
  <c r="S949" i="19"/>
  <c r="S950" i="19"/>
  <c r="S951" i="19"/>
  <c r="S952" i="19"/>
  <c r="S953" i="19"/>
  <c r="S954" i="19"/>
  <c r="S955" i="19"/>
  <c r="S956" i="19"/>
  <c r="S957" i="19"/>
  <c r="S958" i="19"/>
  <c r="S959" i="19"/>
  <c r="S960" i="19"/>
  <c r="S961" i="19"/>
  <c r="S962" i="19"/>
  <c r="S963" i="19"/>
  <c r="S964" i="19"/>
  <c r="S965" i="19"/>
  <c r="S966" i="19"/>
  <c r="S967" i="19"/>
  <c r="S968" i="19"/>
  <c r="S969" i="19"/>
  <c r="S970" i="19"/>
  <c r="S971" i="19"/>
  <c r="S972" i="19"/>
  <c r="S973" i="19"/>
  <c r="S974" i="19"/>
  <c r="S975" i="19"/>
  <c r="S976" i="19"/>
  <c r="S977" i="19"/>
  <c r="S978" i="19"/>
  <c r="S979" i="19"/>
  <c r="S980" i="19"/>
  <c r="S981" i="19"/>
  <c r="S982" i="19"/>
  <c r="S983" i="19"/>
  <c r="S984" i="19"/>
  <c r="S985" i="19"/>
  <c r="S986" i="19"/>
  <c r="S987" i="19"/>
  <c r="S988" i="19"/>
  <c r="S989" i="19"/>
  <c r="S990" i="19"/>
  <c r="S991" i="19"/>
  <c r="S992" i="19"/>
  <c r="S993" i="19"/>
  <c r="S994" i="19"/>
  <c r="S995" i="19"/>
  <c r="S996" i="19"/>
  <c r="S997" i="19"/>
  <c r="S998" i="19"/>
  <c r="S999" i="19"/>
  <c r="S1000" i="19"/>
  <c r="S1001" i="19"/>
  <c r="S1002" i="19"/>
  <c r="S1003" i="19"/>
  <c r="S1004" i="19"/>
  <c r="S1005" i="19"/>
  <c r="S1006" i="19"/>
  <c r="S1007" i="19"/>
  <c r="S1008" i="19"/>
  <c r="S1009" i="19"/>
  <c r="S1010" i="19"/>
  <c r="S1011" i="19"/>
  <c r="S1012" i="19"/>
  <c r="S1013" i="19"/>
  <c r="S1014" i="19"/>
  <c r="S1015" i="19"/>
  <c r="S1016" i="19"/>
  <c r="S1017" i="19"/>
  <c r="S1018" i="19"/>
  <c r="S1019" i="19"/>
  <c r="S1020" i="19"/>
  <c r="S1021" i="19"/>
  <c r="S1022" i="19"/>
  <c r="S1023" i="19"/>
  <c r="S1024" i="19"/>
  <c r="S1025" i="19"/>
  <c r="S1026" i="19"/>
  <c r="S1027" i="19"/>
  <c r="S1028" i="19"/>
  <c r="S1029" i="19"/>
  <c r="S1030" i="19"/>
  <c r="S1031" i="19"/>
  <c r="S1032" i="19"/>
  <c r="S1033" i="19"/>
  <c r="S1034" i="19"/>
  <c r="S1035" i="19"/>
  <c r="S1036" i="19"/>
  <c r="S1037" i="19"/>
  <c r="S1038" i="19"/>
  <c r="S1039" i="19"/>
  <c r="S1040" i="19"/>
  <c r="S1041" i="19"/>
  <c r="S1042" i="19"/>
  <c r="S1043" i="19"/>
  <c r="S1044" i="19"/>
  <c r="S1045" i="19"/>
  <c r="S1046" i="19"/>
  <c r="S1047" i="19"/>
  <c r="S1048" i="19"/>
  <c r="S1049" i="19"/>
  <c r="S1050" i="19"/>
  <c r="S1051" i="19"/>
  <c r="S1052" i="19"/>
  <c r="S1053" i="19"/>
  <c r="S1054" i="19"/>
  <c r="S1055" i="19"/>
  <c r="S1056" i="19"/>
  <c r="S1057" i="19"/>
  <c r="S1058" i="19"/>
  <c r="S1059" i="19"/>
  <c r="S1060" i="19"/>
  <c r="S1061" i="19"/>
  <c r="S1062" i="19"/>
  <c r="S1063" i="19"/>
  <c r="S1064" i="19"/>
  <c r="S1065" i="19"/>
  <c r="S1066" i="19"/>
  <c r="S1067" i="19"/>
  <c r="S1068" i="19"/>
  <c r="S1069" i="19"/>
  <c r="S1070" i="19"/>
  <c r="S1071" i="19"/>
  <c r="S1072" i="19"/>
  <c r="S1073" i="19"/>
  <c r="S1074" i="19"/>
  <c r="S1075" i="19"/>
  <c r="S1076" i="19"/>
  <c r="S1077" i="19"/>
  <c r="S1078" i="19"/>
  <c r="S1079" i="19"/>
  <c r="S1080" i="19"/>
  <c r="S1081" i="19"/>
  <c r="S1082" i="19"/>
  <c r="S1083" i="19"/>
  <c r="S1084" i="19"/>
  <c r="S1085" i="19"/>
  <c r="S1086" i="19"/>
  <c r="S1087" i="19"/>
  <c r="S1088" i="19"/>
  <c r="S1089" i="19"/>
  <c r="S1090" i="19"/>
  <c r="S1091" i="19"/>
  <c r="S1092" i="19"/>
  <c r="S1093" i="19"/>
  <c r="S1094" i="19"/>
  <c r="S1095" i="19"/>
  <c r="S1096" i="19"/>
  <c r="S1097" i="19"/>
  <c r="S1098" i="19"/>
  <c r="S1099" i="19"/>
  <c r="S1100" i="19"/>
  <c r="S1101" i="19"/>
  <c r="S1102" i="19"/>
  <c r="S1103" i="19"/>
  <c r="S1104" i="19"/>
  <c r="S1105" i="19"/>
  <c r="S1106" i="19"/>
  <c r="S1107" i="19"/>
  <c r="S1108" i="19"/>
  <c r="S1109" i="19"/>
  <c r="S1110" i="19"/>
  <c r="R11" i="19"/>
  <c r="R12" i="19"/>
  <c r="R13" i="19"/>
  <c r="R14" i="19"/>
  <c r="R15" i="19"/>
  <c r="R16" i="19"/>
  <c r="R17" i="19"/>
  <c r="R18" i="19"/>
  <c r="R19" i="19"/>
  <c r="R20" i="19"/>
  <c r="R21" i="19"/>
  <c r="R22" i="19"/>
  <c r="R23" i="19"/>
  <c r="R24" i="19"/>
  <c r="R25" i="19"/>
  <c r="R26" i="19"/>
  <c r="R27" i="19"/>
  <c r="R28" i="19"/>
  <c r="R29" i="19"/>
  <c r="R30" i="19"/>
  <c r="R31" i="19"/>
  <c r="R32" i="19"/>
  <c r="R33" i="19"/>
  <c r="R34" i="19"/>
  <c r="R35" i="19"/>
  <c r="R36" i="19"/>
  <c r="R37" i="19"/>
  <c r="R38" i="19"/>
  <c r="R39" i="19"/>
  <c r="R40" i="19"/>
  <c r="R41" i="19"/>
  <c r="R42" i="19"/>
  <c r="R43" i="19"/>
  <c r="R44" i="19"/>
  <c r="R45" i="19"/>
  <c r="R46" i="19"/>
  <c r="R47" i="19"/>
  <c r="R48" i="19"/>
  <c r="R49" i="19"/>
  <c r="R50" i="19"/>
  <c r="R51" i="19"/>
  <c r="R52" i="19"/>
  <c r="R53" i="19"/>
  <c r="R54" i="19"/>
  <c r="R55" i="19"/>
  <c r="R56" i="19"/>
  <c r="R57" i="19"/>
  <c r="R58" i="19"/>
  <c r="R59" i="19"/>
  <c r="R60" i="19"/>
  <c r="R61" i="19"/>
  <c r="R62" i="19"/>
  <c r="R63" i="19"/>
  <c r="R64" i="19"/>
  <c r="R65" i="19"/>
  <c r="R66" i="19"/>
  <c r="R67" i="19"/>
  <c r="R68" i="19"/>
  <c r="R69" i="19"/>
  <c r="R70" i="19"/>
  <c r="R71" i="19"/>
  <c r="R72" i="19"/>
  <c r="R73" i="19"/>
  <c r="R74" i="19"/>
  <c r="R75" i="19"/>
  <c r="R76" i="19"/>
  <c r="R77" i="19"/>
  <c r="R78" i="19"/>
  <c r="R79" i="19"/>
  <c r="R80" i="19"/>
  <c r="R81" i="19"/>
  <c r="R82" i="19"/>
  <c r="R83" i="19"/>
  <c r="R84" i="19"/>
  <c r="R85" i="19"/>
  <c r="R86" i="19"/>
  <c r="R87" i="19"/>
  <c r="R88" i="19"/>
  <c r="R89" i="19"/>
  <c r="R90" i="19"/>
  <c r="R91" i="19"/>
  <c r="R92" i="19"/>
  <c r="R93" i="19"/>
  <c r="R94" i="19"/>
  <c r="R95" i="19"/>
  <c r="R96" i="19"/>
  <c r="R97" i="19"/>
  <c r="R98" i="19"/>
  <c r="R99" i="19"/>
  <c r="R100" i="19"/>
  <c r="R101" i="19"/>
  <c r="R102" i="19"/>
  <c r="R103" i="19"/>
  <c r="R104" i="19"/>
  <c r="R105" i="19"/>
  <c r="R106" i="19"/>
  <c r="R107" i="19"/>
  <c r="R108" i="19"/>
  <c r="R109" i="19"/>
  <c r="R110" i="19"/>
  <c r="R111" i="19"/>
  <c r="R112" i="19"/>
  <c r="R113" i="19"/>
  <c r="R114" i="19"/>
  <c r="R115" i="19"/>
  <c r="R116" i="19"/>
  <c r="R117" i="19"/>
  <c r="R118" i="19"/>
  <c r="R119" i="19"/>
  <c r="R120" i="19"/>
  <c r="R121" i="19"/>
  <c r="R122" i="19"/>
  <c r="R123" i="19"/>
  <c r="R124" i="19"/>
  <c r="R125" i="19"/>
  <c r="R126" i="19"/>
  <c r="R127" i="19"/>
  <c r="R128" i="19"/>
  <c r="R129" i="19"/>
  <c r="R130" i="19"/>
  <c r="R131" i="19"/>
  <c r="R132" i="19"/>
  <c r="R133" i="19"/>
  <c r="R134" i="19"/>
  <c r="R135" i="19"/>
  <c r="R136" i="19"/>
  <c r="R137" i="19"/>
  <c r="R138" i="19"/>
  <c r="R139" i="19"/>
  <c r="R140" i="19"/>
  <c r="R141" i="19"/>
  <c r="R142" i="19"/>
  <c r="R143" i="19"/>
  <c r="R144" i="19"/>
  <c r="R145" i="19"/>
  <c r="R146" i="19"/>
  <c r="R147" i="19"/>
  <c r="R148" i="19"/>
  <c r="R149" i="19"/>
  <c r="R150" i="19"/>
  <c r="R151" i="19"/>
  <c r="R152" i="19"/>
  <c r="R153" i="19"/>
  <c r="R154" i="19"/>
  <c r="R155" i="19"/>
  <c r="R156" i="19"/>
  <c r="R157" i="19"/>
  <c r="R158" i="19"/>
  <c r="R159" i="19"/>
  <c r="R160" i="19"/>
  <c r="R161" i="19"/>
  <c r="R162" i="19"/>
  <c r="R163" i="19"/>
  <c r="R164" i="19"/>
  <c r="R165" i="19"/>
  <c r="R166" i="19"/>
  <c r="R167" i="19"/>
  <c r="R168" i="19"/>
  <c r="R169" i="19"/>
  <c r="R170" i="19"/>
  <c r="R171" i="19"/>
  <c r="R172" i="19"/>
  <c r="R173" i="19"/>
  <c r="R174" i="19"/>
  <c r="R175" i="19"/>
  <c r="R176" i="19"/>
  <c r="R177" i="19"/>
  <c r="R178" i="19"/>
  <c r="R179" i="19"/>
  <c r="R180" i="19"/>
  <c r="R181" i="19"/>
  <c r="R182" i="19"/>
  <c r="R183" i="19"/>
  <c r="R184" i="19"/>
  <c r="R185" i="19"/>
  <c r="R186" i="19"/>
  <c r="R187" i="19"/>
  <c r="R188" i="19"/>
  <c r="R189" i="19"/>
  <c r="R190" i="19"/>
  <c r="R191" i="19"/>
  <c r="R192" i="19"/>
  <c r="R193" i="19"/>
  <c r="R194" i="19"/>
  <c r="R195" i="19"/>
  <c r="R196" i="19"/>
  <c r="R197" i="19"/>
  <c r="R198" i="19"/>
  <c r="R199" i="19"/>
  <c r="R200" i="19"/>
  <c r="R201" i="19"/>
  <c r="R202" i="19"/>
  <c r="R203" i="19"/>
  <c r="R204" i="19"/>
  <c r="R205" i="19"/>
  <c r="R206" i="19"/>
  <c r="R207" i="19"/>
  <c r="R208" i="19"/>
  <c r="R209" i="19"/>
  <c r="R210" i="19"/>
  <c r="R211" i="19"/>
  <c r="R212" i="19"/>
  <c r="R213" i="19"/>
  <c r="R214" i="19"/>
  <c r="R215" i="19"/>
  <c r="R216" i="19"/>
  <c r="R217" i="19"/>
  <c r="R218" i="19"/>
  <c r="R219" i="19"/>
  <c r="R220" i="19"/>
  <c r="R221" i="19"/>
  <c r="R222" i="19"/>
  <c r="R223" i="19"/>
  <c r="R224" i="19"/>
  <c r="R225" i="19"/>
  <c r="R226" i="19"/>
  <c r="R227" i="19"/>
  <c r="R228" i="19"/>
  <c r="R229" i="19"/>
  <c r="R230" i="19"/>
  <c r="R231" i="19"/>
  <c r="R232" i="19"/>
  <c r="R233" i="19"/>
  <c r="R234" i="19"/>
  <c r="R235" i="19"/>
  <c r="R236" i="19"/>
  <c r="R237" i="19"/>
  <c r="R238" i="19"/>
  <c r="R239" i="19"/>
  <c r="R240" i="19"/>
  <c r="R241" i="19"/>
  <c r="R242" i="19"/>
  <c r="R243" i="19"/>
  <c r="R244" i="19"/>
  <c r="R245" i="19"/>
  <c r="R246" i="19"/>
  <c r="R247" i="19"/>
  <c r="R248" i="19"/>
  <c r="R249" i="19"/>
  <c r="R250" i="19"/>
  <c r="R251" i="19"/>
  <c r="R252" i="19"/>
  <c r="R253" i="19"/>
  <c r="R254" i="19"/>
  <c r="R255" i="19"/>
  <c r="R256" i="19"/>
  <c r="R257" i="19"/>
  <c r="R258" i="19"/>
  <c r="R259" i="19"/>
  <c r="R260" i="19"/>
  <c r="R261" i="19"/>
  <c r="R262" i="19"/>
  <c r="R263" i="19"/>
  <c r="R264" i="19"/>
  <c r="R265" i="19"/>
  <c r="R266" i="19"/>
  <c r="R267" i="19"/>
  <c r="R268" i="19"/>
  <c r="R269" i="19"/>
  <c r="R270" i="19"/>
  <c r="R271" i="19"/>
  <c r="R272" i="19"/>
  <c r="R273" i="19"/>
  <c r="R274" i="19"/>
  <c r="R275" i="19"/>
  <c r="R276" i="19"/>
  <c r="R277" i="19"/>
  <c r="R278" i="19"/>
  <c r="R279" i="19"/>
  <c r="R280" i="19"/>
  <c r="R281" i="19"/>
  <c r="R282" i="19"/>
  <c r="R283" i="19"/>
  <c r="R284" i="19"/>
  <c r="R285" i="19"/>
  <c r="R286" i="19"/>
  <c r="R287" i="19"/>
  <c r="R288" i="19"/>
  <c r="R289" i="19"/>
  <c r="R290" i="19"/>
  <c r="R291" i="19"/>
  <c r="R292" i="19"/>
  <c r="R293" i="19"/>
  <c r="R294" i="19"/>
  <c r="R295" i="19"/>
  <c r="R296" i="19"/>
  <c r="R297" i="19"/>
  <c r="R298" i="19"/>
  <c r="R299" i="19"/>
  <c r="R300" i="19"/>
  <c r="R301" i="19"/>
  <c r="R302" i="19"/>
  <c r="R303" i="19"/>
  <c r="R304" i="19"/>
  <c r="R305" i="19"/>
  <c r="R306" i="19"/>
  <c r="R307" i="19"/>
  <c r="R308" i="19"/>
  <c r="R309" i="19"/>
  <c r="R310" i="19"/>
  <c r="R311" i="19"/>
  <c r="R312" i="19"/>
  <c r="R313" i="19"/>
  <c r="R314" i="19"/>
  <c r="R315" i="19"/>
  <c r="R316" i="19"/>
  <c r="R317" i="19"/>
  <c r="R318" i="19"/>
  <c r="R319" i="19"/>
  <c r="R320" i="19"/>
  <c r="R321" i="19"/>
  <c r="R322" i="19"/>
  <c r="R323" i="19"/>
  <c r="R324" i="19"/>
  <c r="R325" i="19"/>
  <c r="R326" i="19"/>
  <c r="R327" i="19"/>
  <c r="R328" i="19"/>
  <c r="R329" i="19"/>
  <c r="R330" i="19"/>
  <c r="R331" i="19"/>
  <c r="R332" i="19"/>
  <c r="R333" i="19"/>
  <c r="R334" i="19"/>
  <c r="R335" i="19"/>
  <c r="R336" i="19"/>
  <c r="R337" i="19"/>
  <c r="R338" i="19"/>
  <c r="R339" i="19"/>
  <c r="R340" i="19"/>
  <c r="R341" i="19"/>
  <c r="R342" i="19"/>
  <c r="R343" i="19"/>
  <c r="R344" i="19"/>
  <c r="R345" i="19"/>
  <c r="R346" i="19"/>
  <c r="R347" i="19"/>
  <c r="R348" i="19"/>
  <c r="R349" i="19"/>
  <c r="R350" i="19"/>
  <c r="R351" i="19"/>
  <c r="R352" i="19"/>
  <c r="R353" i="19"/>
  <c r="R354" i="19"/>
  <c r="R355" i="19"/>
  <c r="R356" i="19"/>
  <c r="R357" i="19"/>
  <c r="R358" i="19"/>
  <c r="R359" i="19"/>
  <c r="R360" i="19"/>
  <c r="R361" i="19"/>
  <c r="R362" i="19"/>
  <c r="R363" i="19"/>
  <c r="R364" i="19"/>
  <c r="R365" i="19"/>
  <c r="R366" i="19"/>
  <c r="R367" i="19"/>
  <c r="R368" i="19"/>
  <c r="R369" i="19"/>
  <c r="R370" i="19"/>
  <c r="R371" i="19"/>
  <c r="R372" i="19"/>
  <c r="R373" i="19"/>
  <c r="R374" i="19"/>
  <c r="R375" i="19"/>
  <c r="R376" i="19"/>
  <c r="R377" i="19"/>
  <c r="R378" i="19"/>
  <c r="R379" i="19"/>
  <c r="R380" i="19"/>
  <c r="R381" i="19"/>
  <c r="R382" i="19"/>
  <c r="R383" i="19"/>
  <c r="R384" i="19"/>
  <c r="R385" i="19"/>
  <c r="R386" i="19"/>
  <c r="R387" i="19"/>
  <c r="R388" i="19"/>
  <c r="R389" i="19"/>
  <c r="R390" i="19"/>
  <c r="R391" i="19"/>
  <c r="R392" i="19"/>
  <c r="R393" i="19"/>
  <c r="R394" i="19"/>
  <c r="R395" i="19"/>
  <c r="R396" i="19"/>
  <c r="R397" i="19"/>
  <c r="R398" i="19"/>
  <c r="R399" i="19"/>
  <c r="R400" i="19"/>
  <c r="R401" i="19"/>
  <c r="R402" i="19"/>
  <c r="R403" i="19"/>
  <c r="R404" i="19"/>
  <c r="R405" i="19"/>
  <c r="R406" i="19"/>
  <c r="R407" i="19"/>
  <c r="R408" i="19"/>
  <c r="R409" i="19"/>
  <c r="R410" i="19"/>
  <c r="R411" i="19"/>
  <c r="R412" i="19"/>
  <c r="R413" i="19"/>
  <c r="R414" i="19"/>
  <c r="R415" i="19"/>
  <c r="R416" i="19"/>
  <c r="R417" i="19"/>
  <c r="R418" i="19"/>
  <c r="R419" i="19"/>
  <c r="R420" i="19"/>
  <c r="R421" i="19"/>
  <c r="R422" i="19"/>
  <c r="R423" i="19"/>
  <c r="R424" i="19"/>
  <c r="R425" i="19"/>
  <c r="R426" i="19"/>
  <c r="R427" i="19"/>
  <c r="R428" i="19"/>
  <c r="R429" i="19"/>
  <c r="R430" i="19"/>
  <c r="R431" i="19"/>
  <c r="R432" i="19"/>
  <c r="R433" i="19"/>
  <c r="R434" i="19"/>
  <c r="R435" i="19"/>
  <c r="R436" i="19"/>
  <c r="R437" i="19"/>
  <c r="R438" i="19"/>
  <c r="R439" i="19"/>
  <c r="R440" i="19"/>
  <c r="R441" i="19"/>
  <c r="R442" i="19"/>
  <c r="R443" i="19"/>
  <c r="R444" i="19"/>
  <c r="R445" i="19"/>
  <c r="R446" i="19"/>
  <c r="R447" i="19"/>
  <c r="R448" i="19"/>
  <c r="R449" i="19"/>
  <c r="R450" i="19"/>
  <c r="R451" i="19"/>
  <c r="R452" i="19"/>
  <c r="R453" i="19"/>
  <c r="R454" i="19"/>
  <c r="R455" i="19"/>
  <c r="R456" i="19"/>
  <c r="R457" i="19"/>
  <c r="R458" i="19"/>
  <c r="R459" i="19"/>
  <c r="R460" i="19"/>
  <c r="R461" i="19"/>
  <c r="R462" i="19"/>
  <c r="R463" i="19"/>
  <c r="R464" i="19"/>
  <c r="R465" i="19"/>
  <c r="R466" i="19"/>
  <c r="R467" i="19"/>
  <c r="R468" i="19"/>
  <c r="R469" i="19"/>
  <c r="R470" i="19"/>
  <c r="R471" i="19"/>
  <c r="R472" i="19"/>
  <c r="R473" i="19"/>
  <c r="R474" i="19"/>
  <c r="R475" i="19"/>
  <c r="R476" i="19"/>
  <c r="R477" i="19"/>
  <c r="R478" i="19"/>
  <c r="R479" i="19"/>
  <c r="R480" i="19"/>
  <c r="R481" i="19"/>
  <c r="R482" i="19"/>
  <c r="R483" i="19"/>
  <c r="R484" i="19"/>
  <c r="R485" i="19"/>
  <c r="R486" i="19"/>
  <c r="R487" i="19"/>
  <c r="R488" i="19"/>
  <c r="R489" i="19"/>
  <c r="R490" i="19"/>
  <c r="R491" i="19"/>
  <c r="R492" i="19"/>
  <c r="R493" i="19"/>
  <c r="R494" i="19"/>
  <c r="R495" i="19"/>
  <c r="R496" i="19"/>
  <c r="R497" i="19"/>
  <c r="R498" i="19"/>
  <c r="R499" i="19"/>
  <c r="R500" i="19"/>
  <c r="R501" i="19"/>
  <c r="R502" i="19"/>
  <c r="R503" i="19"/>
  <c r="R504" i="19"/>
  <c r="R505" i="19"/>
  <c r="R506" i="19"/>
  <c r="R507" i="19"/>
  <c r="R508" i="19"/>
  <c r="R509" i="19"/>
  <c r="R510" i="19"/>
  <c r="R511" i="19"/>
  <c r="R512" i="19"/>
  <c r="R513" i="19"/>
  <c r="R514" i="19"/>
  <c r="R515" i="19"/>
  <c r="R516" i="19"/>
  <c r="R517" i="19"/>
  <c r="R518" i="19"/>
  <c r="R519" i="19"/>
  <c r="R520" i="19"/>
  <c r="R521" i="19"/>
  <c r="R522" i="19"/>
  <c r="R523" i="19"/>
  <c r="R524" i="19"/>
  <c r="R525" i="19"/>
  <c r="R526" i="19"/>
  <c r="R527" i="19"/>
  <c r="R528" i="19"/>
  <c r="R529" i="19"/>
  <c r="R530" i="19"/>
  <c r="R531" i="19"/>
  <c r="R532" i="19"/>
  <c r="R533" i="19"/>
  <c r="R534" i="19"/>
  <c r="R535" i="19"/>
  <c r="R536" i="19"/>
  <c r="R537" i="19"/>
  <c r="R538" i="19"/>
  <c r="R539" i="19"/>
  <c r="R540" i="19"/>
  <c r="R541" i="19"/>
  <c r="R542" i="19"/>
  <c r="R543" i="19"/>
  <c r="R544" i="19"/>
  <c r="R545" i="19"/>
  <c r="R546" i="19"/>
  <c r="R547" i="19"/>
  <c r="R548" i="19"/>
  <c r="R549" i="19"/>
  <c r="R550" i="19"/>
  <c r="R551" i="19"/>
  <c r="R552" i="19"/>
  <c r="R553" i="19"/>
  <c r="R554" i="19"/>
  <c r="R555" i="19"/>
  <c r="R556" i="19"/>
  <c r="R557" i="19"/>
  <c r="R558" i="19"/>
  <c r="R559" i="19"/>
  <c r="R560" i="19"/>
  <c r="R561" i="19"/>
  <c r="R562" i="19"/>
  <c r="R563" i="19"/>
  <c r="R564" i="19"/>
  <c r="R565" i="19"/>
  <c r="R566" i="19"/>
  <c r="R567" i="19"/>
  <c r="R568" i="19"/>
  <c r="R569" i="19"/>
  <c r="R570" i="19"/>
  <c r="R571" i="19"/>
  <c r="R572" i="19"/>
  <c r="R573" i="19"/>
  <c r="R574" i="19"/>
  <c r="R575" i="19"/>
  <c r="R576" i="19"/>
  <c r="R577" i="19"/>
  <c r="R578" i="19"/>
  <c r="R579" i="19"/>
  <c r="R580" i="19"/>
  <c r="R581" i="19"/>
  <c r="R582" i="19"/>
  <c r="R583" i="19"/>
  <c r="R584" i="19"/>
  <c r="R585" i="19"/>
  <c r="R586" i="19"/>
  <c r="R587" i="19"/>
  <c r="R588" i="19"/>
  <c r="R589" i="19"/>
  <c r="R590" i="19"/>
  <c r="R591" i="19"/>
  <c r="R592" i="19"/>
  <c r="R593" i="19"/>
  <c r="R594" i="19"/>
  <c r="R595" i="19"/>
  <c r="R596" i="19"/>
  <c r="R597" i="19"/>
  <c r="R598" i="19"/>
  <c r="R599" i="19"/>
  <c r="R600" i="19"/>
  <c r="R601" i="19"/>
  <c r="R602" i="19"/>
  <c r="R603" i="19"/>
  <c r="R604" i="19"/>
  <c r="R605" i="19"/>
  <c r="R606" i="19"/>
  <c r="R607" i="19"/>
  <c r="R608" i="19"/>
  <c r="R609" i="19"/>
  <c r="R610" i="19"/>
  <c r="R611" i="19"/>
  <c r="R612" i="19"/>
  <c r="R613" i="19"/>
  <c r="R614" i="19"/>
  <c r="R615" i="19"/>
  <c r="R616" i="19"/>
  <c r="R617" i="19"/>
  <c r="R618" i="19"/>
  <c r="R619" i="19"/>
  <c r="R620" i="19"/>
  <c r="R621" i="19"/>
  <c r="R622" i="19"/>
  <c r="R623" i="19"/>
  <c r="R624" i="19"/>
  <c r="R625" i="19"/>
  <c r="R626" i="19"/>
  <c r="R627" i="19"/>
  <c r="R628" i="19"/>
  <c r="R629" i="19"/>
  <c r="R630" i="19"/>
  <c r="R631" i="19"/>
  <c r="R632" i="19"/>
  <c r="R633" i="19"/>
  <c r="R634" i="19"/>
  <c r="R635" i="19"/>
  <c r="R636" i="19"/>
  <c r="R637" i="19"/>
  <c r="R638" i="19"/>
  <c r="R639" i="19"/>
  <c r="R640" i="19"/>
  <c r="R641" i="19"/>
  <c r="R642" i="19"/>
  <c r="R643" i="19"/>
  <c r="R644" i="19"/>
  <c r="R645" i="19"/>
  <c r="R646" i="19"/>
  <c r="R647" i="19"/>
  <c r="R648" i="19"/>
  <c r="R649" i="19"/>
  <c r="R650" i="19"/>
  <c r="R651" i="19"/>
  <c r="R652" i="19"/>
  <c r="R653" i="19"/>
  <c r="R654" i="19"/>
  <c r="R655" i="19"/>
  <c r="R656" i="19"/>
  <c r="R657" i="19"/>
  <c r="R658" i="19"/>
  <c r="R659" i="19"/>
  <c r="R660" i="19"/>
  <c r="R661" i="19"/>
  <c r="R662" i="19"/>
  <c r="R663" i="19"/>
  <c r="R664" i="19"/>
  <c r="R665" i="19"/>
  <c r="R666" i="19"/>
  <c r="R667" i="19"/>
  <c r="R668" i="19"/>
  <c r="R669" i="19"/>
  <c r="R670" i="19"/>
  <c r="R671" i="19"/>
  <c r="R672" i="19"/>
  <c r="R673" i="19"/>
  <c r="R674" i="19"/>
  <c r="R675" i="19"/>
  <c r="R676" i="19"/>
  <c r="R677" i="19"/>
  <c r="R678" i="19"/>
  <c r="R679" i="19"/>
  <c r="R680" i="19"/>
  <c r="R681" i="19"/>
  <c r="R682" i="19"/>
  <c r="R683" i="19"/>
  <c r="R684" i="19"/>
  <c r="R685" i="19"/>
  <c r="R686" i="19"/>
  <c r="R687" i="19"/>
  <c r="R688" i="19"/>
  <c r="R689" i="19"/>
  <c r="R690" i="19"/>
  <c r="R691" i="19"/>
  <c r="R692" i="19"/>
  <c r="R693" i="19"/>
  <c r="R694" i="19"/>
  <c r="R695" i="19"/>
  <c r="R696" i="19"/>
  <c r="R697" i="19"/>
  <c r="R698" i="19"/>
  <c r="R699" i="19"/>
  <c r="R700" i="19"/>
  <c r="R701" i="19"/>
  <c r="R702" i="19"/>
  <c r="R703" i="19"/>
  <c r="R704" i="19"/>
  <c r="R705" i="19"/>
  <c r="R706" i="19"/>
  <c r="R707" i="19"/>
  <c r="R708" i="19"/>
  <c r="R709" i="19"/>
  <c r="R710" i="19"/>
  <c r="R711" i="19"/>
  <c r="R712" i="19"/>
  <c r="R713" i="19"/>
  <c r="R714" i="19"/>
  <c r="R715" i="19"/>
  <c r="R716" i="19"/>
  <c r="R717" i="19"/>
  <c r="R718" i="19"/>
  <c r="R719" i="19"/>
  <c r="R720" i="19"/>
  <c r="R721" i="19"/>
  <c r="R722" i="19"/>
  <c r="R723" i="19"/>
  <c r="R724" i="19"/>
  <c r="R725" i="19"/>
  <c r="R726" i="19"/>
  <c r="R727" i="19"/>
  <c r="R728" i="19"/>
  <c r="R729" i="19"/>
  <c r="R730" i="19"/>
  <c r="R731" i="19"/>
  <c r="R732" i="19"/>
  <c r="R733" i="19"/>
  <c r="R734" i="19"/>
  <c r="R735" i="19"/>
  <c r="R736" i="19"/>
  <c r="R737" i="19"/>
  <c r="R738" i="19"/>
  <c r="R739" i="19"/>
  <c r="R740" i="19"/>
  <c r="R741" i="19"/>
  <c r="R742" i="19"/>
  <c r="R743" i="19"/>
  <c r="R744" i="19"/>
  <c r="R745" i="19"/>
  <c r="R746" i="19"/>
  <c r="R747" i="19"/>
  <c r="R748" i="19"/>
  <c r="R749" i="19"/>
  <c r="R750" i="19"/>
  <c r="R751" i="19"/>
  <c r="R752" i="19"/>
  <c r="R753" i="19"/>
  <c r="R754" i="19"/>
  <c r="R755" i="19"/>
  <c r="R756" i="19"/>
  <c r="R757" i="19"/>
  <c r="R758" i="19"/>
  <c r="R759" i="19"/>
  <c r="R760" i="19"/>
  <c r="R761" i="19"/>
  <c r="R762" i="19"/>
  <c r="R763" i="19"/>
  <c r="R764" i="19"/>
  <c r="R765" i="19"/>
  <c r="R766" i="19"/>
  <c r="R767" i="19"/>
  <c r="R768" i="19"/>
  <c r="R769" i="19"/>
  <c r="R770" i="19"/>
  <c r="R771" i="19"/>
  <c r="R772" i="19"/>
  <c r="R773" i="19"/>
  <c r="R774" i="19"/>
  <c r="R775" i="19"/>
  <c r="R776" i="19"/>
  <c r="R777" i="19"/>
  <c r="R778" i="19"/>
  <c r="R779" i="19"/>
  <c r="R780" i="19"/>
  <c r="R781" i="19"/>
  <c r="R782" i="19"/>
  <c r="R783" i="19"/>
  <c r="R784" i="19"/>
  <c r="R785" i="19"/>
  <c r="R786" i="19"/>
  <c r="R787" i="19"/>
  <c r="R788" i="19"/>
  <c r="R789" i="19"/>
  <c r="R790" i="19"/>
  <c r="R791" i="19"/>
  <c r="R792" i="19"/>
  <c r="R793" i="19"/>
  <c r="R794" i="19"/>
  <c r="R795" i="19"/>
  <c r="R796" i="19"/>
  <c r="R797" i="19"/>
  <c r="R798" i="19"/>
  <c r="R799" i="19"/>
  <c r="R800" i="19"/>
  <c r="R801" i="19"/>
  <c r="R802" i="19"/>
  <c r="R803" i="19"/>
  <c r="R804" i="19"/>
  <c r="R805" i="19"/>
  <c r="R806" i="19"/>
  <c r="R807" i="19"/>
  <c r="R808" i="19"/>
  <c r="R809" i="19"/>
  <c r="R810" i="19"/>
  <c r="R811" i="19"/>
  <c r="R812" i="19"/>
  <c r="R813" i="19"/>
  <c r="R814" i="19"/>
  <c r="R815" i="19"/>
  <c r="R816" i="19"/>
  <c r="R817" i="19"/>
  <c r="R818" i="19"/>
  <c r="R819" i="19"/>
  <c r="R820" i="19"/>
  <c r="R821" i="19"/>
  <c r="R822" i="19"/>
  <c r="R823" i="19"/>
  <c r="R824" i="19"/>
  <c r="R825" i="19"/>
  <c r="R826" i="19"/>
  <c r="R827" i="19"/>
  <c r="R828" i="19"/>
  <c r="R829" i="19"/>
  <c r="R830" i="19"/>
  <c r="R831" i="19"/>
  <c r="R832" i="19"/>
  <c r="R833" i="19"/>
  <c r="R834" i="19"/>
  <c r="R835" i="19"/>
  <c r="R836" i="19"/>
  <c r="R837" i="19"/>
  <c r="R838" i="19"/>
  <c r="R839" i="19"/>
  <c r="R840" i="19"/>
  <c r="R841" i="19"/>
  <c r="R842" i="19"/>
  <c r="R843" i="19"/>
  <c r="R844" i="19"/>
  <c r="R845" i="19"/>
  <c r="R846" i="19"/>
  <c r="R847" i="19"/>
  <c r="R848" i="19"/>
  <c r="R849" i="19"/>
  <c r="R850" i="19"/>
  <c r="R851" i="19"/>
  <c r="R852" i="19"/>
  <c r="R853" i="19"/>
  <c r="R854" i="19"/>
  <c r="R855" i="19"/>
  <c r="R856" i="19"/>
  <c r="R857" i="19"/>
  <c r="R858" i="19"/>
  <c r="R859" i="19"/>
  <c r="R860" i="19"/>
  <c r="R861" i="19"/>
  <c r="R862" i="19"/>
  <c r="R863" i="19"/>
  <c r="R864" i="19"/>
  <c r="R865" i="19"/>
  <c r="R866" i="19"/>
  <c r="R867" i="19"/>
  <c r="R868" i="19"/>
  <c r="R869" i="19"/>
  <c r="R870" i="19"/>
  <c r="R871" i="19"/>
  <c r="R872" i="19"/>
  <c r="R873" i="19"/>
  <c r="R874" i="19"/>
  <c r="R875" i="19"/>
  <c r="R876" i="19"/>
  <c r="R877" i="19"/>
  <c r="R878" i="19"/>
  <c r="R879" i="19"/>
  <c r="R880" i="19"/>
  <c r="R881" i="19"/>
  <c r="R882" i="19"/>
  <c r="R883" i="19"/>
  <c r="R884" i="19"/>
  <c r="R885" i="19"/>
  <c r="R886" i="19"/>
  <c r="R887" i="19"/>
  <c r="R888" i="19"/>
  <c r="R889" i="19"/>
  <c r="R890" i="19"/>
  <c r="R891" i="19"/>
  <c r="R892" i="19"/>
  <c r="R893" i="19"/>
  <c r="R894" i="19"/>
  <c r="R895" i="19"/>
  <c r="R896" i="19"/>
  <c r="R897" i="19"/>
  <c r="R898" i="19"/>
  <c r="R899" i="19"/>
  <c r="R900" i="19"/>
  <c r="R901" i="19"/>
  <c r="R902" i="19"/>
  <c r="R903" i="19"/>
  <c r="R904" i="19"/>
  <c r="R905" i="19"/>
  <c r="R906" i="19"/>
  <c r="R907" i="19"/>
  <c r="R908" i="19"/>
  <c r="R909" i="19"/>
  <c r="R910" i="19"/>
  <c r="R911" i="19"/>
  <c r="R912" i="19"/>
  <c r="R913" i="19"/>
  <c r="R914" i="19"/>
  <c r="R915" i="19"/>
  <c r="R916" i="19"/>
  <c r="R917" i="19"/>
  <c r="R918" i="19"/>
  <c r="R919" i="19"/>
  <c r="R920" i="19"/>
  <c r="R921" i="19"/>
  <c r="R922" i="19"/>
  <c r="R923" i="19"/>
  <c r="R924" i="19"/>
  <c r="R925" i="19"/>
  <c r="R926" i="19"/>
  <c r="R927" i="19"/>
  <c r="R928" i="19"/>
  <c r="R929" i="19"/>
  <c r="R930" i="19"/>
  <c r="R931" i="19"/>
  <c r="R932" i="19"/>
  <c r="R933" i="19"/>
  <c r="R934" i="19"/>
  <c r="R935" i="19"/>
  <c r="R936" i="19"/>
  <c r="R937" i="19"/>
  <c r="R938" i="19"/>
  <c r="R939" i="19"/>
  <c r="R940" i="19"/>
  <c r="R941" i="19"/>
  <c r="R942" i="19"/>
  <c r="R943" i="19"/>
  <c r="R944" i="19"/>
  <c r="R945" i="19"/>
  <c r="R946" i="19"/>
  <c r="R947" i="19"/>
  <c r="R948" i="19"/>
  <c r="R949" i="19"/>
  <c r="R950" i="19"/>
  <c r="R951" i="19"/>
  <c r="R952" i="19"/>
  <c r="R953" i="19"/>
  <c r="R954" i="19"/>
  <c r="R955" i="19"/>
  <c r="R956" i="19"/>
  <c r="R957" i="19"/>
  <c r="R958" i="19"/>
  <c r="R959" i="19"/>
  <c r="R960" i="19"/>
  <c r="R961" i="19"/>
  <c r="R962" i="19"/>
  <c r="R963" i="19"/>
  <c r="R964" i="19"/>
  <c r="R965" i="19"/>
  <c r="R966" i="19"/>
  <c r="R967" i="19"/>
  <c r="R968" i="19"/>
  <c r="R969" i="19"/>
  <c r="R970" i="19"/>
  <c r="R971" i="19"/>
  <c r="R972" i="19"/>
  <c r="R973" i="19"/>
  <c r="R974" i="19"/>
  <c r="R975" i="19"/>
  <c r="R976" i="19"/>
  <c r="R977" i="19"/>
  <c r="R978" i="19"/>
  <c r="R979" i="19"/>
  <c r="R980" i="19"/>
  <c r="R981" i="19"/>
  <c r="R982" i="19"/>
  <c r="R983" i="19"/>
  <c r="R984" i="19"/>
  <c r="R985" i="19"/>
  <c r="R986" i="19"/>
  <c r="R987" i="19"/>
  <c r="R988" i="19"/>
  <c r="R989" i="19"/>
  <c r="R990" i="19"/>
  <c r="R991" i="19"/>
  <c r="R992" i="19"/>
  <c r="R993" i="19"/>
  <c r="R994" i="19"/>
  <c r="R995" i="19"/>
  <c r="R996" i="19"/>
  <c r="R997" i="19"/>
  <c r="R998" i="19"/>
  <c r="R999" i="19"/>
  <c r="R1000" i="19"/>
  <c r="R1001" i="19"/>
  <c r="R1002" i="19"/>
  <c r="R1003" i="19"/>
  <c r="R1004" i="19"/>
  <c r="R1005" i="19"/>
  <c r="R1006" i="19"/>
  <c r="R1007" i="19"/>
  <c r="R1008" i="19"/>
  <c r="R1009" i="19"/>
  <c r="R1010" i="19"/>
  <c r="R1011" i="19"/>
  <c r="R1012" i="19"/>
  <c r="R1013" i="19"/>
  <c r="R1014" i="19"/>
  <c r="R1015" i="19"/>
  <c r="R1016" i="19"/>
  <c r="R1017" i="19"/>
  <c r="R1018" i="19"/>
  <c r="R1019" i="19"/>
  <c r="R1020" i="19"/>
  <c r="R1021" i="19"/>
  <c r="R1022" i="19"/>
  <c r="R1023" i="19"/>
  <c r="R1024" i="19"/>
  <c r="R1025" i="19"/>
  <c r="R1026" i="19"/>
  <c r="R1027" i="19"/>
  <c r="R1028" i="19"/>
  <c r="R1029" i="19"/>
  <c r="R1030" i="19"/>
  <c r="R1031" i="19"/>
  <c r="R1032" i="19"/>
  <c r="R1033" i="19"/>
  <c r="R1034" i="19"/>
  <c r="R1035" i="19"/>
  <c r="R1036" i="19"/>
  <c r="R1037" i="19"/>
  <c r="R1038" i="19"/>
  <c r="R1039" i="19"/>
  <c r="R1040" i="19"/>
  <c r="R1041" i="19"/>
  <c r="R1042" i="19"/>
  <c r="R1043" i="19"/>
  <c r="R1044" i="19"/>
  <c r="R1045" i="19"/>
  <c r="R1046" i="19"/>
  <c r="R1047" i="19"/>
  <c r="R1048" i="19"/>
  <c r="R1049" i="19"/>
  <c r="R1050" i="19"/>
  <c r="R1051" i="19"/>
  <c r="R1052" i="19"/>
  <c r="R1053" i="19"/>
  <c r="R1054" i="19"/>
  <c r="R1055" i="19"/>
  <c r="R1056" i="19"/>
  <c r="R1057" i="19"/>
  <c r="R1058" i="19"/>
  <c r="R1059" i="19"/>
  <c r="R1060" i="19"/>
  <c r="R1061" i="19"/>
  <c r="R1062" i="19"/>
  <c r="R1063" i="19"/>
  <c r="R1064" i="19"/>
  <c r="R1065" i="19"/>
  <c r="R1066" i="19"/>
  <c r="R1067" i="19"/>
  <c r="R1068" i="19"/>
  <c r="R1069" i="19"/>
  <c r="R1070" i="19"/>
  <c r="R1071" i="19"/>
  <c r="R1072" i="19"/>
  <c r="R1073" i="19"/>
  <c r="R1074" i="19"/>
  <c r="R1075" i="19"/>
  <c r="R1076" i="19"/>
  <c r="R1077" i="19"/>
  <c r="R1078" i="19"/>
  <c r="R1079" i="19"/>
  <c r="R1080" i="19"/>
  <c r="R1081" i="19"/>
  <c r="R1082" i="19"/>
  <c r="R1083" i="19"/>
  <c r="R1084" i="19"/>
  <c r="R1085" i="19"/>
  <c r="R1086" i="19"/>
  <c r="R1087" i="19"/>
  <c r="R1088" i="19"/>
  <c r="R1089" i="19"/>
  <c r="R1090" i="19"/>
  <c r="R1091" i="19"/>
  <c r="R1092" i="19"/>
  <c r="R1093" i="19"/>
  <c r="R1094" i="19"/>
  <c r="R1095" i="19"/>
  <c r="R1096" i="19"/>
  <c r="R1097" i="19"/>
  <c r="R1098" i="19"/>
  <c r="R1099" i="19"/>
  <c r="R1100" i="19"/>
  <c r="R1101" i="19"/>
  <c r="R1102" i="19"/>
  <c r="R1103" i="19"/>
  <c r="R1104" i="19"/>
  <c r="R1105" i="19"/>
  <c r="R1106" i="19"/>
  <c r="R1107" i="19"/>
  <c r="R1108" i="19"/>
  <c r="R1109" i="19"/>
  <c r="R1110" i="19"/>
  <c r="Q11" i="19"/>
  <c r="Q12" i="19"/>
  <c r="Q13" i="19"/>
  <c r="Q14" i="19"/>
  <c r="Q15" i="19"/>
  <c r="Q16" i="19"/>
  <c r="Q17" i="19"/>
  <c r="Q18" i="19"/>
  <c r="Q19" i="19"/>
  <c r="Q20" i="19"/>
  <c r="Q21" i="19"/>
  <c r="Q22" i="19"/>
  <c r="Q23" i="19"/>
  <c r="Q24" i="19"/>
  <c r="Q25" i="19"/>
  <c r="Q26" i="19"/>
  <c r="Q27" i="19"/>
  <c r="Q28" i="19"/>
  <c r="Q29" i="19"/>
  <c r="Q30" i="19"/>
  <c r="Q31" i="19"/>
  <c r="Q32" i="19"/>
  <c r="Q33" i="19"/>
  <c r="Q34" i="19"/>
  <c r="Q35" i="19"/>
  <c r="Q36" i="19"/>
  <c r="Q37" i="19"/>
  <c r="Q38" i="19"/>
  <c r="Q39" i="19"/>
  <c r="Q40" i="19"/>
  <c r="Q41" i="19"/>
  <c r="Q42" i="19"/>
  <c r="Q43" i="19"/>
  <c r="Q44" i="19"/>
  <c r="Q45" i="19"/>
  <c r="Q46" i="19"/>
  <c r="Q47" i="19"/>
  <c r="Q48" i="19"/>
  <c r="Q49" i="19"/>
  <c r="Q50" i="19"/>
  <c r="Q51" i="19"/>
  <c r="Q52" i="19"/>
  <c r="Q53" i="19"/>
  <c r="Q54" i="19"/>
  <c r="Q55" i="19"/>
  <c r="Q56" i="19"/>
  <c r="Q57" i="19"/>
  <c r="Q58" i="19"/>
  <c r="Q59" i="19"/>
  <c r="Q60" i="19"/>
  <c r="Q61" i="19"/>
  <c r="Q62" i="19"/>
  <c r="Q63" i="19"/>
  <c r="Q64" i="19"/>
  <c r="Q65" i="19"/>
  <c r="Q66" i="19"/>
  <c r="Q67" i="19"/>
  <c r="Q68" i="19"/>
  <c r="Q69" i="19"/>
  <c r="Q70" i="19"/>
  <c r="Q71" i="19"/>
  <c r="Q72" i="19"/>
  <c r="Q73" i="19"/>
  <c r="Q74" i="19"/>
  <c r="Q75" i="19"/>
  <c r="Q76" i="19"/>
  <c r="Q77" i="19"/>
  <c r="Q78" i="19"/>
  <c r="Q79" i="19"/>
  <c r="Q80" i="19"/>
  <c r="Q81" i="19"/>
  <c r="Q82" i="19"/>
  <c r="Q83" i="19"/>
  <c r="Q84" i="19"/>
  <c r="Q85" i="19"/>
  <c r="Q86" i="19"/>
  <c r="Q87" i="19"/>
  <c r="Q88" i="19"/>
  <c r="Q89" i="19"/>
  <c r="Q90" i="19"/>
  <c r="Q91" i="19"/>
  <c r="Q92" i="19"/>
  <c r="Q93" i="19"/>
  <c r="Q94" i="19"/>
  <c r="Q95" i="19"/>
  <c r="Q96" i="19"/>
  <c r="Q97" i="19"/>
  <c r="Q98" i="19"/>
  <c r="Q99" i="19"/>
  <c r="Q100" i="19"/>
  <c r="Q101" i="19"/>
  <c r="Q102" i="19"/>
  <c r="Q103" i="19"/>
  <c r="Q104" i="19"/>
  <c r="Q105" i="19"/>
  <c r="Q106" i="19"/>
  <c r="Q107" i="19"/>
  <c r="Q108" i="19"/>
  <c r="Q109" i="19"/>
  <c r="Q110" i="19"/>
  <c r="Q111" i="19"/>
  <c r="Q112" i="19"/>
  <c r="Q113" i="19"/>
  <c r="Q114" i="19"/>
  <c r="Q115" i="19"/>
  <c r="Q116" i="19"/>
  <c r="Q117" i="19"/>
  <c r="Q118" i="19"/>
  <c r="Q119" i="19"/>
  <c r="Q120" i="19"/>
  <c r="Q121" i="19"/>
  <c r="Q122" i="19"/>
  <c r="Q123" i="19"/>
  <c r="Q124" i="19"/>
  <c r="Q125" i="19"/>
  <c r="Q126" i="19"/>
  <c r="Q127" i="19"/>
  <c r="Q128" i="19"/>
  <c r="Q129" i="19"/>
  <c r="Q130" i="19"/>
  <c r="Q131" i="19"/>
  <c r="Q132" i="19"/>
  <c r="Q133" i="19"/>
  <c r="Q134" i="19"/>
  <c r="Q135" i="19"/>
  <c r="Q136" i="19"/>
  <c r="Q137" i="19"/>
  <c r="Q138" i="19"/>
  <c r="Q139" i="19"/>
  <c r="Q140" i="19"/>
  <c r="Q141" i="19"/>
  <c r="Q142" i="19"/>
  <c r="Q143" i="19"/>
  <c r="Q144" i="19"/>
  <c r="Q145" i="19"/>
  <c r="Q146" i="19"/>
  <c r="Q147" i="19"/>
  <c r="Q148" i="19"/>
  <c r="Q149" i="19"/>
  <c r="Q150" i="19"/>
  <c r="Q151" i="19"/>
  <c r="Q152" i="19"/>
  <c r="Q153" i="19"/>
  <c r="Q154" i="19"/>
  <c r="Q155" i="19"/>
  <c r="Q156" i="19"/>
  <c r="Q157" i="19"/>
  <c r="Q158" i="19"/>
  <c r="Q159" i="19"/>
  <c r="Q160" i="19"/>
  <c r="Q161" i="19"/>
  <c r="Q162" i="19"/>
  <c r="Q163" i="19"/>
  <c r="Q164" i="19"/>
  <c r="Q165" i="19"/>
  <c r="Q166" i="19"/>
  <c r="Q167" i="19"/>
  <c r="Q168" i="19"/>
  <c r="Q169" i="19"/>
  <c r="Q170" i="19"/>
  <c r="Q171" i="19"/>
  <c r="Q172" i="19"/>
  <c r="Q173" i="19"/>
  <c r="Q174" i="19"/>
  <c r="Q175" i="19"/>
  <c r="Q176" i="19"/>
  <c r="Q177" i="19"/>
  <c r="Q178" i="19"/>
  <c r="Q179" i="19"/>
  <c r="Q180" i="19"/>
  <c r="Q181" i="19"/>
  <c r="Q182" i="19"/>
  <c r="Q183" i="19"/>
  <c r="Q184" i="19"/>
  <c r="Q185" i="19"/>
  <c r="Q186" i="19"/>
  <c r="Q187" i="19"/>
  <c r="Q188" i="19"/>
  <c r="Q189" i="19"/>
  <c r="Q190" i="19"/>
  <c r="Q191" i="19"/>
  <c r="Q192" i="19"/>
  <c r="Q193" i="19"/>
  <c r="Q194" i="19"/>
  <c r="Q195" i="19"/>
  <c r="Q196" i="19"/>
  <c r="Q197" i="19"/>
  <c r="Q198" i="19"/>
  <c r="Q199" i="19"/>
  <c r="Q200" i="19"/>
  <c r="Q201" i="19"/>
  <c r="Q202" i="19"/>
  <c r="Q203" i="19"/>
  <c r="Q204" i="19"/>
  <c r="Q205" i="19"/>
  <c r="Q206" i="19"/>
  <c r="Q207" i="19"/>
  <c r="Q208" i="19"/>
  <c r="Q209" i="19"/>
  <c r="Q210" i="19"/>
  <c r="Q211" i="19"/>
  <c r="Q212" i="19"/>
  <c r="Q213" i="19"/>
  <c r="Q214" i="19"/>
  <c r="Q215" i="19"/>
  <c r="Q216" i="19"/>
  <c r="Q217" i="19"/>
  <c r="Q218" i="19"/>
  <c r="Q219" i="19"/>
  <c r="Q220" i="19"/>
  <c r="Q221" i="19"/>
  <c r="Q222" i="19"/>
  <c r="Q223" i="19"/>
  <c r="Q224" i="19"/>
  <c r="Q225" i="19"/>
  <c r="Q226" i="19"/>
  <c r="Q227" i="19"/>
  <c r="Q228" i="19"/>
  <c r="Q229" i="19"/>
  <c r="Q230" i="19"/>
  <c r="Q231" i="19"/>
  <c r="Q232" i="19"/>
  <c r="Q233" i="19"/>
  <c r="Q234" i="19"/>
  <c r="Q235" i="19"/>
  <c r="Q236" i="19"/>
  <c r="Q237" i="19"/>
  <c r="Q238" i="19"/>
  <c r="Q239" i="19"/>
  <c r="Q240" i="19"/>
  <c r="Q241" i="19"/>
  <c r="Q242" i="19"/>
  <c r="Q243" i="19"/>
  <c r="Q244" i="19"/>
  <c r="Q245" i="19"/>
  <c r="Q246" i="19"/>
  <c r="Q247" i="19"/>
  <c r="Q248" i="19"/>
  <c r="Q249" i="19"/>
  <c r="Q250" i="19"/>
  <c r="Q251" i="19"/>
  <c r="Q252" i="19"/>
  <c r="Q253" i="19"/>
  <c r="Q254" i="19"/>
  <c r="Q255" i="19"/>
  <c r="Q256" i="19"/>
  <c r="Q257" i="19"/>
  <c r="Q258" i="19"/>
  <c r="Q259" i="19"/>
  <c r="Q260" i="19"/>
  <c r="Q261" i="19"/>
  <c r="Q262" i="19"/>
  <c r="Q263" i="19"/>
  <c r="Q264" i="19"/>
  <c r="Q265" i="19"/>
  <c r="Q266" i="19"/>
  <c r="Q267" i="19"/>
  <c r="Q268" i="19"/>
  <c r="Q269" i="19"/>
  <c r="Q270" i="19"/>
  <c r="Q271" i="19"/>
  <c r="Q272" i="19"/>
  <c r="Q273" i="19"/>
  <c r="Q274" i="19"/>
  <c r="Q275" i="19"/>
  <c r="Q276" i="19"/>
  <c r="Q277" i="19"/>
  <c r="Q278" i="19"/>
  <c r="Q279" i="19"/>
  <c r="Q280" i="19"/>
  <c r="Q281" i="19"/>
  <c r="Q282" i="19"/>
  <c r="Q283" i="19"/>
  <c r="Q284" i="19"/>
  <c r="Q285" i="19"/>
  <c r="Q286" i="19"/>
  <c r="Q287" i="19"/>
  <c r="Q288" i="19"/>
  <c r="Q289" i="19"/>
  <c r="Q290" i="19"/>
  <c r="Q291" i="19"/>
  <c r="Q292" i="19"/>
  <c r="Q293" i="19"/>
  <c r="Q294" i="19"/>
  <c r="Q295" i="19"/>
  <c r="Q296" i="19"/>
  <c r="Q297" i="19"/>
  <c r="Q298" i="19"/>
  <c r="Q299" i="19"/>
  <c r="Q300" i="19"/>
  <c r="Q301" i="19"/>
  <c r="Q302" i="19"/>
  <c r="Q303" i="19"/>
  <c r="Q304" i="19"/>
  <c r="Q305" i="19"/>
  <c r="Q306" i="19"/>
  <c r="Q307" i="19"/>
  <c r="Q308" i="19"/>
  <c r="Q309" i="19"/>
  <c r="Q310" i="19"/>
  <c r="Q311" i="19"/>
  <c r="Q312" i="19"/>
  <c r="Q313" i="19"/>
  <c r="Q314" i="19"/>
  <c r="Q315" i="19"/>
  <c r="Q316" i="19"/>
  <c r="Q317" i="19"/>
  <c r="Q318" i="19"/>
  <c r="Q319" i="19"/>
  <c r="Q320" i="19"/>
  <c r="Q321" i="19"/>
  <c r="Q322" i="19"/>
  <c r="Q323" i="19"/>
  <c r="Q324" i="19"/>
  <c r="Q325" i="19"/>
  <c r="Q326" i="19"/>
  <c r="Q327" i="19"/>
  <c r="Q328" i="19"/>
  <c r="Q329" i="19"/>
  <c r="Q330" i="19"/>
  <c r="Q331" i="19"/>
  <c r="Q332" i="19"/>
  <c r="Q333" i="19"/>
  <c r="Q334" i="19"/>
  <c r="Q335" i="19"/>
  <c r="Q336" i="19"/>
  <c r="Q337" i="19"/>
  <c r="Q338" i="19"/>
  <c r="Q339" i="19"/>
  <c r="Q340" i="19"/>
  <c r="Q341" i="19"/>
  <c r="Q342" i="19"/>
  <c r="Q343" i="19"/>
  <c r="Q344" i="19"/>
  <c r="Q345" i="19"/>
  <c r="Q346" i="19"/>
  <c r="Q347" i="19"/>
  <c r="Q348" i="19"/>
  <c r="Q349" i="19"/>
  <c r="Q350" i="19"/>
  <c r="Q351" i="19"/>
  <c r="Q352" i="19"/>
  <c r="Q353" i="19"/>
  <c r="Q354" i="19"/>
  <c r="Q355" i="19"/>
  <c r="Q356" i="19"/>
  <c r="Q357" i="19"/>
  <c r="Q358" i="19"/>
  <c r="Q359" i="19"/>
  <c r="Q360" i="19"/>
  <c r="Q361" i="19"/>
  <c r="Q362" i="19"/>
  <c r="Q363" i="19"/>
  <c r="Q364" i="19"/>
  <c r="Q365" i="19"/>
  <c r="Q366" i="19"/>
  <c r="Q367" i="19"/>
  <c r="Q368" i="19"/>
  <c r="Q369" i="19"/>
  <c r="Q370" i="19"/>
  <c r="Q371" i="19"/>
  <c r="Q372" i="19"/>
  <c r="Q373" i="19"/>
  <c r="Q374" i="19"/>
  <c r="Q375" i="19"/>
  <c r="Q376" i="19"/>
  <c r="Q377" i="19"/>
  <c r="Q378" i="19"/>
  <c r="Q379" i="19"/>
  <c r="Q380" i="19"/>
  <c r="Q381" i="19"/>
  <c r="Q382" i="19"/>
  <c r="Q383" i="19"/>
  <c r="Q384" i="19"/>
  <c r="Q385" i="19"/>
  <c r="Q386" i="19"/>
  <c r="Q387" i="19"/>
  <c r="Q388" i="19"/>
  <c r="Q389" i="19"/>
  <c r="Q390" i="19"/>
  <c r="Q391" i="19"/>
  <c r="Q392" i="19"/>
  <c r="Q393" i="19"/>
  <c r="Q394" i="19"/>
  <c r="Q395" i="19"/>
  <c r="Q396" i="19"/>
  <c r="Q397" i="19"/>
  <c r="Q398" i="19"/>
  <c r="Q399" i="19"/>
  <c r="Q400" i="19"/>
  <c r="Q401" i="19"/>
  <c r="Q402" i="19"/>
  <c r="Q403" i="19"/>
  <c r="Q404" i="19"/>
  <c r="Q405" i="19"/>
  <c r="Q406" i="19"/>
  <c r="Q407" i="19"/>
  <c r="Q408" i="19"/>
  <c r="Q409" i="19"/>
  <c r="Q410" i="19"/>
  <c r="Q411" i="19"/>
  <c r="Q412" i="19"/>
  <c r="Q413" i="19"/>
  <c r="Q414" i="19"/>
  <c r="Q415" i="19"/>
  <c r="Q416" i="19"/>
  <c r="Q417" i="19"/>
  <c r="Q418" i="19"/>
  <c r="Q419" i="19"/>
  <c r="Q420" i="19"/>
  <c r="Q421" i="19"/>
  <c r="Q422" i="19"/>
  <c r="Q423" i="19"/>
  <c r="Q424" i="19"/>
  <c r="Q425" i="19"/>
  <c r="Q426" i="19"/>
  <c r="Q427" i="19"/>
  <c r="Q428" i="19"/>
  <c r="Q429" i="19"/>
  <c r="Q430" i="19"/>
  <c r="Q431" i="19"/>
  <c r="Q432" i="19"/>
  <c r="Q433" i="19"/>
  <c r="Q434" i="19"/>
  <c r="Q435" i="19"/>
  <c r="Q436" i="19"/>
  <c r="Q437" i="19"/>
  <c r="Q438" i="19"/>
  <c r="Q439" i="19"/>
  <c r="Q440" i="19"/>
  <c r="Q441" i="19"/>
  <c r="Q442" i="19"/>
  <c r="Q443" i="19"/>
  <c r="Q444" i="19"/>
  <c r="Q445" i="19"/>
  <c r="Q446" i="19"/>
  <c r="Q447" i="19"/>
  <c r="Q448" i="19"/>
  <c r="Q449" i="19"/>
  <c r="Q450" i="19"/>
  <c r="Q451" i="19"/>
  <c r="Q452" i="19"/>
  <c r="Q453" i="19"/>
  <c r="Q454" i="19"/>
  <c r="Q455" i="19"/>
  <c r="Q456" i="19"/>
  <c r="Q457" i="19"/>
  <c r="Q458" i="19"/>
  <c r="Q459" i="19"/>
  <c r="Q460" i="19"/>
  <c r="Q461" i="19"/>
  <c r="Q462" i="19"/>
  <c r="Q463" i="19"/>
  <c r="Q464" i="19"/>
  <c r="Q465" i="19"/>
  <c r="Q466" i="19"/>
  <c r="Q467" i="19"/>
  <c r="Q468" i="19"/>
  <c r="Q469" i="19"/>
  <c r="Q470" i="19"/>
  <c r="Q471" i="19"/>
  <c r="Q472" i="19"/>
  <c r="Q473" i="19"/>
  <c r="Q474" i="19"/>
  <c r="Q475" i="19"/>
  <c r="Q476" i="19"/>
  <c r="Q477" i="19"/>
  <c r="Q478" i="19"/>
  <c r="Q479" i="19"/>
  <c r="Q480" i="19"/>
  <c r="Q481" i="19"/>
  <c r="Q482" i="19"/>
  <c r="Q483" i="19"/>
  <c r="Q484" i="19"/>
  <c r="Q485" i="19"/>
  <c r="Q486" i="19"/>
  <c r="Q487" i="19"/>
  <c r="Q488" i="19"/>
  <c r="Q489" i="19"/>
  <c r="Q490" i="19"/>
  <c r="Q491" i="19"/>
  <c r="Q492" i="19"/>
  <c r="Q493" i="19"/>
  <c r="Q494" i="19"/>
  <c r="Q495" i="19"/>
  <c r="Q496" i="19"/>
  <c r="Q497" i="19"/>
  <c r="Q498" i="19"/>
  <c r="Q499" i="19"/>
  <c r="Q500" i="19"/>
  <c r="Q501" i="19"/>
  <c r="Q502" i="19"/>
  <c r="Q503" i="19"/>
  <c r="Q504" i="19"/>
  <c r="Q505" i="19"/>
  <c r="Q506" i="19"/>
  <c r="Q507" i="19"/>
  <c r="Q508" i="19"/>
  <c r="Q509" i="19"/>
  <c r="Q510" i="19"/>
  <c r="Q511" i="19"/>
  <c r="Q512" i="19"/>
  <c r="Q513" i="19"/>
  <c r="Q514" i="19"/>
  <c r="Q515" i="19"/>
  <c r="Q516" i="19"/>
  <c r="Q517" i="19"/>
  <c r="Q518" i="19"/>
  <c r="Q519" i="19"/>
  <c r="Q520" i="19"/>
  <c r="Q521" i="19"/>
  <c r="Q522" i="19"/>
  <c r="Q523" i="19"/>
  <c r="Q524" i="19"/>
  <c r="Q525" i="19"/>
  <c r="Q526" i="19"/>
  <c r="Q527" i="19"/>
  <c r="Q528" i="19"/>
  <c r="Q529" i="19"/>
  <c r="Q530" i="19"/>
  <c r="Q531" i="19"/>
  <c r="Q532" i="19"/>
  <c r="Q533" i="19"/>
  <c r="Q534" i="19"/>
  <c r="Q535" i="19"/>
  <c r="Q536" i="19"/>
  <c r="Q537" i="19"/>
  <c r="Q538" i="19"/>
  <c r="Q539" i="19"/>
  <c r="Q540" i="19"/>
  <c r="Q541" i="19"/>
  <c r="Q542" i="19"/>
  <c r="Q543" i="19"/>
  <c r="Q544" i="19"/>
  <c r="Q545" i="19"/>
  <c r="Q546" i="19"/>
  <c r="Q547" i="19"/>
  <c r="Q548" i="19"/>
  <c r="Q549" i="19"/>
  <c r="Q550" i="19"/>
  <c r="Q551" i="19"/>
  <c r="Q552" i="19"/>
  <c r="Q553" i="19"/>
  <c r="Q554" i="19"/>
  <c r="Q555" i="19"/>
  <c r="Q556" i="19"/>
  <c r="Q557" i="19"/>
  <c r="Q558" i="19"/>
  <c r="Q559" i="19"/>
  <c r="Q560" i="19"/>
  <c r="Q561" i="19"/>
  <c r="Q562" i="19"/>
  <c r="Q563" i="19"/>
  <c r="Q564" i="19"/>
  <c r="Q565" i="19"/>
  <c r="Q566" i="19"/>
  <c r="Q567" i="19"/>
  <c r="Q568" i="19"/>
  <c r="Q569" i="19"/>
  <c r="Q570" i="19"/>
  <c r="Q571" i="19"/>
  <c r="Q572" i="19"/>
  <c r="Q573" i="19"/>
  <c r="Q574" i="19"/>
  <c r="Q575" i="19"/>
  <c r="Q576" i="19"/>
  <c r="Q577" i="19"/>
  <c r="Q578" i="19"/>
  <c r="Q579" i="19"/>
  <c r="Q580" i="19"/>
  <c r="Q581" i="19"/>
  <c r="Q582" i="19"/>
  <c r="Q583" i="19"/>
  <c r="Q584" i="19"/>
  <c r="Q585" i="19"/>
  <c r="Q586" i="19"/>
  <c r="Q587" i="19"/>
  <c r="Q588" i="19"/>
  <c r="Q589" i="19"/>
  <c r="Q590" i="19"/>
  <c r="Q591" i="19"/>
  <c r="Q592" i="19"/>
  <c r="Q593" i="19"/>
  <c r="Q594" i="19"/>
  <c r="Q595" i="19"/>
  <c r="Q596" i="19"/>
  <c r="Q597" i="19"/>
  <c r="Q598" i="19"/>
  <c r="Q599" i="19"/>
  <c r="Q600" i="19"/>
  <c r="Q601" i="19"/>
  <c r="Q602" i="19"/>
  <c r="Q603" i="19"/>
  <c r="Q604" i="19"/>
  <c r="Q605" i="19"/>
  <c r="Q606" i="19"/>
  <c r="Q607" i="19"/>
  <c r="Q608" i="19"/>
  <c r="Q609" i="19"/>
  <c r="Q610" i="19"/>
  <c r="Q611" i="19"/>
  <c r="Q612" i="19"/>
  <c r="Q613" i="19"/>
  <c r="Q614" i="19"/>
  <c r="Q615" i="19"/>
  <c r="Q616" i="19"/>
  <c r="Q617" i="19"/>
  <c r="Q618" i="19"/>
  <c r="Q619" i="19"/>
  <c r="Q620" i="19"/>
  <c r="Q621" i="19"/>
  <c r="Q622" i="19"/>
  <c r="Q623" i="19"/>
  <c r="Q624" i="19"/>
  <c r="Q625" i="19"/>
  <c r="Q626" i="19"/>
  <c r="Q627" i="19"/>
  <c r="Q628" i="19"/>
  <c r="Q629" i="19"/>
  <c r="Q630" i="19"/>
  <c r="Q631" i="19"/>
  <c r="Q632" i="19"/>
  <c r="Q633" i="19"/>
  <c r="Q634" i="19"/>
  <c r="Q635" i="19"/>
  <c r="Q636" i="19"/>
  <c r="Q637" i="19"/>
  <c r="Q638" i="19"/>
  <c r="Q639" i="19"/>
  <c r="Q640" i="19"/>
  <c r="Q641" i="19"/>
  <c r="Q642" i="19"/>
  <c r="Q643" i="19"/>
  <c r="Q644" i="19"/>
  <c r="Q645" i="19"/>
  <c r="Q646" i="19"/>
  <c r="Q647" i="19"/>
  <c r="Q648" i="19"/>
  <c r="Q649" i="19"/>
  <c r="Q650" i="19"/>
  <c r="Q651" i="19"/>
  <c r="Q652" i="19"/>
  <c r="Q653" i="19"/>
  <c r="Q654" i="19"/>
  <c r="Q655" i="19"/>
  <c r="Q656" i="19"/>
  <c r="Q657" i="19"/>
  <c r="Q658" i="19"/>
  <c r="Q659" i="19"/>
  <c r="Q660" i="19"/>
  <c r="Q661" i="19"/>
  <c r="Q662" i="19"/>
  <c r="Q663" i="19"/>
  <c r="Q664" i="19"/>
  <c r="Q665" i="19"/>
  <c r="Q666" i="19"/>
  <c r="Q667" i="19"/>
  <c r="Q668" i="19"/>
  <c r="Q669" i="19"/>
  <c r="Q670" i="19"/>
  <c r="Q671" i="19"/>
  <c r="Q672" i="19"/>
  <c r="Q673" i="19"/>
  <c r="Q674" i="19"/>
  <c r="Q675" i="19"/>
  <c r="Q676" i="19"/>
  <c r="Q677" i="19"/>
  <c r="Q678" i="19"/>
  <c r="Q679" i="19"/>
  <c r="Q680" i="19"/>
  <c r="Q681" i="19"/>
  <c r="Q682" i="19"/>
  <c r="Q683" i="19"/>
  <c r="Q684" i="19"/>
  <c r="Q685" i="19"/>
  <c r="Q686" i="19"/>
  <c r="Q687" i="19"/>
  <c r="Q688" i="19"/>
  <c r="Q689" i="19"/>
  <c r="Q690" i="19"/>
  <c r="Q691" i="19"/>
  <c r="Q692" i="19"/>
  <c r="Q693" i="19"/>
  <c r="Q694" i="19"/>
  <c r="Q695" i="19"/>
  <c r="Q696" i="19"/>
  <c r="Q697" i="19"/>
  <c r="Q698" i="19"/>
  <c r="Q699" i="19"/>
  <c r="Q700" i="19"/>
  <c r="Q701" i="19"/>
  <c r="Q702" i="19"/>
  <c r="Q703" i="19"/>
  <c r="Q704" i="19"/>
  <c r="Q705" i="19"/>
  <c r="Q706" i="19"/>
  <c r="Q707" i="19"/>
  <c r="Q708" i="19"/>
  <c r="Q709" i="19"/>
  <c r="Q710" i="19"/>
  <c r="Q711" i="19"/>
  <c r="Q712" i="19"/>
  <c r="Q713" i="19"/>
  <c r="Q714" i="19"/>
  <c r="Q715" i="19"/>
  <c r="Q716" i="19"/>
  <c r="Q717" i="19"/>
  <c r="Q718" i="19"/>
  <c r="Q719" i="19"/>
  <c r="Q720" i="19"/>
  <c r="Q721" i="19"/>
  <c r="Q722" i="19"/>
  <c r="Q723" i="19"/>
  <c r="Q724" i="19"/>
  <c r="Q725" i="19"/>
  <c r="Q726" i="19"/>
  <c r="Q727" i="19"/>
  <c r="Q728" i="19"/>
  <c r="Q729" i="19"/>
  <c r="Q730" i="19"/>
  <c r="Q731" i="19"/>
  <c r="Q732" i="19"/>
  <c r="Q733" i="19"/>
  <c r="Q734" i="19"/>
  <c r="Q735" i="19"/>
  <c r="Q736" i="19"/>
  <c r="Q737" i="19"/>
  <c r="Q738" i="19"/>
  <c r="Q739" i="19"/>
  <c r="Q740" i="19"/>
  <c r="Q741" i="19"/>
  <c r="Q742" i="19"/>
  <c r="Q743" i="19"/>
  <c r="Q744" i="19"/>
  <c r="Q745" i="19"/>
  <c r="Q746" i="19"/>
  <c r="Q747" i="19"/>
  <c r="Q748" i="19"/>
  <c r="Q749" i="19"/>
  <c r="Q750" i="19"/>
  <c r="Q751" i="19"/>
  <c r="Q752" i="19"/>
  <c r="Q753" i="19"/>
  <c r="Q754" i="19"/>
  <c r="Q755" i="19"/>
  <c r="Q756" i="19"/>
  <c r="Q757" i="19"/>
  <c r="Q758" i="19"/>
  <c r="Q759" i="19"/>
  <c r="Q760" i="19"/>
  <c r="Q761" i="19"/>
  <c r="Q762" i="19"/>
  <c r="Q763" i="19"/>
  <c r="Q764" i="19"/>
  <c r="Q765" i="19"/>
  <c r="Q766" i="19"/>
  <c r="Q767" i="19"/>
  <c r="Q768" i="19"/>
  <c r="Q769" i="19"/>
  <c r="Q770" i="19"/>
  <c r="Q771" i="19"/>
  <c r="Q772" i="19"/>
  <c r="Q773" i="19"/>
  <c r="Q774" i="19"/>
  <c r="Q775" i="19"/>
  <c r="Q776" i="19"/>
  <c r="Q777" i="19"/>
  <c r="Q778" i="19"/>
  <c r="Q779" i="19"/>
  <c r="Q780" i="19"/>
  <c r="Q781" i="19"/>
  <c r="Q782" i="19"/>
  <c r="Q783" i="19"/>
  <c r="Q784" i="19"/>
  <c r="Q785" i="19"/>
  <c r="Q786" i="19"/>
  <c r="Q787" i="19"/>
  <c r="Q788" i="19"/>
  <c r="Q789" i="19"/>
  <c r="Q790" i="19"/>
  <c r="Q791" i="19"/>
  <c r="Q792" i="19"/>
  <c r="Q793" i="19"/>
  <c r="Q794" i="19"/>
  <c r="Q795" i="19"/>
  <c r="Q796" i="19"/>
  <c r="Q797" i="19"/>
  <c r="Q798" i="19"/>
  <c r="Q799" i="19"/>
  <c r="Q800" i="19"/>
  <c r="Q801" i="19"/>
  <c r="Q802" i="19"/>
  <c r="Q803" i="19"/>
  <c r="Q804" i="19"/>
  <c r="Q805" i="19"/>
  <c r="Q806" i="19"/>
  <c r="Q807" i="19"/>
  <c r="Q808" i="19"/>
  <c r="Q809" i="19"/>
  <c r="Q810" i="19"/>
  <c r="Q811" i="19"/>
  <c r="Q812" i="19"/>
  <c r="Q813" i="19"/>
  <c r="Q814" i="19"/>
  <c r="Q815" i="19"/>
  <c r="Q816" i="19"/>
  <c r="Q817" i="19"/>
  <c r="Q818" i="19"/>
  <c r="Q819" i="19"/>
  <c r="Q820" i="19"/>
  <c r="Q821" i="19"/>
  <c r="Q822" i="19"/>
  <c r="Q823" i="19"/>
  <c r="Q824" i="19"/>
  <c r="Q825" i="19"/>
  <c r="Q826" i="19"/>
  <c r="Q827" i="19"/>
  <c r="Q828" i="19"/>
  <c r="Q829" i="19"/>
  <c r="Q830" i="19"/>
  <c r="Q831" i="19"/>
  <c r="Q832" i="19"/>
  <c r="Q833" i="19"/>
  <c r="Q834" i="19"/>
  <c r="Q835" i="19"/>
  <c r="Q836" i="19"/>
  <c r="Q837" i="19"/>
  <c r="Q838" i="19"/>
  <c r="Q839" i="19"/>
  <c r="Q840" i="19"/>
  <c r="Q841" i="19"/>
  <c r="Q842" i="19"/>
  <c r="Q843" i="19"/>
  <c r="Q844" i="19"/>
  <c r="Q845" i="19"/>
  <c r="Q846" i="19"/>
  <c r="Q847" i="19"/>
  <c r="Q848" i="19"/>
  <c r="Q849" i="19"/>
  <c r="Q850" i="19"/>
  <c r="Q851" i="19"/>
  <c r="Q852" i="19"/>
  <c r="Q853" i="19"/>
  <c r="Q854" i="19"/>
  <c r="Q855" i="19"/>
  <c r="Q856" i="19"/>
  <c r="Q857" i="19"/>
  <c r="Q858" i="19"/>
  <c r="Q859" i="19"/>
  <c r="Q860" i="19"/>
  <c r="Q861" i="19"/>
  <c r="Q862" i="19"/>
  <c r="Q863" i="19"/>
  <c r="Q864" i="19"/>
  <c r="Q865" i="19"/>
  <c r="Q866" i="19"/>
  <c r="Q867" i="19"/>
  <c r="Q868" i="19"/>
  <c r="Q869" i="19"/>
  <c r="Q870" i="19"/>
  <c r="Q871" i="19"/>
  <c r="Q872" i="19"/>
  <c r="Q873" i="19"/>
  <c r="Q874" i="19"/>
  <c r="Q875" i="19"/>
  <c r="Q876" i="19"/>
  <c r="Q877" i="19"/>
  <c r="Q878" i="19"/>
  <c r="Q879" i="19"/>
  <c r="Q880" i="19"/>
  <c r="Q881" i="19"/>
  <c r="Q882" i="19"/>
  <c r="Q883" i="19"/>
  <c r="Q884" i="19"/>
  <c r="Q885" i="19"/>
  <c r="Q886" i="19"/>
  <c r="Q887" i="19"/>
  <c r="Q888" i="19"/>
  <c r="Q889" i="19"/>
  <c r="Q890" i="19"/>
  <c r="Q891" i="19"/>
  <c r="Q892" i="19"/>
  <c r="Q893" i="19"/>
  <c r="Q894" i="19"/>
  <c r="Q895" i="19"/>
  <c r="Q896" i="19"/>
  <c r="Q897" i="19"/>
  <c r="Q898" i="19"/>
  <c r="Q899" i="19"/>
  <c r="Q900" i="19"/>
  <c r="Q901" i="19"/>
  <c r="Q902" i="19"/>
  <c r="Q903" i="19"/>
  <c r="Q904" i="19"/>
  <c r="Q905" i="19"/>
  <c r="Q906" i="19"/>
  <c r="Q907" i="19"/>
  <c r="Q908" i="19"/>
  <c r="Q909" i="19"/>
  <c r="Q910" i="19"/>
  <c r="Q911" i="19"/>
  <c r="Q912" i="19"/>
  <c r="Q913" i="19"/>
  <c r="Q914" i="19"/>
  <c r="Q915" i="19"/>
  <c r="Q916" i="19"/>
  <c r="Q917" i="19"/>
  <c r="Q918" i="19"/>
  <c r="Q919" i="19"/>
  <c r="Q920" i="19"/>
  <c r="Q921" i="19"/>
  <c r="Q922" i="19"/>
  <c r="Q923" i="19"/>
  <c r="Q924" i="19"/>
  <c r="Q925" i="19"/>
  <c r="Q926" i="19"/>
  <c r="Q927" i="19"/>
  <c r="Q928" i="19"/>
  <c r="Q929" i="19"/>
  <c r="Q930" i="19"/>
  <c r="Q931" i="19"/>
  <c r="Q932" i="19"/>
  <c r="Q933" i="19"/>
  <c r="Q934" i="19"/>
  <c r="Q935" i="19"/>
  <c r="Q936" i="19"/>
  <c r="Q937" i="19"/>
  <c r="Q938" i="19"/>
  <c r="Q939" i="19"/>
  <c r="Q940" i="19"/>
  <c r="Q941" i="19"/>
  <c r="Q942" i="19"/>
  <c r="Q943" i="19"/>
  <c r="Q944" i="19"/>
  <c r="Q945" i="19"/>
  <c r="Q946" i="19"/>
  <c r="Q947" i="19"/>
  <c r="Q948" i="19"/>
  <c r="Q949" i="19"/>
  <c r="Q950" i="19"/>
  <c r="Q951" i="19"/>
  <c r="Q952" i="19"/>
  <c r="Q953" i="19"/>
  <c r="Q954" i="19"/>
  <c r="Q955" i="19"/>
  <c r="Q956" i="19"/>
  <c r="Q957" i="19"/>
  <c r="Q958" i="19"/>
  <c r="Q959" i="19"/>
  <c r="Q960" i="19"/>
  <c r="Q961" i="19"/>
  <c r="Q962" i="19"/>
  <c r="Q963" i="19"/>
  <c r="Q964" i="19"/>
  <c r="Q965" i="19"/>
  <c r="Q966" i="19"/>
  <c r="Q967" i="19"/>
  <c r="Q968" i="19"/>
  <c r="Q969" i="19"/>
  <c r="Q970" i="19"/>
  <c r="Q971" i="19"/>
  <c r="Q972" i="19"/>
  <c r="Q973" i="19"/>
  <c r="Q974" i="19"/>
  <c r="Q975" i="19"/>
  <c r="Q976" i="19"/>
  <c r="Q977" i="19"/>
  <c r="Q978" i="19"/>
  <c r="Q979" i="19"/>
  <c r="Q980" i="19"/>
  <c r="Q981" i="19"/>
  <c r="Q982" i="19"/>
  <c r="Q983" i="19"/>
  <c r="Q984" i="19"/>
  <c r="Q985" i="19"/>
  <c r="Q986" i="19"/>
  <c r="Q987" i="19"/>
  <c r="Q988" i="19"/>
  <c r="Q989" i="19"/>
  <c r="Q990" i="19"/>
  <c r="Q991" i="19"/>
  <c r="Q992" i="19"/>
  <c r="Q993" i="19"/>
  <c r="Q994" i="19"/>
  <c r="Q995" i="19"/>
  <c r="Q996" i="19"/>
  <c r="Q997" i="19"/>
  <c r="Q998" i="19"/>
  <c r="Q999" i="19"/>
  <c r="Q1000" i="19"/>
  <c r="Q1001" i="19"/>
  <c r="Q1002" i="19"/>
  <c r="Q1003" i="19"/>
  <c r="Q1004" i="19"/>
  <c r="Q1005" i="19"/>
  <c r="Q1006" i="19"/>
  <c r="Q1007" i="19"/>
  <c r="Q1008" i="19"/>
  <c r="Q1009" i="19"/>
  <c r="Q1010" i="19"/>
  <c r="Q1011" i="19"/>
  <c r="Q1012" i="19"/>
  <c r="Q1013" i="19"/>
  <c r="Q1014" i="19"/>
  <c r="Q1015" i="19"/>
  <c r="Q1016" i="19"/>
  <c r="Q1017" i="19"/>
  <c r="Q1018" i="19"/>
  <c r="Q1019" i="19"/>
  <c r="Q1020" i="19"/>
  <c r="Q1021" i="19"/>
  <c r="Q1022" i="19"/>
  <c r="Q1023" i="19"/>
  <c r="Q1024" i="19"/>
  <c r="Q1025" i="19"/>
  <c r="Q1026" i="19"/>
  <c r="Q1027" i="19"/>
  <c r="Q1028" i="19"/>
  <c r="Q1029" i="19"/>
  <c r="Q1030" i="19"/>
  <c r="Q1031" i="19"/>
  <c r="Q1032" i="19"/>
  <c r="Q1033" i="19"/>
  <c r="Q1034" i="19"/>
  <c r="Q1035" i="19"/>
  <c r="Q1036" i="19"/>
  <c r="Q1037" i="19"/>
  <c r="Q1038" i="19"/>
  <c r="Q1039" i="19"/>
  <c r="Q1040" i="19"/>
  <c r="Q1041" i="19"/>
  <c r="Q1042" i="19"/>
  <c r="Q1043" i="19"/>
  <c r="Q1044" i="19"/>
  <c r="Q1045" i="19"/>
  <c r="Q1046" i="19"/>
  <c r="Q1047" i="19"/>
  <c r="Q1048" i="19"/>
  <c r="Q1049" i="19"/>
  <c r="Q1050" i="19"/>
  <c r="Q1051" i="19"/>
  <c r="Q1052" i="19"/>
  <c r="Q1053" i="19"/>
  <c r="Q1054" i="19"/>
  <c r="Q1055" i="19"/>
  <c r="Q1056" i="19"/>
  <c r="Q1057" i="19"/>
  <c r="Q1058" i="19"/>
  <c r="Q1059" i="19"/>
  <c r="Q1060" i="19"/>
  <c r="Q1061" i="19"/>
  <c r="Q1062" i="19"/>
  <c r="Q1063" i="19"/>
  <c r="Q1064" i="19"/>
  <c r="Q1065" i="19"/>
  <c r="Q1066" i="19"/>
  <c r="Q1067" i="19"/>
  <c r="Q1068" i="19"/>
  <c r="Q1069" i="19"/>
  <c r="Q1070" i="19"/>
  <c r="Q1071" i="19"/>
  <c r="Q1072" i="19"/>
  <c r="Q1073" i="19"/>
  <c r="Q1074" i="19"/>
  <c r="Q1075" i="19"/>
  <c r="Q1076" i="19"/>
  <c r="Q1077" i="19"/>
  <c r="Q1078" i="19"/>
  <c r="Q1079" i="19"/>
  <c r="Q1080" i="19"/>
  <c r="Q1081" i="19"/>
  <c r="Q1082" i="19"/>
  <c r="Q1083" i="19"/>
  <c r="Q1084" i="19"/>
  <c r="Q1085" i="19"/>
  <c r="Q1086" i="19"/>
  <c r="Q1087" i="19"/>
  <c r="Q1088" i="19"/>
  <c r="Q1089" i="19"/>
  <c r="Q1090" i="19"/>
  <c r="Q1091" i="19"/>
  <c r="Q1092" i="19"/>
  <c r="Q1093" i="19"/>
  <c r="Q1094" i="19"/>
  <c r="Q1095" i="19"/>
  <c r="Q1096" i="19"/>
  <c r="Q1097" i="19"/>
  <c r="Q1098" i="19"/>
  <c r="Q1099" i="19"/>
  <c r="Q1100" i="19"/>
  <c r="Q1101" i="19"/>
  <c r="Q1102" i="19"/>
  <c r="Q1103" i="19"/>
  <c r="Q1104" i="19"/>
  <c r="Q1105" i="19"/>
  <c r="Q1106" i="19"/>
  <c r="Q1107" i="19"/>
  <c r="Q1108" i="19"/>
  <c r="Q1109" i="19"/>
  <c r="Q1110" i="19"/>
  <c r="P11" i="19"/>
  <c r="P12" i="19"/>
  <c r="P13" i="19"/>
  <c r="P14" i="19"/>
  <c r="P15" i="19"/>
  <c r="P16" i="19"/>
  <c r="P17" i="19"/>
  <c r="P18" i="19"/>
  <c r="P19" i="19"/>
  <c r="P20" i="19"/>
  <c r="P21" i="19"/>
  <c r="P22" i="19"/>
  <c r="P23" i="19"/>
  <c r="P24" i="19"/>
  <c r="P25" i="19"/>
  <c r="P26" i="19"/>
  <c r="P27" i="19"/>
  <c r="P28" i="19"/>
  <c r="P29" i="19"/>
  <c r="P30" i="19"/>
  <c r="P31" i="19"/>
  <c r="P32" i="19"/>
  <c r="P33" i="19"/>
  <c r="P34" i="19"/>
  <c r="P35" i="19"/>
  <c r="P36" i="19"/>
  <c r="P37" i="19"/>
  <c r="P38" i="19"/>
  <c r="P39" i="19"/>
  <c r="P40" i="19"/>
  <c r="P41" i="19"/>
  <c r="P42" i="19"/>
  <c r="P43" i="19"/>
  <c r="P44" i="19"/>
  <c r="P45" i="19"/>
  <c r="P46" i="19"/>
  <c r="P47" i="19"/>
  <c r="P48" i="19"/>
  <c r="P49" i="19"/>
  <c r="P50" i="19"/>
  <c r="P51" i="19"/>
  <c r="P52" i="19"/>
  <c r="P53" i="19"/>
  <c r="P54" i="19"/>
  <c r="P55" i="19"/>
  <c r="P56" i="19"/>
  <c r="P57" i="19"/>
  <c r="P58" i="19"/>
  <c r="P59" i="19"/>
  <c r="P60" i="19"/>
  <c r="P61" i="19"/>
  <c r="P62" i="19"/>
  <c r="P63" i="19"/>
  <c r="P64" i="19"/>
  <c r="P65" i="19"/>
  <c r="P66" i="19"/>
  <c r="P67" i="19"/>
  <c r="P68" i="19"/>
  <c r="P69" i="19"/>
  <c r="P70" i="19"/>
  <c r="P71" i="19"/>
  <c r="P72" i="19"/>
  <c r="P73" i="19"/>
  <c r="P74" i="19"/>
  <c r="P75" i="19"/>
  <c r="P76" i="19"/>
  <c r="P77" i="19"/>
  <c r="P78" i="19"/>
  <c r="P79" i="19"/>
  <c r="P80" i="19"/>
  <c r="P81" i="19"/>
  <c r="P82" i="19"/>
  <c r="P83" i="19"/>
  <c r="P84" i="19"/>
  <c r="P85" i="19"/>
  <c r="P86" i="19"/>
  <c r="P87" i="19"/>
  <c r="P88" i="19"/>
  <c r="P89" i="19"/>
  <c r="P90" i="19"/>
  <c r="P91" i="19"/>
  <c r="P92" i="19"/>
  <c r="P93" i="19"/>
  <c r="P94" i="19"/>
  <c r="P95" i="19"/>
  <c r="P96" i="19"/>
  <c r="P97" i="19"/>
  <c r="P98" i="19"/>
  <c r="P99" i="19"/>
  <c r="P100" i="19"/>
  <c r="P101" i="19"/>
  <c r="P102" i="19"/>
  <c r="P103" i="19"/>
  <c r="P104" i="19"/>
  <c r="P105" i="19"/>
  <c r="P106" i="19"/>
  <c r="P107" i="19"/>
  <c r="P108" i="19"/>
  <c r="P109" i="19"/>
  <c r="P110" i="19"/>
  <c r="P111" i="19"/>
  <c r="P112" i="19"/>
  <c r="P113" i="19"/>
  <c r="P114" i="19"/>
  <c r="P115" i="19"/>
  <c r="P116" i="19"/>
  <c r="P117" i="19"/>
  <c r="P118" i="19"/>
  <c r="P119" i="19"/>
  <c r="P120" i="19"/>
  <c r="P121" i="19"/>
  <c r="P122" i="19"/>
  <c r="P123" i="19"/>
  <c r="P124" i="19"/>
  <c r="P125" i="19"/>
  <c r="P126" i="19"/>
  <c r="P127" i="19"/>
  <c r="P128" i="19"/>
  <c r="P129" i="19"/>
  <c r="P130" i="19"/>
  <c r="P131" i="19"/>
  <c r="P132" i="19"/>
  <c r="P133" i="19"/>
  <c r="P134" i="19"/>
  <c r="P135" i="19"/>
  <c r="P136" i="19"/>
  <c r="P137" i="19"/>
  <c r="P138" i="19"/>
  <c r="P139" i="19"/>
  <c r="P140" i="19"/>
  <c r="P141" i="19"/>
  <c r="P142" i="19"/>
  <c r="P143" i="19"/>
  <c r="P144" i="19"/>
  <c r="P145" i="19"/>
  <c r="P146" i="19"/>
  <c r="P147" i="19"/>
  <c r="P148" i="19"/>
  <c r="P149" i="19"/>
  <c r="P150" i="19"/>
  <c r="P151" i="19"/>
  <c r="P152" i="19"/>
  <c r="P153" i="19"/>
  <c r="P154" i="19"/>
  <c r="P155" i="19"/>
  <c r="P156" i="19"/>
  <c r="P157" i="19"/>
  <c r="P158" i="19"/>
  <c r="P159" i="19"/>
  <c r="P160" i="19"/>
  <c r="P161" i="19"/>
  <c r="P162" i="19"/>
  <c r="P163" i="19"/>
  <c r="P164" i="19"/>
  <c r="P165" i="19"/>
  <c r="P166" i="19"/>
  <c r="P167" i="19"/>
  <c r="P168" i="19"/>
  <c r="P169" i="19"/>
  <c r="P170" i="19"/>
  <c r="P171" i="19"/>
  <c r="P172" i="19"/>
  <c r="P173" i="19"/>
  <c r="P174" i="19"/>
  <c r="P175" i="19"/>
  <c r="P176" i="19"/>
  <c r="P177" i="19"/>
  <c r="P178" i="19"/>
  <c r="P179" i="19"/>
  <c r="P180" i="19"/>
  <c r="P181" i="19"/>
  <c r="P182" i="19"/>
  <c r="P183" i="19"/>
  <c r="P184" i="19"/>
  <c r="P185" i="19"/>
  <c r="P186" i="19"/>
  <c r="P187" i="19"/>
  <c r="P188" i="19"/>
  <c r="P189" i="19"/>
  <c r="P190" i="19"/>
  <c r="P191" i="19"/>
  <c r="P192" i="19"/>
  <c r="P193" i="19"/>
  <c r="P194" i="19"/>
  <c r="P195" i="19"/>
  <c r="P196" i="19"/>
  <c r="P197" i="19"/>
  <c r="P198" i="19"/>
  <c r="P199" i="19"/>
  <c r="P200" i="19"/>
  <c r="P201" i="19"/>
  <c r="P202" i="19"/>
  <c r="P203" i="19"/>
  <c r="P204" i="19"/>
  <c r="P205" i="19"/>
  <c r="P206" i="19"/>
  <c r="P207" i="19"/>
  <c r="P208" i="19"/>
  <c r="P209" i="19"/>
  <c r="P210" i="19"/>
  <c r="P211" i="19"/>
  <c r="P212" i="19"/>
  <c r="P213" i="19"/>
  <c r="P214" i="19"/>
  <c r="P215" i="19"/>
  <c r="P216" i="19"/>
  <c r="P217" i="19"/>
  <c r="P218" i="19"/>
  <c r="P219" i="19"/>
  <c r="P220" i="19"/>
  <c r="P221" i="19"/>
  <c r="P222" i="19"/>
  <c r="P223" i="19"/>
  <c r="P224" i="19"/>
  <c r="P225" i="19"/>
  <c r="P226" i="19"/>
  <c r="P227" i="19"/>
  <c r="P228" i="19"/>
  <c r="P229" i="19"/>
  <c r="P230" i="19"/>
  <c r="P231" i="19"/>
  <c r="P232" i="19"/>
  <c r="P233" i="19"/>
  <c r="P234" i="19"/>
  <c r="P235" i="19"/>
  <c r="P236" i="19"/>
  <c r="P237" i="19"/>
  <c r="P238" i="19"/>
  <c r="P239" i="19"/>
  <c r="P240" i="19"/>
  <c r="P241" i="19"/>
  <c r="P242" i="19"/>
  <c r="P243" i="19"/>
  <c r="P244" i="19"/>
  <c r="P245" i="19"/>
  <c r="P246" i="19"/>
  <c r="P247" i="19"/>
  <c r="P248" i="19"/>
  <c r="P249" i="19"/>
  <c r="P250" i="19"/>
  <c r="P251" i="19"/>
  <c r="P252" i="19"/>
  <c r="P253" i="19"/>
  <c r="P254" i="19"/>
  <c r="P255" i="19"/>
  <c r="P256" i="19"/>
  <c r="P257" i="19"/>
  <c r="P258" i="19"/>
  <c r="P259" i="19"/>
  <c r="P260" i="19"/>
  <c r="P261" i="19"/>
  <c r="P262" i="19"/>
  <c r="P263" i="19"/>
  <c r="P264" i="19"/>
  <c r="P265" i="19"/>
  <c r="P266" i="19"/>
  <c r="P267" i="19"/>
  <c r="P268" i="19"/>
  <c r="P269" i="19"/>
  <c r="P270" i="19"/>
  <c r="P271" i="19"/>
  <c r="P272" i="19"/>
  <c r="P273" i="19"/>
  <c r="P274" i="19"/>
  <c r="P275" i="19"/>
  <c r="P276" i="19"/>
  <c r="P277" i="19"/>
  <c r="P278" i="19"/>
  <c r="P279" i="19"/>
  <c r="P280" i="19"/>
  <c r="P281" i="19"/>
  <c r="P282" i="19"/>
  <c r="P283" i="19"/>
  <c r="P284" i="19"/>
  <c r="P285" i="19"/>
  <c r="P286" i="19"/>
  <c r="P287" i="19"/>
  <c r="P288" i="19"/>
  <c r="P289" i="19"/>
  <c r="P290" i="19"/>
  <c r="P291" i="19"/>
  <c r="P292" i="19"/>
  <c r="P293" i="19"/>
  <c r="P294" i="19"/>
  <c r="P295" i="19"/>
  <c r="P296" i="19"/>
  <c r="P297" i="19"/>
  <c r="P298" i="19"/>
  <c r="P299" i="19"/>
  <c r="P300" i="19"/>
  <c r="P301" i="19"/>
  <c r="P302" i="19"/>
  <c r="P303" i="19"/>
  <c r="P304" i="19"/>
  <c r="P305" i="19"/>
  <c r="P306" i="19"/>
  <c r="P307" i="19"/>
  <c r="P308" i="19"/>
  <c r="P309" i="19"/>
  <c r="P310" i="19"/>
  <c r="P311" i="19"/>
  <c r="P312" i="19"/>
  <c r="P313" i="19"/>
  <c r="P314" i="19"/>
  <c r="P315" i="19"/>
  <c r="P316" i="19"/>
  <c r="P317" i="19"/>
  <c r="P318" i="19"/>
  <c r="P319" i="19"/>
  <c r="P320" i="19"/>
  <c r="P321" i="19"/>
  <c r="P322" i="19"/>
  <c r="P323" i="19"/>
  <c r="P324" i="19"/>
  <c r="P325" i="19"/>
  <c r="P326" i="19"/>
  <c r="P327" i="19"/>
  <c r="P328" i="19"/>
  <c r="P329" i="19"/>
  <c r="P330" i="19"/>
  <c r="P331" i="19"/>
  <c r="P332" i="19"/>
  <c r="P333" i="19"/>
  <c r="P334" i="19"/>
  <c r="P335" i="19"/>
  <c r="P336" i="19"/>
  <c r="P337" i="19"/>
  <c r="P338" i="19"/>
  <c r="P339" i="19"/>
  <c r="P340" i="19"/>
  <c r="P341" i="19"/>
  <c r="P342" i="19"/>
  <c r="P343" i="19"/>
  <c r="P344" i="19"/>
  <c r="P345" i="19"/>
  <c r="P346" i="19"/>
  <c r="P347" i="19"/>
  <c r="P348" i="19"/>
  <c r="P349" i="19"/>
  <c r="P350" i="19"/>
  <c r="P351" i="19"/>
  <c r="P352" i="19"/>
  <c r="P353" i="19"/>
  <c r="P354" i="19"/>
  <c r="P355" i="19"/>
  <c r="P356" i="19"/>
  <c r="P357" i="19"/>
  <c r="P358" i="19"/>
  <c r="P359" i="19"/>
  <c r="P360" i="19"/>
  <c r="P361" i="19"/>
  <c r="P362" i="19"/>
  <c r="P363" i="19"/>
  <c r="P364" i="19"/>
  <c r="P365" i="19"/>
  <c r="P366" i="19"/>
  <c r="P367" i="19"/>
  <c r="P368" i="19"/>
  <c r="P369" i="19"/>
  <c r="P370" i="19"/>
  <c r="P371" i="19"/>
  <c r="P372" i="19"/>
  <c r="P373" i="19"/>
  <c r="P374" i="19"/>
  <c r="P375" i="19"/>
  <c r="P376" i="19"/>
  <c r="P377" i="19"/>
  <c r="P378" i="19"/>
  <c r="P379" i="19"/>
  <c r="P380" i="19"/>
  <c r="P381" i="19"/>
  <c r="P382" i="19"/>
  <c r="P383" i="19"/>
  <c r="P384" i="19"/>
  <c r="P385" i="19"/>
  <c r="P386" i="19"/>
  <c r="P387" i="19"/>
  <c r="P388" i="19"/>
  <c r="P389" i="19"/>
  <c r="P390" i="19"/>
  <c r="P391" i="19"/>
  <c r="P392" i="19"/>
  <c r="P393" i="19"/>
  <c r="P394" i="19"/>
  <c r="P395" i="19"/>
  <c r="P396" i="19"/>
  <c r="P397" i="19"/>
  <c r="P398" i="19"/>
  <c r="P399" i="19"/>
  <c r="P400" i="19"/>
  <c r="P401" i="19"/>
  <c r="P402" i="19"/>
  <c r="P403" i="19"/>
  <c r="P404" i="19"/>
  <c r="P405" i="19"/>
  <c r="P406" i="19"/>
  <c r="P407" i="19"/>
  <c r="P408" i="19"/>
  <c r="P409" i="19"/>
  <c r="P410" i="19"/>
  <c r="P411" i="19"/>
  <c r="P412" i="19"/>
  <c r="P413" i="19"/>
  <c r="P414" i="19"/>
  <c r="P415" i="19"/>
  <c r="P416" i="19"/>
  <c r="P417" i="19"/>
  <c r="P418" i="19"/>
  <c r="P419" i="19"/>
  <c r="P420" i="19"/>
  <c r="P421" i="19"/>
  <c r="P422" i="19"/>
  <c r="P423" i="19"/>
  <c r="P424" i="19"/>
  <c r="P425" i="19"/>
  <c r="P426" i="19"/>
  <c r="P427" i="19"/>
  <c r="P428" i="19"/>
  <c r="P429" i="19"/>
  <c r="P430" i="19"/>
  <c r="P431" i="19"/>
  <c r="P432" i="19"/>
  <c r="P433" i="19"/>
  <c r="P434" i="19"/>
  <c r="P435" i="19"/>
  <c r="P436" i="19"/>
  <c r="P437" i="19"/>
  <c r="P438" i="19"/>
  <c r="P439" i="19"/>
  <c r="P440" i="19"/>
  <c r="P441" i="19"/>
  <c r="P442" i="19"/>
  <c r="P443" i="19"/>
  <c r="P444" i="19"/>
  <c r="P445" i="19"/>
  <c r="P446" i="19"/>
  <c r="P447" i="19"/>
  <c r="P448" i="19"/>
  <c r="P449" i="19"/>
  <c r="P450" i="19"/>
  <c r="P451" i="19"/>
  <c r="P452" i="19"/>
  <c r="P453" i="19"/>
  <c r="P454" i="19"/>
  <c r="P455" i="19"/>
  <c r="P456" i="19"/>
  <c r="P457" i="19"/>
  <c r="P458" i="19"/>
  <c r="P459" i="19"/>
  <c r="P460" i="19"/>
  <c r="P461" i="19"/>
  <c r="P462" i="19"/>
  <c r="P463" i="19"/>
  <c r="P464" i="19"/>
  <c r="P465" i="19"/>
  <c r="P466" i="19"/>
  <c r="P467" i="19"/>
  <c r="P468" i="19"/>
  <c r="P469" i="19"/>
  <c r="P470" i="19"/>
  <c r="P471" i="19"/>
  <c r="P472" i="19"/>
  <c r="P473" i="19"/>
  <c r="P474" i="19"/>
  <c r="P475" i="19"/>
  <c r="P476" i="19"/>
  <c r="P477" i="19"/>
  <c r="P478" i="19"/>
  <c r="P479" i="19"/>
  <c r="P480" i="19"/>
  <c r="P481" i="19"/>
  <c r="P482" i="19"/>
  <c r="P483" i="19"/>
  <c r="P484" i="19"/>
  <c r="P485" i="19"/>
  <c r="P486" i="19"/>
  <c r="P487" i="19"/>
  <c r="P488" i="19"/>
  <c r="P489" i="19"/>
  <c r="P490" i="19"/>
  <c r="P491" i="19"/>
  <c r="P492" i="19"/>
  <c r="P493" i="19"/>
  <c r="P494" i="19"/>
  <c r="P495" i="19"/>
  <c r="P496" i="19"/>
  <c r="P497" i="19"/>
  <c r="P498" i="19"/>
  <c r="P499" i="19"/>
  <c r="P500" i="19"/>
  <c r="P501" i="19"/>
  <c r="P502" i="19"/>
  <c r="P503" i="19"/>
  <c r="P504" i="19"/>
  <c r="P505" i="19"/>
  <c r="P506" i="19"/>
  <c r="P507" i="19"/>
  <c r="P508" i="19"/>
  <c r="P509" i="19"/>
  <c r="P510" i="19"/>
  <c r="P511" i="19"/>
  <c r="P512" i="19"/>
  <c r="P513" i="19"/>
  <c r="P514" i="19"/>
  <c r="P515" i="19"/>
  <c r="P516" i="19"/>
  <c r="P517" i="19"/>
  <c r="P518" i="19"/>
  <c r="P519" i="19"/>
  <c r="P520" i="19"/>
  <c r="P521" i="19"/>
  <c r="P522" i="19"/>
  <c r="P523" i="19"/>
  <c r="P524" i="19"/>
  <c r="P525" i="19"/>
  <c r="P526" i="19"/>
  <c r="P527" i="19"/>
  <c r="P528" i="19"/>
  <c r="P529" i="19"/>
  <c r="P530" i="19"/>
  <c r="P531" i="19"/>
  <c r="P532" i="19"/>
  <c r="P533" i="19"/>
  <c r="P534" i="19"/>
  <c r="P535" i="19"/>
  <c r="P536" i="19"/>
  <c r="P537" i="19"/>
  <c r="P538" i="19"/>
  <c r="P539" i="19"/>
  <c r="P540" i="19"/>
  <c r="P541" i="19"/>
  <c r="P542" i="19"/>
  <c r="P543" i="19"/>
  <c r="P544" i="19"/>
  <c r="P545" i="19"/>
  <c r="P546" i="19"/>
  <c r="P547" i="19"/>
  <c r="P548" i="19"/>
  <c r="P549" i="19"/>
  <c r="P550" i="19"/>
  <c r="P551" i="19"/>
  <c r="P552" i="19"/>
  <c r="P553" i="19"/>
  <c r="P554" i="19"/>
  <c r="P555" i="19"/>
  <c r="P556" i="19"/>
  <c r="P557" i="19"/>
  <c r="P558" i="19"/>
  <c r="P559" i="19"/>
  <c r="P560" i="19"/>
  <c r="P561" i="19"/>
  <c r="P562" i="19"/>
  <c r="P563" i="19"/>
  <c r="P564" i="19"/>
  <c r="P565" i="19"/>
  <c r="P566" i="19"/>
  <c r="P567" i="19"/>
  <c r="P568" i="19"/>
  <c r="P569" i="19"/>
  <c r="P570" i="19"/>
  <c r="P571" i="19"/>
  <c r="P572" i="19"/>
  <c r="P573" i="19"/>
  <c r="P574" i="19"/>
  <c r="P575" i="19"/>
  <c r="P576" i="19"/>
  <c r="P577" i="19"/>
  <c r="P578" i="19"/>
  <c r="P579" i="19"/>
  <c r="P580" i="19"/>
  <c r="P581" i="19"/>
  <c r="P582" i="19"/>
  <c r="P583" i="19"/>
  <c r="P584" i="19"/>
  <c r="P585" i="19"/>
  <c r="P586" i="19"/>
  <c r="P587" i="19"/>
  <c r="P588" i="19"/>
  <c r="P589" i="19"/>
  <c r="P590" i="19"/>
  <c r="P591" i="19"/>
  <c r="P592" i="19"/>
  <c r="P593" i="19"/>
  <c r="P594" i="19"/>
  <c r="P595" i="19"/>
  <c r="P596" i="19"/>
  <c r="P597" i="19"/>
  <c r="P598" i="19"/>
  <c r="P599" i="19"/>
  <c r="P600" i="19"/>
  <c r="P601" i="19"/>
  <c r="P602" i="19"/>
  <c r="P603" i="19"/>
  <c r="P604" i="19"/>
  <c r="P605" i="19"/>
  <c r="P606" i="19"/>
  <c r="P607" i="19"/>
  <c r="P608" i="19"/>
  <c r="P609" i="19"/>
  <c r="P610" i="19"/>
  <c r="P611" i="19"/>
  <c r="P612" i="19"/>
  <c r="P613" i="19"/>
  <c r="P614" i="19"/>
  <c r="P615" i="19"/>
  <c r="P616" i="19"/>
  <c r="P617" i="19"/>
  <c r="P618" i="19"/>
  <c r="P619" i="19"/>
  <c r="P620" i="19"/>
  <c r="P621" i="19"/>
  <c r="P622" i="19"/>
  <c r="P623" i="19"/>
  <c r="P624" i="19"/>
  <c r="P625" i="19"/>
  <c r="P626" i="19"/>
  <c r="P627" i="19"/>
  <c r="P628" i="19"/>
  <c r="P629" i="19"/>
  <c r="P630" i="19"/>
  <c r="P631" i="19"/>
  <c r="P632" i="19"/>
  <c r="P633" i="19"/>
  <c r="P634" i="19"/>
  <c r="P635" i="19"/>
  <c r="P636" i="19"/>
  <c r="P637" i="19"/>
  <c r="P638" i="19"/>
  <c r="P639" i="19"/>
  <c r="P640" i="19"/>
  <c r="P641" i="19"/>
  <c r="P642" i="19"/>
  <c r="P643" i="19"/>
  <c r="P644" i="19"/>
  <c r="P645" i="19"/>
  <c r="P646" i="19"/>
  <c r="P647" i="19"/>
  <c r="P648" i="19"/>
  <c r="P649" i="19"/>
  <c r="P650" i="19"/>
  <c r="P651" i="19"/>
  <c r="P652" i="19"/>
  <c r="P653" i="19"/>
  <c r="P654" i="19"/>
  <c r="P655" i="19"/>
  <c r="P656" i="19"/>
  <c r="P657" i="19"/>
  <c r="P658" i="19"/>
  <c r="P659" i="19"/>
  <c r="P660" i="19"/>
  <c r="P661" i="19"/>
  <c r="P662" i="19"/>
  <c r="P663" i="19"/>
  <c r="P664" i="19"/>
  <c r="P665" i="19"/>
  <c r="P666" i="19"/>
  <c r="P667" i="19"/>
  <c r="P668" i="19"/>
  <c r="P669" i="19"/>
  <c r="P670" i="19"/>
  <c r="P671" i="19"/>
  <c r="P672" i="19"/>
  <c r="P673" i="19"/>
  <c r="P674" i="19"/>
  <c r="P675" i="19"/>
  <c r="P676" i="19"/>
  <c r="P677" i="19"/>
  <c r="P678" i="19"/>
  <c r="P679" i="19"/>
  <c r="P680" i="19"/>
  <c r="P681" i="19"/>
  <c r="P682" i="19"/>
  <c r="P683" i="19"/>
  <c r="P684" i="19"/>
  <c r="P685" i="19"/>
  <c r="P686" i="19"/>
  <c r="P687" i="19"/>
  <c r="P688" i="19"/>
  <c r="P689" i="19"/>
  <c r="P690" i="19"/>
  <c r="P691" i="19"/>
  <c r="P692" i="19"/>
  <c r="P693" i="19"/>
  <c r="P694" i="19"/>
  <c r="P695" i="19"/>
  <c r="P696" i="19"/>
  <c r="P697" i="19"/>
  <c r="P698" i="19"/>
  <c r="P699" i="19"/>
  <c r="P700" i="19"/>
  <c r="P701" i="19"/>
  <c r="P702" i="19"/>
  <c r="P703" i="19"/>
  <c r="P704" i="19"/>
  <c r="P705" i="19"/>
  <c r="P706" i="19"/>
  <c r="P707" i="19"/>
  <c r="P708" i="19"/>
  <c r="P709" i="19"/>
  <c r="P710" i="19"/>
  <c r="P711" i="19"/>
  <c r="P712" i="19"/>
  <c r="P713" i="19"/>
  <c r="P714" i="19"/>
  <c r="P715" i="19"/>
  <c r="P716" i="19"/>
  <c r="P717" i="19"/>
  <c r="P718" i="19"/>
  <c r="P719" i="19"/>
  <c r="P720" i="19"/>
  <c r="P721" i="19"/>
  <c r="P722" i="19"/>
  <c r="P723" i="19"/>
  <c r="P724" i="19"/>
  <c r="P725" i="19"/>
  <c r="P726" i="19"/>
  <c r="P727" i="19"/>
  <c r="P728" i="19"/>
  <c r="P729" i="19"/>
  <c r="P730" i="19"/>
  <c r="P731" i="19"/>
  <c r="P732" i="19"/>
  <c r="P733" i="19"/>
  <c r="P734" i="19"/>
  <c r="P735" i="19"/>
  <c r="P736" i="19"/>
  <c r="P737" i="19"/>
  <c r="P738" i="19"/>
  <c r="P739" i="19"/>
  <c r="P740" i="19"/>
  <c r="P741" i="19"/>
  <c r="P742" i="19"/>
  <c r="P743" i="19"/>
  <c r="P744" i="19"/>
  <c r="P745" i="19"/>
  <c r="P746" i="19"/>
  <c r="P747" i="19"/>
  <c r="P748" i="19"/>
  <c r="P749" i="19"/>
  <c r="P750" i="19"/>
  <c r="P751" i="19"/>
  <c r="P752" i="19"/>
  <c r="P753" i="19"/>
  <c r="P754" i="19"/>
  <c r="P755" i="19"/>
  <c r="P756" i="19"/>
  <c r="P757" i="19"/>
  <c r="P758" i="19"/>
  <c r="P759" i="19"/>
  <c r="P760" i="19"/>
  <c r="P761" i="19"/>
  <c r="P762" i="19"/>
  <c r="P763" i="19"/>
  <c r="P764" i="19"/>
  <c r="P765" i="19"/>
  <c r="P766" i="19"/>
  <c r="P767" i="19"/>
  <c r="P768" i="19"/>
  <c r="P769" i="19"/>
  <c r="P770" i="19"/>
  <c r="P771" i="19"/>
  <c r="P772" i="19"/>
  <c r="P773" i="19"/>
  <c r="P774" i="19"/>
  <c r="P775" i="19"/>
  <c r="P776" i="19"/>
  <c r="P777" i="19"/>
  <c r="P778" i="19"/>
  <c r="P779" i="19"/>
  <c r="P780" i="19"/>
  <c r="P781" i="19"/>
  <c r="P782" i="19"/>
  <c r="P783" i="19"/>
  <c r="P784" i="19"/>
  <c r="P785" i="19"/>
  <c r="P786" i="19"/>
  <c r="P787" i="19"/>
  <c r="P788" i="19"/>
  <c r="P789" i="19"/>
  <c r="P790" i="19"/>
  <c r="P791" i="19"/>
  <c r="P792" i="19"/>
  <c r="P793" i="19"/>
  <c r="P794" i="19"/>
  <c r="P795" i="19"/>
  <c r="P796" i="19"/>
  <c r="P797" i="19"/>
  <c r="P798" i="19"/>
  <c r="P799" i="19"/>
  <c r="P800" i="19"/>
  <c r="P801" i="19"/>
  <c r="P802" i="19"/>
  <c r="P803" i="19"/>
  <c r="P804" i="19"/>
  <c r="P805" i="19"/>
  <c r="P806" i="19"/>
  <c r="P807" i="19"/>
  <c r="P808" i="19"/>
  <c r="P809" i="19"/>
  <c r="P810" i="19"/>
  <c r="P811" i="19"/>
  <c r="P812" i="19"/>
  <c r="P813" i="19"/>
  <c r="P814" i="19"/>
  <c r="P815" i="19"/>
  <c r="P816" i="19"/>
  <c r="P817" i="19"/>
  <c r="P818" i="19"/>
  <c r="P819" i="19"/>
  <c r="P820" i="19"/>
  <c r="P821" i="19"/>
  <c r="P822" i="19"/>
  <c r="P823" i="19"/>
  <c r="P824" i="19"/>
  <c r="P825" i="19"/>
  <c r="P826" i="19"/>
  <c r="P827" i="19"/>
  <c r="P828" i="19"/>
  <c r="P829" i="19"/>
  <c r="P830" i="19"/>
  <c r="P831" i="19"/>
  <c r="P832" i="19"/>
  <c r="P833" i="19"/>
  <c r="P834" i="19"/>
  <c r="P835" i="19"/>
  <c r="P836" i="19"/>
  <c r="P837" i="19"/>
  <c r="P838" i="19"/>
  <c r="P839" i="19"/>
  <c r="P840" i="19"/>
  <c r="P841" i="19"/>
  <c r="P842" i="19"/>
  <c r="P843" i="19"/>
  <c r="P844" i="19"/>
  <c r="P845" i="19"/>
  <c r="P846" i="19"/>
  <c r="P847" i="19"/>
  <c r="P848" i="19"/>
  <c r="P849" i="19"/>
  <c r="P850" i="19"/>
  <c r="P851" i="19"/>
  <c r="P852" i="19"/>
  <c r="P853" i="19"/>
  <c r="P854" i="19"/>
  <c r="P855" i="19"/>
  <c r="P856" i="19"/>
  <c r="P857" i="19"/>
  <c r="P858" i="19"/>
  <c r="P859" i="19"/>
  <c r="P860" i="19"/>
  <c r="P861" i="19"/>
  <c r="P862" i="19"/>
  <c r="P863" i="19"/>
  <c r="P864" i="19"/>
  <c r="P865" i="19"/>
  <c r="P866" i="19"/>
  <c r="P867" i="19"/>
  <c r="P868" i="19"/>
  <c r="P869" i="19"/>
  <c r="P870" i="19"/>
  <c r="P871" i="19"/>
  <c r="P872" i="19"/>
  <c r="P873" i="19"/>
  <c r="P874" i="19"/>
  <c r="P875" i="19"/>
  <c r="P876" i="19"/>
  <c r="P877" i="19"/>
  <c r="P878" i="19"/>
  <c r="P879" i="19"/>
  <c r="P880" i="19"/>
  <c r="P881" i="19"/>
  <c r="P882" i="19"/>
  <c r="P883" i="19"/>
  <c r="P884" i="19"/>
  <c r="P885" i="19"/>
  <c r="P886" i="19"/>
  <c r="P887" i="19"/>
  <c r="P888" i="19"/>
  <c r="P889" i="19"/>
  <c r="P890" i="19"/>
  <c r="P891" i="19"/>
  <c r="P892" i="19"/>
  <c r="P893" i="19"/>
  <c r="P894" i="19"/>
  <c r="P895" i="19"/>
  <c r="P896" i="19"/>
  <c r="P897" i="19"/>
  <c r="P898" i="19"/>
  <c r="P899" i="19"/>
  <c r="P900" i="19"/>
  <c r="P901" i="19"/>
  <c r="P902" i="19"/>
  <c r="P903" i="19"/>
  <c r="P904" i="19"/>
  <c r="P905" i="19"/>
  <c r="P906" i="19"/>
  <c r="P907" i="19"/>
  <c r="P908" i="19"/>
  <c r="P909" i="19"/>
  <c r="P910" i="19"/>
  <c r="P911" i="19"/>
  <c r="P912" i="19"/>
  <c r="P913" i="19"/>
  <c r="P914" i="19"/>
  <c r="P915" i="19"/>
  <c r="P916" i="19"/>
  <c r="P917" i="19"/>
  <c r="P918" i="19"/>
  <c r="P919" i="19"/>
  <c r="P920" i="19"/>
  <c r="P921" i="19"/>
  <c r="P922" i="19"/>
  <c r="P923" i="19"/>
  <c r="P924" i="19"/>
  <c r="P925" i="19"/>
  <c r="P926" i="19"/>
  <c r="P927" i="19"/>
  <c r="P928" i="19"/>
  <c r="P929" i="19"/>
  <c r="P930" i="19"/>
  <c r="P931" i="19"/>
  <c r="P932" i="19"/>
  <c r="P933" i="19"/>
  <c r="P934" i="19"/>
  <c r="P935" i="19"/>
  <c r="P936" i="19"/>
  <c r="P937" i="19"/>
  <c r="P938" i="19"/>
  <c r="P939" i="19"/>
  <c r="P940" i="19"/>
  <c r="P941" i="19"/>
  <c r="P942" i="19"/>
  <c r="P943" i="19"/>
  <c r="P944" i="19"/>
  <c r="P945" i="19"/>
  <c r="P946" i="19"/>
  <c r="P947" i="19"/>
  <c r="P948" i="19"/>
  <c r="P949" i="19"/>
  <c r="P950" i="19"/>
  <c r="P951" i="19"/>
  <c r="P952" i="19"/>
  <c r="P953" i="19"/>
  <c r="P954" i="19"/>
  <c r="P955" i="19"/>
  <c r="P956" i="19"/>
  <c r="P957" i="19"/>
  <c r="P958" i="19"/>
  <c r="P959" i="19"/>
  <c r="P960" i="19"/>
  <c r="P961" i="19"/>
  <c r="P962" i="19"/>
  <c r="P963" i="19"/>
  <c r="P964" i="19"/>
  <c r="P965" i="19"/>
  <c r="P966" i="19"/>
  <c r="P967" i="19"/>
  <c r="P968" i="19"/>
  <c r="P969" i="19"/>
  <c r="P970" i="19"/>
  <c r="P971" i="19"/>
  <c r="P972" i="19"/>
  <c r="P973" i="19"/>
  <c r="P974" i="19"/>
  <c r="P975" i="19"/>
  <c r="P976" i="19"/>
  <c r="P977" i="19"/>
  <c r="P978" i="19"/>
  <c r="P979" i="19"/>
  <c r="P980" i="19"/>
  <c r="P981" i="19"/>
  <c r="P982" i="19"/>
  <c r="P983" i="19"/>
  <c r="P984" i="19"/>
  <c r="P985" i="19"/>
  <c r="P986" i="19"/>
  <c r="P987" i="19"/>
  <c r="P988" i="19"/>
  <c r="P989" i="19"/>
  <c r="P990" i="19"/>
  <c r="P991" i="19"/>
  <c r="P992" i="19"/>
  <c r="P993" i="19"/>
  <c r="P994" i="19"/>
  <c r="P995" i="19"/>
  <c r="P996" i="19"/>
  <c r="P997" i="19"/>
  <c r="P998" i="19"/>
  <c r="P999" i="19"/>
  <c r="P1000" i="19"/>
  <c r="P1001" i="19"/>
  <c r="P1002" i="19"/>
  <c r="P1003" i="19"/>
  <c r="P1004" i="19"/>
  <c r="P1005" i="19"/>
  <c r="P1006" i="19"/>
  <c r="P1007" i="19"/>
  <c r="P1008" i="19"/>
  <c r="P1009" i="19"/>
  <c r="P1010" i="19"/>
  <c r="P1011" i="19"/>
  <c r="P1012" i="19"/>
  <c r="P1013" i="19"/>
  <c r="P1014" i="19"/>
  <c r="P1015" i="19"/>
  <c r="P1016" i="19"/>
  <c r="P1017" i="19"/>
  <c r="P1018" i="19"/>
  <c r="P1019" i="19"/>
  <c r="P1020" i="19"/>
  <c r="P1021" i="19"/>
  <c r="P1022" i="19"/>
  <c r="P1023" i="19"/>
  <c r="P1024" i="19"/>
  <c r="P1025" i="19"/>
  <c r="P1026" i="19"/>
  <c r="P1027" i="19"/>
  <c r="P1028" i="19"/>
  <c r="P1029" i="19"/>
  <c r="P1030" i="19"/>
  <c r="P1031" i="19"/>
  <c r="P1032" i="19"/>
  <c r="P1033" i="19"/>
  <c r="P1034" i="19"/>
  <c r="P1035" i="19"/>
  <c r="P1036" i="19"/>
  <c r="P1037" i="19"/>
  <c r="P1038" i="19"/>
  <c r="P1039" i="19"/>
  <c r="P1040" i="19"/>
  <c r="P1041" i="19"/>
  <c r="P1042" i="19"/>
  <c r="P1043" i="19"/>
  <c r="P1044" i="19"/>
  <c r="P1045" i="19"/>
  <c r="P1046" i="19"/>
  <c r="P1047" i="19"/>
  <c r="P1048" i="19"/>
  <c r="P1049" i="19"/>
  <c r="P1050" i="19"/>
  <c r="P1051" i="19"/>
  <c r="P1052" i="19"/>
  <c r="P1053" i="19"/>
  <c r="P1054" i="19"/>
  <c r="P1055" i="19"/>
  <c r="P1056" i="19"/>
  <c r="P1057" i="19"/>
  <c r="P1058" i="19"/>
  <c r="P1059" i="19"/>
  <c r="P1060" i="19"/>
  <c r="P1061" i="19"/>
  <c r="P1062" i="19"/>
  <c r="P1063" i="19"/>
  <c r="P1064" i="19"/>
  <c r="P1065" i="19"/>
  <c r="P1066" i="19"/>
  <c r="P1067" i="19"/>
  <c r="P1068" i="19"/>
  <c r="P1069" i="19"/>
  <c r="P1070" i="19"/>
  <c r="P1071" i="19"/>
  <c r="P1072" i="19"/>
  <c r="P1073" i="19"/>
  <c r="P1074" i="19"/>
  <c r="P1075" i="19"/>
  <c r="P1076" i="19"/>
  <c r="P1077" i="19"/>
  <c r="P1078" i="19"/>
  <c r="P1079" i="19"/>
  <c r="P1080" i="19"/>
  <c r="P1081" i="19"/>
  <c r="P1082" i="19"/>
  <c r="P1083" i="19"/>
  <c r="P1084" i="19"/>
  <c r="P1085" i="19"/>
  <c r="P1086" i="19"/>
  <c r="P1087" i="19"/>
  <c r="P1088" i="19"/>
  <c r="P1089" i="19"/>
  <c r="P1090" i="19"/>
  <c r="P1091" i="19"/>
  <c r="P1092" i="19"/>
  <c r="P1093" i="19"/>
  <c r="P1094" i="19"/>
  <c r="P1095" i="19"/>
  <c r="P1096" i="19"/>
  <c r="P1097" i="19"/>
  <c r="P1098" i="19"/>
  <c r="P1099" i="19"/>
  <c r="P1100" i="19"/>
  <c r="P1101" i="19"/>
  <c r="P1102" i="19"/>
  <c r="P1103" i="19"/>
  <c r="P1104" i="19"/>
  <c r="P1105" i="19"/>
  <c r="P1106" i="19"/>
  <c r="P1107" i="19"/>
  <c r="P1108" i="19"/>
  <c r="P1109" i="19"/>
  <c r="P1110" i="19"/>
  <c r="AA10" i="19"/>
  <c r="Z10" i="19"/>
  <c r="Y10" i="19"/>
  <c r="X10" i="19"/>
  <c r="W10" i="19"/>
  <c r="V10" i="19"/>
  <c r="U10" i="19"/>
  <c r="T10" i="19"/>
  <c r="S10" i="19"/>
  <c r="R10" i="19"/>
  <c r="Q10" i="19"/>
  <c r="P10" i="19"/>
  <c r="K11" i="19"/>
  <c r="K12" i="19"/>
  <c r="K13" i="19"/>
  <c r="K14" i="19"/>
  <c r="K15" i="19"/>
  <c r="K16" i="19"/>
  <c r="K17" i="19"/>
  <c r="K18" i="19"/>
  <c r="K19" i="19"/>
  <c r="K20" i="19"/>
  <c r="K21" i="19"/>
  <c r="K22" i="19"/>
  <c r="K23" i="19"/>
  <c r="K24" i="19"/>
  <c r="K25" i="19"/>
  <c r="K26" i="19"/>
  <c r="K27" i="19"/>
  <c r="K28" i="19"/>
  <c r="K29" i="19"/>
  <c r="K30" i="19"/>
  <c r="K31" i="19"/>
  <c r="K32" i="19"/>
  <c r="K33" i="19"/>
  <c r="K34" i="19"/>
  <c r="K35" i="19"/>
  <c r="K36" i="19"/>
  <c r="K37" i="19"/>
  <c r="K38" i="19"/>
  <c r="K39" i="19"/>
  <c r="K40" i="19"/>
  <c r="K41" i="19"/>
  <c r="K42" i="19"/>
  <c r="K43" i="19"/>
  <c r="K44" i="19"/>
  <c r="K45" i="19"/>
  <c r="K46" i="19"/>
  <c r="K47" i="19"/>
  <c r="K48" i="19"/>
  <c r="K49" i="19"/>
  <c r="K50" i="19"/>
  <c r="K51" i="19"/>
  <c r="K52" i="19"/>
  <c r="K53" i="19"/>
  <c r="K54" i="19"/>
  <c r="K55" i="19"/>
  <c r="K56" i="19"/>
  <c r="K57" i="19"/>
  <c r="K58" i="19"/>
  <c r="K59" i="19"/>
  <c r="K60" i="19"/>
  <c r="K61" i="19"/>
  <c r="K62" i="19"/>
  <c r="K63" i="19"/>
  <c r="K64" i="19"/>
  <c r="K65" i="19"/>
  <c r="K66" i="19"/>
  <c r="K67" i="19"/>
  <c r="K68" i="19"/>
  <c r="K69" i="19"/>
  <c r="K70" i="19"/>
  <c r="K71" i="19"/>
  <c r="K72" i="19"/>
  <c r="K73" i="19"/>
  <c r="K74" i="19"/>
  <c r="K75" i="19"/>
  <c r="K76" i="19"/>
  <c r="K77" i="19"/>
  <c r="K78" i="19"/>
  <c r="K79" i="19"/>
  <c r="K80" i="19"/>
  <c r="K81" i="19"/>
  <c r="K82" i="19"/>
  <c r="K83" i="19"/>
  <c r="K84" i="19"/>
  <c r="K85" i="19"/>
  <c r="K86" i="19"/>
  <c r="K87" i="19"/>
  <c r="K88" i="19"/>
  <c r="K89" i="19"/>
  <c r="K90" i="19"/>
  <c r="K91" i="19"/>
  <c r="K92" i="19"/>
  <c r="K93" i="19"/>
  <c r="K94" i="19"/>
  <c r="K95" i="19"/>
  <c r="K96" i="19"/>
  <c r="K97" i="19"/>
  <c r="K98" i="19"/>
  <c r="K99" i="19"/>
  <c r="K100" i="19"/>
  <c r="K101" i="19"/>
  <c r="K102" i="19"/>
  <c r="K103" i="19"/>
  <c r="K104" i="19"/>
  <c r="K105" i="19"/>
  <c r="K106" i="19"/>
  <c r="K107" i="19"/>
  <c r="K108" i="19"/>
  <c r="K109" i="19"/>
  <c r="K110" i="19"/>
  <c r="K111" i="19"/>
  <c r="K112" i="19"/>
  <c r="K113" i="19"/>
  <c r="K114" i="19"/>
  <c r="K115" i="19"/>
  <c r="K116" i="19"/>
  <c r="K117" i="19"/>
  <c r="K118" i="19"/>
  <c r="K119" i="19"/>
  <c r="K120" i="19"/>
  <c r="K121" i="19"/>
  <c r="K122" i="19"/>
  <c r="K123" i="19"/>
  <c r="K124" i="19"/>
  <c r="K125" i="19"/>
  <c r="K126" i="19"/>
  <c r="K127" i="19"/>
  <c r="K128" i="19"/>
  <c r="K129" i="19"/>
  <c r="K130" i="19"/>
  <c r="K131" i="19"/>
  <c r="K132" i="19"/>
  <c r="K133" i="19"/>
  <c r="K134" i="19"/>
  <c r="K135" i="19"/>
  <c r="K136" i="19"/>
  <c r="K137" i="19"/>
  <c r="K138" i="19"/>
  <c r="K139" i="19"/>
  <c r="K140" i="19"/>
  <c r="K141" i="19"/>
  <c r="K142" i="19"/>
  <c r="K143" i="19"/>
  <c r="K144" i="19"/>
  <c r="K145" i="19"/>
  <c r="K146" i="19"/>
  <c r="K147" i="19"/>
  <c r="K148" i="19"/>
  <c r="K149" i="19"/>
  <c r="K150" i="19"/>
  <c r="K151" i="19"/>
  <c r="K152" i="19"/>
  <c r="K153" i="19"/>
  <c r="K154" i="19"/>
  <c r="K155" i="19"/>
  <c r="K156" i="19"/>
  <c r="K157" i="19"/>
  <c r="K158" i="19"/>
  <c r="K159" i="19"/>
  <c r="K160" i="19"/>
  <c r="K161" i="19"/>
  <c r="K162" i="19"/>
  <c r="K163" i="19"/>
  <c r="K164" i="19"/>
  <c r="K165" i="19"/>
  <c r="K166" i="19"/>
  <c r="K167" i="19"/>
  <c r="K168" i="19"/>
  <c r="K169" i="19"/>
  <c r="K170" i="19"/>
  <c r="K171" i="19"/>
  <c r="K172" i="19"/>
  <c r="K173" i="19"/>
  <c r="K174" i="19"/>
  <c r="K175" i="19"/>
  <c r="K176" i="19"/>
  <c r="K177" i="19"/>
  <c r="K178" i="19"/>
  <c r="K179" i="19"/>
  <c r="K180" i="19"/>
  <c r="K181" i="19"/>
  <c r="K182" i="19"/>
  <c r="K183" i="19"/>
  <c r="K184" i="19"/>
  <c r="K185" i="19"/>
  <c r="K186" i="19"/>
  <c r="K187" i="19"/>
  <c r="K188" i="19"/>
  <c r="K189" i="19"/>
  <c r="K190" i="19"/>
  <c r="K191" i="19"/>
  <c r="K192" i="19"/>
  <c r="K193" i="19"/>
  <c r="K194" i="19"/>
  <c r="K195" i="19"/>
  <c r="K196" i="19"/>
  <c r="K197" i="19"/>
  <c r="K198" i="19"/>
  <c r="K199" i="19"/>
  <c r="K200" i="19"/>
  <c r="K201" i="19"/>
  <c r="K202" i="19"/>
  <c r="K203" i="19"/>
  <c r="K204" i="19"/>
  <c r="K205" i="19"/>
  <c r="K206" i="19"/>
  <c r="K207" i="19"/>
  <c r="K208" i="19"/>
  <c r="K209" i="19"/>
  <c r="K210" i="19"/>
  <c r="K211" i="19"/>
  <c r="K212" i="19"/>
  <c r="K213" i="19"/>
  <c r="K214" i="19"/>
  <c r="K215" i="19"/>
  <c r="K216" i="19"/>
  <c r="K217" i="19"/>
  <c r="K218" i="19"/>
  <c r="K219" i="19"/>
  <c r="K220" i="19"/>
  <c r="K221" i="19"/>
  <c r="K222" i="19"/>
  <c r="K223" i="19"/>
  <c r="K224" i="19"/>
  <c r="K225" i="19"/>
  <c r="K226" i="19"/>
  <c r="K227" i="19"/>
  <c r="K228" i="19"/>
  <c r="K229" i="19"/>
  <c r="K230" i="19"/>
  <c r="K231" i="19"/>
  <c r="K232" i="19"/>
  <c r="K233" i="19"/>
  <c r="K234" i="19"/>
  <c r="K235" i="19"/>
  <c r="K236" i="19"/>
  <c r="K237" i="19"/>
  <c r="K238" i="19"/>
  <c r="K239" i="19"/>
  <c r="K240" i="19"/>
  <c r="K241" i="19"/>
  <c r="K242" i="19"/>
  <c r="K243" i="19"/>
  <c r="K244" i="19"/>
  <c r="K245" i="19"/>
  <c r="K246" i="19"/>
  <c r="K247" i="19"/>
  <c r="K248" i="19"/>
  <c r="K249" i="19"/>
  <c r="K250" i="19"/>
  <c r="K251" i="19"/>
  <c r="K252" i="19"/>
  <c r="K253" i="19"/>
  <c r="K254" i="19"/>
  <c r="K255" i="19"/>
  <c r="K256" i="19"/>
  <c r="K257" i="19"/>
  <c r="K258" i="19"/>
  <c r="K259" i="19"/>
  <c r="K260" i="19"/>
  <c r="K261" i="19"/>
  <c r="K262" i="19"/>
  <c r="K263" i="19"/>
  <c r="K264" i="19"/>
  <c r="K265" i="19"/>
  <c r="K266" i="19"/>
  <c r="K267" i="19"/>
  <c r="K268" i="19"/>
  <c r="K269" i="19"/>
  <c r="K270" i="19"/>
  <c r="K271" i="19"/>
  <c r="K272" i="19"/>
  <c r="K273" i="19"/>
  <c r="K274" i="19"/>
  <c r="K275" i="19"/>
  <c r="K276" i="19"/>
  <c r="K277" i="19"/>
  <c r="K278" i="19"/>
  <c r="K279" i="19"/>
  <c r="K280" i="19"/>
  <c r="K281" i="19"/>
  <c r="K282" i="19"/>
  <c r="K283" i="19"/>
  <c r="K284" i="19"/>
  <c r="K285" i="19"/>
  <c r="K286" i="19"/>
  <c r="K287" i="19"/>
  <c r="K288" i="19"/>
  <c r="K289" i="19"/>
  <c r="K290" i="19"/>
  <c r="K291" i="19"/>
  <c r="K292" i="19"/>
  <c r="K293" i="19"/>
  <c r="K294" i="19"/>
  <c r="K295" i="19"/>
  <c r="K296" i="19"/>
  <c r="K297" i="19"/>
  <c r="K298" i="19"/>
  <c r="K299" i="19"/>
  <c r="K300" i="19"/>
  <c r="K301" i="19"/>
  <c r="K302" i="19"/>
  <c r="K303" i="19"/>
  <c r="K304" i="19"/>
  <c r="K305" i="19"/>
  <c r="K306" i="19"/>
  <c r="K307" i="19"/>
  <c r="K308" i="19"/>
  <c r="K309" i="19"/>
  <c r="K310" i="19"/>
  <c r="K311" i="19"/>
  <c r="K312" i="19"/>
  <c r="K313" i="19"/>
  <c r="K314" i="19"/>
  <c r="K315" i="19"/>
  <c r="K316" i="19"/>
  <c r="K317" i="19"/>
  <c r="K318" i="19"/>
  <c r="K319" i="19"/>
  <c r="K320" i="19"/>
  <c r="K321" i="19"/>
  <c r="K322" i="19"/>
  <c r="K323" i="19"/>
  <c r="K324" i="19"/>
  <c r="K325" i="19"/>
  <c r="K326" i="19"/>
  <c r="K327" i="19"/>
  <c r="K328" i="19"/>
  <c r="K329" i="19"/>
  <c r="K330" i="19"/>
  <c r="K331" i="19"/>
  <c r="K332" i="19"/>
  <c r="K333" i="19"/>
  <c r="K334" i="19"/>
  <c r="K335" i="19"/>
  <c r="K336" i="19"/>
  <c r="K337" i="19"/>
  <c r="K338" i="19"/>
  <c r="K339" i="19"/>
  <c r="K340" i="19"/>
  <c r="K341" i="19"/>
  <c r="K342" i="19"/>
  <c r="K343" i="19"/>
  <c r="K344" i="19"/>
  <c r="K345" i="19"/>
  <c r="K346" i="19"/>
  <c r="K347" i="19"/>
  <c r="K348" i="19"/>
  <c r="K349" i="19"/>
  <c r="K350" i="19"/>
  <c r="K351" i="19"/>
  <c r="K352" i="19"/>
  <c r="K353" i="19"/>
  <c r="K354" i="19"/>
  <c r="K355" i="19"/>
  <c r="K356" i="19"/>
  <c r="K357" i="19"/>
  <c r="K358" i="19"/>
  <c r="K359" i="19"/>
  <c r="K360" i="19"/>
  <c r="K361" i="19"/>
  <c r="K362" i="19"/>
  <c r="K363" i="19"/>
  <c r="K364" i="19"/>
  <c r="K365" i="19"/>
  <c r="K366" i="19"/>
  <c r="K367" i="19"/>
  <c r="K368" i="19"/>
  <c r="K369" i="19"/>
  <c r="K370" i="19"/>
  <c r="K371" i="19"/>
  <c r="K372" i="19"/>
  <c r="K373" i="19"/>
  <c r="K374" i="19"/>
  <c r="K375" i="19"/>
  <c r="K376" i="19"/>
  <c r="K377" i="19"/>
  <c r="K378" i="19"/>
  <c r="K379" i="19"/>
  <c r="K380" i="19"/>
  <c r="K381" i="19"/>
  <c r="K382" i="19"/>
  <c r="K383" i="19"/>
  <c r="K384" i="19"/>
  <c r="K385" i="19"/>
  <c r="K386" i="19"/>
  <c r="K387" i="19"/>
  <c r="K388" i="19"/>
  <c r="K389" i="19"/>
  <c r="K390" i="19"/>
  <c r="K391" i="19"/>
  <c r="K392" i="19"/>
  <c r="K393" i="19"/>
  <c r="K394" i="19"/>
  <c r="K395" i="19"/>
  <c r="K396" i="19"/>
  <c r="K397" i="19"/>
  <c r="K398" i="19"/>
  <c r="K399" i="19"/>
  <c r="K400" i="19"/>
  <c r="K401" i="19"/>
  <c r="K402" i="19"/>
  <c r="K403" i="19"/>
  <c r="K404" i="19"/>
  <c r="K405" i="19"/>
  <c r="K406" i="19"/>
  <c r="K407" i="19"/>
  <c r="K408" i="19"/>
  <c r="K409" i="19"/>
  <c r="K410" i="19"/>
  <c r="K411" i="19"/>
  <c r="K412" i="19"/>
  <c r="K413" i="19"/>
  <c r="K414" i="19"/>
  <c r="K415" i="19"/>
  <c r="K416" i="19"/>
  <c r="K417" i="19"/>
  <c r="K418" i="19"/>
  <c r="K419" i="19"/>
  <c r="K420" i="19"/>
  <c r="K421" i="19"/>
  <c r="K422" i="19"/>
  <c r="K423" i="19"/>
  <c r="K424" i="19"/>
  <c r="K425" i="19"/>
  <c r="K426" i="19"/>
  <c r="K427" i="19"/>
  <c r="K428" i="19"/>
  <c r="K429" i="19"/>
  <c r="K430" i="19"/>
  <c r="K431" i="19"/>
  <c r="K432" i="19"/>
  <c r="K433" i="19"/>
  <c r="K434" i="19"/>
  <c r="K435" i="19"/>
  <c r="K436" i="19"/>
  <c r="K437" i="19"/>
  <c r="K438" i="19"/>
  <c r="K439" i="19"/>
  <c r="K440" i="19"/>
  <c r="K441" i="19"/>
  <c r="K442" i="19"/>
  <c r="K443" i="19"/>
  <c r="K444" i="19"/>
  <c r="K445" i="19"/>
  <c r="K446" i="19"/>
  <c r="K447" i="19"/>
  <c r="K448" i="19"/>
  <c r="K449" i="19"/>
  <c r="K450" i="19"/>
  <c r="K451" i="19"/>
  <c r="K452" i="19"/>
  <c r="K453" i="19"/>
  <c r="K454" i="19"/>
  <c r="K455" i="19"/>
  <c r="K456" i="19"/>
  <c r="K457" i="19"/>
  <c r="K458" i="19"/>
  <c r="K459" i="19"/>
  <c r="K460" i="19"/>
  <c r="K461" i="19"/>
  <c r="K462" i="19"/>
  <c r="K463" i="19"/>
  <c r="K464" i="19"/>
  <c r="K465" i="19"/>
  <c r="K466" i="19"/>
  <c r="K467" i="19"/>
  <c r="K468" i="19"/>
  <c r="K469" i="19"/>
  <c r="K470" i="19"/>
  <c r="K471" i="19"/>
  <c r="K472" i="19"/>
  <c r="K473" i="19"/>
  <c r="K474" i="19"/>
  <c r="K475" i="19"/>
  <c r="K476" i="19"/>
  <c r="K477" i="19"/>
  <c r="K478" i="19"/>
  <c r="K479" i="19"/>
  <c r="K480" i="19"/>
  <c r="K481" i="19"/>
  <c r="K482" i="19"/>
  <c r="K483" i="19"/>
  <c r="K484" i="19"/>
  <c r="K485" i="19"/>
  <c r="K486" i="19"/>
  <c r="K487" i="19"/>
  <c r="K488" i="19"/>
  <c r="K489" i="19"/>
  <c r="K490" i="19"/>
  <c r="K491" i="19"/>
  <c r="K492" i="19"/>
  <c r="K493" i="19"/>
  <c r="K494" i="19"/>
  <c r="K495" i="19"/>
  <c r="K496" i="19"/>
  <c r="K497" i="19"/>
  <c r="K498" i="19"/>
  <c r="K499" i="19"/>
  <c r="K500" i="19"/>
  <c r="K501" i="19"/>
  <c r="K502" i="19"/>
  <c r="K503" i="19"/>
  <c r="K504" i="19"/>
  <c r="K505" i="19"/>
  <c r="K506" i="19"/>
  <c r="K507" i="19"/>
  <c r="K508" i="19"/>
  <c r="K509" i="19"/>
  <c r="K510" i="19"/>
  <c r="K511" i="19"/>
  <c r="K512" i="19"/>
  <c r="K513" i="19"/>
  <c r="K514" i="19"/>
  <c r="K515" i="19"/>
  <c r="K516" i="19"/>
  <c r="K517" i="19"/>
  <c r="K518" i="19"/>
  <c r="K519" i="19"/>
  <c r="K520" i="19"/>
  <c r="K521" i="19"/>
  <c r="K522" i="19"/>
  <c r="K523" i="19"/>
  <c r="K524" i="19"/>
  <c r="K525" i="19"/>
  <c r="K526" i="19"/>
  <c r="K527" i="19"/>
  <c r="K528" i="19"/>
  <c r="K529" i="19"/>
  <c r="K530" i="19"/>
  <c r="K531" i="19"/>
  <c r="K532" i="19"/>
  <c r="K533" i="19"/>
  <c r="K534" i="19"/>
  <c r="K535" i="19"/>
  <c r="K536" i="19"/>
  <c r="K537" i="19"/>
  <c r="K538" i="19"/>
  <c r="K539" i="19"/>
  <c r="K540" i="19"/>
  <c r="K541" i="19"/>
  <c r="K542" i="19"/>
  <c r="K543" i="19"/>
  <c r="K544" i="19"/>
  <c r="K545" i="19"/>
  <c r="K546" i="19"/>
  <c r="K547" i="19"/>
  <c r="K548" i="19"/>
  <c r="K549" i="19"/>
  <c r="K550" i="19"/>
  <c r="K551" i="19"/>
  <c r="K552" i="19"/>
  <c r="K553" i="19"/>
  <c r="K554" i="19"/>
  <c r="K555" i="19"/>
  <c r="K556" i="19"/>
  <c r="K557" i="19"/>
  <c r="K558" i="19"/>
  <c r="K559" i="19"/>
  <c r="K560" i="19"/>
  <c r="K561" i="19"/>
  <c r="K562" i="19"/>
  <c r="K563" i="19"/>
  <c r="K564" i="19"/>
  <c r="K565" i="19"/>
  <c r="K566" i="19"/>
  <c r="K567" i="19"/>
  <c r="K568" i="19"/>
  <c r="K569" i="19"/>
  <c r="K570" i="19"/>
  <c r="K571" i="19"/>
  <c r="K572" i="19"/>
  <c r="K573" i="19"/>
  <c r="K574" i="19"/>
  <c r="K575" i="19"/>
  <c r="K576" i="19"/>
  <c r="K577" i="19"/>
  <c r="K578" i="19"/>
  <c r="K579" i="19"/>
  <c r="K580" i="19"/>
  <c r="K581" i="19"/>
  <c r="K582" i="19"/>
  <c r="K583" i="19"/>
  <c r="K584" i="19"/>
  <c r="K585" i="19"/>
  <c r="K586" i="19"/>
  <c r="K587" i="19"/>
  <c r="K588" i="19"/>
  <c r="K589" i="19"/>
  <c r="K590" i="19"/>
  <c r="K591" i="19"/>
  <c r="K592" i="19"/>
  <c r="K593" i="19"/>
  <c r="K594" i="19"/>
  <c r="K595" i="19"/>
  <c r="K596" i="19"/>
  <c r="K597" i="19"/>
  <c r="K598" i="19"/>
  <c r="K599" i="19"/>
  <c r="K600" i="19"/>
  <c r="K601" i="19"/>
  <c r="K602" i="19"/>
  <c r="K603" i="19"/>
  <c r="K604" i="19"/>
  <c r="K605" i="19"/>
  <c r="K606" i="19"/>
  <c r="K607" i="19"/>
  <c r="K608" i="19"/>
  <c r="K609" i="19"/>
  <c r="K610" i="19"/>
  <c r="K611" i="19"/>
  <c r="K612" i="19"/>
  <c r="K613" i="19"/>
  <c r="K614" i="19"/>
  <c r="K615" i="19"/>
  <c r="K616" i="19"/>
  <c r="K617" i="19"/>
  <c r="K618" i="19"/>
  <c r="K619" i="19"/>
  <c r="K620" i="19"/>
  <c r="K621" i="19"/>
  <c r="K622" i="19"/>
  <c r="K623" i="19"/>
  <c r="K624" i="19"/>
  <c r="K625" i="19"/>
  <c r="K626" i="19"/>
  <c r="K627" i="19"/>
  <c r="K628" i="19"/>
  <c r="K629" i="19"/>
  <c r="K630" i="19"/>
  <c r="K631" i="19"/>
  <c r="K632" i="19"/>
  <c r="K633" i="19"/>
  <c r="K634" i="19"/>
  <c r="K635" i="19"/>
  <c r="K636" i="19"/>
  <c r="K637" i="19"/>
  <c r="K638" i="19"/>
  <c r="K639" i="19"/>
  <c r="K640" i="19"/>
  <c r="K641" i="19"/>
  <c r="K642" i="19"/>
  <c r="K643" i="19"/>
  <c r="K644" i="19"/>
  <c r="K645" i="19"/>
  <c r="K646" i="19"/>
  <c r="K647" i="19"/>
  <c r="K648" i="19"/>
  <c r="K649" i="19"/>
  <c r="K650" i="19"/>
  <c r="K651" i="19"/>
  <c r="K652" i="19"/>
  <c r="K653" i="19"/>
  <c r="K654" i="19"/>
  <c r="K655" i="19"/>
  <c r="K656" i="19"/>
  <c r="K657" i="19"/>
  <c r="K658" i="19"/>
  <c r="K659" i="19"/>
  <c r="K660" i="19"/>
  <c r="K661" i="19"/>
  <c r="K662" i="19"/>
  <c r="K663" i="19"/>
  <c r="K664" i="19"/>
  <c r="K665" i="19"/>
  <c r="K666" i="19"/>
  <c r="K667" i="19"/>
  <c r="K668" i="19"/>
  <c r="K669" i="19"/>
  <c r="K670" i="19"/>
  <c r="K671" i="19"/>
  <c r="K672" i="19"/>
  <c r="K673" i="19"/>
  <c r="K674" i="19"/>
  <c r="K675" i="19"/>
  <c r="K676" i="19"/>
  <c r="K677" i="19"/>
  <c r="K678" i="19"/>
  <c r="K679" i="19"/>
  <c r="K680" i="19"/>
  <c r="K681" i="19"/>
  <c r="K682" i="19"/>
  <c r="K683" i="19"/>
  <c r="K684" i="19"/>
  <c r="K685" i="19"/>
  <c r="K686" i="19"/>
  <c r="K687" i="19"/>
  <c r="K688" i="19"/>
  <c r="K689" i="19"/>
  <c r="K690" i="19"/>
  <c r="K691" i="19"/>
  <c r="K692" i="19"/>
  <c r="K693" i="19"/>
  <c r="K694" i="19"/>
  <c r="K695" i="19"/>
  <c r="K696" i="19"/>
  <c r="K697" i="19"/>
  <c r="K698" i="19"/>
  <c r="K699" i="19"/>
  <c r="K700" i="19"/>
  <c r="K701" i="19"/>
  <c r="K702" i="19"/>
  <c r="K703" i="19"/>
  <c r="K704" i="19"/>
  <c r="K705" i="19"/>
  <c r="K706" i="19"/>
  <c r="K707" i="19"/>
  <c r="K708" i="19"/>
  <c r="K709" i="19"/>
  <c r="K710" i="19"/>
  <c r="K711" i="19"/>
  <c r="K712" i="19"/>
  <c r="K713" i="19"/>
  <c r="K714" i="19"/>
  <c r="K715" i="19"/>
  <c r="K716" i="19"/>
  <c r="K717" i="19"/>
  <c r="K718" i="19"/>
  <c r="K719" i="19"/>
  <c r="K720" i="19"/>
  <c r="K721" i="19"/>
  <c r="K722" i="19"/>
  <c r="K723" i="19"/>
  <c r="K724" i="19"/>
  <c r="K725" i="19"/>
  <c r="K726" i="19"/>
  <c r="K727" i="19"/>
  <c r="K728" i="19"/>
  <c r="K729" i="19"/>
  <c r="K730" i="19"/>
  <c r="K731" i="19"/>
  <c r="K732" i="19"/>
  <c r="K733" i="19"/>
  <c r="K734" i="19"/>
  <c r="K735" i="19"/>
  <c r="K736" i="19"/>
  <c r="K737" i="19"/>
  <c r="K738" i="19"/>
  <c r="K739" i="19"/>
  <c r="K740" i="19"/>
  <c r="K741" i="19"/>
  <c r="K742" i="19"/>
  <c r="K743" i="19"/>
  <c r="K744" i="19"/>
  <c r="K745" i="19"/>
  <c r="K746" i="19"/>
  <c r="K747" i="19"/>
  <c r="K748" i="19"/>
  <c r="K749" i="19"/>
  <c r="K750" i="19"/>
  <c r="K751" i="19"/>
  <c r="K752" i="19"/>
  <c r="K753" i="19"/>
  <c r="K754" i="19"/>
  <c r="K755" i="19"/>
  <c r="K756" i="19"/>
  <c r="K757" i="19"/>
  <c r="K758" i="19"/>
  <c r="K759" i="19"/>
  <c r="K760" i="19"/>
  <c r="K761" i="19"/>
  <c r="K762" i="19"/>
  <c r="K763" i="19"/>
  <c r="K764" i="19"/>
  <c r="K765" i="19"/>
  <c r="K766" i="19"/>
  <c r="K767" i="19"/>
  <c r="K768" i="19"/>
  <c r="K769" i="19"/>
  <c r="K770" i="19"/>
  <c r="K771" i="19"/>
  <c r="K772" i="19"/>
  <c r="K773" i="19"/>
  <c r="K774" i="19"/>
  <c r="K775" i="19"/>
  <c r="K776" i="19"/>
  <c r="K777" i="19"/>
  <c r="K778" i="19"/>
  <c r="K779" i="19"/>
  <c r="K780" i="19"/>
  <c r="K781" i="19"/>
  <c r="K782" i="19"/>
  <c r="K783" i="19"/>
  <c r="K784" i="19"/>
  <c r="K785" i="19"/>
  <c r="K786" i="19"/>
  <c r="K787" i="19"/>
  <c r="K788" i="19"/>
  <c r="K789" i="19"/>
  <c r="K790" i="19"/>
  <c r="K791" i="19"/>
  <c r="K792" i="19"/>
  <c r="K793" i="19"/>
  <c r="K794" i="19"/>
  <c r="K795" i="19"/>
  <c r="K796" i="19"/>
  <c r="K797" i="19"/>
  <c r="K798" i="19"/>
  <c r="K799" i="19"/>
  <c r="K800" i="19"/>
  <c r="K801" i="19"/>
  <c r="K802" i="19"/>
  <c r="K803" i="19"/>
  <c r="K804" i="19"/>
  <c r="K805" i="19"/>
  <c r="K806" i="19"/>
  <c r="K807" i="19"/>
  <c r="K808" i="19"/>
  <c r="K809" i="19"/>
  <c r="K810" i="19"/>
  <c r="K811" i="19"/>
  <c r="K812" i="19"/>
  <c r="K813" i="19"/>
  <c r="K814" i="19"/>
  <c r="K815" i="19"/>
  <c r="K816" i="19"/>
  <c r="K817" i="19"/>
  <c r="K818" i="19"/>
  <c r="K819" i="19"/>
  <c r="K820" i="19"/>
  <c r="K821" i="19"/>
  <c r="K822" i="19"/>
  <c r="K823" i="19"/>
  <c r="K824" i="19"/>
  <c r="K825" i="19"/>
  <c r="K826" i="19"/>
  <c r="K827" i="19"/>
  <c r="K828" i="19"/>
  <c r="K829" i="19"/>
  <c r="K830" i="19"/>
  <c r="K831" i="19"/>
  <c r="K832" i="19"/>
  <c r="K833" i="19"/>
  <c r="K834" i="19"/>
  <c r="K835" i="19"/>
  <c r="K836" i="19"/>
  <c r="K837" i="19"/>
  <c r="K838" i="19"/>
  <c r="K839" i="19"/>
  <c r="K840" i="19"/>
  <c r="K841" i="19"/>
  <c r="K842" i="19"/>
  <c r="K843" i="19"/>
  <c r="K844" i="19"/>
  <c r="K845" i="19"/>
  <c r="K846" i="19"/>
  <c r="K847" i="19"/>
  <c r="K848" i="19"/>
  <c r="K849" i="19"/>
  <c r="K850" i="19"/>
  <c r="K851" i="19"/>
  <c r="K852" i="19"/>
  <c r="K853" i="19"/>
  <c r="K854" i="19"/>
  <c r="K855" i="19"/>
  <c r="K856" i="19"/>
  <c r="K857" i="19"/>
  <c r="K858" i="19"/>
  <c r="K859" i="19"/>
  <c r="K860" i="19"/>
  <c r="K861" i="19"/>
  <c r="K862" i="19"/>
  <c r="K863" i="19"/>
  <c r="K864" i="19"/>
  <c r="K865" i="19"/>
  <c r="K866" i="19"/>
  <c r="K867" i="19"/>
  <c r="K868" i="19"/>
  <c r="K869" i="19"/>
  <c r="K870" i="19"/>
  <c r="K871" i="19"/>
  <c r="K872" i="19"/>
  <c r="K873" i="19"/>
  <c r="K874" i="19"/>
  <c r="K875" i="19"/>
  <c r="K876" i="19"/>
  <c r="K877" i="19"/>
  <c r="K878" i="19"/>
  <c r="K879" i="19"/>
  <c r="K880" i="19"/>
  <c r="K881" i="19"/>
  <c r="K882" i="19"/>
  <c r="K883" i="19"/>
  <c r="K884" i="19"/>
  <c r="K885" i="19"/>
  <c r="K886" i="19"/>
  <c r="K887" i="19"/>
  <c r="K888" i="19"/>
  <c r="K889" i="19"/>
  <c r="K890" i="19"/>
  <c r="K891" i="19"/>
  <c r="K892" i="19"/>
  <c r="K893" i="19"/>
  <c r="K894" i="19"/>
  <c r="K895" i="19"/>
  <c r="K896" i="19"/>
  <c r="K897" i="19"/>
  <c r="K898" i="19"/>
  <c r="K899" i="19"/>
  <c r="K900" i="19"/>
  <c r="K901" i="19"/>
  <c r="K902" i="19"/>
  <c r="K903" i="19"/>
  <c r="K904" i="19"/>
  <c r="K905" i="19"/>
  <c r="K906" i="19"/>
  <c r="K907" i="19"/>
  <c r="K908" i="19"/>
  <c r="K909" i="19"/>
  <c r="K910" i="19"/>
  <c r="K911" i="19"/>
  <c r="K912" i="19"/>
  <c r="K913" i="19"/>
  <c r="K914" i="19"/>
  <c r="K915" i="19"/>
  <c r="K916" i="19"/>
  <c r="K917" i="19"/>
  <c r="K918" i="19"/>
  <c r="K919" i="19"/>
  <c r="K920" i="19"/>
  <c r="K921" i="19"/>
  <c r="K922" i="19"/>
  <c r="K923" i="19"/>
  <c r="K924" i="19"/>
  <c r="K925" i="19"/>
  <c r="K926" i="19"/>
  <c r="K927" i="19"/>
  <c r="K928" i="19"/>
  <c r="K929" i="19"/>
  <c r="K930" i="19"/>
  <c r="K931" i="19"/>
  <c r="K932" i="19"/>
  <c r="K933" i="19"/>
  <c r="K934" i="19"/>
  <c r="K935" i="19"/>
  <c r="K936" i="19"/>
  <c r="K937" i="19"/>
  <c r="K938" i="19"/>
  <c r="K939" i="19"/>
  <c r="K940" i="19"/>
  <c r="K941" i="19"/>
  <c r="K942" i="19"/>
  <c r="K943" i="19"/>
  <c r="K944" i="19"/>
  <c r="K945" i="19"/>
  <c r="K946" i="19"/>
  <c r="K947" i="19"/>
  <c r="K948" i="19"/>
  <c r="K949" i="19"/>
  <c r="K950" i="19"/>
  <c r="K951" i="19"/>
  <c r="K952" i="19"/>
  <c r="K953" i="19"/>
  <c r="K954" i="19"/>
  <c r="K955" i="19"/>
  <c r="K956" i="19"/>
  <c r="K957" i="19"/>
  <c r="K958" i="19"/>
  <c r="K959" i="19"/>
  <c r="K960" i="19"/>
  <c r="K961" i="19"/>
  <c r="K962" i="19"/>
  <c r="K963" i="19"/>
  <c r="K964" i="19"/>
  <c r="K965" i="19"/>
  <c r="K966" i="19"/>
  <c r="K967" i="19"/>
  <c r="K968" i="19"/>
  <c r="K969" i="19"/>
  <c r="K970" i="19"/>
  <c r="K971" i="19"/>
  <c r="K972" i="19"/>
  <c r="K973" i="19"/>
  <c r="K974" i="19"/>
  <c r="K975" i="19"/>
  <c r="K976" i="19"/>
  <c r="K977" i="19"/>
  <c r="K978" i="19"/>
  <c r="K979" i="19"/>
  <c r="K980" i="19"/>
  <c r="K981" i="19"/>
  <c r="K982" i="19"/>
  <c r="K983" i="19"/>
  <c r="K984" i="19"/>
  <c r="K985" i="19"/>
  <c r="K986" i="19"/>
  <c r="K987" i="19"/>
  <c r="K988" i="19"/>
  <c r="K989" i="19"/>
  <c r="K990" i="19"/>
  <c r="K991" i="19"/>
  <c r="K992" i="19"/>
  <c r="K993" i="19"/>
  <c r="K994" i="19"/>
  <c r="K995" i="19"/>
  <c r="K996" i="19"/>
  <c r="K997" i="19"/>
  <c r="K998" i="19"/>
  <c r="K999" i="19"/>
  <c r="K1000" i="19"/>
  <c r="K1001" i="19"/>
  <c r="K1002" i="19"/>
  <c r="K1003" i="19"/>
  <c r="K1004" i="19"/>
  <c r="K1005" i="19"/>
  <c r="K1006" i="19"/>
  <c r="K1007" i="19"/>
  <c r="K1008" i="19"/>
  <c r="K1009" i="19"/>
  <c r="K1010" i="19"/>
  <c r="K1011" i="19"/>
  <c r="K1012" i="19"/>
  <c r="K1013" i="19"/>
  <c r="K1014" i="19"/>
  <c r="K1015" i="19"/>
  <c r="K1016" i="19"/>
  <c r="K1017" i="19"/>
  <c r="K1018" i="19"/>
  <c r="K1019" i="19"/>
  <c r="K1020" i="19"/>
  <c r="K1021" i="19"/>
  <c r="K1022" i="19"/>
  <c r="K1023" i="19"/>
  <c r="K1024" i="19"/>
  <c r="K1025" i="19"/>
  <c r="K1026" i="19"/>
  <c r="K1027" i="19"/>
  <c r="K1028" i="19"/>
  <c r="K1029" i="19"/>
  <c r="K1030" i="19"/>
  <c r="K1031" i="19"/>
  <c r="K1032" i="19"/>
  <c r="K1033" i="19"/>
  <c r="K1034" i="19"/>
  <c r="K1035" i="19"/>
  <c r="K1036" i="19"/>
  <c r="K1037" i="19"/>
  <c r="K1038" i="19"/>
  <c r="K1039" i="19"/>
  <c r="K1040" i="19"/>
  <c r="K1041" i="19"/>
  <c r="K1042" i="19"/>
  <c r="K1043" i="19"/>
  <c r="K1044" i="19"/>
  <c r="K1045" i="19"/>
  <c r="K1046" i="19"/>
  <c r="K1047" i="19"/>
  <c r="K1048" i="19"/>
  <c r="K1049" i="19"/>
  <c r="K1050" i="19"/>
  <c r="K1051" i="19"/>
  <c r="K1052" i="19"/>
  <c r="K1053" i="19"/>
  <c r="K1054" i="19"/>
  <c r="K1055" i="19"/>
  <c r="K1056" i="19"/>
  <c r="K1057" i="19"/>
  <c r="K1058" i="19"/>
  <c r="K1059" i="19"/>
  <c r="K1060" i="19"/>
  <c r="K1061" i="19"/>
  <c r="K1062" i="19"/>
  <c r="K1063" i="19"/>
  <c r="K1064" i="19"/>
  <c r="K1065" i="19"/>
  <c r="K1066" i="19"/>
  <c r="K1067" i="19"/>
  <c r="K1068" i="19"/>
  <c r="K1069" i="19"/>
  <c r="K1070" i="19"/>
  <c r="K1071" i="19"/>
  <c r="K1072" i="19"/>
  <c r="K1073" i="19"/>
  <c r="K1074" i="19"/>
  <c r="K1075" i="19"/>
  <c r="K1076" i="19"/>
  <c r="K1077" i="19"/>
  <c r="K1078" i="19"/>
  <c r="K1079" i="19"/>
  <c r="K1080" i="19"/>
  <c r="K1081" i="19"/>
  <c r="K1082" i="19"/>
  <c r="K1083" i="19"/>
  <c r="K1084" i="19"/>
  <c r="K1085" i="19"/>
  <c r="K1086" i="19"/>
  <c r="K1087" i="19"/>
  <c r="K1088" i="19"/>
  <c r="K1089" i="19"/>
  <c r="K1090" i="19"/>
  <c r="K1091" i="19"/>
  <c r="K1092" i="19"/>
  <c r="K1093" i="19"/>
  <c r="K1094" i="19"/>
  <c r="K1095" i="19"/>
  <c r="K1096" i="19"/>
  <c r="K1097" i="19"/>
  <c r="K1098" i="19"/>
  <c r="K1099" i="19"/>
  <c r="K1100" i="19"/>
  <c r="K1101" i="19"/>
  <c r="K1102" i="19"/>
  <c r="K1103" i="19"/>
  <c r="K1104" i="19"/>
  <c r="K1105" i="19"/>
  <c r="K1106" i="19"/>
  <c r="K1107" i="19"/>
  <c r="K1108" i="19"/>
  <c r="K1109" i="19"/>
  <c r="K1110" i="19"/>
  <c r="K10" i="19"/>
  <c r="T41" i="16"/>
  <c r="T40" i="16"/>
  <c r="T39" i="16"/>
  <c r="T38" i="16"/>
  <c r="T37" i="16"/>
  <c r="T36" i="16"/>
  <c r="T35" i="16"/>
  <c r="T34" i="16"/>
  <c r="T33" i="16"/>
  <c r="T32" i="16"/>
  <c r="T31" i="16"/>
  <c r="T30" i="16"/>
  <c r="T29" i="16"/>
  <c r="T28" i="16"/>
  <c r="T27" i="16"/>
  <c r="Q41" i="16"/>
  <c r="Q40" i="16"/>
  <c r="Q39" i="16"/>
  <c r="Q38" i="16"/>
  <c r="Q37" i="16"/>
  <c r="Q36" i="16"/>
  <c r="Q35" i="16"/>
  <c r="Q34" i="16"/>
  <c r="Q33" i="16"/>
  <c r="Q32" i="16"/>
  <c r="Q31" i="16"/>
  <c r="Q30" i="16"/>
  <c r="Q29" i="16"/>
  <c r="Q28" i="16"/>
  <c r="Q27" i="16"/>
  <c r="Q26" i="16"/>
  <c r="Q25" i="16"/>
  <c r="Q24" i="16"/>
  <c r="Q23" i="16"/>
  <c r="Q22" i="16"/>
  <c r="Q21" i="16"/>
  <c r="Q20" i="16"/>
  <c r="Q19" i="16"/>
  <c r="Q18" i="16"/>
  <c r="Q17" i="16"/>
  <c r="Q16" i="16"/>
  <c r="Q15" i="16"/>
  <c r="Q14" i="16"/>
  <c r="Q13" i="16"/>
  <c r="Q12" i="16"/>
  <c r="Q11" i="16"/>
  <c r="Q10" i="16"/>
  <c r="Q9" i="16"/>
  <c r="Q8" i="16"/>
  <c r="Q7" i="16"/>
  <c r="Q6" i="16"/>
  <c r="Q5" i="16"/>
  <c r="Q4" i="16"/>
  <c r="Q3" i="16"/>
  <c r="Q2" i="16"/>
  <c r="P41" i="16"/>
  <c r="P40" i="16"/>
  <c r="P39" i="16"/>
  <c r="P38" i="16"/>
  <c r="P37" i="16"/>
  <c r="P36" i="16"/>
  <c r="P35" i="16"/>
  <c r="P34" i="16"/>
  <c r="P33" i="16"/>
  <c r="P32" i="16"/>
  <c r="P31" i="16"/>
  <c r="P30" i="16"/>
  <c r="P29" i="16"/>
  <c r="P28" i="16"/>
  <c r="P27" i="16"/>
  <c r="P26" i="16"/>
  <c r="P25" i="16"/>
  <c r="P24" i="16"/>
  <c r="P23" i="16"/>
  <c r="P22" i="16"/>
  <c r="P21" i="16"/>
  <c r="P20" i="16"/>
  <c r="P19" i="16"/>
  <c r="P18" i="16"/>
  <c r="P17" i="16"/>
  <c r="P16" i="16"/>
  <c r="P15" i="16"/>
  <c r="P14" i="16"/>
  <c r="P13" i="16"/>
  <c r="P12" i="16"/>
  <c r="P11" i="16"/>
  <c r="P10" i="16"/>
  <c r="P9" i="16"/>
  <c r="P8" i="16"/>
  <c r="P7" i="16"/>
  <c r="P6" i="16"/>
  <c r="P5" i="16"/>
  <c r="P4" i="16"/>
  <c r="P2" i="16"/>
  <c r="P3" i="16"/>
  <c r="O41" i="16"/>
  <c r="O40" i="16"/>
  <c r="O39" i="16"/>
  <c r="O38" i="16"/>
  <c r="O37" i="16"/>
  <c r="O36" i="16"/>
  <c r="O35" i="16"/>
  <c r="O34" i="16"/>
  <c r="O33" i="16"/>
  <c r="O32" i="16"/>
  <c r="O31" i="16"/>
  <c r="O30" i="16"/>
  <c r="O29" i="16"/>
  <c r="O28" i="16"/>
  <c r="O27" i="16"/>
  <c r="O26" i="16"/>
  <c r="O25" i="16"/>
  <c r="O24" i="16"/>
  <c r="O23" i="16"/>
  <c r="O22" i="16"/>
  <c r="O21" i="16"/>
  <c r="O20" i="16"/>
  <c r="O19" i="16"/>
  <c r="O18" i="16"/>
  <c r="O17" i="16"/>
  <c r="O16" i="16"/>
  <c r="O15" i="16"/>
  <c r="O14" i="16"/>
  <c r="O13" i="16"/>
  <c r="O12" i="16"/>
  <c r="O11" i="16"/>
  <c r="O10" i="16"/>
  <c r="O9" i="16"/>
  <c r="O8" i="16"/>
  <c r="O7" i="16"/>
  <c r="O6" i="16"/>
  <c r="O5" i="16"/>
  <c r="O4" i="16"/>
  <c r="O3" i="16"/>
  <c r="O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N3" i="16"/>
  <c r="N2" i="16"/>
  <c r="M41" i="16"/>
  <c r="M40" i="16"/>
  <c r="M39" i="16"/>
  <c r="M38" i="16"/>
  <c r="M37" i="16"/>
  <c r="M36" i="16"/>
  <c r="M35" i="16"/>
  <c r="M34" i="16"/>
  <c r="M33" i="16"/>
  <c r="M32" i="16"/>
  <c r="M31" i="16"/>
  <c r="M30" i="16"/>
  <c r="M29" i="16"/>
  <c r="M28" i="16"/>
  <c r="M27" i="16"/>
  <c r="M26" i="16"/>
  <c r="M25" i="16"/>
  <c r="M24" i="16"/>
  <c r="M23" i="16"/>
  <c r="M22" i="16"/>
  <c r="M21" i="16"/>
  <c r="M20" i="16"/>
  <c r="M19" i="16"/>
  <c r="M18" i="16"/>
  <c r="M17" i="16"/>
  <c r="M16" i="16"/>
  <c r="M15" i="16"/>
  <c r="M14" i="16"/>
  <c r="M13" i="16"/>
  <c r="M12" i="16"/>
  <c r="M11" i="16"/>
  <c r="M10" i="16"/>
  <c r="M9" i="16"/>
  <c r="M8" i="16"/>
  <c r="M7" i="16"/>
  <c r="M6" i="16"/>
  <c r="M5" i="16"/>
  <c r="M4" i="16"/>
  <c r="M3" i="16"/>
  <c r="M2" i="16"/>
  <c r="L41" i="16"/>
  <c r="L40" i="16"/>
  <c r="L39" i="16"/>
  <c r="L38" i="16"/>
  <c r="L37" i="16"/>
  <c r="L36" i="16"/>
  <c r="L35" i="16"/>
  <c r="L34" i="16"/>
  <c r="L33" i="16"/>
  <c r="L32" i="16"/>
  <c r="L31" i="16"/>
  <c r="L30" i="16"/>
  <c r="L29" i="16"/>
  <c r="L28" i="16"/>
  <c r="L27" i="16"/>
  <c r="L26" i="16"/>
  <c r="L25" i="16"/>
  <c r="L24" i="16"/>
  <c r="L23" i="16"/>
  <c r="L22" i="16"/>
  <c r="L21" i="16"/>
  <c r="L20" i="16"/>
  <c r="L19" i="16"/>
  <c r="L18" i="16"/>
  <c r="L17" i="16"/>
  <c r="L16" i="16"/>
  <c r="L15" i="16"/>
  <c r="L14" i="16"/>
  <c r="L13" i="16"/>
  <c r="L12" i="16"/>
  <c r="L11" i="16"/>
  <c r="L10" i="16"/>
  <c r="L9" i="16"/>
  <c r="L8" i="16"/>
  <c r="L7" i="16"/>
  <c r="L6" i="16"/>
  <c r="L5" i="16"/>
  <c r="L4" i="16"/>
  <c r="L3" i="16"/>
  <c r="L2" i="16"/>
  <c r="K28" i="16"/>
  <c r="K41" i="16"/>
  <c r="K40" i="16"/>
  <c r="K39" i="16"/>
  <c r="K38" i="16"/>
  <c r="K37" i="16"/>
  <c r="K36" i="16"/>
  <c r="K35" i="16"/>
  <c r="K34" i="16"/>
  <c r="K33" i="16"/>
  <c r="K32" i="16"/>
  <c r="K31" i="16"/>
  <c r="K30" i="16"/>
  <c r="K29" i="16"/>
  <c r="K27" i="16"/>
  <c r="K26" i="16"/>
  <c r="K25" i="16"/>
  <c r="K24" i="16"/>
  <c r="K23" i="16"/>
  <c r="K22" i="16"/>
  <c r="K21" i="16"/>
  <c r="K20" i="16"/>
  <c r="K19" i="16"/>
  <c r="K18" i="16"/>
  <c r="K17" i="16"/>
  <c r="K16" i="16"/>
  <c r="K15" i="16"/>
  <c r="K14" i="16"/>
  <c r="K13" i="16"/>
  <c r="K12" i="16"/>
  <c r="K11" i="16"/>
  <c r="K10" i="16"/>
  <c r="K9" i="16"/>
  <c r="K8" i="16"/>
  <c r="K7" i="16"/>
  <c r="K6" i="16"/>
  <c r="K5" i="16"/>
  <c r="K4" i="16"/>
  <c r="K3" i="16"/>
  <c r="K2" i="16"/>
  <c r="J41" i="16"/>
  <c r="J40" i="16"/>
  <c r="J39" i="16"/>
  <c r="J38" i="16"/>
  <c r="J37" i="16"/>
  <c r="J36" i="16"/>
  <c r="J35" i="16"/>
  <c r="J34" i="16"/>
  <c r="J33" i="16"/>
  <c r="J32" i="16"/>
  <c r="J31" i="16"/>
  <c r="J30" i="16"/>
  <c r="J29" i="16"/>
  <c r="J28" i="16"/>
  <c r="J27" i="16"/>
  <c r="J26" i="16"/>
  <c r="J25" i="16"/>
  <c r="J24" i="16"/>
  <c r="J23" i="16"/>
  <c r="J22" i="16"/>
  <c r="J21" i="16"/>
  <c r="J20" i="16"/>
  <c r="J19" i="16"/>
  <c r="J18" i="16"/>
  <c r="J17" i="16"/>
  <c r="J16" i="16"/>
  <c r="J15" i="16"/>
  <c r="J14" i="16"/>
  <c r="J13" i="16"/>
  <c r="J12" i="16"/>
  <c r="J11" i="16"/>
  <c r="J10" i="16"/>
  <c r="J9" i="16"/>
  <c r="J8" i="16"/>
  <c r="J7" i="16"/>
  <c r="J6" i="16"/>
  <c r="J5" i="16"/>
  <c r="J4" i="16"/>
  <c r="I41" i="16"/>
  <c r="I40" i="16"/>
  <c r="I39" i="16"/>
  <c r="I38" i="16"/>
  <c r="I37" i="16"/>
  <c r="I36" i="16"/>
  <c r="I35" i="16"/>
  <c r="I34" i="16"/>
  <c r="I33" i="16"/>
  <c r="I32" i="16"/>
  <c r="I31" i="16"/>
  <c r="I30" i="16"/>
  <c r="I29" i="16"/>
  <c r="I28" i="16"/>
  <c r="I27" i="16"/>
  <c r="I26" i="16"/>
  <c r="I25" i="16"/>
  <c r="I24" i="16"/>
  <c r="I23" i="16"/>
  <c r="I22" i="16"/>
  <c r="I21" i="16"/>
  <c r="I20" i="16"/>
  <c r="I19" i="16"/>
  <c r="I18" i="16"/>
  <c r="I17" i="16"/>
  <c r="I16" i="16"/>
  <c r="I15" i="16"/>
  <c r="I14" i="16"/>
  <c r="I13" i="16"/>
  <c r="I12" i="16"/>
  <c r="I11" i="16"/>
  <c r="I10" i="16"/>
  <c r="I9" i="16"/>
  <c r="I8" i="16"/>
  <c r="I7" i="16"/>
  <c r="I6" i="16"/>
  <c r="I5" i="16"/>
  <c r="I4" i="16"/>
  <c r="H41" i="16"/>
  <c r="H40" i="16"/>
  <c r="H39" i="16"/>
  <c r="H38" i="16"/>
  <c r="H37" i="16"/>
  <c r="H36" i="16"/>
  <c r="H35" i="16"/>
  <c r="H34" i="16"/>
  <c r="H33" i="16"/>
  <c r="H32" i="16"/>
  <c r="H31" i="16"/>
  <c r="H30" i="16"/>
  <c r="H29" i="16"/>
  <c r="H28" i="16"/>
  <c r="H27" i="16"/>
  <c r="H26" i="16"/>
  <c r="H25" i="16"/>
  <c r="H24" i="16"/>
  <c r="H23" i="16"/>
  <c r="H22" i="16"/>
  <c r="H21" i="16"/>
  <c r="H20" i="16"/>
  <c r="H19" i="16"/>
  <c r="H18" i="16"/>
  <c r="H17" i="16"/>
  <c r="H16" i="16"/>
  <c r="H15" i="16"/>
  <c r="H14" i="16"/>
  <c r="H13" i="16"/>
  <c r="H12" i="16"/>
  <c r="H11" i="16"/>
  <c r="H10" i="16"/>
  <c r="H9" i="16"/>
  <c r="H8" i="16"/>
  <c r="H7" i="16"/>
  <c r="H6" i="16"/>
  <c r="H5" i="16"/>
  <c r="H4" i="16"/>
  <c r="G41" i="16"/>
  <c r="G40" i="16"/>
  <c r="G39" i="16"/>
  <c r="G38" i="16"/>
  <c r="G37" i="16"/>
  <c r="G36" i="16"/>
  <c r="G35" i="16"/>
  <c r="G34" i="16"/>
  <c r="G33" i="16"/>
  <c r="G32" i="16"/>
  <c r="G31" i="16"/>
  <c r="G30" i="16"/>
  <c r="G29" i="16"/>
  <c r="G28" i="16"/>
  <c r="G27" i="16"/>
  <c r="G26" i="16"/>
  <c r="G25" i="16"/>
  <c r="G24" i="16"/>
  <c r="G23" i="16"/>
  <c r="G22" i="16"/>
  <c r="G21" i="16"/>
  <c r="G20" i="16"/>
  <c r="G19" i="16"/>
  <c r="G18" i="16"/>
  <c r="G17" i="16"/>
  <c r="G16" i="16"/>
  <c r="G15" i="16"/>
  <c r="G14" i="16"/>
  <c r="G13" i="16"/>
  <c r="G12" i="16"/>
  <c r="G11" i="16"/>
  <c r="G10" i="16"/>
  <c r="G9" i="16"/>
  <c r="G8" i="16"/>
  <c r="G7" i="16"/>
  <c r="G6" i="16"/>
  <c r="G5" i="16"/>
  <c r="G4" i="16"/>
  <c r="F41" i="16"/>
  <c r="F40" i="16"/>
  <c r="F39" i="16"/>
  <c r="F38" i="16"/>
  <c r="F37" i="16"/>
  <c r="F36" i="16"/>
  <c r="F35" i="16"/>
  <c r="F34" i="16"/>
  <c r="F33" i="16"/>
  <c r="F32" i="16"/>
  <c r="F31" i="16"/>
  <c r="F30" i="16"/>
  <c r="F29" i="16"/>
  <c r="F28" i="16"/>
  <c r="F27" i="16"/>
  <c r="F26" i="16"/>
  <c r="F25" i="16"/>
  <c r="F24" i="16"/>
  <c r="F23" i="16"/>
  <c r="F22" i="16"/>
  <c r="F21" i="16"/>
  <c r="F20" i="16"/>
  <c r="F19" i="16"/>
  <c r="F18" i="16"/>
  <c r="F17" i="16"/>
  <c r="F16" i="16"/>
  <c r="F15" i="16"/>
  <c r="F14" i="16"/>
  <c r="F13" i="16"/>
  <c r="F12" i="16"/>
  <c r="F11" i="16"/>
  <c r="F10" i="16"/>
  <c r="F9" i="16"/>
  <c r="F8" i="16"/>
  <c r="F7" i="16"/>
  <c r="F6" i="16"/>
  <c r="F5" i="16"/>
  <c r="F4" i="16"/>
  <c r="J3" i="16"/>
  <c r="I3" i="16"/>
  <c r="H3" i="16"/>
  <c r="G3" i="16"/>
  <c r="F3" i="16"/>
  <c r="J2" i="16"/>
  <c r="I2" i="16"/>
  <c r="H2" i="16"/>
  <c r="G2" i="16"/>
  <c r="F2" i="16"/>
  <c r="E4" i="16"/>
  <c r="E41" i="16"/>
  <c r="E40" i="16"/>
  <c r="E39" i="16"/>
  <c r="E38" i="16"/>
  <c r="E37" i="16"/>
  <c r="E36" i="16"/>
  <c r="E35" i="16"/>
  <c r="E34" i="16"/>
  <c r="E33" i="16"/>
  <c r="E32" i="16"/>
  <c r="E31" i="16"/>
  <c r="E30" i="16"/>
  <c r="E29" i="16"/>
  <c r="E28" i="16"/>
  <c r="E27" i="16"/>
  <c r="E26" i="16"/>
  <c r="E25" i="16"/>
  <c r="E24" i="16"/>
  <c r="E23" i="16"/>
  <c r="E22" i="16"/>
  <c r="E21" i="16"/>
  <c r="E20" i="16"/>
  <c r="E19" i="16"/>
  <c r="E18" i="16"/>
  <c r="E17" i="16"/>
  <c r="E16" i="16"/>
  <c r="E15" i="16"/>
  <c r="E14" i="16"/>
  <c r="E13" i="16"/>
  <c r="E12" i="16"/>
  <c r="E11" i="16"/>
  <c r="E10" i="16"/>
  <c r="E9" i="16"/>
  <c r="E8" i="16"/>
  <c r="E7" i="16"/>
  <c r="E6" i="16"/>
  <c r="E5" i="16"/>
  <c r="E3" i="16"/>
  <c r="D41" i="16"/>
  <c r="D40" i="16"/>
  <c r="D39" i="16"/>
  <c r="D38" i="16"/>
  <c r="D37" i="16"/>
  <c r="D36" i="16"/>
  <c r="D35" i="16"/>
  <c r="D34" i="16"/>
  <c r="D33" i="16"/>
  <c r="D32" i="16"/>
  <c r="D31" i="16"/>
  <c r="D30" i="16"/>
  <c r="D29" i="16"/>
  <c r="D28" i="16"/>
  <c r="D27" i="16"/>
  <c r="D26" i="16"/>
  <c r="D25" i="16"/>
  <c r="D24" i="16"/>
  <c r="D23" i="16"/>
  <c r="D22" i="16"/>
  <c r="D21" i="16"/>
  <c r="D20" i="16"/>
  <c r="D19" i="16"/>
  <c r="D18" i="16"/>
  <c r="D17" i="16"/>
  <c r="D16" i="16"/>
  <c r="D15" i="16"/>
  <c r="D14" i="16"/>
  <c r="D13" i="16"/>
  <c r="D12" i="16"/>
  <c r="D11" i="16"/>
  <c r="D10" i="16"/>
  <c r="D9" i="16"/>
  <c r="D8" i="16"/>
  <c r="D7" i="16"/>
  <c r="D6" i="16"/>
  <c r="D5" i="16"/>
  <c r="D4" i="16"/>
  <c r="A41" i="16"/>
  <c r="A40" i="16"/>
  <c r="A39" i="16"/>
  <c r="A38" i="16"/>
  <c r="A37" i="16"/>
  <c r="A36" i="16"/>
  <c r="A35" i="16"/>
  <c r="A34" i="16"/>
  <c r="A33" i="16"/>
  <c r="A32" i="16"/>
  <c r="A31" i="16"/>
  <c r="A30" i="16"/>
  <c r="A29" i="16"/>
  <c r="A28" i="16"/>
  <c r="A27" i="16"/>
  <c r="C41" i="16"/>
  <c r="C40"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C9" i="16"/>
  <c r="C8" i="16"/>
  <c r="C7" i="16"/>
  <c r="C6" i="16"/>
  <c r="C5" i="16"/>
  <c r="C4" i="16"/>
  <c r="D3" i="16"/>
  <c r="C3" i="16"/>
  <c r="E2" i="16"/>
  <c r="D2" i="16"/>
  <c r="C2" i="16"/>
  <c r="B1" i="4"/>
  <c r="D5" i="19" a="1"/>
  <c r="D5" i="19" s="1"/>
  <c r="D7" i="19"/>
  <c r="D6" i="19"/>
  <c r="B5" i="19" a="1"/>
  <c r="B5" i="19" s="1"/>
  <c r="B6" i="19"/>
  <c r="B7" i="19"/>
  <c r="I561" i="19" a="1"/>
  <c r="I561" i="19" s="1"/>
  <c r="N561" i="19"/>
  <c r="I562" i="19" a="1"/>
  <c r="I562" i="19" s="1"/>
  <c r="N562" i="19"/>
  <c r="I563" i="19" a="1"/>
  <c r="I563" i="19" s="1"/>
  <c r="N563" i="19"/>
  <c r="I564" i="19" a="1"/>
  <c r="I564" i="19" s="1"/>
  <c r="N564" i="19"/>
  <c r="I565" i="19" a="1"/>
  <c r="I565" i="19" s="1"/>
  <c r="N565" i="19"/>
  <c r="I566" i="19" a="1"/>
  <c r="I566" i="19" s="1"/>
  <c r="N566" i="19"/>
  <c r="I567" i="19" a="1"/>
  <c r="I567" i="19" s="1"/>
  <c r="N567" i="19"/>
  <c r="I568" i="19" a="1"/>
  <c r="I568" i="19" s="1"/>
  <c r="N568" i="19"/>
  <c r="I569" i="19" a="1"/>
  <c r="I569" i="19" s="1"/>
  <c r="N569" i="19"/>
  <c r="I570" i="19" a="1"/>
  <c r="I570" i="19" s="1"/>
  <c r="N570" i="19"/>
  <c r="I571" i="19" a="1"/>
  <c r="I571" i="19"/>
  <c r="N571" i="19"/>
  <c r="I572" i="19" a="1"/>
  <c r="I572" i="19" s="1"/>
  <c r="N572" i="19"/>
  <c r="I573" i="19" a="1"/>
  <c r="I573" i="19"/>
  <c r="N573" i="19"/>
  <c r="I574" i="19" a="1"/>
  <c r="I574" i="19" s="1"/>
  <c r="N574" i="19"/>
  <c r="I575" i="19" a="1"/>
  <c r="I575" i="19" s="1"/>
  <c r="N575" i="19"/>
  <c r="I576" i="19" a="1"/>
  <c r="I576" i="19" s="1"/>
  <c r="N576" i="19"/>
  <c r="I577" i="19" a="1"/>
  <c r="I577" i="19" s="1"/>
  <c r="N577" i="19"/>
  <c r="I578" i="19" a="1"/>
  <c r="I578" i="19" s="1"/>
  <c r="N578" i="19"/>
  <c r="I579" i="19" a="1"/>
  <c r="I579" i="19" s="1"/>
  <c r="N579" i="19"/>
  <c r="I580" i="19" a="1"/>
  <c r="I580" i="19" s="1"/>
  <c r="N580" i="19"/>
  <c r="I581" i="19" a="1"/>
  <c r="I581" i="19"/>
  <c r="N581" i="19"/>
  <c r="I582" i="19" a="1"/>
  <c r="I582" i="19" s="1"/>
  <c r="N582" i="19"/>
  <c r="I583" i="19" a="1"/>
  <c r="I583" i="19" s="1"/>
  <c r="N583" i="19"/>
  <c r="I584" i="19" a="1"/>
  <c r="I584" i="19" s="1"/>
  <c r="N584" i="19"/>
  <c r="I585" i="19" a="1"/>
  <c r="I585" i="19" s="1"/>
  <c r="N585" i="19"/>
  <c r="I586" i="19" a="1"/>
  <c r="I586" i="19" s="1"/>
  <c r="N586" i="19"/>
  <c r="I587" i="19" a="1"/>
  <c r="I587" i="19" s="1"/>
  <c r="N587" i="19"/>
  <c r="I588" i="19" a="1"/>
  <c r="I588" i="19" s="1"/>
  <c r="N588" i="19"/>
  <c r="I589" i="19" a="1"/>
  <c r="I589" i="19" s="1"/>
  <c r="N589" i="19"/>
  <c r="I590" i="19" a="1"/>
  <c r="I590" i="19" s="1"/>
  <c r="N590" i="19"/>
  <c r="I591" i="19" a="1"/>
  <c r="I591" i="19" s="1"/>
  <c r="N591" i="19"/>
  <c r="I592" i="19" a="1"/>
  <c r="I592" i="19" s="1"/>
  <c r="N592" i="19"/>
  <c r="I593" i="19" a="1"/>
  <c r="I593" i="19" s="1"/>
  <c r="N593" i="19"/>
  <c r="I594" i="19" a="1"/>
  <c r="I594" i="19" s="1"/>
  <c r="N594" i="19"/>
  <c r="I595" i="19" a="1"/>
  <c r="I595" i="19"/>
  <c r="N595" i="19"/>
  <c r="I596" i="19" a="1"/>
  <c r="I596" i="19" s="1"/>
  <c r="N596" i="19"/>
  <c r="I597" i="19" a="1"/>
  <c r="I597" i="19" s="1"/>
  <c r="N597" i="19"/>
  <c r="I598" i="19" a="1"/>
  <c r="I598" i="19" s="1"/>
  <c r="N598" i="19"/>
  <c r="I599" i="19" a="1"/>
  <c r="I599" i="19" s="1"/>
  <c r="N599" i="19"/>
  <c r="I600" i="19" a="1"/>
  <c r="I600" i="19" s="1"/>
  <c r="N600" i="19"/>
  <c r="I601" i="19" a="1"/>
  <c r="I601" i="19" s="1"/>
  <c r="N601" i="19"/>
  <c r="I602" i="19" a="1"/>
  <c r="I602" i="19" s="1"/>
  <c r="N602" i="19"/>
  <c r="I603" i="19" a="1"/>
  <c r="I603" i="19" s="1"/>
  <c r="N603" i="19"/>
  <c r="I604" i="19" a="1"/>
  <c r="I604" i="19" s="1"/>
  <c r="N604" i="19"/>
  <c r="I605" i="19" a="1"/>
  <c r="I605" i="19" s="1"/>
  <c r="N605" i="19"/>
  <c r="I606" i="19" a="1"/>
  <c r="I606" i="19" s="1"/>
  <c r="N606" i="19"/>
  <c r="I607" i="19" a="1"/>
  <c r="I607" i="19" s="1"/>
  <c r="N607" i="19"/>
  <c r="I608" i="19" a="1"/>
  <c r="I608" i="19" s="1"/>
  <c r="N608" i="19"/>
  <c r="I609" i="19" a="1"/>
  <c r="I609" i="19" s="1"/>
  <c r="N609" i="19"/>
  <c r="I610" i="19" a="1"/>
  <c r="I610" i="19" s="1"/>
  <c r="N610" i="19"/>
  <c r="I611" i="19" a="1"/>
  <c r="I611" i="19"/>
  <c r="N611" i="19"/>
  <c r="I612" i="19" a="1"/>
  <c r="I612" i="19"/>
  <c r="N612" i="19"/>
  <c r="I613" i="19" a="1"/>
  <c r="I613" i="19" s="1"/>
  <c r="N613" i="19"/>
  <c r="I614" i="19" a="1"/>
  <c r="I614" i="19" s="1"/>
  <c r="N614" i="19"/>
  <c r="I615" i="19" a="1"/>
  <c r="I615" i="19" s="1"/>
  <c r="N615" i="19"/>
  <c r="I616" i="19" a="1"/>
  <c r="I616" i="19" s="1"/>
  <c r="N616" i="19"/>
  <c r="I617" i="19" a="1"/>
  <c r="I617" i="19" s="1"/>
  <c r="N617" i="19"/>
  <c r="I618" i="19" a="1"/>
  <c r="I618" i="19" s="1"/>
  <c r="N618" i="19"/>
  <c r="I619" i="19" a="1"/>
  <c r="I619" i="19" s="1"/>
  <c r="N619" i="19"/>
  <c r="I620" i="19" a="1"/>
  <c r="I620" i="19" s="1"/>
  <c r="N620" i="19"/>
  <c r="I621" i="19" a="1"/>
  <c r="I621" i="19"/>
  <c r="N621" i="19"/>
  <c r="I622" i="19" a="1"/>
  <c r="I622" i="19" s="1"/>
  <c r="N622" i="19"/>
  <c r="I623" i="19" a="1"/>
  <c r="I623" i="19" s="1"/>
  <c r="N623" i="19"/>
  <c r="I624" i="19" a="1"/>
  <c r="I624" i="19" s="1"/>
  <c r="N624" i="19"/>
  <c r="I625" i="19" a="1"/>
  <c r="I625" i="19" s="1"/>
  <c r="N625" i="19"/>
  <c r="I626" i="19" a="1"/>
  <c r="I626" i="19" s="1"/>
  <c r="N626" i="19"/>
  <c r="I627" i="19" a="1"/>
  <c r="I627" i="19" s="1"/>
  <c r="N627" i="19"/>
  <c r="I628" i="19" a="1"/>
  <c r="I628" i="19" s="1"/>
  <c r="N628" i="19"/>
  <c r="I629" i="19" a="1"/>
  <c r="I629" i="19"/>
  <c r="N629" i="19"/>
  <c r="I630" i="19" a="1"/>
  <c r="I630" i="19" s="1"/>
  <c r="N630" i="19"/>
  <c r="I631" i="19" a="1"/>
  <c r="I631" i="19" s="1"/>
  <c r="N631" i="19"/>
  <c r="I632" i="19" a="1"/>
  <c r="I632" i="19" s="1"/>
  <c r="N632" i="19"/>
  <c r="I633" i="19" a="1"/>
  <c r="I633" i="19" s="1"/>
  <c r="N633" i="19"/>
  <c r="I634" i="19" a="1"/>
  <c r="I634" i="19" s="1"/>
  <c r="N634" i="19"/>
  <c r="I635" i="19" a="1"/>
  <c r="I635" i="19" s="1"/>
  <c r="N635" i="19"/>
  <c r="I636" i="19" a="1"/>
  <c r="I636" i="19" s="1"/>
  <c r="N636" i="19"/>
  <c r="I637" i="19" a="1"/>
  <c r="I637" i="19" s="1"/>
  <c r="N637" i="19"/>
  <c r="I638" i="19" a="1"/>
  <c r="I638" i="19" s="1"/>
  <c r="N638" i="19"/>
  <c r="I639" i="19" a="1"/>
  <c r="I639" i="19" s="1"/>
  <c r="N639" i="19"/>
  <c r="I640" i="19" a="1"/>
  <c r="I640" i="19" s="1"/>
  <c r="N640" i="19"/>
  <c r="I641" i="19" a="1"/>
  <c r="I641" i="19" s="1"/>
  <c r="N641" i="19"/>
  <c r="I642" i="19" a="1"/>
  <c r="I642" i="19" s="1"/>
  <c r="N642" i="19"/>
  <c r="I643" i="19" a="1"/>
  <c r="I643" i="19" s="1"/>
  <c r="N643" i="19"/>
  <c r="I644" i="19" a="1"/>
  <c r="I644" i="19" s="1"/>
  <c r="N644" i="19"/>
  <c r="I645" i="19" a="1"/>
  <c r="I645" i="19" s="1"/>
  <c r="N645" i="19"/>
  <c r="I646" i="19" a="1"/>
  <c r="I646" i="19" s="1"/>
  <c r="N646" i="19"/>
  <c r="I647" i="19" a="1"/>
  <c r="I647" i="19" s="1"/>
  <c r="N647" i="19"/>
  <c r="I648" i="19" a="1"/>
  <c r="I648" i="19"/>
  <c r="N648" i="19"/>
  <c r="I649" i="19" a="1"/>
  <c r="I649" i="19"/>
  <c r="N649" i="19"/>
  <c r="I650" i="19" a="1"/>
  <c r="I650" i="19" s="1"/>
  <c r="N650" i="19"/>
  <c r="I651" i="19" a="1"/>
  <c r="I651" i="19" s="1"/>
  <c r="N651" i="19"/>
  <c r="I652" i="19" a="1"/>
  <c r="I652" i="19" s="1"/>
  <c r="N652" i="19"/>
  <c r="I653" i="19" a="1"/>
  <c r="I653" i="19"/>
  <c r="N653" i="19"/>
  <c r="I654" i="19" a="1"/>
  <c r="I654" i="19"/>
  <c r="N654" i="19"/>
  <c r="I655" i="19" a="1"/>
  <c r="I655" i="19" s="1"/>
  <c r="N655" i="19"/>
  <c r="I656" i="19" a="1"/>
  <c r="I656" i="19" s="1"/>
  <c r="N656" i="19"/>
  <c r="I657" i="19" a="1"/>
  <c r="I657" i="19" s="1"/>
  <c r="N657" i="19"/>
  <c r="I658" i="19" a="1"/>
  <c r="I658" i="19" s="1"/>
  <c r="N658" i="19"/>
  <c r="I659" i="19" a="1"/>
  <c r="I659" i="19" s="1"/>
  <c r="N659" i="19"/>
  <c r="I660" i="19" a="1"/>
  <c r="I660" i="19" s="1"/>
  <c r="N660" i="19"/>
  <c r="I661" i="19" a="1"/>
  <c r="I661" i="19" s="1"/>
  <c r="N661" i="19"/>
  <c r="I662" i="19" a="1"/>
  <c r="I662" i="19" s="1"/>
  <c r="N662" i="19"/>
  <c r="I663" i="19" a="1"/>
  <c r="I663" i="19" s="1"/>
  <c r="N663" i="19"/>
  <c r="I664" i="19" a="1"/>
  <c r="I664" i="19" s="1"/>
  <c r="N664" i="19"/>
  <c r="I665" i="19" a="1"/>
  <c r="I665" i="19" s="1"/>
  <c r="N665" i="19"/>
  <c r="I666" i="19" a="1"/>
  <c r="I666" i="19" s="1"/>
  <c r="N666" i="19"/>
  <c r="I667" i="19" a="1"/>
  <c r="I667" i="19" s="1"/>
  <c r="N667" i="19"/>
  <c r="I668" i="19" a="1"/>
  <c r="I668" i="19" s="1"/>
  <c r="N668" i="19"/>
  <c r="I669" i="19" a="1"/>
  <c r="I669" i="19" s="1"/>
  <c r="N669" i="19"/>
  <c r="I670" i="19" a="1"/>
  <c r="I670" i="19" s="1"/>
  <c r="N670" i="19"/>
  <c r="I671" i="19" a="1"/>
  <c r="I671" i="19"/>
  <c r="N671" i="19"/>
  <c r="I672" i="19" a="1"/>
  <c r="I672" i="19"/>
  <c r="N672" i="19"/>
  <c r="I673" i="19" a="1"/>
  <c r="I673" i="19" s="1"/>
  <c r="N673" i="19"/>
  <c r="I674" i="19" a="1"/>
  <c r="I674" i="19" s="1"/>
  <c r="N674" i="19"/>
  <c r="I675" i="19" a="1"/>
  <c r="I675" i="19" s="1"/>
  <c r="N675" i="19"/>
  <c r="I676" i="19" a="1"/>
  <c r="I676" i="19" s="1"/>
  <c r="N676" i="19"/>
  <c r="I677" i="19" a="1"/>
  <c r="I677" i="19" s="1"/>
  <c r="N677" i="19"/>
  <c r="I678" i="19" a="1"/>
  <c r="I678" i="19" s="1"/>
  <c r="N678" i="19"/>
  <c r="I679" i="19" a="1"/>
  <c r="I679" i="19" s="1"/>
  <c r="N679" i="19"/>
  <c r="I680" i="19" a="1"/>
  <c r="I680" i="19" s="1"/>
  <c r="N680" i="19"/>
  <c r="I681" i="19" a="1"/>
  <c r="I681" i="19"/>
  <c r="N681" i="19"/>
  <c r="I682" i="19" a="1"/>
  <c r="I682" i="19" s="1"/>
  <c r="N682" i="19"/>
  <c r="I683" i="19" a="1"/>
  <c r="I683" i="19" s="1"/>
  <c r="N683" i="19"/>
  <c r="I684" i="19" a="1"/>
  <c r="I684" i="19" s="1"/>
  <c r="N684" i="19"/>
  <c r="I685" i="19" a="1"/>
  <c r="I685" i="19" s="1"/>
  <c r="N685" i="19"/>
  <c r="I686" i="19" a="1"/>
  <c r="I686" i="19" s="1"/>
  <c r="N686" i="19"/>
  <c r="I687" i="19" a="1"/>
  <c r="I687" i="19" s="1"/>
  <c r="N687" i="19"/>
  <c r="I688" i="19" a="1"/>
  <c r="I688" i="19" s="1"/>
  <c r="N688" i="19"/>
  <c r="I689" i="19" a="1"/>
  <c r="I689" i="19" s="1"/>
  <c r="N689" i="19"/>
  <c r="I690" i="19" a="1"/>
  <c r="I690" i="19" s="1"/>
  <c r="N690" i="19"/>
  <c r="I691" i="19" a="1"/>
  <c r="I691" i="19"/>
  <c r="N691" i="19"/>
  <c r="I692" i="19" a="1"/>
  <c r="I692" i="19" s="1"/>
  <c r="N692" i="19"/>
  <c r="I693" i="19" a="1"/>
  <c r="I693" i="19" s="1"/>
  <c r="N693" i="19"/>
  <c r="I694" i="19" a="1"/>
  <c r="I694" i="19" s="1"/>
  <c r="N694" i="19"/>
  <c r="I695" i="19" a="1"/>
  <c r="I695" i="19" s="1"/>
  <c r="N695" i="19"/>
  <c r="I696" i="19" a="1"/>
  <c r="I696" i="19"/>
  <c r="N696" i="19"/>
  <c r="I697" i="19" a="1"/>
  <c r="I697" i="19" s="1"/>
  <c r="N697" i="19"/>
  <c r="I698" i="19" a="1"/>
  <c r="I698" i="19" s="1"/>
  <c r="N698" i="19"/>
  <c r="I699" i="19" a="1"/>
  <c r="I699" i="19" s="1"/>
  <c r="N699" i="19"/>
  <c r="I700" i="19" a="1"/>
  <c r="I700" i="19" s="1"/>
  <c r="N700" i="19"/>
  <c r="I701" i="19" a="1"/>
  <c r="I701" i="19" s="1"/>
  <c r="N701" i="19"/>
  <c r="I702" i="19" a="1"/>
  <c r="I702" i="19"/>
  <c r="N702" i="19"/>
  <c r="I703" i="19" a="1"/>
  <c r="I703" i="19"/>
  <c r="N703" i="19"/>
  <c r="I704" i="19" a="1"/>
  <c r="I704" i="19" s="1"/>
  <c r="N704" i="19"/>
  <c r="I705" i="19" a="1"/>
  <c r="I705" i="19" s="1"/>
  <c r="N705" i="19"/>
  <c r="I706" i="19" a="1"/>
  <c r="I706" i="19" s="1"/>
  <c r="N706" i="19"/>
  <c r="I707" i="19" a="1"/>
  <c r="I707" i="19" s="1"/>
  <c r="N707" i="19"/>
  <c r="I708" i="19" a="1"/>
  <c r="I708" i="19" s="1"/>
  <c r="N708" i="19"/>
  <c r="I709" i="19" a="1"/>
  <c r="I709" i="19"/>
  <c r="N709" i="19"/>
  <c r="I710" i="19" a="1"/>
  <c r="I710" i="19" s="1"/>
  <c r="N710" i="19"/>
  <c r="I711" i="19" a="1"/>
  <c r="I711" i="19" s="1"/>
  <c r="N711" i="19"/>
  <c r="I712" i="19" a="1"/>
  <c r="I712" i="19" s="1"/>
  <c r="N712" i="19"/>
  <c r="I713" i="19" a="1"/>
  <c r="I713" i="19" s="1"/>
  <c r="N713" i="19"/>
  <c r="I714" i="19" a="1"/>
  <c r="I714" i="19" s="1"/>
  <c r="N714" i="19"/>
  <c r="I715" i="19" a="1"/>
  <c r="I715" i="19" s="1"/>
  <c r="N715" i="19"/>
  <c r="I716" i="19" a="1"/>
  <c r="I716" i="19" s="1"/>
  <c r="N716" i="19"/>
  <c r="I717" i="19" a="1"/>
  <c r="I717" i="19"/>
  <c r="N717" i="19"/>
  <c r="I718" i="19" a="1"/>
  <c r="I718" i="19" s="1"/>
  <c r="N718" i="19"/>
  <c r="I719" i="19" a="1"/>
  <c r="I719" i="19"/>
  <c r="N719" i="19"/>
  <c r="I720" i="19" a="1"/>
  <c r="I720" i="19" s="1"/>
  <c r="N720" i="19"/>
  <c r="I721" i="19" a="1"/>
  <c r="I721" i="19" s="1"/>
  <c r="N721" i="19"/>
  <c r="I722" i="19" a="1"/>
  <c r="I722" i="19" s="1"/>
  <c r="N722" i="19"/>
  <c r="I723" i="19" a="1"/>
  <c r="I723" i="19" s="1"/>
  <c r="N723" i="19"/>
  <c r="I724" i="19" a="1"/>
  <c r="I724" i="19" s="1"/>
  <c r="N724" i="19"/>
  <c r="I725" i="19" a="1"/>
  <c r="I725" i="19" s="1"/>
  <c r="N725" i="19"/>
  <c r="I726" i="19" a="1"/>
  <c r="I726" i="19" s="1"/>
  <c r="N726" i="19"/>
  <c r="I727" i="19" a="1"/>
  <c r="I727" i="19" s="1"/>
  <c r="N727" i="19"/>
  <c r="I728" i="19" a="1"/>
  <c r="I728" i="19" s="1"/>
  <c r="N728" i="19"/>
  <c r="I729" i="19" a="1"/>
  <c r="I729" i="19" s="1"/>
  <c r="N729" i="19"/>
  <c r="I730" i="19" a="1"/>
  <c r="I730" i="19" s="1"/>
  <c r="N730" i="19"/>
  <c r="I731" i="19" a="1"/>
  <c r="I731" i="19" s="1"/>
  <c r="N731" i="19"/>
  <c r="I732" i="19" a="1"/>
  <c r="I732" i="19" s="1"/>
  <c r="N732" i="19"/>
  <c r="I733" i="19" a="1"/>
  <c r="I733" i="19" s="1"/>
  <c r="N733" i="19"/>
  <c r="I734" i="19" a="1"/>
  <c r="I734" i="19" s="1"/>
  <c r="N734" i="19"/>
  <c r="I735" i="19" a="1"/>
  <c r="I735" i="19" s="1"/>
  <c r="N735" i="19"/>
  <c r="I736" i="19" a="1"/>
  <c r="I736" i="19" s="1"/>
  <c r="N736" i="19"/>
  <c r="I737" i="19" a="1"/>
  <c r="I737" i="19" s="1"/>
  <c r="N737" i="19"/>
  <c r="I738" i="19" a="1"/>
  <c r="I738" i="19" s="1"/>
  <c r="N738" i="19"/>
  <c r="I739" i="19" a="1"/>
  <c r="I739" i="19" s="1"/>
  <c r="N739" i="19"/>
  <c r="I740" i="19" a="1"/>
  <c r="I740" i="19" s="1"/>
  <c r="N740" i="19"/>
  <c r="I741" i="19" a="1"/>
  <c r="I741" i="19" s="1"/>
  <c r="N741" i="19"/>
  <c r="I742" i="19" a="1"/>
  <c r="I742" i="19" s="1"/>
  <c r="N742" i="19"/>
  <c r="I743" i="19" a="1"/>
  <c r="I743" i="19" s="1"/>
  <c r="N743" i="19"/>
  <c r="I744" i="19" a="1"/>
  <c r="I744" i="19"/>
  <c r="N744" i="19"/>
  <c r="I745" i="19" a="1"/>
  <c r="I745" i="19" s="1"/>
  <c r="N745" i="19"/>
  <c r="I746" i="19" a="1"/>
  <c r="I746" i="19" s="1"/>
  <c r="N746" i="19"/>
  <c r="I747" i="19" a="1"/>
  <c r="I747" i="19" s="1"/>
  <c r="N747" i="19"/>
  <c r="I748" i="19" a="1"/>
  <c r="I748" i="19" s="1"/>
  <c r="N748" i="19"/>
  <c r="I749" i="19" a="1"/>
  <c r="I749" i="19" s="1"/>
  <c r="N749" i="19"/>
  <c r="I750" i="19" a="1"/>
  <c r="I750" i="19" s="1"/>
  <c r="N750" i="19"/>
  <c r="I751" i="19" a="1"/>
  <c r="I751" i="19" s="1"/>
  <c r="N751" i="19"/>
  <c r="I752" i="19" a="1"/>
  <c r="I752" i="19" s="1"/>
  <c r="N752" i="19"/>
  <c r="I753" i="19" a="1"/>
  <c r="I753" i="19" s="1"/>
  <c r="N753" i="19"/>
  <c r="I754" i="19" a="1"/>
  <c r="I754" i="19" s="1"/>
  <c r="N754" i="19"/>
  <c r="I755" i="19" a="1"/>
  <c r="I755" i="19" s="1"/>
  <c r="N755" i="19"/>
  <c r="I756" i="19" a="1"/>
  <c r="I756" i="19" s="1"/>
  <c r="N756" i="19"/>
  <c r="I757" i="19" a="1"/>
  <c r="I757" i="19" s="1"/>
  <c r="N757" i="19"/>
  <c r="I758" i="19" a="1"/>
  <c r="I758" i="19" s="1"/>
  <c r="N758" i="19"/>
  <c r="I759" i="19" a="1"/>
  <c r="I759" i="19" s="1"/>
  <c r="N759" i="19"/>
  <c r="I760" i="19" a="1"/>
  <c r="I760" i="19" s="1"/>
  <c r="N760" i="19"/>
  <c r="I761" i="19" a="1"/>
  <c r="I761" i="19" s="1"/>
  <c r="N761" i="19"/>
  <c r="I762" i="19" a="1"/>
  <c r="I762" i="19"/>
  <c r="N762" i="19"/>
  <c r="I763" i="19" a="1"/>
  <c r="I763" i="19" s="1"/>
  <c r="N763" i="19"/>
  <c r="I764" i="19" a="1"/>
  <c r="I764" i="19" s="1"/>
  <c r="N764" i="19"/>
  <c r="I765" i="19" a="1"/>
  <c r="I765" i="19" s="1"/>
  <c r="N765" i="19"/>
  <c r="I766" i="19" a="1"/>
  <c r="I766" i="19" s="1"/>
  <c r="N766" i="19"/>
  <c r="I767" i="19" a="1"/>
  <c r="I767" i="19" s="1"/>
  <c r="N767" i="19"/>
  <c r="I768" i="19" a="1"/>
  <c r="I768" i="19" s="1"/>
  <c r="N768" i="19"/>
  <c r="I769" i="19" a="1"/>
  <c r="I769" i="19" s="1"/>
  <c r="N769" i="19"/>
  <c r="I770" i="19" a="1"/>
  <c r="I770" i="19" s="1"/>
  <c r="N770" i="19"/>
  <c r="I771" i="19" a="1"/>
  <c r="I771" i="19" s="1"/>
  <c r="N771" i="19"/>
  <c r="I772" i="19" a="1"/>
  <c r="I772" i="19" s="1"/>
  <c r="N772" i="19"/>
  <c r="I773" i="19" a="1"/>
  <c r="I773" i="19" s="1"/>
  <c r="N773" i="19"/>
  <c r="I774" i="19" a="1"/>
  <c r="I774" i="19" s="1"/>
  <c r="N774" i="19"/>
  <c r="I775" i="19" a="1"/>
  <c r="I775" i="19" s="1"/>
  <c r="N775" i="19"/>
  <c r="I776" i="19" a="1"/>
  <c r="I776" i="19" s="1"/>
  <c r="N776" i="19"/>
  <c r="I777" i="19" a="1"/>
  <c r="I777" i="19" s="1"/>
  <c r="N777" i="19"/>
  <c r="I778" i="19" a="1"/>
  <c r="I778" i="19" s="1"/>
  <c r="N778" i="19"/>
  <c r="I779" i="19" a="1"/>
  <c r="I779" i="19" s="1"/>
  <c r="N779" i="19"/>
  <c r="I780" i="19" a="1"/>
  <c r="I780" i="19"/>
  <c r="N780" i="19"/>
  <c r="I781" i="19" a="1"/>
  <c r="I781" i="19" s="1"/>
  <c r="N781" i="19"/>
  <c r="I782" i="19" a="1"/>
  <c r="I782" i="19" s="1"/>
  <c r="N782" i="19"/>
  <c r="I783" i="19" a="1"/>
  <c r="I783" i="19" s="1"/>
  <c r="N783" i="19"/>
  <c r="I784" i="19" a="1"/>
  <c r="I784" i="19" s="1"/>
  <c r="N784" i="19"/>
  <c r="I785" i="19" a="1"/>
  <c r="I785" i="19" s="1"/>
  <c r="N785" i="19"/>
  <c r="I786" i="19" a="1"/>
  <c r="I786" i="19" s="1"/>
  <c r="N786" i="19"/>
  <c r="I787" i="19" a="1"/>
  <c r="I787" i="19" s="1"/>
  <c r="N787" i="19"/>
  <c r="I788" i="19" a="1"/>
  <c r="I788" i="19" s="1"/>
  <c r="N788" i="19"/>
  <c r="I789" i="19" a="1"/>
  <c r="I789" i="19" s="1"/>
  <c r="N789" i="19"/>
  <c r="I790" i="19" a="1"/>
  <c r="I790" i="19" s="1"/>
  <c r="N790" i="19"/>
  <c r="I791" i="19" a="1"/>
  <c r="I791" i="19" s="1"/>
  <c r="N791" i="19"/>
  <c r="I792" i="19" a="1"/>
  <c r="I792" i="19" s="1"/>
  <c r="N792" i="19"/>
  <c r="I793" i="19" a="1"/>
  <c r="I793" i="19" s="1"/>
  <c r="N793" i="19"/>
  <c r="I794" i="19" a="1"/>
  <c r="I794" i="19" s="1"/>
  <c r="N794" i="19"/>
  <c r="I795" i="19" a="1"/>
  <c r="I795" i="19" s="1"/>
  <c r="N795" i="19"/>
  <c r="I796" i="19" a="1"/>
  <c r="I796" i="19" s="1"/>
  <c r="N796" i="19"/>
  <c r="I797" i="19" a="1"/>
  <c r="I797" i="19" s="1"/>
  <c r="N797" i="19"/>
  <c r="I798" i="19" a="1"/>
  <c r="I798" i="19" s="1"/>
  <c r="N798" i="19"/>
  <c r="I799" i="19" a="1"/>
  <c r="I799" i="19" s="1"/>
  <c r="N799" i="19"/>
  <c r="I800" i="19" a="1"/>
  <c r="I800" i="19" s="1"/>
  <c r="N800" i="19"/>
  <c r="I801" i="19" a="1"/>
  <c r="I801" i="19" s="1"/>
  <c r="N801" i="19"/>
  <c r="I802" i="19" a="1"/>
  <c r="I802" i="19" s="1"/>
  <c r="N802" i="19"/>
  <c r="I803" i="19" a="1"/>
  <c r="I803" i="19" s="1"/>
  <c r="N803" i="19"/>
  <c r="I804" i="19" a="1"/>
  <c r="I804" i="19" s="1"/>
  <c r="N804" i="19"/>
  <c r="I805" i="19" a="1"/>
  <c r="I805" i="19" s="1"/>
  <c r="N805" i="19"/>
  <c r="I806" i="19" a="1"/>
  <c r="I806" i="19" s="1"/>
  <c r="N806" i="19"/>
  <c r="I807" i="19" a="1"/>
  <c r="I807" i="19" s="1"/>
  <c r="N807" i="19"/>
  <c r="I808" i="19" a="1"/>
  <c r="I808" i="19" s="1"/>
  <c r="N808" i="19"/>
  <c r="I809" i="19" a="1"/>
  <c r="I809" i="19" s="1"/>
  <c r="N809" i="19"/>
  <c r="I810" i="19" a="1"/>
  <c r="I810" i="19" s="1"/>
  <c r="N810" i="19"/>
  <c r="I811" i="19" a="1"/>
  <c r="I811" i="19" s="1"/>
  <c r="N811" i="19"/>
  <c r="I812" i="19" a="1"/>
  <c r="I812" i="19" s="1"/>
  <c r="N812" i="19"/>
  <c r="I813" i="19" a="1"/>
  <c r="I813" i="19"/>
  <c r="N813" i="19"/>
  <c r="I814" i="19" a="1"/>
  <c r="I814" i="19" s="1"/>
  <c r="N814" i="19"/>
  <c r="I815" i="19" a="1"/>
  <c r="I815" i="19"/>
  <c r="N815" i="19"/>
  <c r="I816" i="19" a="1"/>
  <c r="I816" i="19" s="1"/>
  <c r="N816" i="19"/>
  <c r="I817" i="19" a="1"/>
  <c r="I817" i="19" s="1"/>
  <c r="N817" i="19"/>
  <c r="I818" i="19" a="1"/>
  <c r="I818" i="19" s="1"/>
  <c r="N818" i="19"/>
  <c r="I819" i="19" a="1"/>
  <c r="I819" i="19" s="1"/>
  <c r="N819" i="19"/>
  <c r="I820" i="19" a="1"/>
  <c r="I820" i="19" s="1"/>
  <c r="N820" i="19"/>
  <c r="I821" i="19" a="1"/>
  <c r="I821" i="19" s="1"/>
  <c r="N821" i="19"/>
  <c r="I822" i="19" a="1"/>
  <c r="I822" i="19" s="1"/>
  <c r="N822" i="19"/>
  <c r="I823" i="19" a="1"/>
  <c r="I823" i="19"/>
  <c r="N823" i="19"/>
  <c r="I824" i="19" a="1"/>
  <c r="I824" i="19" s="1"/>
  <c r="N824" i="19"/>
  <c r="I825" i="19" a="1"/>
  <c r="I825" i="19" s="1"/>
  <c r="N825" i="19"/>
  <c r="I826" i="19" a="1"/>
  <c r="I826" i="19" s="1"/>
  <c r="N826" i="19"/>
  <c r="I827" i="19" a="1"/>
  <c r="I827" i="19" s="1"/>
  <c r="N827" i="19"/>
  <c r="I828" i="19" a="1"/>
  <c r="I828" i="19" s="1"/>
  <c r="N828" i="19"/>
  <c r="I829" i="19" a="1"/>
  <c r="I829" i="19" s="1"/>
  <c r="N829" i="19"/>
  <c r="I830" i="19" a="1"/>
  <c r="I830" i="19" s="1"/>
  <c r="N830" i="19"/>
  <c r="I831" i="19" a="1"/>
  <c r="I831" i="19" s="1"/>
  <c r="N831" i="19"/>
  <c r="I832" i="19" a="1"/>
  <c r="I832" i="19" s="1"/>
  <c r="N832" i="19"/>
  <c r="I833" i="19" a="1"/>
  <c r="I833" i="19" s="1"/>
  <c r="N833" i="19"/>
  <c r="I834" i="19" a="1"/>
  <c r="I834" i="19" s="1"/>
  <c r="N834" i="19"/>
  <c r="I835" i="19" a="1"/>
  <c r="I835" i="19" s="1"/>
  <c r="N835" i="19"/>
  <c r="I836" i="19" a="1"/>
  <c r="I836" i="19" s="1"/>
  <c r="N836" i="19"/>
  <c r="I837" i="19" a="1"/>
  <c r="I837" i="19" s="1"/>
  <c r="N837" i="19"/>
  <c r="I838" i="19" a="1"/>
  <c r="I838" i="19" s="1"/>
  <c r="N838" i="19"/>
  <c r="I839" i="19" a="1"/>
  <c r="I839" i="19" s="1"/>
  <c r="N839" i="19"/>
  <c r="I840" i="19" a="1"/>
  <c r="I840" i="19" s="1"/>
  <c r="N840" i="19"/>
  <c r="I841" i="19" a="1"/>
  <c r="I841" i="19" s="1"/>
  <c r="N841" i="19"/>
  <c r="I842" i="19" a="1"/>
  <c r="I842" i="19" s="1"/>
  <c r="N842" i="19"/>
  <c r="I843" i="19" a="1"/>
  <c r="I843" i="19" s="1"/>
  <c r="N843" i="19"/>
  <c r="I844" i="19" a="1"/>
  <c r="I844" i="19" s="1"/>
  <c r="N844" i="19"/>
  <c r="I845" i="19" a="1"/>
  <c r="I845" i="19" s="1"/>
  <c r="N845" i="19"/>
  <c r="I846" i="19" a="1"/>
  <c r="I846" i="19" s="1"/>
  <c r="N846" i="19"/>
  <c r="I847" i="19" a="1"/>
  <c r="I847" i="19" s="1"/>
  <c r="N847" i="19"/>
  <c r="I848" i="19" a="1"/>
  <c r="I848" i="19" s="1"/>
  <c r="N848" i="19"/>
  <c r="I849" i="19" a="1"/>
  <c r="I849" i="19"/>
  <c r="N849" i="19"/>
  <c r="I850" i="19" a="1"/>
  <c r="I850" i="19"/>
  <c r="N850" i="19"/>
  <c r="I851" i="19" a="1"/>
  <c r="I851" i="19" s="1"/>
  <c r="N851" i="19"/>
  <c r="I852" i="19" a="1"/>
  <c r="I852" i="19" s="1"/>
  <c r="N852" i="19"/>
  <c r="I853" i="19" a="1"/>
  <c r="I853" i="19" s="1"/>
  <c r="N853" i="19"/>
  <c r="I854" i="19" a="1"/>
  <c r="I854" i="19" s="1"/>
  <c r="N854" i="19"/>
  <c r="I855" i="19" a="1"/>
  <c r="I855" i="19" s="1"/>
  <c r="N855" i="19"/>
  <c r="I856" i="19" a="1"/>
  <c r="I856" i="19" s="1"/>
  <c r="N856" i="19"/>
  <c r="I857" i="19" a="1"/>
  <c r="I857" i="19" s="1"/>
  <c r="N857" i="19"/>
  <c r="I858" i="19" a="1"/>
  <c r="I858" i="19" s="1"/>
  <c r="N858" i="19"/>
  <c r="I859" i="19" a="1"/>
  <c r="I859" i="19" s="1"/>
  <c r="N859" i="19"/>
  <c r="I860" i="19" a="1"/>
  <c r="I860" i="19" s="1"/>
  <c r="N860" i="19"/>
  <c r="I861" i="19" a="1"/>
  <c r="I861" i="19" s="1"/>
  <c r="N861" i="19"/>
  <c r="I862" i="19" a="1"/>
  <c r="I862" i="19" s="1"/>
  <c r="N862" i="19"/>
  <c r="I863" i="19" a="1"/>
  <c r="I863" i="19"/>
  <c r="N863" i="19"/>
  <c r="I864" i="19" a="1"/>
  <c r="I864" i="19"/>
  <c r="N864" i="19"/>
  <c r="I865" i="19" a="1"/>
  <c r="I865" i="19" s="1"/>
  <c r="N865" i="19"/>
  <c r="I866" i="19" a="1"/>
  <c r="I866" i="19" s="1"/>
  <c r="N866" i="19"/>
  <c r="I867" i="19" a="1"/>
  <c r="I867" i="19" s="1"/>
  <c r="N867" i="19"/>
  <c r="I868" i="19" a="1"/>
  <c r="I868" i="19" s="1"/>
  <c r="N868" i="19"/>
  <c r="I869" i="19" a="1"/>
  <c r="I869" i="19" s="1"/>
  <c r="N869" i="19"/>
  <c r="I870" i="19" a="1"/>
  <c r="I870" i="19" s="1"/>
  <c r="N870" i="19"/>
  <c r="I871" i="19" a="1"/>
  <c r="I871" i="19"/>
  <c r="N871" i="19"/>
  <c r="I872" i="19" a="1"/>
  <c r="I872" i="19" s="1"/>
  <c r="N872" i="19"/>
  <c r="I873" i="19" a="1"/>
  <c r="I873" i="19" s="1"/>
  <c r="N873" i="19"/>
  <c r="I874" i="19" a="1"/>
  <c r="I874" i="19"/>
  <c r="N874" i="19"/>
  <c r="I875" i="19" a="1"/>
  <c r="I875" i="19" s="1"/>
  <c r="N875" i="19"/>
  <c r="I876" i="19" a="1"/>
  <c r="I876" i="19" s="1"/>
  <c r="N876" i="19"/>
  <c r="I877" i="19" a="1"/>
  <c r="I877" i="19" s="1"/>
  <c r="N877" i="19"/>
  <c r="I878" i="19" a="1"/>
  <c r="I878" i="19" s="1"/>
  <c r="N878" i="19"/>
  <c r="I879" i="19" a="1"/>
  <c r="I879" i="19" s="1"/>
  <c r="N879" i="19"/>
  <c r="I880" i="19" a="1"/>
  <c r="I880" i="19" s="1"/>
  <c r="N880" i="19"/>
  <c r="I881" i="19" a="1"/>
  <c r="I881" i="19" s="1"/>
  <c r="N881" i="19"/>
  <c r="I882" i="19" a="1"/>
  <c r="I882" i="19" s="1"/>
  <c r="N882" i="19"/>
  <c r="I883" i="19" a="1"/>
  <c r="I883" i="19" s="1"/>
  <c r="N883" i="19"/>
  <c r="I884" i="19" a="1"/>
  <c r="I884" i="19" s="1"/>
  <c r="N884" i="19"/>
  <c r="I885" i="19" a="1"/>
  <c r="I885" i="19" s="1"/>
  <c r="N885" i="19"/>
  <c r="I886" i="19" a="1"/>
  <c r="I886" i="19" s="1"/>
  <c r="N886" i="19"/>
  <c r="I887" i="19" a="1"/>
  <c r="I887" i="19" s="1"/>
  <c r="N887" i="19"/>
  <c r="I888" i="19" a="1"/>
  <c r="I888" i="19"/>
  <c r="N888" i="19"/>
  <c r="I889" i="19" a="1"/>
  <c r="I889" i="19" s="1"/>
  <c r="N889" i="19"/>
  <c r="I890" i="19" a="1"/>
  <c r="I890" i="19" s="1"/>
  <c r="N890" i="19"/>
  <c r="I891" i="19" a="1"/>
  <c r="I891" i="19" s="1"/>
  <c r="N891" i="19"/>
  <c r="I892" i="19" a="1"/>
  <c r="I892" i="19" s="1"/>
  <c r="N892" i="19"/>
  <c r="I893" i="19" a="1"/>
  <c r="I893" i="19" s="1"/>
  <c r="N893" i="19"/>
  <c r="I894" i="19" a="1"/>
  <c r="I894" i="19" s="1"/>
  <c r="N894" i="19"/>
  <c r="I895" i="19" a="1"/>
  <c r="I895" i="19" s="1"/>
  <c r="N895" i="19"/>
  <c r="I896" i="19" a="1"/>
  <c r="I896" i="19" s="1"/>
  <c r="N896" i="19"/>
  <c r="I897" i="19" a="1"/>
  <c r="I897" i="19" s="1"/>
  <c r="N897" i="19"/>
  <c r="I898" i="19" a="1"/>
  <c r="I898" i="19" s="1"/>
  <c r="N898" i="19"/>
  <c r="I899" i="19" a="1"/>
  <c r="I899" i="19" s="1"/>
  <c r="N899" i="19"/>
  <c r="I900" i="19" a="1"/>
  <c r="I900" i="19"/>
  <c r="N900" i="19"/>
  <c r="I901" i="19" a="1"/>
  <c r="I901" i="19" s="1"/>
  <c r="N901" i="19"/>
  <c r="I902" i="19" a="1"/>
  <c r="I902" i="19" s="1"/>
  <c r="N902" i="19"/>
  <c r="I903" i="19" a="1"/>
  <c r="I903" i="19" s="1"/>
  <c r="N903" i="19"/>
  <c r="I904" i="19" a="1"/>
  <c r="I904" i="19" s="1"/>
  <c r="N904" i="19"/>
  <c r="I905" i="19" a="1"/>
  <c r="I905" i="19" s="1"/>
  <c r="N905" i="19"/>
  <c r="I906" i="19" a="1"/>
  <c r="I906" i="19" s="1"/>
  <c r="N906" i="19"/>
  <c r="I907" i="19" a="1"/>
  <c r="I907" i="19" s="1"/>
  <c r="N907" i="19"/>
  <c r="I908" i="19" a="1"/>
  <c r="I908" i="19" s="1"/>
  <c r="N908" i="19"/>
  <c r="I909" i="19" a="1"/>
  <c r="I909" i="19"/>
  <c r="N909" i="19"/>
  <c r="I910" i="19" a="1"/>
  <c r="I910" i="19" s="1"/>
  <c r="N910" i="19"/>
  <c r="I911" i="19" a="1"/>
  <c r="I911" i="19" s="1"/>
  <c r="N911" i="19"/>
  <c r="I912" i="19" a="1"/>
  <c r="I912" i="19" s="1"/>
  <c r="N912" i="19"/>
  <c r="I913" i="19" a="1"/>
  <c r="I913" i="19" s="1"/>
  <c r="N913" i="19"/>
  <c r="I914" i="19" a="1"/>
  <c r="I914" i="19" s="1"/>
  <c r="N914" i="19"/>
  <c r="I915" i="19" a="1"/>
  <c r="I915" i="19" s="1"/>
  <c r="N915" i="19"/>
  <c r="I916" i="19" a="1"/>
  <c r="I916" i="19" s="1"/>
  <c r="N916" i="19"/>
  <c r="I917" i="19" a="1"/>
  <c r="I917" i="19"/>
  <c r="N917" i="19"/>
  <c r="I918" i="19" a="1"/>
  <c r="I918" i="19" s="1"/>
  <c r="N918" i="19"/>
  <c r="I919" i="19" a="1"/>
  <c r="I919" i="19" s="1"/>
  <c r="N919" i="19"/>
  <c r="I920" i="19" a="1"/>
  <c r="I920" i="19" s="1"/>
  <c r="N920" i="19"/>
  <c r="I921" i="19" a="1"/>
  <c r="I921" i="19" s="1"/>
  <c r="N921" i="19"/>
  <c r="I922" i="19" a="1"/>
  <c r="I922" i="19"/>
  <c r="N922" i="19"/>
  <c r="I923" i="19" a="1"/>
  <c r="I923" i="19" s="1"/>
  <c r="N923" i="19"/>
  <c r="I924" i="19" a="1"/>
  <c r="I924" i="19" s="1"/>
  <c r="N924" i="19"/>
  <c r="I925" i="19" a="1"/>
  <c r="I925" i="19" s="1"/>
  <c r="N925" i="19"/>
  <c r="I926" i="19" a="1"/>
  <c r="I926" i="19" s="1"/>
  <c r="N926" i="19"/>
  <c r="I927" i="19" a="1"/>
  <c r="I927" i="19" s="1"/>
  <c r="N927" i="19"/>
  <c r="I928" i="19" a="1"/>
  <c r="I928" i="19" s="1"/>
  <c r="N928" i="19"/>
  <c r="I929" i="19" a="1"/>
  <c r="I929" i="19" s="1"/>
  <c r="N929" i="19"/>
  <c r="I930" i="19" a="1"/>
  <c r="I930" i="19" s="1"/>
  <c r="N930" i="19"/>
  <c r="I931" i="19" a="1"/>
  <c r="I931" i="19" s="1"/>
  <c r="N931" i="19"/>
  <c r="I932" i="19" a="1"/>
  <c r="I932" i="19" s="1"/>
  <c r="N932" i="19"/>
  <c r="I933" i="19" a="1"/>
  <c r="I933" i="19" s="1"/>
  <c r="N933" i="19"/>
  <c r="I934" i="19" a="1"/>
  <c r="I934" i="19" s="1"/>
  <c r="N934" i="19"/>
  <c r="I935" i="19" a="1"/>
  <c r="I935" i="19" s="1"/>
  <c r="N935" i="19"/>
  <c r="I936" i="19" a="1"/>
  <c r="I936" i="19" s="1"/>
  <c r="N936" i="19"/>
  <c r="I937" i="19" a="1"/>
  <c r="I937" i="19" s="1"/>
  <c r="N937" i="19"/>
  <c r="I938" i="19" a="1"/>
  <c r="I938" i="19" s="1"/>
  <c r="N938" i="19"/>
  <c r="I939" i="19" a="1"/>
  <c r="I939" i="19" s="1"/>
  <c r="N939" i="19"/>
  <c r="I940" i="19" a="1"/>
  <c r="I940" i="19" s="1"/>
  <c r="N940" i="19"/>
  <c r="I941" i="19" a="1"/>
  <c r="I941" i="19"/>
  <c r="N941" i="19"/>
  <c r="I942" i="19" a="1"/>
  <c r="I942" i="19" s="1"/>
  <c r="N942" i="19"/>
  <c r="I943" i="19" a="1"/>
  <c r="I943" i="19" s="1"/>
  <c r="N943" i="19"/>
  <c r="I944" i="19" a="1"/>
  <c r="I944" i="19" s="1"/>
  <c r="N944" i="19"/>
  <c r="I945" i="19" a="1"/>
  <c r="I945" i="19" s="1"/>
  <c r="N945" i="19"/>
  <c r="I946" i="19" a="1"/>
  <c r="I946" i="19"/>
  <c r="N946" i="19"/>
  <c r="I947" i="19" a="1"/>
  <c r="I947" i="19" s="1"/>
  <c r="N947" i="19"/>
  <c r="I948" i="19" a="1"/>
  <c r="I948" i="19" s="1"/>
  <c r="N948" i="19"/>
  <c r="I949" i="19" a="1"/>
  <c r="I949" i="19" s="1"/>
  <c r="N949" i="19"/>
  <c r="I950" i="19" a="1"/>
  <c r="I950" i="19" s="1"/>
  <c r="N950" i="19"/>
  <c r="I951" i="19" a="1"/>
  <c r="I951" i="19" s="1"/>
  <c r="N951" i="19"/>
  <c r="I952" i="19" a="1"/>
  <c r="I952" i="19" s="1"/>
  <c r="N952" i="19"/>
  <c r="I953" i="19" a="1"/>
  <c r="I953" i="19" s="1"/>
  <c r="N953" i="19"/>
  <c r="I954" i="19" a="1"/>
  <c r="I954" i="19"/>
  <c r="N954" i="19"/>
  <c r="I955" i="19" a="1"/>
  <c r="I955" i="19" s="1"/>
  <c r="N955" i="19"/>
  <c r="I956" i="19" a="1"/>
  <c r="I956" i="19" s="1"/>
  <c r="N956" i="19"/>
  <c r="I957" i="19" a="1"/>
  <c r="I957" i="19"/>
  <c r="N957" i="19"/>
  <c r="I958" i="19" a="1"/>
  <c r="I958" i="19"/>
  <c r="N958" i="19"/>
  <c r="I959" i="19" a="1"/>
  <c r="I959" i="19"/>
  <c r="N959" i="19"/>
  <c r="I960" i="19" a="1"/>
  <c r="I960" i="19" s="1"/>
  <c r="N960" i="19"/>
  <c r="I961" i="19" a="1"/>
  <c r="I961" i="19" s="1"/>
  <c r="N961" i="19"/>
  <c r="I962" i="19" a="1"/>
  <c r="I962" i="19" s="1"/>
  <c r="N962" i="19"/>
  <c r="I963" i="19" a="1"/>
  <c r="I963" i="19" s="1"/>
  <c r="N963" i="19"/>
  <c r="I964" i="19" a="1"/>
  <c r="I964" i="19" s="1"/>
  <c r="N964" i="19"/>
  <c r="I965" i="19" a="1"/>
  <c r="I965" i="19" s="1"/>
  <c r="N965" i="19"/>
  <c r="I966" i="19" a="1"/>
  <c r="I966" i="19" s="1"/>
  <c r="N966" i="19"/>
  <c r="I967" i="19" a="1"/>
  <c r="I967" i="19" s="1"/>
  <c r="N967" i="19"/>
  <c r="I968" i="19" a="1"/>
  <c r="I968" i="19" s="1"/>
  <c r="N968" i="19"/>
  <c r="I969" i="19" a="1"/>
  <c r="I969" i="19" s="1"/>
  <c r="N969" i="19"/>
  <c r="I970" i="19" a="1"/>
  <c r="I970" i="19"/>
  <c r="N970" i="19"/>
  <c r="I971" i="19" a="1"/>
  <c r="I971" i="19"/>
  <c r="N971" i="19"/>
  <c r="I972" i="19" a="1"/>
  <c r="I972" i="19"/>
  <c r="N972" i="19"/>
  <c r="I973" i="19" a="1"/>
  <c r="I973" i="19" s="1"/>
  <c r="N973" i="19"/>
  <c r="I974" i="19" a="1"/>
  <c r="I974" i="19" s="1"/>
  <c r="N974" i="19"/>
  <c r="I975" i="19" a="1"/>
  <c r="I975" i="19" s="1"/>
  <c r="N975" i="19"/>
  <c r="I976" i="19" a="1"/>
  <c r="I976" i="19" s="1"/>
  <c r="N976" i="19"/>
  <c r="I977" i="19" a="1"/>
  <c r="I977" i="19"/>
  <c r="N977" i="19"/>
  <c r="I978" i="19" a="1"/>
  <c r="I978" i="19" s="1"/>
  <c r="N978" i="19"/>
  <c r="I979" i="19" a="1"/>
  <c r="I979" i="19" s="1"/>
  <c r="N979" i="19"/>
  <c r="I980" i="19" a="1"/>
  <c r="I980" i="19" s="1"/>
  <c r="N980" i="19"/>
  <c r="I981" i="19" a="1"/>
  <c r="I981" i="19" s="1"/>
  <c r="N981" i="19"/>
  <c r="I982" i="19" a="1"/>
  <c r="I982" i="19" s="1"/>
  <c r="N982" i="19"/>
  <c r="I983" i="19" a="1"/>
  <c r="I983" i="19" s="1"/>
  <c r="N983" i="19"/>
  <c r="I984" i="19" a="1"/>
  <c r="I984" i="19" s="1"/>
  <c r="N984" i="19"/>
  <c r="I985" i="19" a="1"/>
  <c r="I985" i="19" s="1"/>
  <c r="N985" i="19"/>
  <c r="I986" i="19" a="1"/>
  <c r="I986" i="19" s="1"/>
  <c r="N986" i="19"/>
  <c r="I987" i="19" a="1"/>
  <c r="I987" i="19" s="1"/>
  <c r="N987" i="19"/>
  <c r="I988" i="19" a="1"/>
  <c r="I988" i="19" s="1"/>
  <c r="N988" i="19"/>
  <c r="I989" i="19" a="1"/>
  <c r="I989" i="19" s="1"/>
  <c r="N989" i="19"/>
  <c r="I990" i="19" a="1"/>
  <c r="I990" i="19"/>
  <c r="N990" i="19"/>
  <c r="I991" i="19" a="1"/>
  <c r="I991" i="19" s="1"/>
  <c r="N991" i="19"/>
  <c r="I992" i="19" a="1"/>
  <c r="I992" i="19" s="1"/>
  <c r="N992" i="19"/>
  <c r="I993" i="19" a="1"/>
  <c r="I993" i="19" s="1"/>
  <c r="N993" i="19"/>
  <c r="I994" i="19" a="1"/>
  <c r="I994" i="19"/>
  <c r="N994" i="19"/>
  <c r="I995" i="19" a="1"/>
  <c r="I995" i="19"/>
  <c r="N995" i="19"/>
  <c r="I996" i="19" a="1"/>
  <c r="I996" i="19"/>
  <c r="N996" i="19"/>
  <c r="I997" i="19" a="1"/>
  <c r="I997" i="19" s="1"/>
  <c r="N997" i="19"/>
  <c r="I998" i="19" a="1"/>
  <c r="I998" i="19" s="1"/>
  <c r="N998" i="19"/>
  <c r="I999" i="19" a="1"/>
  <c r="I999" i="19" s="1"/>
  <c r="N999" i="19"/>
  <c r="I1000" i="19" a="1"/>
  <c r="I1000" i="19" s="1"/>
  <c r="N1000" i="19"/>
  <c r="I1001" i="19" a="1"/>
  <c r="I1001" i="19" s="1"/>
  <c r="N1001" i="19"/>
  <c r="I1002" i="19" a="1"/>
  <c r="I1002" i="19" s="1"/>
  <c r="N1002" i="19"/>
  <c r="I1003" i="19" a="1"/>
  <c r="I1003" i="19" s="1"/>
  <c r="N1003" i="19"/>
  <c r="I1004" i="19" a="1"/>
  <c r="I1004" i="19" s="1"/>
  <c r="N1004" i="19"/>
  <c r="I1005" i="19" a="1"/>
  <c r="I1005" i="19"/>
  <c r="N1005" i="19"/>
  <c r="I1006" i="19" a="1"/>
  <c r="I1006" i="19" s="1"/>
  <c r="N1006" i="19"/>
  <c r="I1007" i="19" a="1"/>
  <c r="I1007" i="19" s="1"/>
  <c r="N1007" i="19"/>
  <c r="I1008" i="19" a="1"/>
  <c r="I1008" i="19" s="1"/>
  <c r="N1008" i="19"/>
  <c r="I1009" i="19" a="1"/>
  <c r="I1009" i="19" s="1"/>
  <c r="N1009" i="19"/>
  <c r="I1010" i="19" a="1"/>
  <c r="I1010" i="19" s="1"/>
  <c r="N1010" i="19"/>
  <c r="I1011" i="19" a="1"/>
  <c r="I1011" i="19" s="1"/>
  <c r="N1011" i="19"/>
  <c r="I1012" i="19" a="1"/>
  <c r="I1012" i="19" s="1"/>
  <c r="N1012" i="19"/>
  <c r="I1013" i="19" a="1"/>
  <c r="I1013" i="19" s="1"/>
  <c r="N1013" i="19"/>
  <c r="I1014" i="19" a="1"/>
  <c r="I1014" i="19" s="1"/>
  <c r="N1014" i="19"/>
  <c r="I1015" i="19" a="1"/>
  <c r="I1015" i="19" s="1"/>
  <c r="N1015" i="19"/>
  <c r="I1016" i="19" a="1"/>
  <c r="I1016" i="19" s="1"/>
  <c r="N1016" i="19"/>
  <c r="I1017" i="19" a="1"/>
  <c r="I1017" i="19"/>
  <c r="N1017" i="19"/>
  <c r="I1018" i="19" a="1"/>
  <c r="I1018" i="19" s="1"/>
  <c r="N1018" i="19"/>
  <c r="I1019" i="19" a="1"/>
  <c r="I1019" i="19"/>
  <c r="N1019" i="19"/>
  <c r="I1020" i="19" a="1"/>
  <c r="I1020" i="19" s="1"/>
  <c r="N1020" i="19"/>
  <c r="I1021" i="19" a="1"/>
  <c r="I1021" i="19" s="1"/>
  <c r="N1021" i="19"/>
  <c r="I1022" i="19" a="1"/>
  <c r="I1022" i="19" s="1"/>
  <c r="N1022" i="19"/>
  <c r="I1023" i="19" a="1"/>
  <c r="I1023" i="19" s="1"/>
  <c r="N1023" i="19"/>
  <c r="I1024" i="19" a="1"/>
  <c r="I1024" i="19" s="1"/>
  <c r="N1024" i="19"/>
  <c r="I1025" i="19" a="1"/>
  <c r="I1025" i="19" s="1"/>
  <c r="N1025" i="19"/>
  <c r="I1026" i="19" a="1"/>
  <c r="I1026" i="19" s="1"/>
  <c r="N1026" i="19"/>
  <c r="I1027" i="19" a="1"/>
  <c r="I1027" i="19"/>
  <c r="N1027" i="19"/>
  <c r="I1028" i="19" a="1"/>
  <c r="I1028" i="19" s="1"/>
  <c r="N1028" i="19"/>
  <c r="I1029" i="19" a="1"/>
  <c r="I1029" i="19" s="1"/>
  <c r="N1029" i="19"/>
  <c r="I1030" i="19" a="1"/>
  <c r="I1030" i="19" s="1"/>
  <c r="N1030" i="19"/>
  <c r="I1031" i="19" a="1"/>
  <c r="I1031" i="19" s="1"/>
  <c r="N1031" i="19"/>
  <c r="I1032" i="19" a="1"/>
  <c r="I1032" i="19" s="1"/>
  <c r="N1032" i="19"/>
  <c r="I1033" i="19" a="1"/>
  <c r="I1033" i="19" s="1"/>
  <c r="N1033" i="19"/>
  <c r="I1034" i="19" a="1"/>
  <c r="I1034" i="19" s="1"/>
  <c r="N1034" i="19"/>
  <c r="I1035" i="19" a="1"/>
  <c r="I1035" i="19" s="1"/>
  <c r="N1035" i="19"/>
  <c r="I1036" i="19" a="1"/>
  <c r="I1036" i="19" s="1"/>
  <c r="N1036" i="19"/>
  <c r="I1037" i="19" a="1"/>
  <c r="I1037" i="19" s="1"/>
  <c r="N1037" i="19"/>
  <c r="I1038" i="19" a="1"/>
  <c r="I1038" i="19"/>
  <c r="N1038" i="19"/>
  <c r="I1039" i="19" a="1"/>
  <c r="I1039" i="19" s="1"/>
  <c r="N1039" i="19"/>
  <c r="I1040" i="19" a="1"/>
  <c r="I1040" i="19" s="1"/>
  <c r="N1040" i="19"/>
  <c r="I1041" i="19" a="1"/>
  <c r="I1041" i="19" s="1"/>
  <c r="N1041" i="19"/>
  <c r="I1042" i="19" a="1"/>
  <c r="I1042" i="19" s="1"/>
  <c r="N1042" i="19"/>
  <c r="I1043" i="19" a="1"/>
  <c r="I1043" i="19"/>
  <c r="N1043" i="19"/>
  <c r="I1044" i="19" a="1"/>
  <c r="I1044" i="19"/>
  <c r="N1044" i="19"/>
  <c r="I1045" i="19" a="1"/>
  <c r="I1045" i="19"/>
  <c r="N1045" i="19"/>
  <c r="I1046" i="19" a="1"/>
  <c r="I1046" i="19" s="1"/>
  <c r="N1046" i="19"/>
  <c r="I1047" i="19" a="1"/>
  <c r="I1047" i="19" s="1"/>
  <c r="N1047" i="19"/>
  <c r="I1048" i="19" a="1"/>
  <c r="I1048" i="19" s="1"/>
  <c r="N1048" i="19"/>
  <c r="I1049" i="19" a="1"/>
  <c r="I1049" i="19"/>
  <c r="N1049" i="19"/>
  <c r="I1050" i="19" a="1"/>
  <c r="I1050" i="19"/>
  <c r="N1050" i="19"/>
  <c r="I1051" i="19" a="1"/>
  <c r="I1051" i="19" s="1"/>
  <c r="N1051" i="19"/>
  <c r="I1052" i="19" a="1"/>
  <c r="I1052" i="19" s="1"/>
  <c r="N1052" i="19"/>
  <c r="I1053" i="19" a="1"/>
  <c r="I1053" i="19" s="1"/>
  <c r="N1053" i="19"/>
  <c r="I1054" i="19" a="1"/>
  <c r="I1054" i="19"/>
  <c r="N1054" i="19"/>
  <c r="I1055" i="19" a="1"/>
  <c r="I1055" i="19"/>
  <c r="N1055" i="19"/>
  <c r="I1056" i="19" a="1"/>
  <c r="I1056" i="19" s="1"/>
  <c r="N1056" i="19"/>
  <c r="I1057" i="19" a="1"/>
  <c r="I1057" i="19" s="1"/>
  <c r="N1057" i="19"/>
  <c r="I1058" i="19" a="1"/>
  <c r="I1058" i="19" s="1"/>
  <c r="N1058" i="19"/>
  <c r="I1059" i="19" a="1"/>
  <c r="I1059" i="19" s="1"/>
  <c r="N1059" i="19"/>
  <c r="I1060" i="19" a="1"/>
  <c r="I1060" i="19" s="1"/>
  <c r="N1060" i="19"/>
  <c r="I1061" i="19" a="1"/>
  <c r="I1061" i="19" s="1"/>
  <c r="N1061" i="19"/>
  <c r="I1062" i="19" a="1"/>
  <c r="I1062" i="19" s="1"/>
  <c r="N1062" i="19"/>
  <c r="I1063" i="19" a="1"/>
  <c r="I1063" i="19" s="1"/>
  <c r="N1063" i="19"/>
  <c r="I1064" i="19" a="1"/>
  <c r="I1064" i="19" s="1"/>
  <c r="N1064" i="19"/>
  <c r="I1065" i="19" a="1"/>
  <c r="I1065" i="19" s="1"/>
  <c r="N1065" i="19"/>
  <c r="I1066" i="19" a="1"/>
  <c r="I1066" i="19" s="1"/>
  <c r="N1066" i="19"/>
  <c r="I1067" i="19" a="1"/>
  <c r="I1067" i="19" s="1"/>
  <c r="N1067" i="19"/>
  <c r="I1068" i="19" a="1"/>
  <c r="I1068" i="19" s="1"/>
  <c r="N1068" i="19"/>
  <c r="I1069" i="19" a="1"/>
  <c r="I1069" i="19" s="1"/>
  <c r="N1069" i="19"/>
  <c r="I1070" i="19" a="1"/>
  <c r="I1070" i="19" s="1"/>
  <c r="N1070" i="19"/>
  <c r="I1071" i="19" a="1"/>
  <c r="I1071" i="19" s="1"/>
  <c r="N1071" i="19"/>
  <c r="I1072" i="19" a="1"/>
  <c r="I1072" i="19" s="1"/>
  <c r="N1072" i="19"/>
  <c r="I1073" i="19" a="1"/>
  <c r="I1073" i="19" s="1"/>
  <c r="N1073" i="19"/>
  <c r="I1074" i="19" a="1"/>
  <c r="I1074" i="19"/>
  <c r="N1074" i="19"/>
  <c r="I1075" i="19" a="1"/>
  <c r="I1075" i="19" s="1"/>
  <c r="N1075" i="19"/>
  <c r="I1076" i="19" a="1"/>
  <c r="I1076" i="19" s="1"/>
  <c r="N1076" i="19"/>
  <c r="I1077" i="19" a="1"/>
  <c r="I1077" i="19" s="1"/>
  <c r="N1077" i="19"/>
  <c r="I1078" i="19" a="1"/>
  <c r="I1078" i="19" s="1"/>
  <c r="N1078" i="19"/>
  <c r="I1079" i="19" a="1"/>
  <c r="I1079" i="19"/>
  <c r="N1079" i="19"/>
  <c r="I1080" i="19" a="1"/>
  <c r="I1080" i="19"/>
  <c r="N1080" i="19"/>
  <c r="I1081" i="19" a="1"/>
  <c r="I1081" i="19"/>
  <c r="N1081" i="19"/>
  <c r="I1082" i="19" a="1"/>
  <c r="I1082" i="19" s="1"/>
  <c r="N1082" i="19"/>
  <c r="I1083" i="19" a="1"/>
  <c r="I1083" i="19" s="1"/>
  <c r="N1083" i="19"/>
  <c r="I1084" i="19" a="1"/>
  <c r="I1084" i="19" s="1"/>
  <c r="N1084" i="19"/>
  <c r="I1085" i="19" a="1"/>
  <c r="I1085" i="19"/>
  <c r="N1085" i="19"/>
  <c r="I1086" i="19" a="1"/>
  <c r="I1086" i="19"/>
  <c r="N1086" i="19"/>
  <c r="I1087" i="19" a="1"/>
  <c r="I1087" i="19" s="1"/>
  <c r="N1087" i="19"/>
  <c r="I1088" i="19" a="1"/>
  <c r="I1088" i="19" s="1"/>
  <c r="N1088" i="19"/>
  <c r="I1089" i="19" a="1"/>
  <c r="I1089" i="19" s="1"/>
  <c r="N1089" i="19"/>
  <c r="I1090" i="19" a="1"/>
  <c r="I1090" i="19"/>
  <c r="N1090" i="19"/>
  <c r="I1091" i="19" a="1"/>
  <c r="I1091" i="19"/>
  <c r="N1091" i="19"/>
  <c r="I1092" i="19" a="1"/>
  <c r="I1092" i="19" s="1"/>
  <c r="N1092" i="19"/>
  <c r="I1093" i="19" a="1"/>
  <c r="I1093" i="19" s="1"/>
  <c r="N1093" i="19"/>
  <c r="I1094" i="19" a="1"/>
  <c r="I1094" i="19" s="1"/>
  <c r="N1094" i="19"/>
  <c r="I1095" i="19" a="1"/>
  <c r="I1095" i="19" s="1"/>
  <c r="N1095" i="19"/>
  <c r="I1096" i="19" a="1"/>
  <c r="I1096" i="19" s="1"/>
  <c r="N1096" i="19"/>
  <c r="I1097" i="19" a="1"/>
  <c r="I1097" i="19" s="1"/>
  <c r="N1097" i="19"/>
  <c r="I1098" i="19" a="1"/>
  <c r="I1098" i="19" s="1"/>
  <c r="N1098" i="19"/>
  <c r="I1099" i="19" a="1"/>
  <c r="I1099" i="19" s="1"/>
  <c r="N1099" i="19"/>
  <c r="I1100" i="19" a="1"/>
  <c r="I1100" i="19" s="1"/>
  <c r="N1100" i="19"/>
  <c r="I1101" i="19" a="1"/>
  <c r="I1101" i="19" s="1"/>
  <c r="N1101" i="19"/>
  <c r="I1102" i="19" a="1"/>
  <c r="I1102" i="19" s="1"/>
  <c r="N1102" i="19"/>
  <c r="I1103" i="19" a="1"/>
  <c r="I1103" i="19" s="1"/>
  <c r="N1103" i="19"/>
  <c r="I1104" i="19" a="1"/>
  <c r="I1104" i="19" s="1"/>
  <c r="N1104" i="19"/>
  <c r="I1105" i="19" a="1"/>
  <c r="I1105" i="19" s="1"/>
  <c r="N1105" i="19"/>
  <c r="I1106" i="19" a="1"/>
  <c r="I1106" i="19" s="1"/>
  <c r="N1106" i="19"/>
  <c r="I1107" i="19" a="1"/>
  <c r="I1107" i="19" s="1"/>
  <c r="N1107" i="19"/>
  <c r="I1108" i="19" a="1"/>
  <c r="I1108" i="19" s="1"/>
  <c r="N1108" i="19"/>
  <c r="I1109" i="19" a="1"/>
  <c r="I1109" i="19" s="1"/>
  <c r="N1109" i="19"/>
  <c r="I1110" i="19" a="1"/>
  <c r="I1110" i="19"/>
  <c r="N1110" i="19"/>
  <c r="G8" i="18" l="1"/>
  <c r="G6" i="18"/>
  <c r="G7" i="18"/>
  <c r="G5" i="18"/>
  <c r="G4" i="18"/>
  <c r="G45" i="18"/>
  <c r="G18" i="18"/>
  <c r="G15" i="18"/>
  <c r="G28" i="18"/>
  <c r="G19" i="18"/>
  <c r="G39" i="18"/>
  <c r="G12" i="18"/>
  <c r="G44" i="18"/>
  <c r="G24" i="18"/>
  <c r="G27" i="18"/>
  <c r="G50" i="18"/>
  <c r="G21" i="18"/>
  <c r="G32" i="18"/>
  <c r="G42" i="18"/>
  <c r="G51" i="18"/>
  <c r="G23" i="18"/>
  <c r="G43" i="18"/>
  <c r="G26" i="18"/>
  <c r="G49" i="18"/>
  <c r="G30" i="18"/>
  <c r="G38" i="18"/>
  <c r="G33" i="18"/>
  <c r="G16" i="18"/>
  <c r="G48" i="18"/>
  <c r="G29" i="18"/>
  <c r="G37" i="18"/>
  <c r="G13" i="18"/>
  <c r="G20" i="18"/>
  <c r="G35" i="18"/>
  <c r="G46" i="18"/>
  <c r="G41" i="18"/>
  <c r="G17" i="18"/>
  <c r="G34" i="18"/>
  <c r="G47" i="18"/>
  <c r="G31" i="18"/>
  <c r="G25" i="18"/>
  <c r="G14" i="18"/>
  <c r="G36" i="18"/>
  <c r="G11" i="18"/>
  <c r="G22" i="18"/>
  <c r="G40" i="18"/>
  <c r="G10" i="18"/>
  <c r="C10" i="18"/>
  <c r="B11" i="18"/>
  <c r="B10" i="18" s="1"/>
  <c r="C6" i="18"/>
  <c r="B6" i="18"/>
  <c r="C5" i="18"/>
  <c r="B5" i="18"/>
  <c r="D11" i="18" l="1"/>
  <c r="C7" i="18"/>
  <c r="B7" i="18"/>
  <c r="N11" i="19"/>
  <c r="N12" i="19"/>
  <c r="N13" i="19"/>
  <c r="N14" i="19"/>
  <c r="N15" i="19"/>
  <c r="N16" i="19"/>
  <c r="N17" i="19"/>
  <c r="N18" i="19"/>
  <c r="N19" i="19"/>
  <c r="N20" i="19"/>
  <c r="N21" i="19"/>
  <c r="N22" i="19"/>
  <c r="N23" i="19"/>
  <c r="N24" i="19"/>
  <c r="N25" i="19"/>
  <c r="N26" i="19"/>
  <c r="N27" i="19"/>
  <c r="N28" i="19"/>
  <c r="N29" i="19"/>
  <c r="N30" i="19"/>
  <c r="N31" i="19"/>
  <c r="N32" i="19"/>
  <c r="N33" i="19"/>
  <c r="N34" i="19"/>
  <c r="N35" i="19"/>
  <c r="N36" i="19"/>
  <c r="N37" i="19"/>
  <c r="N38" i="19"/>
  <c r="N39" i="19"/>
  <c r="N40" i="19"/>
  <c r="N41" i="19"/>
  <c r="N42" i="19"/>
  <c r="N43" i="19"/>
  <c r="N44" i="19"/>
  <c r="N45" i="19"/>
  <c r="N46" i="19"/>
  <c r="N47" i="19"/>
  <c r="N48" i="19"/>
  <c r="N49" i="19"/>
  <c r="N50" i="19"/>
  <c r="N51" i="19"/>
  <c r="N52" i="19"/>
  <c r="N53" i="19"/>
  <c r="N54" i="19"/>
  <c r="N55" i="19"/>
  <c r="N56" i="19"/>
  <c r="N57" i="19"/>
  <c r="N58" i="19"/>
  <c r="N59" i="19"/>
  <c r="N60" i="19"/>
  <c r="N61" i="19"/>
  <c r="N62" i="19"/>
  <c r="N63" i="19"/>
  <c r="N64" i="19"/>
  <c r="N65" i="19"/>
  <c r="N66" i="19"/>
  <c r="N67" i="19"/>
  <c r="N68" i="19"/>
  <c r="N69" i="19"/>
  <c r="N70" i="19"/>
  <c r="N71" i="19"/>
  <c r="N72" i="19"/>
  <c r="N73" i="19"/>
  <c r="N74" i="19"/>
  <c r="N75" i="19"/>
  <c r="N76" i="19"/>
  <c r="N77" i="19"/>
  <c r="N78" i="19"/>
  <c r="N79" i="19"/>
  <c r="N80" i="19"/>
  <c r="N81" i="19"/>
  <c r="N82" i="19"/>
  <c r="N83" i="19"/>
  <c r="N84" i="19"/>
  <c r="N85" i="19"/>
  <c r="N86" i="19"/>
  <c r="N87" i="19"/>
  <c r="N88" i="19"/>
  <c r="N89" i="19"/>
  <c r="N90" i="19"/>
  <c r="N91" i="19"/>
  <c r="N92" i="19"/>
  <c r="N93" i="19"/>
  <c r="N94" i="19"/>
  <c r="N95" i="19"/>
  <c r="N96" i="19"/>
  <c r="N97" i="19"/>
  <c r="N98" i="19"/>
  <c r="N99" i="19"/>
  <c r="N100" i="19"/>
  <c r="N101" i="19"/>
  <c r="N102" i="19"/>
  <c r="N103" i="19"/>
  <c r="N104" i="19"/>
  <c r="N105" i="19"/>
  <c r="N106" i="19"/>
  <c r="N107" i="19"/>
  <c r="N108" i="19"/>
  <c r="N109" i="19"/>
  <c r="N110" i="19"/>
  <c r="N111" i="19"/>
  <c r="N112" i="19"/>
  <c r="N113" i="19"/>
  <c r="N114" i="19"/>
  <c r="N115" i="19"/>
  <c r="N116" i="19"/>
  <c r="N117" i="19"/>
  <c r="N118" i="19"/>
  <c r="N119" i="19"/>
  <c r="N120" i="19"/>
  <c r="N121" i="19"/>
  <c r="N122" i="19"/>
  <c r="N123" i="19"/>
  <c r="N124" i="19"/>
  <c r="N125" i="19"/>
  <c r="N126" i="19"/>
  <c r="N127" i="19"/>
  <c r="N128" i="19"/>
  <c r="N129" i="19"/>
  <c r="N130" i="19"/>
  <c r="N131" i="19"/>
  <c r="N132" i="19"/>
  <c r="N133" i="19"/>
  <c r="N134" i="19"/>
  <c r="N135" i="19"/>
  <c r="N136" i="19"/>
  <c r="N137" i="19"/>
  <c r="N138" i="19"/>
  <c r="N139" i="19"/>
  <c r="N140" i="19"/>
  <c r="N141" i="19"/>
  <c r="N142" i="19"/>
  <c r="N143" i="19"/>
  <c r="N144" i="19"/>
  <c r="N145" i="19"/>
  <c r="N146" i="19"/>
  <c r="N147" i="19"/>
  <c r="N148" i="19"/>
  <c r="N149" i="19"/>
  <c r="N150" i="19"/>
  <c r="N151" i="19"/>
  <c r="N152" i="19"/>
  <c r="N153" i="19"/>
  <c r="N154" i="19"/>
  <c r="N155" i="19"/>
  <c r="N156" i="19"/>
  <c r="N157" i="19"/>
  <c r="N158" i="19"/>
  <c r="N159" i="19"/>
  <c r="N160" i="19"/>
  <c r="N161" i="19"/>
  <c r="N162" i="19"/>
  <c r="N163" i="19"/>
  <c r="N164" i="19"/>
  <c r="N165" i="19"/>
  <c r="N166" i="19"/>
  <c r="N167" i="19"/>
  <c r="N168" i="19"/>
  <c r="N169" i="19"/>
  <c r="N170" i="19"/>
  <c r="N171" i="19"/>
  <c r="N172" i="19"/>
  <c r="N173" i="19"/>
  <c r="N174" i="19"/>
  <c r="N175" i="19"/>
  <c r="N176" i="19"/>
  <c r="N177" i="19"/>
  <c r="N178" i="19"/>
  <c r="N179" i="19"/>
  <c r="N180" i="19"/>
  <c r="N181" i="19"/>
  <c r="N182" i="19"/>
  <c r="N183" i="19"/>
  <c r="N184" i="19"/>
  <c r="N185" i="19"/>
  <c r="N186" i="19"/>
  <c r="N187" i="19"/>
  <c r="N188" i="19"/>
  <c r="N189" i="19"/>
  <c r="N190" i="19"/>
  <c r="N191" i="19"/>
  <c r="N192" i="19"/>
  <c r="N193" i="19"/>
  <c r="N194" i="19"/>
  <c r="N195" i="19"/>
  <c r="N196" i="19"/>
  <c r="N197" i="19"/>
  <c r="N198" i="19"/>
  <c r="N199" i="19"/>
  <c r="N200" i="19"/>
  <c r="N201" i="19"/>
  <c r="N202" i="19"/>
  <c r="N203" i="19"/>
  <c r="N204" i="19"/>
  <c r="N205" i="19"/>
  <c r="N206" i="19"/>
  <c r="N207" i="19"/>
  <c r="N208" i="19"/>
  <c r="N209" i="19"/>
  <c r="N210" i="19"/>
  <c r="N211" i="19"/>
  <c r="N212" i="19"/>
  <c r="N213" i="19"/>
  <c r="N214" i="19"/>
  <c r="N215" i="19"/>
  <c r="N216" i="19"/>
  <c r="N217" i="19"/>
  <c r="N218" i="19"/>
  <c r="N219" i="19"/>
  <c r="N220" i="19"/>
  <c r="N221" i="19"/>
  <c r="N222" i="19"/>
  <c r="N223" i="19"/>
  <c r="N224" i="19"/>
  <c r="N225" i="19"/>
  <c r="N226" i="19"/>
  <c r="N227" i="19"/>
  <c r="N228" i="19"/>
  <c r="N229" i="19"/>
  <c r="N230" i="19"/>
  <c r="N231" i="19"/>
  <c r="N232" i="19"/>
  <c r="N233" i="19"/>
  <c r="N234" i="19"/>
  <c r="N235" i="19"/>
  <c r="N236" i="19"/>
  <c r="N237" i="19"/>
  <c r="N238" i="19"/>
  <c r="N239" i="19"/>
  <c r="N240" i="19"/>
  <c r="N241" i="19"/>
  <c r="N242" i="19"/>
  <c r="N243" i="19"/>
  <c r="N244" i="19"/>
  <c r="N245" i="19"/>
  <c r="N246" i="19"/>
  <c r="N247" i="19"/>
  <c r="N248" i="19"/>
  <c r="N249" i="19"/>
  <c r="N250" i="19"/>
  <c r="N251" i="19"/>
  <c r="N252" i="19"/>
  <c r="N253" i="19"/>
  <c r="N254" i="19"/>
  <c r="N255" i="19"/>
  <c r="N256" i="19"/>
  <c r="N257" i="19"/>
  <c r="N258" i="19"/>
  <c r="N259" i="19"/>
  <c r="N260" i="19"/>
  <c r="N261" i="19"/>
  <c r="N262" i="19"/>
  <c r="N263" i="19"/>
  <c r="N264" i="19"/>
  <c r="N265" i="19"/>
  <c r="N266" i="19"/>
  <c r="N267" i="19"/>
  <c r="N268" i="19"/>
  <c r="N269" i="19"/>
  <c r="N270" i="19"/>
  <c r="N271" i="19"/>
  <c r="N272" i="19"/>
  <c r="N273" i="19"/>
  <c r="N274" i="19"/>
  <c r="N275" i="19"/>
  <c r="N276" i="19"/>
  <c r="N277" i="19"/>
  <c r="N278" i="19"/>
  <c r="N279" i="19"/>
  <c r="N280" i="19"/>
  <c r="N281" i="19"/>
  <c r="N282" i="19"/>
  <c r="N283" i="19"/>
  <c r="N284" i="19"/>
  <c r="N285" i="19"/>
  <c r="N286" i="19"/>
  <c r="N287" i="19"/>
  <c r="N288" i="19"/>
  <c r="N289" i="19"/>
  <c r="N290" i="19"/>
  <c r="N291" i="19"/>
  <c r="N292" i="19"/>
  <c r="N293" i="19"/>
  <c r="N294" i="19"/>
  <c r="N295" i="19"/>
  <c r="N296" i="19"/>
  <c r="N297" i="19"/>
  <c r="N298" i="19"/>
  <c r="N299" i="19"/>
  <c r="N300" i="19"/>
  <c r="N301" i="19"/>
  <c r="N302" i="19"/>
  <c r="N303" i="19"/>
  <c r="N304" i="19"/>
  <c r="N305" i="19"/>
  <c r="N306" i="19"/>
  <c r="N307" i="19"/>
  <c r="N308" i="19"/>
  <c r="N309" i="19"/>
  <c r="N310" i="19"/>
  <c r="N311" i="19"/>
  <c r="N312" i="19"/>
  <c r="N313" i="19"/>
  <c r="N314" i="19"/>
  <c r="N315" i="19"/>
  <c r="N316" i="19"/>
  <c r="N317" i="19"/>
  <c r="N318" i="19"/>
  <c r="N319" i="19"/>
  <c r="N320" i="19"/>
  <c r="N321" i="19"/>
  <c r="N322" i="19"/>
  <c r="N323" i="19"/>
  <c r="N324" i="19"/>
  <c r="N325" i="19"/>
  <c r="N326" i="19"/>
  <c r="N327" i="19"/>
  <c r="N328" i="19"/>
  <c r="N329" i="19"/>
  <c r="N330" i="19"/>
  <c r="N331" i="19"/>
  <c r="N332" i="19"/>
  <c r="N333" i="19"/>
  <c r="N334" i="19"/>
  <c r="N335" i="19"/>
  <c r="N336" i="19"/>
  <c r="N337" i="19"/>
  <c r="N338" i="19"/>
  <c r="N339" i="19"/>
  <c r="N340" i="19"/>
  <c r="N341" i="19"/>
  <c r="N342" i="19"/>
  <c r="N343" i="19"/>
  <c r="N344" i="19"/>
  <c r="N345" i="19"/>
  <c r="N346" i="19"/>
  <c r="N347" i="19"/>
  <c r="N348" i="19"/>
  <c r="N349" i="19"/>
  <c r="N350" i="19"/>
  <c r="N351" i="19"/>
  <c r="N352" i="19"/>
  <c r="N353" i="19"/>
  <c r="N354" i="19"/>
  <c r="N355" i="19"/>
  <c r="N356" i="19"/>
  <c r="N357" i="19"/>
  <c r="N358" i="19"/>
  <c r="N359" i="19"/>
  <c r="N360" i="19"/>
  <c r="N361" i="19"/>
  <c r="N362" i="19"/>
  <c r="N363" i="19"/>
  <c r="N364" i="19"/>
  <c r="N365" i="19"/>
  <c r="N366" i="19"/>
  <c r="N367" i="19"/>
  <c r="N368" i="19"/>
  <c r="N369" i="19"/>
  <c r="N370" i="19"/>
  <c r="N371" i="19"/>
  <c r="N372" i="19"/>
  <c r="N373" i="19"/>
  <c r="N374" i="19"/>
  <c r="N375" i="19"/>
  <c r="N376" i="19"/>
  <c r="N377" i="19"/>
  <c r="N378" i="19"/>
  <c r="N379" i="19"/>
  <c r="N380" i="19"/>
  <c r="N381" i="19"/>
  <c r="N382" i="19"/>
  <c r="N383" i="19"/>
  <c r="N384" i="19"/>
  <c r="N385" i="19"/>
  <c r="N386" i="19"/>
  <c r="N387" i="19"/>
  <c r="N388" i="19"/>
  <c r="N389" i="19"/>
  <c r="N390" i="19"/>
  <c r="N391" i="19"/>
  <c r="N392" i="19"/>
  <c r="N393" i="19"/>
  <c r="N394" i="19"/>
  <c r="N395" i="19"/>
  <c r="N396" i="19"/>
  <c r="N397" i="19"/>
  <c r="N398" i="19"/>
  <c r="N399" i="19"/>
  <c r="N400" i="19"/>
  <c r="N401" i="19"/>
  <c r="N402" i="19"/>
  <c r="N403" i="19"/>
  <c r="N404" i="19"/>
  <c r="N405" i="19"/>
  <c r="N406" i="19"/>
  <c r="N407" i="19"/>
  <c r="N408" i="19"/>
  <c r="N409" i="19"/>
  <c r="N410" i="19"/>
  <c r="N411" i="19"/>
  <c r="N412" i="19"/>
  <c r="N413" i="19"/>
  <c r="N414" i="19"/>
  <c r="N415" i="19"/>
  <c r="N416" i="19"/>
  <c r="N417" i="19"/>
  <c r="N418" i="19"/>
  <c r="N419" i="19"/>
  <c r="N420" i="19"/>
  <c r="N421" i="19"/>
  <c r="N422" i="19"/>
  <c r="N423" i="19"/>
  <c r="N424" i="19"/>
  <c r="N425" i="19"/>
  <c r="N426" i="19"/>
  <c r="N427" i="19"/>
  <c r="N428" i="19"/>
  <c r="N429" i="19"/>
  <c r="N430" i="19"/>
  <c r="N431" i="19"/>
  <c r="N432" i="19"/>
  <c r="N433" i="19"/>
  <c r="N434" i="19"/>
  <c r="N435" i="19"/>
  <c r="N436" i="19"/>
  <c r="N437" i="19"/>
  <c r="N438" i="19"/>
  <c r="N439" i="19"/>
  <c r="N440" i="19"/>
  <c r="N441" i="19"/>
  <c r="N442" i="19"/>
  <c r="N443" i="19"/>
  <c r="N444" i="19"/>
  <c r="N445" i="19"/>
  <c r="N446" i="19"/>
  <c r="N447" i="19"/>
  <c r="N448" i="19"/>
  <c r="N449" i="19"/>
  <c r="N450" i="19"/>
  <c r="N451" i="19"/>
  <c r="N452" i="19"/>
  <c r="N453" i="19"/>
  <c r="N454" i="19"/>
  <c r="N455" i="19"/>
  <c r="N456" i="19"/>
  <c r="N457" i="19"/>
  <c r="N458" i="19"/>
  <c r="N459" i="19"/>
  <c r="N460" i="19"/>
  <c r="N461" i="19"/>
  <c r="N462" i="19"/>
  <c r="N463" i="19"/>
  <c r="N464" i="19"/>
  <c r="N465" i="19"/>
  <c r="N466" i="19"/>
  <c r="N467" i="19"/>
  <c r="N468" i="19"/>
  <c r="N469" i="19"/>
  <c r="N470" i="19"/>
  <c r="N471" i="19"/>
  <c r="N472" i="19"/>
  <c r="N473" i="19"/>
  <c r="N474" i="19"/>
  <c r="N475" i="19"/>
  <c r="N476" i="19"/>
  <c r="N477" i="19"/>
  <c r="N478" i="19"/>
  <c r="N479" i="19"/>
  <c r="N480" i="19"/>
  <c r="N481" i="19"/>
  <c r="N482" i="19"/>
  <c r="N483" i="19"/>
  <c r="N484" i="19"/>
  <c r="N485" i="19"/>
  <c r="N486" i="19"/>
  <c r="N487" i="19"/>
  <c r="N488" i="19"/>
  <c r="N489" i="19"/>
  <c r="N490" i="19"/>
  <c r="N491" i="19"/>
  <c r="N492" i="19"/>
  <c r="N493" i="19"/>
  <c r="N494" i="19"/>
  <c r="N495" i="19"/>
  <c r="N496" i="19"/>
  <c r="N497" i="19"/>
  <c r="N498" i="19"/>
  <c r="N499" i="19"/>
  <c r="N500" i="19"/>
  <c r="N501" i="19"/>
  <c r="N502" i="19"/>
  <c r="N503" i="19"/>
  <c r="N504" i="19"/>
  <c r="N505" i="19"/>
  <c r="N506" i="19"/>
  <c r="N507" i="19"/>
  <c r="N508" i="19"/>
  <c r="N509" i="19"/>
  <c r="N510" i="19"/>
  <c r="N511" i="19"/>
  <c r="N512" i="19"/>
  <c r="N513" i="19"/>
  <c r="N514" i="19"/>
  <c r="N515" i="19"/>
  <c r="N516" i="19"/>
  <c r="N517" i="19"/>
  <c r="N518" i="19"/>
  <c r="N519" i="19"/>
  <c r="N520" i="19"/>
  <c r="N521" i="19"/>
  <c r="N522" i="19"/>
  <c r="N523" i="19"/>
  <c r="N524" i="19"/>
  <c r="N525" i="19"/>
  <c r="N526" i="19"/>
  <c r="N527" i="19"/>
  <c r="N528" i="19"/>
  <c r="N529" i="19"/>
  <c r="N530" i="19"/>
  <c r="N531" i="19"/>
  <c r="N532" i="19"/>
  <c r="N533" i="19"/>
  <c r="N534" i="19"/>
  <c r="N535" i="19"/>
  <c r="N536" i="19"/>
  <c r="N537" i="19"/>
  <c r="N538" i="19"/>
  <c r="N539" i="19"/>
  <c r="N540" i="19"/>
  <c r="N541" i="19"/>
  <c r="N542" i="19"/>
  <c r="N543" i="19"/>
  <c r="N544" i="19"/>
  <c r="N545" i="19"/>
  <c r="N546" i="19"/>
  <c r="N547" i="19"/>
  <c r="N548" i="19"/>
  <c r="N549" i="19"/>
  <c r="N550" i="19"/>
  <c r="N551" i="19"/>
  <c r="N552" i="19"/>
  <c r="N553" i="19"/>
  <c r="N554" i="19"/>
  <c r="N555" i="19"/>
  <c r="N556" i="19"/>
  <c r="N557" i="19"/>
  <c r="N558" i="19"/>
  <c r="N559" i="19"/>
  <c r="N560" i="19"/>
  <c r="N10" i="19"/>
  <c r="D6" i="18"/>
  <c r="I560" i="19" a="1"/>
  <c r="I560" i="19" s="1"/>
  <c r="I559" i="19" a="1"/>
  <c r="I559" i="19" s="1"/>
  <c r="I558" i="19" a="1"/>
  <c r="I558" i="19" s="1"/>
  <c r="I557" i="19" a="1"/>
  <c r="I557" i="19" s="1"/>
  <c r="I556" i="19" a="1"/>
  <c r="I556" i="19" s="1"/>
  <c r="I555" i="19" a="1"/>
  <c r="I555" i="19" s="1"/>
  <c r="I554" i="19" a="1"/>
  <c r="I554" i="19" s="1"/>
  <c r="I553" i="19"/>
  <c r="I553" i="19" a="1"/>
  <c r="I552" i="19" a="1"/>
  <c r="I552" i="19" s="1"/>
  <c r="I551" i="19" a="1"/>
  <c r="I551" i="19" s="1"/>
  <c r="I550" i="19" a="1"/>
  <c r="I550" i="19" s="1"/>
  <c r="I549" i="19" a="1"/>
  <c r="I549" i="19" s="1"/>
  <c r="I548" i="19" a="1"/>
  <c r="I548" i="19" s="1"/>
  <c r="I547" i="19" a="1"/>
  <c r="I547" i="19" s="1"/>
  <c r="I546" i="19" a="1"/>
  <c r="I546" i="19" s="1"/>
  <c r="I545" i="19" a="1"/>
  <c r="I545" i="19" s="1"/>
  <c r="I544" i="19" a="1"/>
  <c r="I544" i="19" s="1"/>
  <c r="I543" i="19" a="1"/>
  <c r="I543" i="19" s="1"/>
  <c r="I542" i="19" a="1"/>
  <c r="I542" i="19" s="1"/>
  <c r="I541" i="19" a="1"/>
  <c r="I541" i="19" s="1"/>
  <c r="I540" i="19" a="1"/>
  <c r="I540" i="19" s="1"/>
  <c r="I539" i="19" a="1"/>
  <c r="I539" i="19" s="1"/>
  <c r="I538" i="19" a="1"/>
  <c r="I538" i="19" s="1"/>
  <c r="I537" i="19" a="1"/>
  <c r="I537" i="19" s="1"/>
  <c r="I536" i="19" a="1"/>
  <c r="I536" i="19" s="1"/>
  <c r="I535" i="19" a="1"/>
  <c r="I535" i="19" s="1"/>
  <c r="I534" i="19" a="1"/>
  <c r="I534" i="19" s="1"/>
  <c r="I533" i="19" a="1"/>
  <c r="I533" i="19" s="1"/>
  <c r="I532" i="19" a="1"/>
  <c r="I532" i="19" s="1"/>
  <c r="I531" i="19" a="1"/>
  <c r="I531" i="19" s="1"/>
  <c r="I530" i="19" a="1"/>
  <c r="I530" i="19" s="1"/>
  <c r="I529" i="19" a="1"/>
  <c r="I529" i="19" s="1"/>
  <c r="I528" i="19" a="1"/>
  <c r="I528" i="19" s="1"/>
  <c r="I527" i="19" a="1"/>
  <c r="I527" i="19" s="1"/>
  <c r="I526" i="19" a="1"/>
  <c r="I526" i="19" s="1"/>
  <c r="I525" i="19" a="1"/>
  <c r="I525" i="19" s="1"/>
  <c r="I524" i="19" a="1"/>
  <c r="I524" i="19" s="1"/>
  <c r="I523" i="19" a="1"/>
  <c r="I523" i="19" s="1"/>
  <c r="I522" i="19" a="1"/>
  <c r="I522" i="19" s="1"/>
  <c r="I521" i="19" a="1"/>
  <c r="I521" i="19" s="1"/>
  <c r="I520" i="19" a="1"/>
  <c r="I520" i="19" s="1"/>
  <c r="I519" i="19" a="1"/>
  <c r="I519" i="19" s="1"/>
  <c r="I518" i="19" a="1"/>
  <c r="I518" i="19" s="1"/>
  <c r="I517" i="19" a="1"/>
  <c r="I517" i="19" s="1"/>
  <c r="I516" i="19" a="1"/>
  <c r="I516" i="19" s="1"/>
  <c r="I515" i="19" a="1"/>
  <c r="I515" i="19" s="1"/>
  <c r="I514" i="19" a="1"/>
  <c r="I514" i="19" s="1"/>
  <c r="I513" i="19" a="1"/>
  <c r="I513" i="19" s="1"/>
  <c r="I512" i="19" a="1"/>
  <c r="I512" i="19" s="1"/>
  <c r="I511" i="19" a="1"/>
  <c r="I511" i="19" s="1"/>
  <c r="I510" i="19" a="1"/>
  <c r="I510" i="19" s="1"/>
  <c r="I509" i="19" a="1"/>
  <c r="I509" i="19" s="1"/>
  <c r="I508" i="19" a="1"/>
  <c r="I508" i="19" s="1"/>
  <c r="I507" i="19" a="1"/>
  <c r="I507" i="19" s="1"/>
  <c r="I506" i="19" a="1"/>
  <c r="I506" i="19" s="1"/>
  <c r="I505" i="19" a="1"/>
  <c r="I505" i="19" s="1"/>
  <c r="I504" i="19" a="1"/>
  <c r="I504" i="19" s="1"/>
  <c r="I503" i="19" a="1"/>
  <c r="I503" i="19" s="1"/>
  <c r="I502" i="19" a="1"/>
  <c r="I502" i="19" s="1"/>
  <c r="I501" i="19" a="1"/>
  <c r="I501" i="19" s="1"/>
  <c r="I500" i="19" a="1"/>
  <c r="I500" i="19" s="1"/>
  <c r="I499" i="19" a="1"/>
  <c r="I499" i="19" s="1"/>
  <c r="I498" i="19" a="1"/>
  <c r="I498" i="19" s="1"/>
  <c r="I497" i="19" a="1"/>
  <c r="I497" i="19" s="1"/>
  <c r="I496" i="19" a="1"/>
  <c r="I496" i="19" s="1"/>
  <c r="I495" i="19" a="1"/>
  <c r="I495" i="19" s="1"/>
  <c r="I494" i="19" a="1"/>
  <c r="I494" i="19" s="1"/>
  <c r="I493" i="19" a="1"/>
  <c r="I493" i="19" s="1"/>
  <c r="I492" i="19" a="1"/>
  <c r="I492" i="19" s="1"/>
  <c r="I491" i="19" a="1"/>
  <c r="I491" i="19" s="1"/>
  <c r="I490" i="19" a="1"/>
  <c r="I490" i="19" s="1"/>
  <c r="I489" i="19" a="1"/>
  <c r="I489" i="19" s="1"/>
  <c r="I488" i="19" a="1"/>
  <c r="I488" i="19" s="1"/>
  <c r="I487" i="19" a="1"/>
  <c r="I487" i="19" s="1"/>
  <c r="I486" i="19" a="1"/>
  <c r="I486" i="19" s="1"/>
  <c r="I485" i="19" a="1"/>
  <c r="I485" i="19" s="1"/>
  <c r="I484" i="19" a="1"/>
  <c r="I484" i="19" s="1"/>
  <c r="I483" i="19" a="1"/>
  <c r="I483" i="19" s="1"/>
  <c r="I482" i="19" a="1"/>
  <c r="I482" i="19" s="1"/>
  <c r="I481" i="19" a="1"/>
  <c r="I481" i="19" s="1"/>
  <c r="I480" i="19" a="1"/>
  <c r="I480" i="19" s="1"/>
  <c r="I479" i="19" a="1"/>
  <c r="I479" i="19" s="1"/>
  <c r="I478" i="19" a="1"/>
  <c r="I478" i="19" s="1"/>
  <c r="I477" i="19" a="1"/>
  <c r="I477" i="19" s="1"/>
  <c r="I476" i="19" a="1"/>
  <c r="I476" i="19" s="1"/>
  <c r="I475" i="19" a="1"/>
  <c r="I475" i="19" s="1"/>
  <c r="I474" i="19" a="1"/>
  <c r="I474" i="19" s="1"/>
  <c r="I473" i="19" a="1"/>
  <c r="I473" i="19" s="1"/>
  <c r="I472" i="19" a="1"/>
  <c r="I472" i="19" s="1"/>
  <c r="I471" i="19" a="1"/>
  <c r="I471" i="19" s="1"/>
  <c r="I470" i="19" a="1"/>
  <c r="I470" i="19" s="1"/>
  <c r="I469" i="19" a="1"/>
  <c r="I469" i="19" s="1"/>
  <c r="I468" i="19" a="1"/>
  <c r="I468" i="19" s="1"/>
  <c r="I467" i="19" a="1"/>
  <c r="I467" i="19" s="1"/>
  <c r="I466" i="19" a="1"/>
  <c r="I466" i="19" s="1"/>
  <c r="I465" i="19" a="1"/>
  <c r="I465" i="19" s="1"/>
  <c r="I464" i="19" a="1"/>
  <c r="I464" i="19" s="1"/>
  <c r="I463" i="19" a="1"/>
  <c r="I463" i="19" s="1"/>
  <c r="I462" i="19" a="1"/>
  <c r="I462" i="19" s="1"/>
  <c r="I461" i="19" a="1"/>
  <c r="I461" i="19" s="1"/>
  <c r="I460" i="19" a="1"/>
  <c r="I460" i="19" s="1"/>
  <c r="I459" i="19" a="1"/>
  <c r="I459" i="19" s="1"/>
  <c r="I458" i="19" a="1"/>
  <c r="I458" i="19" s="1"/>
  <c r="I457" i="19" a="1"/>
  <c r="I457" i="19" s="1"/>
  <c r="I456" i="19" a="1"/>
  <c r="I456" i="19" s="1"/>
  <c r="I455" i="19" a="1"/>
  <c r="I455" i="19" s="1"/>
  <c r="I454" i="19" a="1"/>
  <c r="I454" i="19" s="1"/>
  <c r="I453" i="19" a="1"/>
  <c r="I453" i="19" s="1"/>
  <c r="I452" i="19" a="1"/>
  <c r="I452" i="19" s="1"/>
  <c r="I451" i="19" a="1"/>
  <c r="I451" i="19" s="1"/>
  <c r="I450" i="19" a="1"/>
  <c r="I450" i="19" s="1"/>
  <c r="I449" i="19" a="1"/>
  <c r="I449" i="19" s="1"/>
  <c r="I448" i="19" a="1"/>
  <c r="I448" i="19" s="1"/>
  <c r="I447" i="19" a="1"/>
  <c r="I447" i="19" s="1"/>
  <c r="I446" i="19" a="1"/>
  <c r="I446" i="19" s="1"/>
  <c r="I445" i="19" a="1"/>
  <c r="I445" i="19" s="1"/>
  <c r="I444" i="19" a="1"/>
  <c r="I444" i="19" s="1"/>
  <c r="I443" i="19" a="1"/>
  <c r="I443" i="19" s="1"/>
  <c r="I442" i="19" a="1"/>
  <c r="I442" i="19" s="1"/>
  <c r="I441" i="19" a="1"/>
  <c r="I441" i="19" s="1"/>
  <c r="I440" i="19" a="1"/>
  <c r="I440" i="19" s="1"/>
  <c r="I439" i="19" a="1"/>
  <c r="I439" i="19" s="1"/>
  <c r="I438" i="19" a="1"/>
  <c r="I438" i="19" s="1"/>
  <c r="I437" i="19" a="1"/>
  <c r="I437" i="19" s="1"/>
  <c r="I436" i="19" a="1"/>
  <c r="I436" i="19" s="1"/>
  <c r="I435" i="19" a="1"/>
  <c r="I435" i="19" s="1"/>
  <c r="I434" i="19" a="1"/>
  <c r="I434" i="19" s="1"/>
  <c r="I433" i="19" a="1"/>
  <c r="I433" i="19" s="1"/>
  <c r="I432" i="19" a="1"/>
  <c r="I432" i="19" s="1"/>
  <c r="I431" i="19" a="1"/>
  <c r="I431" i="19" s="1"/>
  <c r="I430" i="19" a="1"/>
  <c r="I430" i="19" s="1"/>
  <c r="I429" i="19" a="1"/>
  <c r="I429" i="19" s="1"/>
  <c r="I428" i="19" a="1"/>
  <c r="I428" i="19" s="1"/>
  <c r="I427" i="19" a="1"/>
  <c r="I427" i="19" s="1"/>
  <c r="I426" i="19" a="1"/>
  <c r="I426" i="19" s="1"/>
  <c r="I425" i="19" a="1"/>
  <c r="I425" i="19" s="1"/>
  <c r="I424" i="19" a="1"/>
  <c r="I424" i="19" s="1"/>
  <c r="I423" i="19" a="1"/>
  <c r="I423" i="19" s="1"/>
  <c r="I422" i="19" a="1"/>
  <c r="I422" i="19" s="1"/>
  <c r="I421" i="19" a="1"/>
  <c r="I421" i="19" s="1"/>
  <c r="I420" i="19" a="1"/>
  <c r="I420" i="19" s="1"/>
  <c r="I419" i="19" a="1"/>
  <c r="I419" i="19" s="1"/>
  <c r="I418" i="19" a="1"/>
  <c r="I418" i="19" s="1"/>
  <c r="I417" i="19" a="1"/>
  <c r="I417" i="19" s="1"/>
  <c r="I416" i="19" a="1"/>
  <c r="I416" i="19" s="1"/>
  <c r="I415" i="19" a="1"/>
  <c r="I415" i="19" s="1"/>
  <c r="I414" i="19" a="1"/>
  <c r="I414" i="19" s="1"/>
  <c r="I413" i="19" a="1"/>
  <c r="I413" i="19" s="1"/>
  <c r="I412" i="19" a="1"/>
  <c r="I412" i="19" s="1"/>
  <c r="I411" i="19" a="1"/>
  <c r="I411" i="19" s="1"/>
  <c r="I410" i="19" a="1"/>
  <c r="I410" i="19" s="1"/>
  <c r="I409" i="19" a="1"/>
  <c r="I409" i="19" s="1"/>
  <c r="I408" i="19" a="1"/>
  <c r="I408" i="19" s="1"/>
  <c r="I407" i="19" a="1"/>
  <c r="I407" i="19" s="1"/>
  <c r="I406" i="19" a="1"/>
  <c r="I406" i="19" s="1"/>
  <c r="I405" i="19" a="1"/>
  <c r="I405" i="19" s="1"/>
  <c r="I404" i="19" a="1"/>
  <c r="I404" i="19" s="1"/>
  <c r="I403" i="19" a="1"/>
  <c r="I403" i="19" s="1"/>
  <c r="I402" i="19" a="1"/>
  <c r="I402" i="19" s="1"/>
  <c r="I401" i="19" a="1"/>
  <c r="I401" i="19" s="1"/>
  <c r="I400" i="19" a="1"/>
  <c r="I400" i="19" s="1"/>
  <c r="I399" i="19" a="1"/>
  <c r="I399" i="19" s="1"/>
  <c r="I398" i="19" a="1"/>
  <c r="I398" i="19" s="1"/>
  <c r="I397" i="19" a="1"/>
  <c r="I397" i="19" s="1"/>
  <c r="I396" i="19" a="1"/>
  <c r="I396" i="19" s="1"/>
  <c r="I395" i="19" a="1"/>
  <c r="I395" i="19" s="1"/>
  <c r="I394" i="19" a="1"/>
  <c r="I394" i="19" s="1"/>
  <c r="I393" i="19" a="1"/>
  <c r="I393" i="19" s="1"/>
  <c r="I392" i="19" a="1"/>
  <c r="I392" i="19" s="1"/>
  <c r="I391" i="19" a="1"/>
  <c r="I391" i="19" s="1"/>
  <c r="I390" i="19" a="1"/>
  <c r="I390" i="19" s="1"/>
  <c r="I389" i="19" a="1"/>
  <c r="I389" i="19" s="1"/>
  <c r="I388" i="19" a="1"/>
  <c r="I388" i="19" s="1"/>
  <c r="I387" i="19" a="1"/>
  <c r="I387" i="19" s="1"/>
  <c r="I386" i="19" a="1"/>
  <c r="I386" i="19" s="1"/>
  <c r="I385" i="19" a="1"/>
  <c r="I385" i="19" s="1"/>
  <c r="I384" i="19" a="1"/>
  <c r="I384" i="19" s="1"/>
  <c r="I383" i="19" a="1"/>
  <c r="I383" i="19" s="1"/>
  <c r="I382" i="19" a="1"/>
  <c r="I382" i="19" s="1"/>
  <c r="I381" i="19" a="1"/>
  <c r="I381" i="19" s="1"/>
  <c r="I380" i="19" a="1"/>
  <c r="I380" i="19" s="1"/>
  <c r="I379" i="19" a="1"/>
  <c r="I379" i="19" s="1"/>
  <c r="I378" i="19" a="1"/>
  <c r="I378" i="19" s="1"/>
  <c r="I377" i="19" a="1"/>
  <c r="I377" i="19" s="1"/>
  <c r="I376" i="19" a="1"/>
  <c r="I376" i="19" s="1"/>
  <c r="I375" i="19" a="1"/>
  <c r="I375" i="19" s="1"/>
  <c r="I374" i="19" a="1"/>
  <c r="I374" i="19" s="1"/>
  <c r="I373" i="19" a="1"/>
  <c r="I373" i="19" s="1"/>
  <c r="I372" i="19" a="1"/>
  <c r="I372" i="19" s="1"/>
  <c r="I371" i="19" a="1"/>
  <c r="I371" i="19" s="1"/>
  <c r="I370" i="19" a="1"/>
  <c r="I370" i="19" s="1"/>
  <c r="I369" i="19"/>
  <c r="I369" i="19" a="1"/>
  <c r="I368" i="19" a="1"/>
  <c r="I368" i="19" s="1"/>
  <c r="I367" i="19" a="1"/>
  <c r="I367" i="19" s="1"/>
  <c r="I366" i="19" a="1"/>
  <c r="I366" i="19" s="1"/>
  <c r="I365" i="19" a="1"/>
  <c r="I365" i="19" s="1"/>
  <c r="I364" i="19" a="1"/>
  <c r="I364" i="19" s="1"/>
  <c r="I363" i="19" a="1"/>
  <c r="I363" i="19" s="1"/>
  <c r="I362" i="19" a="1"/>
  <c r="I362" i="19" s="1"/>
  <c r="I361" i="19" a="1"/>
  <c r="I361" i="19" s="1"/>
  <c r="I360" i="19" a="1"/>
  <c r="I360" i="19" s="1"/>
  <c r="I359" i="19" a="1"/>
  <c r="I359" i="19" s="1"/>
  <c r="I358" i="19" a="1"/>
  <c r="I358" i="19" s="1"/>
  <c r="I357" i="19" a="1"/>
  <c r="I357" i="19" s="1"/>
  <c r="I356" i="19" a="1"/>
  <c r="I356" i="19" s="1"/>
  <c r="I355" i="19" a="1"/>
  <c r="I355" i="19" s="1"/>
  <c r="I354" i="19" a="1"/>
  <c r="I354" i="19" s="1"/>
  <c r="I353" i="19" a="1"/>
  <c r="I353" i="19" s="1"/>
  <c r="I352" i="19" a="1"/>
  <c r="I352" i="19" s="1"/>
  <c r="I351" i="19" a="1"/>
  <c r="I351" i="19" s="1"/>
  <c r="I350" i="19" a="1"/>
  <c r="I350" i="19" s="1"/>
  <c r="I349" i="19" a="1"/>
  <c r="I349" i="19" s="1"/>
  <c r="I348" i="19" a="1"/>
  <c r="I348" i="19" s="1"/>
  <c r="I347" i="19"/>
  <c r="I347" i="19" a="1"/>
  <c r="I346" i="19" a="1"/>
  <c r="I346" i="19" s="1"/>
  <c r="I345" i="19" a="1"/>
  <c r="I345" i="19" s="1"/>
  <c r="I344" i="19" a="1"/>
  <c r="I344" i="19" s="1"/>
  <c r="I343" i="19" a="1"/>
  <c r="I343" i="19" s="1"/>
  <c r="I342" i="19" a="1"/>
  <c r="I342" i="19" s="1"/>
  <c r="I341" i="19" a="1"/>
  <c r="I341" i="19" s="1"/>
  <c r="I340" i="19" a="1"/>
  <c r="I340" i="19" s="1"/>
  <c r="I339" i="19" a="1"/>
  <c r="I339" i="19" s="1"/>
  <c r="I338" i="19" a="1"/>
  <c r="I338" i="19" s="1"/>
  <c r="I337" i="19" a="1"/>
  <c r="I337" i="19" s="1"/>
  <c r="I336" i="19" a="1"/>
  <c r="I336" i="19" s="1"/>
  <c r="I335" i="19" a="1"/>
  <c r="I335" i="19" s="1"/>
  <c r="I334" i="19" a="1"/>
  <c r="I334" i="19" s="1"/>
  <c r="I333" i="19" a="1"/>
  <c r="I333" i="19" s="1"/>
  <c r="I332" i="19" a="1"/>
  <c r="I332" i="19" s="1"/>
  <c r="I331" i="19" a="1"/>
  <c r="I331" i="19" s="1"/>
  <c r="I330" i="19" a="1"/>
  <c r="I330" i="19" s="1"/>
  <c r="I329" i="19" a="1"/>
  <c r="I329" i="19" s="1"/>
  <c r="I328" i="19" a="1"/>
  <c r="I328" i="19" s="1"/>
  <c r="I327" i="19" a="1"/>
  <c r="I327" i="19" s="1"/>
  <c r="I326" i="19" a="1"/>
  <c r="I326" i="19" s="1"/>
  <c r="I325" i="19" a="1"/>
  <c r="I325" i="19" s="1"/>
  <c r="I324" i="19" a="1"/>
  <c r="I324" i="19" s="1"/>
  <c r="I323" i="19" a="1"/>
  <c r="I323" i="19" s="1"/>
  <c r="I322" i="19" a="1"/>
  <c r="I322" i="19" s="1"/>
  <c r="I321" i="19" a="1"/>
  <c r="I321" i="19" s="1"/>
  <c r="I320" i="19" a="1"/>
  <c r="I320" i="19" s="1"/>
  <c r="I319" i="19" a="1"/>
  <c r="I319" i="19" s="1"/>
  <c r="I318" i="19" a="1"/>
  <c r="I318" i="19" s="1"/>
  <c r="I317" i="19" a="1"/>
  <c r="I317" i="19" s="1"/>
  <c r="I316" i="19" a="1"/>
  <c r="I316" i="19" s="1"/>
  <c r="I315" i="19" a="1"/>
  <c r="I315" i="19" s="1"/>
  <c r="I314" i="19" a="1"/>
  <c r="I314" i="19" s="1"/>
  <c r="I313" i="19" a="1"/>
  <c r="I313" i="19" s="1"/>
  <c r="I312" i="19" a="1"/>
  <c r="I312" i="19" s="1"/>
  <c r="I311" i="19" a="1"/>
  <c r="I311" i="19" s="1"/>
  <c r="I310" i="19" a="1"/>
  <c r="I310" i="19" s="1"/>
  <c r="I309" i="19" a="1"/>
  <c r="I309" i="19" s="1"/>
  <c r="I308" i="19" a="1"/>
  <c r="I308" i="19" s="1"/>
  <c r="I307" i="19" a="1"/>
  <c r="I307" i="19" s="1"/>
  <c r="I306" i="19" a="1"/>
  <c r="I306" i="19" s="1"/>
  <c r="I305" i="19" a="1"/>
  <c r="I305" i="19" s="1"/>
  <c r="I304" i="19" a="1"/>
  <c r="I304" i="19" s="1"/>
  <c r="I303" i="19" a="1"/>
  <c r="I303" i="19" s="1"/>
  <c r="I302" i="19" a="1"/>
  <c r="I302" i="19" s="1"/>
  <c r="I301" i="19" a="1"/>
  <c r="I301" i="19" s="1"/>
  <c r="I300" i="19" a="1"/>
  <c r="I300" i="19" s="1"/>
  <c r="I299" i="19" a="1"/>
  <c r="I299" i="19" s="1"/>
  <c r="I298" i="19" a="1"/>
  <c r="I298" i="19" s="1"/>
  <c r="I297" i="19" a="1"/>
  <c r="I297" i="19" s="1"/>
  <c r="I296" i="19" a="1"/>
  <c r="I296" i="19" s="1"/>
  <c r="I295" i="19" a="1"/>
  <c r="I295" i="19" s="1"/>
  <c r="I294" i="19" a="1"/>
  <c r="I294" i="19" s="1"/>
  <c r="I293" i="19" a="1"/>
  <c r="I293" i="19" s="1"/>
  <c r="I292" i="19" a="1"/>
  <c r="I292" i="19" s="1"/>
  <c r="I291" i="19" a="1"/>
  <c r="I291" i="19" s="1"/>
  <c r="I290" i="19" a="1"/>
  <c r="I290" i="19" s="1"/>
  <c r="I289" i="19" a="1"/>
  <c r="I289" i="19" s="1"/>
  <c r="I288" i="19" a="1"/>
  <c r="I288" i="19" s="1"/>
  <c r="I287" i="19" a="1"/>
  <c r="I287" i="19" s="1"/>
  <c r="I286" i="19" a="1"/>
  <c r="I286" i="19" s="1"/>
  <c r="I285" i="19" a="1"/>
  <c r="I285" i="19" s="1"/>
  <c r="I284" i="19" a="1"/>
  <c r="I284" i="19" s="1"/>
  <c r="I283" i="19" a="1"/>
  <c r="I283" i="19" s="1"/>
  <c r="I282" i="19" a="1"/>
  <c r="I282" i="19" s="1"/>
  <c r="I281" i="19" a="1"/>
  <c r="I281" i="19" s="1"/>
  <c r="I280" i="19" a="1"/>
  <c r="I280" i="19" s="1"/>
  <c r="I279" i="19" a="1"/>
  <c r="I279" i="19" s="1"/>
  <c r="I278" i="19" a="1"/>
  <c r="I278" i="19" s="1"/>
  <c r="I277" i="19" a="1"/>
  <c r="I277" i="19" s="1"/>
  <c r="I276" i="19" a="1"/>
  <c r="I276" i="19" s="1"/>
  <c r="I275" i="19" a="1"/>
  <c r="I275" i="19" s="1"/>
  <c r="I274" i="19" a="1"/>
  <c r="I274" i="19" s="1"/>
  <c r="I273" i="19" a="1"/>
  <c r="I273" i="19" s="1"/>
  <c r="I272" i="19" a="1"/>
  <c r="I272" i="19" s="1"/>
  <c r="I271" i="19" a="1"/>
  <c r="I271" i="19" s="1"/>
  <c r="I270" i="19" a="1"/>
  <c r="I270" i="19" s="1"/>
  <c r="I269" i="19" a="1"/>
  <c r="I269" i="19" s="1"/>
  <c r="I268" i="19" a="1"/>
  <c r="I268" i="19" s="1"/>
  <c r="I267" i="19" a="1"/>
  <c r="I267" i="19" s="1"/>
  <c r="I266" i="19" a="1"/>
  <c r="I266" i="19" s="1"/>
  <c r="I265" i="19" a="1"/>
  <c r="I265" i="19" s="1"/>
  <c r="I264" i="19" a="1"/>
  <c r="I264" i="19" s="1"/>
  <c r="I263" i="19" a="1"/>
  <c r="I263" i="19" s="1"/>
  <c r="I262" i="19" a="1"/>
  <c r="I262" i="19" s="1"/>
  <c r="I261" i="19" a="1"/>
  <c r="I261" i="19" s="1"/>
  <c r="I260" i="19" a="1"/>
  <c r="I260" i="19" s="1"/>
  <c r="I259" i="19" a="1"/>
  <c r="I259" i="19" s="1"/>
  <c r="I258" i="19" a="1"/>
  <c r="I258" i="19" s="1"/>
  <c r="I257" i="19" a="1"/>
  <c r="I257" i="19" s="1"/>
  <c r="I256" i="19" a="1"/>
  <c r="I256" i="19" s="1"/>
  <c r="I255" i="19" a="1"/>
  <c r="I255" i="19" s="1"/>
  <c r="I254" i="19" a="1"/>
  <c r="I254" i="19" s="1"/>
  <c r="I253" i="19" a="1"/>
  <c r="I253" i="19" s="1"/>
  <c r="I252" i="19" a="1"/>
  <c r="I252" i="19" s="1"/>
  <c r="I251" i="19" a="1"/>
  <c r="I251" i="19" s="1"/>
  <c r="I250" i="19" a="1"/>
  <c r="I250" i="19" s="1"/>
  <c r="I249" i="19" a="1"/>
  <c r="I249" i="19" s="1"/>
  <c r="I248" i="19" a="1"/>
  <c r="I248" i="19" s="1"/>
  <c r="I247" i="19" a="1"/>
  <c r="I247" i="19" s="1"/>
  <c r="I246" i="19" a="1"/>
  <c r="I246" i="19" s="1"/>
  <c r="I245" i="19" a="1"/>
  <c r="I245" i="19" s="1"/>
  <c r="I244" i="19" a="1"/>
  <c r="I244" i="19" s="1"/>
  <c r="I243" i="19" a="1"/>
  <c r="I243" i="19" s="1"/>
  <c r="I242" i="19" a="1"/>
  <c r="I242" i="19" s="1"/>
  <c r="I241" i="19" a="1"/>
  <c r="I241" i="19" s="1"/>
  <c r="I240" i="19" a="1"/>
  <c r="I240" i="19" s="1"/>
  <c r="I239" i="19" a="1"/>
  <c r="I239" i="19" s="1"/>
  <c r="I238" i="19" a="1"/>
  <c r="I238" i="19" s="1"/>
  <c r="I237" i="19" a="1"/>
  <c r="I237" i="19" s="1"/>
  <c r="I236" i="19" a="1"/>
  <c r="I236" i="19" s="1"/>
  <c r="I235" i="19" a="1"/>
  <c r="I235" i="19" s="1"/>
  <c r="I234" i="19" a="1"/>
  <c r="I234" i="19" s="1"/>
  <c r="I233" i="19" a="1"/>
  <c r="I233" i="19" s="1"/>
  <c r="I232" i="19" a="1"/>
  <c r="I232" i="19" s="1"/>
  <c r="I231" i="19" a="1"/>
  <c r="I231" i="19" s="1"/>
  <c r="I230" i="19" a="1"/>
  <c r="I230" i="19" s="1"/>
  <c r="I229" i="19" a="1"/>
  <c r="I229" i="19" s="1"/>
  <c r="I228" i="19"/>
  <c r="I228" i="19" a="1"/>
  <c r="I227" i="19" a="1"/>
  <c r="I227" i="19" s="1"/>
  <c r="I226" i="19" a="1"/>
  <c r="I226" i="19" s="1"/>
  <c r="I225" i="19" a="1"/>
  <c r="I225" i="19" s="1"/>
  <c r="I224" i="19" a="1"/>
  <c r="I224" i="19" s="1"/>
  <c r="I223" i="19" a="1"/>
  <c r="I223" i="19" s="1"/>
  <c r="I222" i="19" a="1"/>
  <c r="I222" i="19" s="1"/>
  <c r="I221" i="19" a="1"/>
  <c r="I221" i="19" s="1"/>
  <c r="I220" i="19" a="1"/>
  <c r="I220" i="19" s="1"/>
  <c r="I219" i="19" a="1"/>
  <c r="I219" i="19" s="1"/>
  <c r="I218" i="19" a="1"/>
  <c r="I218" i="19" s="1"/>
  <c r="I217" i="19" a="1"/>
  <c r="I217" i="19" s="1"/>
  <c r="I216" i="19" a="1"/>
  <c r="I216" i="19" s="1"/>
  <c r="I215" i="19" a="1"/>
  <c r="I215" i="19" s="1"/>
  <c r="I214" i="19" a="1"/>
  <c r="I214" i="19" s="1"/>
  <c r="I213" i="19" a="1"/>
  <c r="I213" i="19" s="1"/>
  <c r="I212" i="19" a="1"/>
  <c r="I212" i="19" s="1"/>
  <c r="I211" i="19" a="1"/>
  <c r="I211" i="19" s="1"/>
  <c r="I210" i="19" a="1"/>
  <c r="I210" i="19" s="1"/>
  <c r="I209" i="19" a="1"/>
  <c r="I209" i="19" s="1"/>
  <c r="I208" i="19" a="1"/>
  <c r="I208" i="19" s="1"/>
  <c r="I207" i="19" a="1"/>
  <c r="I207" i="19" s="1"/>
  <c r="I206" i="19" a="1"/>
  <c r="I206" i="19" s="1"/>
  <c r="I205" i="19" a="1"/>
  <c r="I205" i="19" s="1"/>
  <c r="I204" i="19" a="1"/>
  <c r="I204" i="19" s="1"/>
  <c r="I203" i="19" a="1"/>
  <c r="I203" i="19" s="1"/>
  <c r="I202" i="19" a="1"/>
  <c r="I202" i="19" s="1"/>
  <c r="I201" i="19" a="1"/>
  <c r="I201" i="19" s="1"/>
  <c r="I200" i="19" a="1"/>
  <c r="I200" i="19" s="1"/>
  <c r="I199" i="19" a="1"/>
  <c r="I199" i="19" s="1"/>
  <c r="I198" i="19" a="1"/>
  <c r="I198" i="19" s="1"/>
  <c r="I197" i="19" a="1"/>
  <c r="I197" i="19" s="1"/>
  <c r="I196" i="19" a="1"/>
  <c r="I196" i="19" s="1"/>
  <c r="I195" i="19" a="1"/>
  <c r="I195" i="19" s="1"/>
  <c r="I194" i="19" a="1"/>
  <c r="I194" i="19" s="1"/>
  <c r="I193" i="19" a="1"/>
  <c r="I193" i="19" s="1"/>
  <c r="I192" i="19" a="1"/>
  <c r="I192" i="19" s="1"/>
  <c r="I191" i="19" a="1"/>
  <c r="I191" i="19" s="1"/>
  <c r="I190" i="19" a="1"/>
  <c r="I190" i="19" s="1"/>
  <c r="I189" i="19" a="1"/>
  <c r="I189" i="19" s="1"/>
  <c r="I188" i="19" a="1"/>
  <c r="I188" i="19" s="1"/>
  <c r="I187" i="19" a="1"/>
  <c r="I187" i="19" s="1"/>
  <c r="I186" i="19" a="1"/>
  <c r="I186" i="19" s="1"/>
  <c r="I185" i="19" a="1"/>
  <c r="I185" i="19" s="1"/>
  <c r="I184" i="19" a="1"/>
  <c r="I184" i="19" s="1"/>
  <c r="I183" i="19" a="1"/>
  <c r="I183" i="19" s="1"/>
  <c r="I182" i="19" a="1"/>
  <c r="I182" i="19" s="1"/>
  <c r="I181" i="19"/>
  <c r="I181" i="19" a="1"/>
  <c r="I180" i="19" a="1"/>
  <c r="I180" i="19" s="1"/>
  <c r="I179" i="19" a="1"/>
  <c r="I179" i="19" s="1"/>
  <c r="I178" i="19" a="1"/>
  <c r="I178" i="19" s="1"/>
  <c r="I177" i="19" a="1"/>
  <c r="I177" i="19" s="1"/>
  <c r="I176" i="19" a="1"/>
  <c r="I176" i="19" s="1"/>
  <c r="I175" i="19" a="1"/>
  <c r="I175" i="19" s="1"/>
  <c r="I174" i="19" a="1"/>
  <c r="I174" i="19" s="1"/>
  <c r="I173" i="19" a="1"/>
  <c r="I173" i="19" s="1"/>
  <c r="I172" i="19" a="1"/>
  <c r="I172" i="19" s="1"/>
  <c r="I171" i="19" a="1"/>
  <c r="I171" i="19" s="1"/>
  <c r="I170" i="19" a="1"/>
  <c r="I170" i="19" s="1"/>
  <c r="I169" i="19" a="1"/>
  <c r="I169" i="19" s="1"/>
  <c r="I168" i="19" a="1"/>
  <c r="I168" i="19" s="1"/>
  <c r="I167" i="19" a="1"/>
  <c r="I167" i="19" s="1"/>
  <c r="I166" i="19" a="1"/>
  <c r="I166" i="19" s="1"/>
  <c r="I165" i="19" a="1"/>
  <c r="I165" i="19" s="1"/>
  <c r="I164" i="19" a="1"/>
  <c r="I164" i="19" s="1"/>
  <c r="I163" i="19" a="1"/>
  <c r="I163" i="19" s="1"/>
  <c r="I162" i="19" a="1"/>
  <c r="I162" i="19" s="1"/>
  <c r="I161" i="19" a="1"/>
  <c r="I161" i="19" s="1"/>
  <c r="I160" i="19" a="1"/>
  <c r="I160" i="19" s="1"/>
  <c r="I159" i="19" a="1"/>
  <c r="I159" i="19" s="1"/>
  <c r="I158" i="19" a="1"/>
  <c r="I158" i="19" s="1"/>
  <c r="I157" i="19" a="1"/>
  <c r="I157" i="19" s="1"/>
  <c r="I156" i="19" a="1"/>
  <c r="I156" i="19" s="1"/>
  <c r="I155" i="19" a="1"/>
  <c r="I155" i="19" s="1"/>
  <c r="I154" i="19" a="1"/>
  <c r="I154" i="19" s="1"/>
  <c r="I153" i="19" a="1"/>
  <c r="I153" i="19" s="1"/>
  <c r="I152" i="19" a="1"/>
  <c r="I152" i="19" s="1"/>
  <c r="I151" i="19" a="1"/>
  <c r="I151" i="19" s="1"/>
  <c r="I150" i="19" a="1"/>
  <c r="I150" i="19" s="1"/>
  <c r="I149" i="19" a="1"/>
  <c r="I149" i="19" s="1"/>
  <c r="I148" i="19" a="1"/>
  <c r="I148" i="19" s="1"/>
  <c r="I147" i="19" a="1"/>
  <c r="I147" i="19" s="1"/>
  <c r="I146" i="19" a="1"/>
  <c r="I146" i="19" s="1"/>
  <c r="I145" i="19" a="1"/>
  <c r="I145" i="19" s="1"/>
  <c r="I144" i="19" a="1"/>
  <c r="I144" i="19" s="1"/>
  <c r="I143" i="19" a="1"/>
  <c r="I143" i="19" s="1"/>
  <c r="I142" i="19" a="1"/>
  <c r="I142" i="19" s="1"/>
  <c r="I141" i="19" a="1"/>
  <c r="I141" i="19" s="1"/>
  <c r="I140" i="19" a="1"/>
  <c r="I140" i="19" s="1"/>
  <c r="I139" i="19" a="1"/>
  <c r="I139" i="19" s="1"/>
  <c r="I138" i="19" a="1"/>
  <c r="I138" i="19" s="1"/>
  <c r="I137" i="19" a="1"/>
  <c r="I137" i="19" s="1"/>
  <c r="I136" i="19" a="1"/>
  <c r="I136" i="19" s="1"/>
  <c r="I135" i="19" a="1"/>
  <c r="I135" i="19" s="1"/>
  <c r="I134" i="19" a="1"/>
  <c r="I134" i="19" s="1"/>
  <c r="I133" i="19" a="1"/>
  <c r="I133" i="19" s="1"/>
  <c r="I132" i="19" a="1"/>
  <c r="I132" i="19" s="1"/>
  <c r="I131" i="19" a="1"/>
  <c r="I131" i="19" s="1"/>
  <c r="I130" i="19" a="1"/>
  <c r="I130" i="19" s="1"/>
  <c r="I129" i="19" a="1"/>
  <c r="I129" i="19" s="1"/>
  <c r="I128" i="19" a="1"/>
  <c r="I128" i="19" s="1"/>
  <c r="I127" i="19" a="1"/>
  <c r="I127" i="19" s="1"/>
  <c r="I126" i="19" a="1"/>
  <c r="I126" i="19" s="1"/>
  <c r="I125" i="19" a="1"/>
  <c r="I125" i="19" s="1"/>
  <c r="I124" i="19" a="1"/>
  <c r="I124" i="19" s="1"/>
  <c r="I123" i="19" a="1"/>
  <c r="I123" i="19" s="1"/>
  <c r="I122" i="19" a="1"/>
  <c r="I122" i="19" s="1"/>
  <c r="I121" i="19" a="1"/>
  <c r="I121" i="19" s="1"/>
  <c r="I120" i="19" a="1"/>
  <c r="I120" i="19" s="1"/>
  <c r="I119" i="19" a="1"/>
  <c r="I119" i="19" s="1"/>
  <c r="I118" i="19" a="1"/>
  <c r="I118" i="19" s="1"/>
  <c r="I117" i="19" a="1"/>
  <c r="I117" i="19" s="1"/>
  <c r="I116" i="19" a="1"/>
  <c r="I116" i="19" s="1"/>
  <c r="I115" i="19" a="1"/>
  <c r="I115" i="19" s="1"/>
  <c r="I114" i="19" a="1"/>
  <c r="I114" i="19" s="1"/>
  <c r="I113" i="19" a="1"/>
  <c r="I113" i="19" s="1"/>
  <c r="I112" i="19" a="1"/>
  <c r="I112" i="19" s="1"/>
  <c r="I111" i="19" a="1"/>
  <c r="I111" i="19" s="1"/>
  <c r="I110" i="19" a="1"/>
  <c r="I110" i="19" s="1"/>
  <c r="I109" i="19" a="1"/>
  <c r="I109" i="19" s="1"/>
  <c r="I108" i="19" a="1"/>
  <c r="I108" i="19" s="1"/>
  <c r="I107" i="19" a="1"/>
  <c r="I107" i="19" s="1"/>
  <c r="I106" i="19" a="1"/>
  <c r="I106" i="19" s="1"/>
  <c r="I105" i="19" a="1"/>
  <c r="I105" i="19" s="1"/>
  <c r="I104" i="19" a="1"/>
  <c r="I104" i="19" s="1"/>
  <c r="I103" i="19" a="1"/>
  <c r="I103" i="19" s="1"/>
  <c r="I102" i="19" a="1"/>
  <c r="I102" i="19" s="1"/>
  <c r="I101" i="19" a="1"/>
  <c r="I101" i="19" s="1"/>
  <c r="I100" i="19" a="1"/>
  <c r="I100" i="19" s="1"/>
  <c r="I99" i="19" a="1"/>
  <c r="I99" i="19" s="1"/>
  <c r="I98" i="19" a="1"/>
  <c r="I98" i="19" s="1"/>
  <c r="I97" i="19" a="1"/>
  <c r="I97" i="19" s="1"/>
  <c r="I96" i="19" a="1"/>
  <c r="I96" i="19" s="1"/>
  <c r="I95" i="19" a="1"/>
  <c r="I95" i="19" s="1"/>
  <c r="I94" i="19" a="1"/>
  <c r="I94" i="19" s="1"/>
  <c r="I93" i="19" a="1"/>
  <c r="I93" i="19" s="1"/>
  <c r="I92" i="19" a="1"/>
  <c r="I92" i="19" s="1"/>
  <c r="I91" i="19" a="1"/>
  <c r="I91" i="19" s="1"/>
  <c r="I90" i="19" a="1"/>
  <c r="I90" i="19" s="1"/>
  <c r="I89" i="19" a="1"/>
  <c r="I89" i="19" s="1"/>
  <c r="I88" i="19" a="1"/>
  <c r="I88" i="19" s="1"/>
  <c r="I87" i="19" a="1"/>
  <c r="I87" i="19" s="1"/>
  <c r="I86" i="19" a="1"/>
  <c r="I86" i="19" s="1"/>
  <c r="I85" i="19" a="1"/>
  <c r="I85" i="19" s="1"/>
  <c r="I84" i="19" a="1"/>
  <c r="I84" i="19" s="1"/>
  <c r="I83" i="19" a="1"/>
  <c r="I83" i="19" s="1"/>
  <c r="I82" i="19" a="1"/>
  <c r="I82" i="19" s="1"/>
  <c r="I81" i="19" a="1"/>
  <c r="I81" i="19" s="1"/>
  <c r="I80" i="19" a="1"/>
  <c r="I80" i="19" s="1"/>
  <c r="I79" i="19" a="1"/>
  <c r="I79" i="19" s="1"/>
  <c r="I78" i="19" a="1"/>
  <c r="I78" i="19" s="1"/>
  <c r="I77" i="19" a="1"/>
  <c r="I77" i="19" s="1"/>
  <c r="I76" i="19" a="1"/>
  <c r="I76" i="19" s="1"/>
  <c r="I75" i="19" a="1"/>
  <c r="I75" i="19" s="1"/>
  <c r="I74" i="19" a="1"/>
  <c r="I74" i="19" s="1"/>
  <c r="I73" i="19" a="1"/>
  <c r="I73" i="19" s="1"/>
  <c r="I72" i="19" a="1"/>
  <c r="I72" i="19" s="1"/>
  <c r="I71" i="19" a="1"/>
  <c r="I71" i="19" s="1"/>
  <c r="I70" i="19" a="1"/>
  <c r="I70" i="19" s="1"/>
  <c r="I69" i="19" a="1"/>
  <c r="I69" i="19" s="1"/>
  <c r="I68" i="19" a="1"/>
  <c r="I68" i="19" s="1"/>
  <c r="I67" i="19" a="1"/>
  <c r="I67" i="19" s="1"/>
  <c r="I66" i="19" a="1"/>
  <c r="I66" i="19" s="1"/>
  <c r="I65" i="19" a="1"/>
  <c r="I65" i="19" s="1"/>
  <c r="I64" i="19" a="1"/>
  <c r="I64" i="19" s="1"/>
  <c r="I63" i="19" a="1"/>
  <c r="I63" i="19" s="1"/>
  <c r="I62" i="19" a="1"/>
  <c r="I62" i="19" s="1"/>
  <c r="I61" i="19" a="1"/>
  <c r="I61" i="19" s="1"/>
  <c r="I60" i="19" a="1"/>
  <c r="I60" i="19" s="1"/>
  <c r="I59" i="19" a="1"/>
  <c r="I59" i="19" s="1"/>
  <c r="I58" i="19" a="1"/>
  <c r="I58" i="19" s="1"/>
  <c r="I57" i="19" a="1"/>
  <c r="I57" i="19" s="1"/>
  <c r="I56" i="19" a="1"/>
  <c r="I56" i="19" s="1"/>
  <c r="I55" i="19" a="1"/>
  <c r="I55" i="19" s="1"/>
  <c r="I54" i="19" a="1"/>
  <c r="I54" i="19" s="1"/>
  <c r="I53" i="19" a="1"/>
  <c r="I53" i="19" s="1"/>
  <c r="I52" i="19" a="1"/>
  <c r="I52" i="19" s="1"/>
  <c r="I51" i="19" a="1"/>
  <c r="I51" i="19" s="1"/>
  <c r="I50" i="19" a="1"/>
  <c r="I50" i="19" s="1"/>
  <c r="I49" i="19" a="1"/>
  <c r="I49" i="19" s="1"/>
  <c r="I48" i="19" a="1"/>
  <c r="I48" i="19" s="1"/>
  <c r="I47" i="19" a="1"/>
  <c r="I47" i="19" s="1"/>
  <c r="I46" i="19" a="1"/>
  <c r="I46" i="19" s="1"/>
  <c r="I45" i="19" a="1"/>
  <c r="I45" i="19" s="1"/>
  <c r="I44" i="19" a="1"/>
  <c r="I44" i="19" s="1"/>
  <c r="I43" i="19" a="1"/>
  <c r="I43" i="19" s="1"/>
  <c r="I42" i="19" a="1"/>
  <c r="I42" i="19" s="1"/>
  <c r="I41" i="19" a="1"/>
  <c r="I41" i="19" s="1"/>
  <c r="I40" i="19" a="1"/>
  <c r="I40" i="19" s="1"/>
  <c r="I39" i="19" a="1"/>
  <c r="I39" i="19" s="1"/>
  <c r="I38" i="19" a="1"/>
  <c r="I38" i="19" s="1"/>
  <c r="I37" i="19" a="1"/>
  <c r="I37" i="19" s="1"/>
  <c r="I36" i="19" a="1"/>
  <c r="I36" i="19" s="1"/>
  <c r="I35" i="19" a="1"/>
  <c r="I35" i="19" s="1"/>
  <c r="I34" i="19" a="1"/>
  <c r="I34" i="19" s="1"/>
  <c r="I33" i="19" a="1"/>
  <c r="I33" i="19" s="1"/>
  <c r="I32" i="19" a="1"/>
  <c r="I32" i="19" s="1"/>
  <c r="I31" i="19" a="1"/>
  <c r="I31" i="19" s="1"/>
  <c r="I30" i="19" a="1"/>
  <c r="I30" i="19" s="1"/>
  <c r="I29" i="19" a="1"/>
  <c r="I29" i="19" s="1"/>
  <c r="I28" i="19" a="1"/>
  <c r="I28" i="19" s="1"/>
  <c r="I27" i="19" a="1"/>
  <c r="I27" i="19" s="1"/>
  <c r="I26" i="19" a="1"/>
  <c r="I26" i="19" s="1"/>
  <c r="I25" i="19" a="1"/>
  <c r="I25" i="19" s="1"/>
  <c r="I24" i="19"/>
  <c r="I24" i="19" a="1"/>
  <c r="I23" i="19" a="1"/>
  <c r="I23" i="19" s="1"/>
  <c r="I22" i="19" a="1"/>
  <c r="I22" i="19" s="1"/>
  <c r="I21" i="19" a="1"/>
  <c r="I21" i="19" s="1"/>
  <c r="I20" i="19" a="1"/>
  <c r="I20" i="19" s="1"/>
  <c r="I19" i="19" a="1"/>
  <c r="I19" i="19" s="1"/>
  <c r="I18" i="19" a="1"/>
  <c r="I18" i="19" s="1"/>
  <c r="I17" i="19" a="1"/>
  <c r="I17" i="19" s="1"/>
  <c r="I16" i="19" a="1"/>
  <c r="I16" i="19" s="1"/>
  <c r="I15" i="19" a="1"/>
  <c r="I15" i="19" s="1"/>
  <c r="I14" i="19" a="1"/>
  <c r="I14" i="19" s="1"/>
  <c r="I13" i="19" a="1"/>
  <c r="I13" i="19" s="1"/>
  <c r="I12" i="19" a="1"/>
  <c r="I12" i="19" s="1"/>
  <c r="I11" i="19" a="1"/>
  <c r="I11" i="19" s="1"/>
  <c r="I10" i="19" a="1"/>
  <c r="I10" i="19" s="1"/>
  <c r="D19" i="18" l="1"/>
  <c r="D22" i="18"/>
  <c r="D25" i="18"/>
  <c r="D31" i="18"/>
  <c r="D16" i="18"/>
  <c r="D34" i="18"/>
  <c r="D10" i="18"/>
  <c r="D28" i="18"/>
  <c r="D13" i="18"/>
  <c r="N8" i="19"/>
  <c r="D7" i="18" s="1"/>
  <c r="D5" i="18"/>
  <c r="T26" i="16" l="1"/>
  <c r="T25" i="16"/>
  <c r="T24" i="16"/>
  <c r="T23" i="16"/>
  <c r="T22" i="16"/>
  <c r="T21" i="16"/>
  <c r="T20" i="16"/>
  <c r="T19" i="16"/>
  <c r="T18" i="16"/>
  <c r="T17" i="16"/>
  <c r="T16" i="16"/>
  <c r="T15" i="16"/>
  <c r="T14" i="16"/>
  <c r="T13" i="16"/>
  <c r="T12" i="16"/>
  <c r="A26" i="16"/>
  <c r="A25" i="16"/>
  <c r="A24" i="16"/>
  <c r="A23" i="16"/>
  <c r="A22" i="16"/>
  <c r="A21" i="16"/>
  <c r="A20" i="16"/>
  <c r="A19" i="16"/>
  <c r="A18" i="16"/>
  <c r="A17" i="16"/>
  <c r="A16" i="16"/>
  <c r="A15" i="16"/>
  <c r="A14" i="16"/>
  <c r="A13" i="16"/>
  <c r="A12" i="16"/>
  <c r="T11" i="16" l="1"/>
  <c r="T10" i="16"/>
  <c r="T9" i="16"/>
  <c r="T8" i="16"/>
  <c r="T7" i="16"/>
  <c r="T6" i="16"/>
  <c r="T5" i="16"/>
  <c r="T4" i="16"/>
  <c r="T3" i="16"/>
  <c r="T2" i="16"/>
  <c r="A11" i="16"/>
  <c r="A10" i="16"/>
  <c r="A9" i="16"/>
  <c r="A8" i="16"/>
  <c r="A7" i="16"/>
  <c r="A6" i="16"/>
  <c r="A5" i="16"/>
  <c r="A4" i="16"/>
  <c r="A3" i="16"/>
  <c r="A2"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<sst xmlns="http://schemas.openxmlformats.org/spreadsheetml/2006/main" count="2367" uniqueCount="345">
  <si>
    <t>Region:</t>
  </si>
  <si>
    <t xml:space="preserve">Grant Number: </t>
  </si>
  <si>
    <t>Page</t>
  </si>
  <si>
    <t>Budget Overview</t>
  </si>
  <si>
    <t>Detailed Budget</t>
  </si>
  <si>
    <t>Personnel</t>
  </si>
  <si>
    <t>Exercises</t>
  </si>
  <si>
    <t>Training</t>
  </si>
  <si>
    <t>Budget</t>
  </si>
  <si>
    <t>Federal</t>
  </si>
  <si>
    <t>Non-Federal</t>
  </si>
  <si>
    <t>Total</t>
  </si>
  <si>
    <t>Fringes</t>
  </si>
  <si>
    <t>Travel</t>
  </si>
  <si>
    <t>Equipment</t>
  </si>
  <si>
    <t>Supplies</t>
  </si>
  <si>
    <t>Contractual</t>
  </si>
  <si>
    <t>Other</t>
  </si>
  <si>
    <t>Construction</t>
  </si>
  <si>
    <t>Indirect</t>
  </si>
  <si>
    <t>Line Item Name</t>
  </si>
  <si>
    <t>Match Source</t>
  </si>
  <si>
    <t>Mission Area</t>
  </si>
  <si>
    <t>Name</t>
  </si>
  <si>
    <t>Title</t>
  </si>
  <si>
    <t>Federal Share</t>
  </si>
  <si>
    <t>Match</t>
  </si>
  <si>
    <t>Name of Project</t>
  </si>
  <si>
    <t>Quarter</t>
  </si>
  <si>
    <t>Challenges/Risks</t>
  </si>
  <si>
    <t>Protection</t>
  </si>
  <si>
    <t>Core Capabilities</t>
  </si>
  <si>
    <t>Primary</t>
  </si>
  <si>
    <t>Operational Coordination</t>
  </si>
  <si>
    <t>Secondary</t>
  </si>
  <si>
    <t>Tertiary</t>
  </si>
  <si>
    <t>Cybersecurity</t>
  </si>
  <si>
    <t>Prevention</t>
  </si>
  <si>
    <t>Mitigation</t>
  </si>
  <si>
    <t>Response</t>
  </si>
  <si>
    <t>Recovery</t>
  </si>
  <si>
    <t>Planning</t>
  </si>
  <si>
    <t>Public Information and Warning</t>
  </si>
  <si>
    <t>Forensics and Attribution</t>
  </si>
  <si>
    <t>Intelligence and Information Sharing</t>
  </si>
  <si>
    <t>Community Resilience</t>
  </si>
  <si>
    <t>Critical Transportation</t>
  </si>
  <si>
    <t>Interdiction and Disruption</t>
  </si>
  <si>
    <t>Economic Recovery</t>
  </si>
  <si>
    <t>Screening, Search, and Detection</t>
  </si>
  <si>
    <t>Risk and Disaster Resilience Assessment</t>
  </si>
  <si>
    <t>Fatality Management Services</t>
  </si>
  <si>
    <t>Health and Social Services</t>
  </si>
  <si>
    <t>Logistics and Supply Chain Management</t>
  </si>
  <si>
    <t>Fire Management and Suppression</t>
  </si>
  <si>
    <t>Housing</t>
  </si>
  <si>
    <t>Threats and Hazards Identification</t>
  </si>
  <si>
    <t>Infrastructure Systems</t>
  </si>
  <si>
    <t>Natural and Cultural Resources</t>
  </si>
  <si>
    <t>Mass Care Services</t>
  </si>
  <si>
    <t>Supply Chain Integrity and Security</t>
  </si>
  <si>
    <t>Mass Search and Rescue Operations</t>
  </si>
  <si>
    <t>Risk Management for Protection Programs and Activities</t>
  </si>
  <si>
    <t>On-Scene Security, Protection, and Law Enforcement</t>
  </si>
  <si>
    <t>Operational Communications</t>
  </si>
  <si>
    <t>Public Health, Healthcare, and Emergency Medical Services</t>
  </si>
  <si>
    <t>Situational Assessment</t>
  </si>
  <si>
    <t>Exercise Data Table</t>
  </si>
  <si>
    <t>Type of Exercise</t>
  </si>
  <si>
    <t>Exercise Fulfills Progressive Exercise Requirement (Y/N)</t>
  </si>
  <si>
    <t>Date AAR submitted to FEMA</t>
  </si>
  <si>
    <t>Training Data Table</t>
  </si>
  <si>
    <t>Name of Training</t>
  </si>
  <si>
    <t xml:space="preserve">Number of Personnel Trained </t>
  </si>
  <si>
    <t>Year</t>
  </si>
  <si>
    <t>Project Count</t>
  </si>
  <si>
    <t>Project Number</t>
  </si>
  <si>
    <t>RA Agreed Upon Priority Area</t>
  </si>
  <si>
    <t>Match Type</t>
  </si>
  <si>
    <t>EMF #1</t>
  </si>
  <si>
    <t>EMF #2</t>
  </si>
  <si>
    <t>EMF #3</t>
  </si>
  <si>
    <t>Core Capability (Primary Only)</t>
  </si>
  <si>
    <t>Access Control and Identity Verification</t>
  </si>
  <si>
    <t>Physical Protective Measures</t>
  </si>
  <si>
    <t>Long-term Vulnerability Reduction</t>
  </si>
  <si>
    <t>Environmental Response/Health and Safety</t>
  </si>
  <si>
    <t>Long-Term Vulnerability Reduction</t>
  </si>
  <si>
    <t>Operational Communication</t>
  </si>
  <si>
    <t>Project Name</t>
  </si>
  <si>
    <t>Step</t>
  </si>
  <si>
    <t xml:space="preserve">Logistics – Distribution Management Planning </t>
  </si>
  <si>
    <t xml:space="preserve">Evacuation Plan/Annex </t>
  </si>
  <si>
    <t xml:space="preserve">Disaster Financial Management </t>
  </si>
  <si>
    <t xml:space="preserve">Catastrophic Disaster Housing </t>
  </si>
  <si>
    <t xml:space="preserve">Resilient Communications </t>
  </si>
  <si>
    <t>Long-term Housing</t>
  </si>
  <si>
    <t>Community Sheltering</t>
  </si>
  <si>
    <t xml:space="preserve">Relocation Assistance </t>
  </si>
  <si>
    <t>Body Recovery/Storage</t>
  </si>
  <si>
    <t>Life-Sustaining Goods Delivery</t>
  </si>
  <si>
    <t>Core Capabilities as State or Regional Priorities:</t>
  </si>
  <si>
    <t>National Priorities</t>
  </si>
  <si>
    <t>POETE Category</t>
  </si>
  <si>
    <t>POETE Categories</t>
  </si>
  <si>
    <t>Organization</t>
  </si>
  <si>
    <t>Term</t>
  </si>
  <si>
    <t>Examples</t>
  </si>
  <si>
    <t>Activity Steps</t>
  </si>
  <si>
    <t>Initiate</t>
  </si>
  <si>
    <t>Plan</t>
  </si>
  <si>
    <t>Execute</t>
  </si>
  <si>
    <t>Control</t>
  </si>
  <si>
    <t>Description</t>
  </si>
  <si>
    <t>Process</t>
  </si>
  <si>
    <t>Close Out</t>
  </si>
  <si>
    <t>The authorization to begin work or resume work on any particular activity.</t>
  </si>
  <si>
    <t>Involves preparing for, assembling resources, and getting work started. May apply to any level, e.g., program, project, phase, activity, task.</t>
  </si>
  <si>
    <t>The purposes of establishing, at an early date, the parameters of the project that is going to be worked on as well as to try to delineate any specific and/or any peculiarities to the project as a whole and/or any specific phases of the project.</t>
  </si>
  <si>
    <t xml:space="preserve">Involves working out and extending the theoretical, practical, and/or useful application of an idea, concept, or preliminary design. This also involves a plan for moving a project concept to a viable project. </t>
  </si>
  <si>
    <t>The period within the project lifecycle during which the actual work of creating the project's deliverables is carried out.</t>
  </si>
  <si>
    <t>Involves directing, accomplishing, managing, and completing all phases and aspects of work for a given project.</t>
  </si>
  <si>
    <t>A mechanism which reacts to the current project status in order to ensure accomplishment of project objectives. This involves planning, measuring, monitoring, and taking corrective action based on the results of the monitoring.</t>
  </si>
  <si>
    <t>The completion of all work on a project. Can also refer to completion of a phase of the project.</t>
  </si>
  <si>
    <t>Involves formally terminating and concluding all tasks, activities, and component parts of a particular project, or phase of a project.</t>
  </si>
  <si>
    <t>Data Requested</t>
  </si>
  <si>
    <t>Definitions</t>
  </si>
  <si>
    <t>Key Activity</t>
  </si>
  <si>
    <t>Definitions and Guidance</t>
  </si>
  <si>
    <t>State/Regional Priority</t>
  </si>
  <si>
    <t>Exercise Name</t>
  </si>
  <si>
    <t>Training Name</t>
  </si>
  <si>
    <t>Budget Category</t>
  </si>
  <si>
    <t>Consultants/Contracts</t>
  </si>
  <si>
    <t>MISSING</t>
  </si>
  <si>
    <t>Planned Activities</t>
  </si>
  <si>
    <t>Performance Goals</t>
  </si>
  <si>
    <r>
      <rPr>
        <sz val="11"/>
        <rFont val="Calibri"/>
        <family val="2"/>
        <scheme val="minor"/>
      </rPr>
      <t xml:space="preserve">Goals should be based on the capability targets identified in the </t>
    </r>
    <r>
      <rPr>
        <u/>
        <sz val="11"/>
        <color theme="10"/>
        <rFont val="Calibri"/>
        <family val="2"/>
        <scheme val="minor"/>
      </rPr>
      <t>Core Capability Development Sheets.</t>
    </r>
  </si>
  <si>
    <t>Performance Goal</t>
  </si>
  <si>
    <t>Exercise Identified in IPP (Y/N)</t>
  </si>
  <si>
    <t>Training Identified in the IPP (Y/N)</t>
  </si>
  <si>
    <t>Scheduled Date</t>
  </si>
  <si>
    <t>Name of Exercise</t>
  </si>
  <si>
    <t>Grant Investment Strategy</t>
  </si>
  <si>
    <t>NIMS Training Course Number 
(if applicable)</t>
  </si>
  <si>
    <t>For more information or guidance on match source requirements, please refer to IBs 458 and 458a.</t>
  </si>
  <si>
    <t>Provide a narrative overview of the state/territory's preparedness investment strategy by addressing each of the sections below.</t>
  </si>
  <si>
    <t>Personnel Data Table</t>
  </si>
  <si>
    <t>Grant Activities Outline</t>
  </si>
  <si>
    <t>Project Activities Outline</t>
  </si>
  <si>
    <t xml:space="preserve">REMINDER: This sheet automatically populates with data from the Detailed Budget tab and cannot be edited. To change any information as it is found in this tab, make edits to the line items within the Detailed Budget. </t>
  </si>
  <si>
    <t>Associated Mission, Priorities, Capabilities, and Functional Areas</t>
  </si>
  <si>
    <r>
      <t xml:space="preserve">Project Number
</t>
    </r>
    <r>
      <rPr>
        <sz val="8"/>
        <color theme="1"/>
        <rFont val="Calibri"/>
        <family val="2"/>
        <scheme val="minor"/>
      </rPr>
      <t>(from Grant Activities Outline tab)</t>
    </r>
  </si>
  <si>
    <t>Based on the Project Name entered in Column G, this portion of the sheet automatically populates the information included in the Grant Activities Outlines. It cannot be edited, but changes can be in the Grant Activities Outline tab.</t>
  </si>
  <si>
    <t xml:space="preserve">This table automatically populates information based on the Project Name. It cannot be edited, but necessary changes can be made within the Grant Activities Outline tab. </t>
  </si>
  <si>
    <t>Gap or Need Addressed</t>
  </si>
  <si>
    <t>Estimated Completion Date</t>
  </si>
  <si>
    <t>Actual Completion Date</t>
  </si>
  <si>
    <t>Brief Description of Project</t>
  </si>
  <si>
    <t>Project Objective</t>
  </si>
  <si>
    <t xml:space="preserve">Brief Description of Project </t>
  </si>
  <si>
    <t>Anticipated Project Impact</t>
  </si>
  <si>
    <t>Increase the number of people who can find and secure long-term housing within 1 year of an incident by 10%.</t>
  </si>
  <si>
    <t>Within 24 hours of an incident, identify and mobilize life-sustaining commodities, resources, and services to 10,000 people requiring shelter and 100,000 people requiring food and water. Maintain distribution system for at least 30 days.</t>
  </si>
  <si>
    <r>
      <rPr>
        <sz val="11"/>
        <rFont val="Calibri"/>
        <family val="2"/>
        <scheme val="minor"/>
      </rPr>
      <t>For additional guidance on Performance Goals and Measures, please click</t>
    </r>
    <r>
      <rPr>
        <u/>
        <sz val="11"/>
        <color theme="10"/>
        <rFont val="Calibri"/>
        <family val="2"/>
        <scheme val="minor"/>
      </rPr>
      <t xml:space="preserve"> here.</t>
    </r>
  </si>
  <si>
    <t>Milestones</t>
  </si>
  <si>
    <t>Build or Sustain?</t>
  </si>
  <si>
    <t>Reference for Identified Gap or Need</t>
  </si>
  <si>
    <t>Milestones will identify key project activities and other deliverables or outputs that are critical to accomplishing the identified performance goal and can be tracked to demonstrate progress toward achieving the goal.</t>
  </si>
  <si>
    <t>Definition/Guidance</t>
  </si>
  <si>
    <t>*Conduct tabletop exercise focusing on Logistics and Supply Chain Management by June 30, 2021
*Prepare AAR and update Distribution Management Plan within 60 days of exercise completion based on lessons-learned identified in the AAR
*Procure inventory management system by Sept 30, 2021</t>
  </si>
  <si>
    <t>*Update State Housing Strategy Template by June 30, 2021
*Conduct two Housing tabletop exercises; one by Sept 30, 2021, the other by Sept 30, 2022
*Prepare AAR and update State Disaster Housing Plan within 60 days of exercise completion based on lessons-learned identified in the AAR</t>
  </si>
  <si>
    <r>
      <t xml:space="preserve">This page contains supplemental guidance and instructions for completing the Grant Investment Strategy, Grant Activities Outline, Project Activities Outline, and Personnel Data Table.
</t>
    </r>
    <r>
      <rPr>
        <b/>
        <sz val="11"/>
        <color theme="1"/>
        <rFont val="Calibri"/>
        <family val="2"/>
        <scheme val="minor"/>
      </rPr>
      <t xml:space="preserve">This sheet cannot be edited. </t>
    </r>
  </si>
  <si>
    <r>
      <t xml:space="preserve">This worksheet will pull a summary of the information from the detailed budget. 
</t>
    </r>
    <r>
      <rPr>
        <b/>
        <sz val="11"/>
        <color theme="1"/>
        <rFont val="Calibri"/>
        <family val="2"/>
        <scheme val="minor"/>
      </rPr>
      <t xml:space="preserve">This sheet cannot be edited. </t>
    </r>
  </si>
  <si>
    <t>This worksheet requires the applicant to provide an overview of the state/territory's preparedness investment strategy. It should serve as the foundation for completing the remainder of the Work Plan.</t>
  </si>
  <si>
    <t>Estimated Start Date</t>
  </si>
  <si>
    <t>Actual Start Date</t>
  </si>
  <si>
    <t>Agency</t>
  </si>
  <si>
    <t>State Employee? (Y/N)</t>
  </si>
  <si>
    <t>Emergency Management Personnel Statistics</t>
  </si>
  <si>
    <t xml:space="preserve">Agency/Organization: </t>
  </si>
  <si>
    <t xml:space="preserve">This worksheet requires outlining key project activities associated with each project identified in the Grant Activities Outline along with temporal details associated with planning and managing each project. </t>
  </si>
  <si>
    <t>Total number of all emergency management full time equivalent (FTE) personnel.</t>
  </si>
  <si>
    <t xml:space="preserve">Involves exercising corrective action as necessary to yield a required outcome consequent upon monitoring performance. Or, the process of comparing actual performance with planned performance, analyzing variances, evaluating possible alternatives, and taking appropriate corrective action as needed. </t>
  </si>
  <si>
    <t>State/Territory:</t>
  </si>
  <si>
    <t>Core Capability Development Sheets</t>
  </si>
  <si>
    <t>Mission Areas</t>
  </si>
  <si>
    <t>Primary Mission Area</t>
  </si>
  <si>
    <t>Secondary Mission Area</t>
  </si>
  <si>
    <t>Tertiary Mission Area</t>
  </si>
  <si>
    <t>Core Capability 1</t>
  </si>
  <si>
    <t>Core Capability 2</t>
  </si>
  <si>
    <t>Core Capability 3</t>
  </si>
  <si>
    <t>Core Capability 4</t>
  </si>
  <si>
    <t>Core Capability 5</t>
  </si>
  <si>
    <t>POETE 1</t>
  </si>
  <si>
    <t>POETE 2</t>
  </si>
  <si>
    <t>POETE 3</t>
  </si>
  <si>
    <t>Primary POETE Category</t>
  </si>
  <si>
    <t>Secondary POETE Category</t>
  </si>
  <si>
    <t>Tertiary POETE Category</t>
  </si>
  <si>
    <t>Mission Area (Primary Only)</t>
  </si>
  <si>
    <r>
      <t xml:space="preserve">Fill in this sheet to account for each expenditure on the grant in columns A - G and I - J. Assign each line item to its relevant project. Associating the line item with the project will allow the information in mission areas, core capabilities, priorities, and POETE categories to populate accordingly. 
</t>
    </r>
    <r>
      <rPr>
        <b/>
        <sz val="11"/>
        <color theme="1"/>
        <rFont val="Calibri"/>
        <family val="2"/>
        <scheme val="minor"/>
      </rPr>
      <t>NOTE:</t>
    </r>
    <r>
      <rPr>
        <sz val="11"/>
        <color theme="1"/>
        <rFont val="Calibri"/>
        <family val="2"/>
        <scheme val="minor"/>
      </rPr>
      <t xml:space="preserve"> Project numbers listed in the detailed budget must </t>
    </r>
    <r>
      <rPr>
        <b/>
        <sz val="11"/>
        <color theme="1"/>
        <rFont val="Calibri"/>
        <family val="2"/>
        <scheme val="minor"/>
      </rPr>
      <t>exactly match</t>
    </r>
    <r>
      <rPr>
        <sz val="11"/>
        <color theme="1"/>
        <rFont val="Calibri"/>
        <family val="2"/>
        <scheme val="minor"/>
      </rPr>
      <t xml:space="preserve"> those listed in the Project Activity Outlines to allow the sheet to populate data correctly. </t>
    </r>
  </si>
  <si>
    <t>Current Capability Metrics</t>
  </si>
  <si>
    <r>
      <rPr>
        <b/>
        <i/>
        <sz val="8.5"/>
        <color theme="1"/>
        <rFont val="Calibri"/>
        <family val="2"/>
        <scheme val="minor"/>
      </rPr>
      <t>Example:</t>
    </r>
    <r>
      <rPr>
        <i/>
        <sz val="8.5"/>
        <color theme="1"/>
        <rFont val="Calibri"/>
        <family val="2"/>
        <scheme val="minor"/>
      </rPr>
      <t xml:space="preserve">
- Sheltering for 6,000 people
- Food &amp; water for 60,000 people</t>
    </r>
  </si>
  <si>
    <r>
      <rPr>
        <b/>
        <i/>
        <sz val="8.5"/>
        <color theme="1"/>
        <rFont val="Calibri"/>
        <family val="2"/>
        <scheme val="minor"/>
      </rPr>
      <t>Example:</t>
    </r>
    <r>
      <rPr>
        <i/>
        <sz val="8.5"/>
        <color theme="1"/>
        <rFont val="Calibri"/>
        <family val="2"/>
        <scheme val="minor"/>
      </rPr>
      <t xml:space="preserve">
- Coordinate with key stakeholders to update the State Distribution Management Plan annually by September 30th.
- Conduct a tabletop exercise with state and local emergency management officials and other key stakeholders to test logistics and supply chain management capabilities during a major disaster by May 31, 2022.
- Identify and procure critical emergency supplies needed to support a major disaster and develop a five-year viable inventory management plan by June 30, 2021. 
- Procure an inventory management system by June 30, 2021. 
- Identify suitable and available facilities for stockpiling of critical emergency supplies and enter into lease agreements by June 30, 2022.</t>
    </r>
  </si>
  <si>
    <r>
      <rPr>
        <b/>
        <i/>
        <sz val="8.5"/>
        <color theme="1"/>
        <rFont val="Calibri"/>
        <family val="2"/>
        <scheme val="minor"/>
      </rPr>
      <t xml:space="preserve">Example: 
</t>
    </r>
    <r>
      <rPr>
        <i/>
        <sz val="8.5"/>
        <color theme="1"/>
        <rFont val="Calibri"/>
        <family val="2"/>
        <scheme val="minor"/>
      </rPr>
      <t xml:space="preserve">Within three years, the (state/territory) will have the capability to identify and mobilize life-sustaining commodities, resources, and services to 10,000 people requiring shelter and 100,000 people requiring food and water, within 24-hours of an incident, and to maintain the distribution system for at least 30 days.  </t>
    </r>
  </si>
  <si>
    <t>Building Code Review</t>
  </si>
  <si>
    <t>Clear Critical Roads</t>
  </si>
  <si>
    <t>Communication Systems/Service Restoration</t>
  </si>
  <si>
    <t>Community Outreach</t>
  </si>
  <si>
    <t>Community Power/Power Restoration</t>
  </si>
  <si>
    <t>Community Protection</t>
  </si>
  <si>
    <t>Community Sheltering/Mass Care, Feeding, and Sheltering</t>
  </si>
  <si>
    <t>Community Threat/Hazard Assessment</t>
  </si>
  <si>
    <t>Credential Acceptance</t>
  </si>
  <si>
    <t>Critical Facilities</t>
  </si>
  <si>
    <t>Critical Infrastructure Risk Assessment</t>
  </si>
  <si>
    <t>Critical Infrastructure Security Plan Updates</t>
  </si>
  <si>
    <t>Debris Removal (Other than Critical Roads)</t>
  </si>
  <si>
    <t>Decontamination</t>
  </si>
  <si>
    <t>Disaster Financial Management</t>
  </si>
  <si>
    <t>EOP Updates</t>
  </si>
  <si>
    <t>Evacuation</t>
  </si>
  <si>
    <t>Evidence Collection and Analysis</t>
  </si>
  <si>
    <t>HAZMAT Cleanup</t>
  </si>
  <si>
    <t>Information Delivery</t>
  </si>
  <si>
    <t>Intelligence Cycle Auditing/Execution</t>
  </si>
  <si>
    <t>Interdiction/Disruption Activities</t>
  </si>
  <si>
    <t>Interoperable Communications</t>
  </si>
  <si>
    <t>Life-Sustaining Goods Delivery/Logistics and Distribution Management</t>
  </si>
  <si>
    <t>Medical Care/Health and Medical</t>
  </si>
  <si>
    <t>Port Restoration</t>
  </si>
  <si>
    <t>Public Risk Awareness/Risk-Appropriate Insurance</t>
  </si>
  <si>
    <t>Reestablish Health and Social Services</t>
  </si>
  <si>
    <t>Relocation Assistance</t>
  </si>
  <si>
    <t>Reopen Businesses</t>
  </si>
  <si>
    <t>Natural and Cultural Resource Restoration</t>
  </si>
  <si>
    <t>Sanitation/Wastewater Service Restoration</t>
  </si>
  <si>
    <t>Science (Mitigation)</t>
  </si>
  <si>
    <t>Search and Rescue</t>
  </si>
  <si>
    <t>Situation Briefings</t>
  </si>
  <si>
    <t>Structural Firefighting</t>
  </si>
  <si>
    <t>Supply Chain Risk Preparedness</t>
  </si>
  <si>
    <t>Temporary Power</t>
  </si>
  <si>
    <t>Threat and Hazard Modeling</t>
  </si>
  <si>
    <t>Unified Operations</t>
  </si>
  <si>
    <t>Water Service Restoration</t>
  </si>
  <si>
    <t>RA Agreed Upon Priorities</t>
  </si>
  <si>
    <t>Logistics – Distribution Management Planning</t>
  </si>
  <si>
    <t>Evacuation Plan/Annex</t>
  </si>
  <si>
    <t>Catastrophic Disaster Housing</t>
  </si>
  <si>
    <t>Resilient Communications</t>
  </si>
  <si>
    <t xml:space="preserve">Provide an overview of your state or territory's Risk Profile based on the most recent THIRA/SPR results, Hazard Mitigation Plan, and/or other information sources used to assess risk. </t>
  </si>
  <si>
    <t>Describe the gaps or areas of need as identified through the THIRA/SPR process and/or other relevant assessments.</t>
  </si>
  <si>
    <t>Total Cost</t>
  </si>
  <si>
    <r>
      <rPr>
        <u/>
        <sz val="12"/>
        <color theme="0"/>
        <rFont val="Calibri"/>
        <family val="2"/>
        <scheme val="minor"/>
      </rPr>
      <t>Directions</t>
    </r>
    <r>
      <rPr>
        <sz val="12"/>
        <color theme="0"/>
        <rFont val="Calibri"/>
        <family val="2"/>
        <scheme val="minor"/>
      </rPr>
      <t xml:space="preserve">: Select a budget category from the drop down list, name the line item, and fill in the Federal and Non-Federal cells with the dollar amounts of the expenditure. These numbers will be added together to get the Total in Column J. For Match Type, select Hard Match or Soft Match from the drop down list. If the match is soft (In-Kind), you will need to identify the source in the Match Source column. Enter the Project Number from the Grants Activity Outline, which will then automatically populate the Project Name. If the line item is associated with an exercise or training, include the name of the exercise or training in the appropriate column. </t>
    </r>
  </si>
  <si>
    <t>IB 458 
IB 458a</t>
  </si>
  <si>
    <t>Core Capability Metrics</t>
  </si>
  <si>
    <t>Current capability levels associated with the capabilities identified in the performance goals; they provide the baseline for measuring project effectiveness.</t>
  </si>
  <si>
    <t>Sheltering for 6,000 people</t>
  </si>
  <si>
    <t>Food &amp; water for 60,000 people</t>
  </si>
  <si>
    <t>EMAP Standard Element</t>
  </si>
  <si>
    <t>Emergency Management Program</t>
  </si>
  <si>
    <t>Hazard Identification, Risk Assessment and Consequence Analysis</t>
  </si>
  <si>
    <t>Hazard Mitigation</t>
  </si>
  <si>
    <t>Operational Planning and Procedures</t>
  </si>
  <si>
    <t>Incident Management</t>
  </si>
  <si>
    <t>Resource Management, Mutual Aid and Logistics</t>
  </si>
  <si>
    <t>Communications and Warning</t>
  </si>
  <si>
    <t>Facilities</t>
  </si>
  <si>
    <t>Exercises, Evaluations and Corrective Action</t>
  </si>
  <si>
    <t>Emergency Public Education and Information</t>
  </si>
  <si>
    <t>EMAPs</t>
  </si>
  <si>
    <t>EMAP1</t>
  </si>
  <si>
    <t>EMAP2</t>
  </si>
  <si>
    <t>EMAP3</t>
  </si>
  <si>
    <t>EMAP #1</t>
  </si>
  <si>
    <t>EMAP #2</t>
  </si>
  <si>
    <t>EMAP #3</t>
  </si>
  <si>
    <t>Cybersecurity Plan Updates</t>
  </si>
  <si>
    <t>On-scene Security, Protection, and Law Enforcement</t>
  </si>
  <si>
    <t>ARP</t>
  </si>
  <si>
    <t>EMPG</t>
  </si>
  <si>
    <t>Both</t>
  </si>
  <si>
    <t>Funding Source</t>
  </si>
  <si>
    <t>Federal Share (EMPG)</t>
  </si>
  <si>
    <t>Non-Federal Share (EMPG)</t>
  </si>
  <si>
    <t>Federal EMPG Amount</t>
  </si>
  <si>
    <t>Non-Federal EMPG Amount</t>
  </si>
  <si>
    <t>Total EMPG Award Amount</t>
  </si>
  <si>
    <t>FY21 EMPG</t>
  </si>
  <si>
    <t>Grand Total</t>
  </si>
  <si>
    <t>Purpose:  The intent of this worksheet is to provide an overview of the state/territory's preparedness investment strategy. It includes separate sections to explain the most recent THIRA/SPR results; significant risks and capability gaps that currently exist based on THIRA/SPR outputs and other information sources; resulting preparedness priorities; the goals associated with each priority area; and, the anticipated impact of the proposed EMPG-funded investments  relative to the priorities, performance goals, and/or core capabilities supported.
Instructions:  For the Priorities and Goals section, identify the 3-5 priorities that were mutually agreed to and approved by the Regional Administrator.
At least one performance goal should be identified for each priority area. Each goal must be: specific; measurable; achievable within the period of performance; relevant to the priority area; and have a target date for completion (i.e. SMART goal). It should describe how achieving each goal or objective will impact the priority area it supports by the end of the period of performance.</t>
  </si>
  <si>
    <t xml:space="preserve">Purpose:  The Grant Activities Outline is used to capture the proposed EMPG-funded projects and link them to the identified priorities, performance goals, and gaps or needs. Coupled with the Project Activities Outline, the Grant Activities Outline supports identification and tracking of EMPG-funded project outcomes, which will enable better understanding of the impacts of those investments relative to the performance goals and the associated core capabilities.
The worksheet includes sections that allow the applicant to identify the performance goals that are supported by each project and the milestones that are critical to accomplishing each goal. Additional guidance on performance goals and milestones, including specific examples of each, are provided below.  
The worksheet also requires the applicant to explain the objective and anticipated impact of each project relative to the associated priorities, goals, and related core capabilities. The "Project Objective" should explain what the project will accomplish; specifically, how the project will address the identified gap or need and how it supports one or more of the identified Performance Goals. The "Anticipated Project Impact" should explain the expected project outcome relative to the associated priorities and performance goals. The impact statement should include a quantitative estimate of the degree to which the project will contribute to achieving the identified performance goal (see hierarchy example below).
Effective completion of the Grant Activities Outline requires an understanding of the established planning hierarchy. Priorities are at the top of the hierarchy, followed by performance goals that define a clear outcome or end-state and provide the basis for addressing each priority. Based on the identified performance goals, project proposals are identified. High-priority capability gaps or needs identified through the THIRA/SPR process and other assessments are also used to inform project selection and to identify specific project objectives. Project objectives, and accompanying impact statements, should complement the performance goals by including similar outcome-focused metrics, as explained above. Lastly, project activities are identified. Project activities are key components and/or milestones that are critical to successful completion of the project.  An example of this hierarchy is provided below:
All EMPG-funded investments must be accounted for in the Grant Activities Outline. However, recognizing that some sustainment activities, such as funding of emergency manager salaries, may not align to a specific priority or performance goal, applicants are not required to identify priorities and performance goals for such investments. However, all other portions of the Grant Activities Outline must be completed as a means to justify the applicable sustainment costs.
Instructions: The template allows entering up to ten projects. Ensure that the number assigned to the project title is entered consistently throughout the Template to enable the "auto-populate" features used throughout this spreadsheet. Enter the requested information or select a choice from the drop-down menu as applicable to your award. </t>
  </si>
  <si>
    <t>From 2 C.F.R.: Performance goal means a target level of performance expressed as a tangible, measurable objective, against which actual achievement can be compared, including a goal expressed as a quantitative standard, value, or rate. In some instances (e.g., discretionary research awards), this may be limited to the requirement to submit technical performance reports (to be evaluated in accordance with agency policy).
Each goal must be: specific; measurable; achievable within the period of performance; relevant to the priority area; and have a target date for completion (i.e. SMART goals). Each goal must include an estimate quantifying the extent to which the supporting investments will close capability gaps. 
The standardized targets included in the Core Capability Development Sheets should be used for developing performance goals, as these standardized targets meet all of the SMART goal requirements. The standardized targets also serve as the basis for setting preparedness goals, identifying capability gaps and approaches for closing those gaps, and tracking efforts to build and sustain capability gaps each year in the state/territory's THIRA/SPR. By using the same goals as those identified in the THIRA/SPR, this enables better understanding and tracking of how EMPG-funded investments contribute to building and sustaining capabilities each year, thus yielding a better understanding of investment outcomes and impacts.</t>
  </si>
  <si>
    <t>Purpose: This worksheet is used to capture key project activities to include BOTH the EMPG-funded activities that are critical to accomplishing the project objectives as identified in the Grant Activities Outline, as well as activities that are essential to effective project management. Thus, this product can be used as a basic project management tool -- to plan and track the progress of key project activities.  Key project activities should generally correlate with the "Milestones" identified for each project included in the Grant Activities Outline.
The basic details for each project included in the Grant Activities Outline will auto-populate into the corresponding tables/fields included in the Project Activities Outline.  This includes:  the Project Number; Project Name; Gap or Need Addressed; Project Objective; and Build or Sustain fields. A separate "Planned Activities" table should be completed for each project.
Instructions: In the planned activity table, identify each key activity and its associated information in the appropriate line based on year and quarter. The Activity Steps identified below should be used to help identify and guide the project management-related activities associated with each project.</t>
  </si>
  <si>
    <t>EMPG funds (federal AND match) allocated towards state/territory emergency management personnel</t>
  </si>
  <si>
    <t>The total of all EMPG funds (federal and match) allocated for state/territory emergency management personnel. This should exclude local and tribal personnel.</t>
  </si>
  <si>
    <t xml:space="preserve">EMPG funds (federal AND match) allocated towards NON-STATE/TERRITORY emergency management personnel </t>
  </si>
  <si>
    <t>All EMPG funds (federal and match) allocated towards non-state/territory emergency management personnel (i.e. local, tribal personnel). This excludes state/territory personnel.</t>
  </si>
  <si>
    <t>Total number of state emergency management FTE personnel (including those supported and not supported by the EMPG). This should include only funded positions.  Vacant positions should be excluded.</t>
  </si>
  <si>
    <t>Number of state/territory emergency management FTE personnel supported (fully or partially) by EMPG</t>
  </si>
  <si>
    <t>Number of state/territory emergency management FTE personnel supported by the EMPG. This excludes local and tribal personnel.</t>
  </si>
  <si>
    <t>Total number of SLTT emergency management personnel supported (fully or partially) by EMPG</t>
  </si>
  <si>
    <t>Total number of state/territory, local, and tribal emergency management personnel funded (fully or partially) by the EMPG. This number provides the "Universe" number for the training and exercise templates.</t>
  </si>
  <si>
    <t>Identify the 3-5 priority areas that serve as the focus for EMPG-funded investments and the performance goals associated with each priority.</t>
  </si>
  <si>
    <t xml:space="preserve">Provide a BRIEF overview of the state or territory's investment strategy by identifying proposed EMPG-funded investments; briefly explaining how they support the identified priorities and performance goals, along with the state/territory's risks, gaps, and needs identified above; and providing the anticipated impact of the investments relative to the priorities, performance goals, and/or core capabilities supported. </t>
  </si>
  <si>
    <t>Provide a description of the cost share for EMPG and matching funds.</t>
  </si>
  <si>
    <t>EMPG funds (federal AND match) allocated towards STATE/TERRITORY emergency management personnel</t>
  </si>
  <si>
    <t>EMPG funds (federal AND match) allocated towards NON-STATE/TERRITORY emergency management personnel (e.g., local, tribal)</t>
  </si>
  <si>
    <t>Total number state/territory emergency management full time equivalent (FTE) personnel (including those supported and not supported by EMPG)</t>
  </si>
  <si>
    <t>Number state/territory emergency management FTE personnel supported (fully or partially) by EMPG</t>
  </si>
  <si>
    <t>EMPG Funded Personnel Data</t>
  </si>
  <si>
    <t>Amount paid by EMPG</t>
  </si>
  <si>
    <t>EMPG Required Training</t>
  </si>
  <si>
    <t xml:space="preserve">Total Number of SLTT EMPG Funded Personnel </t>
  </si>
  <si>
    <t>Total Number of SLTT EMPG Funded Personnel that Completed the Course</t>
  </si>
  <si>
    <t>Total # of SLTT EMPG Funded Personnel</t>
  </si>
  <si>
    <t>Number of SLTT EMPG Program Funded Personnel Participating in the Exercise</t>
  </si>
  <si>
    <t>Task No.</t>
  </si>
  <si>
    <t>% Complete</t>
  </si>
  <si>
    <t>Notes</t>
  </si>
  <si>
    <t>Project No.</t>
  </si>
  <si>
    <t>Gap References</t>
  </si>
  <si>
    <t>PTEx Count</t>
  </si>
  <si>
    <t>Count if "Reference" was given</t>
  </si>
  <si>
    <t>are ANY POETE categories PTEx?</t>
  </si>
  <si>
    <t>Count of project with PTEx AND a Reference</t>
  </si>
  <si>
    <t>Total P-T-Ex Count</t>
  </si>
  <si>
    <t>Total Gap Count</t>
  </si>
  <si>
    <t xml:space="preserve">Please fill in the information below. Be sure to copy the Project Number EXACTLY as it exists in the Grant Activities Outline tab. This will allow Columns B and L-Z to automatically populate the correct information. </t>
  </si>
  <si>
    <t xml:space="preserve">Please fill in the information below. Be sure to copy the Project Number EXACTLY as it exists in the Grant Activities Outline tab. This will allow Columns B and K-Y to automatically populate the correct information. </t>
  </si>
  <si>
    <t>EMPG-ARPA</t>
  </si>
  <si>
    <t>Federal Share (EMPG-ARPA)</t>
  </si>
  <si>
    <t>Non-Federal Share (EMPG-ARPA)</t>
  </si>
  <si>
    <t>Total P-T-Ex (%) Alignment</t>
  </si>
  <si>
    <t>EMPG &amp; ARPA Work Plan Template</t>
  </si>
  <si>
    <t>This worksheet is used to capture the proposed EMPG-funded projects and link them to the agreed-upon/RA approved priorities.</t>
  </si>
  <si>
    <t>Complete the tables for the personnel associated with the EMPG program.</t>
  </si>
  <si>
    <t>Complete the table for the training associated with the EMPG program.</t>
  </si>
  <si>
    <t>Complete the table for the exercises associated with the EMPG program.</t>
  </si>
  <si>
    <t>Non-Federal ARPA Amount</t>
  </si>
  <si>
    <t>Total EMPG-ARPA Award Amount</t>
  </si>
  <si>
    <t>Federal EMPG-ARPA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</si>
</sst>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name val="Calibri"/>
      <family val="2"/>
      <scheme val="minor"/>
    </font>
    <font>
      <u/>
      <sz val="11"/>
      <color theme="10"/>
      <name val="Calibri"/>
      <family val="2"/>
      <scheme val="minor"/>
    </font>
    <font>
      <b/>
      <sz val="11"/>
      <color theme="0"/>
      <name val="Calibri"/>
      <family val="2"/>
      <scheme val="minor"/>
    </font>
    <font>
      <u/>
      <sz val="11"/>
      <color theme="0"/>
      <name val="Calibri"/>
      <family val="2"/>
      <scheme val="minor"/>
    </font>
    <font>
      <b/>
      <u/>
      <sz val="16"/>
      <color theme="0"/>
      <name val="Calibri"/>
      <family val="2"/>
      <scheme val="minor"/>
    </font>
    <font>
      <sz val="14"/>
      <color theme="0"/>
      <name val="Calibri"/>
      <family val="2"/>
      <scheme val="minor"/>
    </font>
    <font>
      <i/>
      <sz val="8.5"/>
      <color theme="1"/>
      <name val="Calibri"/>
      <family val="2"/>
      <scheme val="minor"/>
    </font>
    <font>
      <sz val="12"/>
      <color theme="0"/>
      <name val="Calibri"/>
      <family val="2"/>
      <scheme val="minor"/>
    </font>
    <font>
      <b/>
      <sz val="11.5"/>
      <color theme="0"/>
      <name val="Calibri"/>
      <family val="2"/>
      <scheme val="minor"/>
    </font>
    <font>
      <sz val="8"/>
      <color theme="1"/>
      <name val="Calibri"/>
      <family val="2"/>
      <scheme val="minor"/>
    </font>
    <font>
      <b/>
      <sz val="14"/>
      <color theme="0"/>
      <name val="Calibri"/>
      <family val="2"/>
      <scheme val="minor"/>
    </font>
    <font>
      <u/>
      <sz val="11"/>
      <name val="Calibri"/>
      <family val="2"/>
      <scheme val="minor"/>
    </font>
    <font>
      <b/>
      <i/>
      <sz val="8.5"/>
      <color theme="1"/>
      <name val="Calibri"/>
      <family val="2"/>
      <scheme val="minor"/>
    </font>
    <font>
      <b/>
      <sz val="16"/>
      <color theme="0"/>
      <name val="Calibri"/>
      <family val="2"/>
      <scheme val="minor"/>
    </font>
    <font>
      <b/>
      <u/>
      <sz val="14"/>
      <color theme="0"/>
      <name val="Calibri"/>
      <family val="2"/>
      <scheme val="minor"/>
    </font>
    <font>
      <sz val="14"/>
      <color theme="1"/>
      <name val="Calibri"/>
      <family val="2"/>
      <scheme val="minor"/>
    </font>
    <font>
      <sz val="14"/>
      <name val="Calibri"/>
      <family val="2"/>
      <scheme val="minor"/>
    </font>
    <font>
      <sz val="12"/>
      <color theme="1"/>
      <name val="Calibri"/>
      <family val="2"/>
      <scheme val="minor"/>
    </font>
    <font>
      <u/>
      <sz val="12"/>
      <color theme="0"/>
      <name val="Calibri"/>
      <family val="2"/>
      <scheme val="minor"/>
    </font>
    <font>
      <b/>
      <sz val="12"/>
      <color theme="0"/>
      <name val="Calibri"/>
      <family val="2"/>
      <scheme val="minor"/>
    </font>
    <font>
      <sz val="11"/>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1"/>
        <bgColor indexed="64"/>
      </patternFill>
    </fill>
    <fill>
      <patternFill patternType="solid">
        <fgColor rgb="FFD9D9D9"/>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4" tint="0.79998168889431442"/>
        <bgColor indexed="64"/>
      </patternFill>
    </fill>
  </fills>
  <borders count="97">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bottom style="thick">
        <color indexed="64"/>
      </bottom>
      <diagonal/>
    </border>
    <border>
      <left style="medium">
        <color indexed="64"/>
      </left>
      <right/>
      <top/>
      <bottom style="thick">
        <color indexed="64"/>
      </bottom>
      <diagonal/>
    </border>
    <border>
      <left/>
      <right style="thick">
        <color indexed="64"/>
      </right>
      <top style="thin">
        <color indexed="64"/>
      </top>
      <bottom/>
      <diagonal/>
    </border>
    <border>
      <left/>
      <right style="thick">
        <color indexed="64"/>
      </right>
      <top/>
      <bottom style="thick">
        <color indexed="64"/>
      </bottom>
      <diagonal/>
    </border>
    <border>
      <left/>
      <right style="thick">
        <color indexed="64"/>
      </right>
      <top/>
      <bottom/>
      <diagonal/>
    </border>
    <border>
      <left style="medium">
        <color indexed="64"/>
      </left>
      <right style="medium">
        <color indexed="64"/>
      </right>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ck">
        <color indexed="64"/>
      </right>
      <top/>
      <bottom style="thin">
        <color indexed="64"/>
      </bottom>
      <diagonal/>
    </border>
    <border>
      <left style="thick">
        <color indexed="64"/>
      </left>
      <right/>
      <top/>
      <bottom/>
      <diagonal/>
    </border>
    <border>
      <left/>
      <right style="thin">
        <color indexed="64"/>
      </right>
      <top style="thin">
        <color rgb="FF000000"/>
      </top>
      <bottom/>
      <diagonal/>
    </border>
    <border>
      <left style="thin">
        <color indexed="64"/>
      </left>
      <right/>
      <top/>
      <bottom style="medium">
        <color indexed="64"/>
      </bottom>
      <diagonal/>
    </border>
    <border>
      <left/>
      <right/>
      <top style="thick">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5">
    <xf numFmtId="0" fontId="0" fillId="0" borderId="0"/>
    <xf numFmtId="44" fontId="1" fillId="0" borderId="0" applyFont="0" applyFill="0" applyBorder="0" applyAlignment="0" applyProtection="0"/>
    <xf numFmtId="0" fontId="4" fillId="0" borderId="0"/>
    <xf numFmtId="0" fontId="6" fillId="0" borderId="0" applyNumberFormat="0" applyFill="0" applyBorder="0" applyAlignment="0" applyProtection="0"/>
    <xf numFmtId="9" fontId="1" fillId="0" borderId="0" applyFont="0" applyFill="0" applyBorder="0" applyAlignment="0" applyProtection="0"/>
  </cellStyleXfs>
  <cellXfs count="500">
    <xf numFmtId="0" fontId="0" fillId="0" borderId="0" xfId="0"/>
    <xf numFmtId="0" fontId="0" fillId="2" borderId="0" xfId="0" applyFill="1"/>
    <xf numFmtId="0" fontId="0" fillId="2" borderId="0" xfId="0" applyFill="1" applyAlignment="1">
      <alignment vertical="center" wrapText="1"/>
    </xf>
    <xf numFmtId="0" fontId="0" fillId="2" borderId="0" xfId="0" applyFill="1" applyBorder="1"/>
    <xf numFmtId="0" fontId="0" fillId="0" borderId="8" xfId="0" applyBorder="1"/>
    <xf numFmtId="0" fontId="0" fillId="0" borderId="11" xfId="0" applyBorder="1"/>
    <xf numFmtId="0" fontId="0" fillId="3" borderId="5" xfId="0" applyFill="1" applyBorder="1"/>
    <xf numFmtId="44" fontId="0" fillId="0" borderId="8" xfId="1" applyFont="1" applyBorder="1"/>
    <xf numFmtId="0" fontId="0" fillId="0" borderId="2" xfId="0" applyBorder="1"/>
    <xf numFmtId="0" fontId="0" fillId="0" borderId="15" xfId="0" applyBorder="1"/>
    <xf numFmtId="0" fontId="0" fillId="4" borderId="4" xfId="0" applyFill="1" applyBorder="1" applyAlignment="1">
      <alignment horizontal="center" vertical="center" wrapText="1"/>
    </xf>
    <xf numFmtId="0" fontId="0" fillId="4" borderId="20" xfId="0" applyFill="1" applyBorder="1" applyAlignment="1">
      <alignment horizontal="center" vertical="center" wrapText="1"/>
    </xf>
    <xf numFmtId="0" fontId="0" fillId="2" borderId="0" xfId="0" applyFill="1" applyAlignment="1">
      <alignment horizontal="center" vertical="center"/>
    </xf>
    <xf numFmtId="0" fontId="5" fillId="6" borderId="0" xfId="0" applyFont="1" applyFill="1" applyBorder="1"/>
    <xf numFmtId="0" fontId="0" fillId="6" borderId="0" xfId="0" applyFill="1" applyBorder="1"/>
    <xf numFmtId="164" fontId="0" fillId="0" borderId="8" xfId="0" applyNumberFormat="1" applyBorder="1"/>
    <xf numFmtId="164" fontId="0" fillId="2" borderId="0" xfId="0" applyNumberFormat="1" applyFill="1"/>
    <xf numFmtId="164" fontId="0" fillId="0" borderId="0" xfId="0" applyNumberFormat="1"/>
    <xf numFmtId="164" fontId="0" fillId="6" borderId="0" xfId="0" applyNumberFormat="1" applyFill="1" applyBorder="1"/>
    <xf numFmtId="164" fontId="0" fillId="5" borderId="0" xfId="0" applyNumberFormat="1" applyFill="1" applyBorder="1"/>
    <xf numFmtId="0" fontId="0" fillId="4" borderId="2" xfId="0" applyFill="1" applyBorder="1" applyAlignment="1">
      <alignment horizontal="center" vertical="center" wrapText="1"/>
    </xf>
    <xf numFmtId="0" fontId="0" fillId="4" borderId="15" xfId="0" applyFill="1" applyBorder="1" applyAlignment="1">
      <alignment horizontal="center" vertical="center" wrapText="1"/>
    </xf>
    <xf numFmtId="0" fontId="0" fillId="2" borderId="0" xfId="0" applyFill="1" applyAlignment="1">
      <alignment horizontal="center" vertical="center" wrapText="1"/>
    </xf>
    <xf numFmtId="0" fontId="0" fillId="5" borderId="0" xfId="0" applyFill="1"/>
    <xf numFmtId="164" fontId="0" fillId="2" borderId="0" xfId="0" applyNumberFormat="1" applyFill="1" applyBorder="1"/>
    <xf numFmtId="164" fontId="3" fillId="3" borderId="18" xfId="0" applyNumberFormat="1" applyFont="1" applyFill="1" applyBorder="1"/>
    <xf numFmtId="164" fontId="3" fillId="3" borderId="19" xfId="0" applyNumberFormat="1" applyFont="1" applyFill="1" applyBorder="1"/>
    <xf numFmtId="0" fontId="0" fillId="0" borderId="0" xfId="0" applyFill="1"/>
    <xf numFmtId="0" fontId="2" fillId="0" borderId="0" xfId="0" applyNumberFormat="1" applyFont="1" applyFill="1"/>
    <xf numFmtId="0" fontId="0" fillId="2" borderId="0" xfId="0" applyNumberFormat="1" applyFill="1"/>
    <xf numFmtId="0" fontId="3" fillId="3" borderId="46" xfId="0" applyNumberFormat="1" applyFont="1" applyFill="1" applyBorder="1"/>
    <xf numFmtId="0" fontId="3" fillId="3" borderId="50" xfId="0" applyNumberFormat="1" applyFont="1" applyFill="1" applyBorder="1"/>
    <xf numFmtId="0" fontId="3" fillId="2" borderId="0" xfId="0" applyFont="1" applyFill="1" applyBorder="1"/>
    <xf numFmtId="0" fontId="3" fillId="3" borderId="23" xfId="0" applyFont="1" applyFill="1" applyBorder="1"/>
    <xf numFmtId="0" fontId="0" fillId="5" borderId="25" xfId="0" applyFill="1" applyBorder="1"/>
    <xf numFmtId="0" fontId="0" fillId="4" borderId="14" xfId="0" applyNumberFormat="1" applyFill="1" applyBorder="1"/>
    <xf numFmtId="164" fontId="0" fillId="0" borderId="2" xfId="0" applyNumberFormat="1" applyBorder="1"/>
    <xf numFmtId="164" fontId="0" fillId="0" borderId="15" xfId="0" applyNumberFormat="1" applyBorder="1"/>
    <xf numFmtId="0" fontId="0" fillId="4" borderId="57" xfId="0" applyNumberFormat="1" applyFill="1" applyBorder="1"/>
    <xf numFmtId="164" fontId="0" fillId="0" borderId="17" xfId="0" applyNumberFormat="1" applyBorder="1"/>
    <xf numFmtId="0" fontId="6" fillId="2" borderId="0" xfId="3" applyFill="1"/>
    <xf numFmtId="0" fontId="0" fillId="0" borderId="0" xfId="0" applyBorder="1" applyProtection="1">
      <protection locked="0"/>
    </xf>
    <xf numFmtId="0" fontId="0" fillId="0" borderId="0" xfId="0" applyBorder="1" applyProtection="1"/>
    <xf numFmtId="0" fontId="5" fillId="0" borderId="7" xfId="0" applyFont="1" applyFill="1" applyBorder="1" applyProtection="1">
      <protection locked="0"/>
    </xf>
    <xf numFmtId="164" fontId="0" fillId="0" borderId="0" xfId="0" applyNumberFormat="1" applyBorder="1" applyProtection="1">
      <protection locked="0"/>
    </xf>
    <xf numFmtId="0" fontId="0" fillId="0" borderId="0" xfId="0" applyProtection="1">
      <protection locked="0"/>
    </xf>
    <xf numFmtId="164" fontId="0" fillId="0" borderId="0" xfId="0" applyNumberFormat="1" applyProtection="1">
      <protection locked="0"/>
    </xf>
    <xf numFmtId="0" fontId="0" fillId="0" borderId="54" xfId="0" applyBorder="1"/>
    <xf numFmtId="0" fontId="0" fillId="0" borderId="0" xfId="0" applyAlignment="1"/>
    <xf numFmtId="0" fontId="0" fillId="5" borderId="0" xfId="0" applyFill="1" applyBorder="1"/>
    <xf numFmtId="0" fontId="0" fillId="2" borderId="0" xfId="0" applyFill="1" applyProtection="1">
      <protection locked="0"/>
    </xf>
    <xf numFmtId="0" fontId="0" fillId="4" borderId="2" xfId="0" applyFill="1" applyBorder="1" applyAlignment="1">
      <alignment horizontal="center" vertical="center" wrapText="1"/>
    </xf>
    <xf numFmtId="0" fontId="0" fillId="2" borderId="0" xfId="0" applyFill="1" applyBorder="1" applyProtection="1">
      <protection locked="0"/>
    </xf>
    <xf numFmtId="0" fontId="0" fillId="0" borderId="2" xfId="0" applyFill="1" applyBorder="1"/>
    <xf numFmtId="0" fontId="0" fillId="0" borderId="56" xfId="0" applyBorder="1"/>
    <xf numFmtId="0" fontId="0" fillId="5" borderId="0" xfId="0" applyFill="1" applyAlignment="1">
      <alignment vertical="center" wrapText="1"/>
    </xf>
    <xf numFmtId="0" fontId="0" fillId="4" borderId="29" xfId="0" applyFill="1" applyBorder="1" applyAlignment="1">
      <alignment horizontal="center" vertical="center" wrapText="1"/>
    </xf>
    <xf numFmtId="0" fontId="0" fillId="4" borderId="25" xfId="0" applyFill="1" applyBorder="1" applyAlignment="1">
      <alignment horizontal="center" vertical="center" wrapText="1"/>
    </xf>
    <xf numFmtId="0" fontId="0" fillId="0" borderId="70" xfId="0" applyBorder="1"/>
    <xf numFmtId="0" fontId="0" fillId="0" borderId="34" xfId="0" applyBorder="1"/>
    <xf numFmtId="0" fontId="0" fillId="0" borderId="71" xfId="0" applyBorder="1"/>
    <xf numFmtId="0" fontId="0" fillId="2" borderId="0" xfId="0" applyFill="1" applyAlignment="1">
      <alignment wrapText="1"/>
    </xf>
    <xf numFmtId="0" fontId="0" fillId="2" borderId="0" xfId="0" applyFill="1" applyBorder="1" applyAlignment="1">
      <alignment wrapText="1"/>
    </xf>
    <xf numFmtId="0" fontId="0" fillId="5" borderId="7" xfId="0" applyFill="1" applyBorder="1"/>
    <xf numFmtId="0" fontId="0" fillId="5" borderId="8" xfId="0" applyFill="1" applyBorder="1"/>
    <xf numFmtId="0" fontId="0" fillId="5" borderId="7" xfId="0" applyFill="1" applyBorder="1" applyProtection="1">
      <protection locked="0"/>
    </xf>
    <xf numFmtId="0" fontId="0" fillId="5" borderId="8" xfId="0" applyFill="1" applyBorder="1" applyProtection="1">
      <protection locked="0"/>
    </xf>
    <xf numFmtId="0" fontId="0" fillId="4" borderId="54" xfId="0" applyFill="1" applyBorder="1" applyAlignment="1">
      <alignment horizontal="center" vertical="center" wrapText="1"/>
    </xf>
    <xf numFmtId="0" fontId="0" fillId="0" borderId="38" xfId="0" applyBorder="1"/>
    <xf numFmtId="0" fontId="0" fillId="0" borderId="13" xfId="0" applyFill="1" applyBorder="1" applyAlignment="1">
      <alignment wrapText="1"/>
    </xf>
    <xf numFmtId="0" fontId="0" fillId="0" borderId="56" xfId="0" applyFill="1" applyBorder="1"/>
    <xf numFmtId="0" fontId="0" fillId="0" borderId="70" xfId="0" applyFill="1" applyBorder="1"/>
    <xf numFmtId="44" fontId="0" fillId="0" borderId="0" xfId="1" applyFont="1" applyBorder="1" applyProtection="1">
      <protection locked="0"/>
    </xf>
    <xf numFmtId="0" fontId="0" fillId="2" borderId="13" xfId="0" applyFill="1" applyBorder="1"/>
    <xf numFmtId="0" fontId="0" fillId="2" borderId="12" xfId="0" applyFill="1" applyBorder="1"/>
    <xf numFmtId="0" fontId="0" fillId="5" borderId="77" xfId="0" applyFill="1" applyBorder="1" applyAlignment="1">
      <alignment vertical="center" wrapText="1"/>
    </xf>
    <xf numFmtId="0" fontId="0" fillId="2" borderId="43" xfId="0" applyFill="1" applyBorder="1"/>
    <xf numFmtId="0" fontId="0" fillId="4" borderId="64" xfId="0" applyFill="1" applyBorder="1" applyAlignment="1">
      <alignment horizontal="center" vertical="center" wrapText="1"/>
    </xf>
    <xf numFmtId="0" fontId="0" fillId="4" borderId="66" xfId="0" applyFill="1" applyBorder="1" applyAlignment="1">
      <alignment horizontal="center" vertical="center" wrapText="1"/>
    </xf>
    <xf numFmtId="0" fontId="0" fillId="0" borderId="27" xfId="0" applyBorder="1" applyAlignment="1" applyProtection="1">
      <alignment wrapText="1"/>
      <protection locked="0"/>
    </xf>
    <xf numFmtId="0" fontId="0" fillId="0" borderId="35" xfId="0" applyBorder="1" applyAlignment="1" applyProtection="1">
      <alignment wrapText="1"/>
      <protection locked="0"/>
    </xf>
    <xf numFmtId="0" fontId="0" fillId="0" borderId="2" xfId="0" applyBorder="1" applyAlignment="1" applyProtection="1">
      <alignment wrapText="1"/>
      <protection locked="0"/>
    </xf>
    <xf numFmtId="0" fontId="0" fillId="0" borderId="16" xfId="0" applyBorder="1" applyAlignment="1" applyProtection="1">
      <alignment wrapText="1"/>
      <protection locked="0"/>
    </xf>
    <xf numFmtId="0" fontId="0" fillId="2" borderId="0" xfId="0" applyFill="1" applyAlignment="1" applyProtection="1">
      <alignment wrapText="1"/>
    </xf>
    <xf numFmtId="0" fontId="3" fillId="3" borderId="22" xfId="0" applyFont="1" applyFill="1" applyBorder="1" applyAlignment="1" applyProtection="1">
      <alignment horizontal="center" vertical="center" wrapText="1"/>
    </xf>
    <xf numFmtId="0" fontId="3" fillId="3" borderId="47" xfId="0" applyFont="1" applyFill="1" applyBorder="1" applyAlignment="1" applyProtection="1">
      <alignment horizontal="center" vertical="center" wrapText="1"/>
    </xf>
    <xf numFmtId="0" fontId="3" fillId="3" borderId="22" xfId="0" applyFont="1" applyFill="1" applyBorder="1" applyAlignment="1" applyProtection="1">
      <alignment wrapText="1"/>
    </xf>
    <xf numFmtId="0" fontId="0" fillId="2" borderId="0" xfId="0" applyFont="1" applyFill="1" applyBorder="1" applyAlignment="1">
      <alignment wrapText="1"/>
    </xf>
    <xf numFmtId="0" fontId="0" fillId="4" borderId="21" xfId="0" applyFont="1" applyFill="1" applyBorder="1" applyAlignment="1" applyProtection="1">
      <alignment wrapText="1"/>
    </xf>
    <xf numFmtId="0" fontId="0" fillId="4" borderId="9" xfId="0" applyFont="1" applyFill="1" applyBorder="1" applyAlignment="1" applyProtection="1">
      <alignment wrapText="1"/>
    </xf>
    <xf numFmtId="0" fontId="5" fillId="2" borderId="0" xfId="0" applyFont="1" applyFill="1" applyAlignment="1">
      <alignment wrapText="1"/>
    </xf>
    <xf numFmtId="0" fontId="0" fillId="5" borderId="0" xfId="0" applyFill="1" applyAlignment="1">
      <alignment wrapText="1"/>
    </xf>
    <xf numFmtId="0" fontId="0" fillId="5" borderId="0" xfId="0" applyFill="1" applyAlignment="1" applyProtection="1">
      <alignment wrapText="1"/>
    </xf>
    <xf numFmtId="0" fontId="5" fillId="4" borderId="9" xfId="0" applyFont="1" applyFill="1" applyBorder="1" applyAlignment="1" applyProtection="1">
      <alignment horizontal="center" vertical="center" wrapText="1"/>
      <protection locked="0"/>
    </xf>
    <xf numFmtId="0" fontId="5" fillId="4" borderId="41" xfId="0" applyFont="1" applyFill="1" applyBorder="1" applyAlignment="1" applyProtection="1">
      <alignment horizontal="center" vertical="center" wrapText="1"/>
      <protection locked="0"/>
    </xf>
    <xf numFmtId="0" fontId="5" fillId="4" borderId="29" xfId="0" applyFont="1" applyFill="1" applyBorder="1" applyAlignment="1" applyProtection="1">
      <alignment horizontal="center" vertical="center" wrapText="1"/>
      <protection locked="0"/>
    </xf>
    <xf numFmtId="0" fontId="0" fillId="0" borderId="58" xfId="0" applyBorder="1" applyAlignment="1" applyProtection="1">
      <alignment wrapText="1"/>
      <protection locked="0"/>
    </xf>
    <xf numFmtId="0" fontId="0" fillId="0" borderId="33" xfId="0" applyBorder="1" applyAlignment="1" applyProtection="1">
      <alignment wrapText="1"/>
      <protection locked="0"/>
    </xf>
    <xf numFmtId="0" fontId="0" fillId="0" borderId="54" xfId="0" applyBorder="1" applyAlignment="1" applyProtection="1">
      <alignment wrapText="1"/>
      <protection locked="0"/>
    </xf>
    <xf numFmtId="0" fontId="0" fillId="0" borderId="55" xfId="0" applyBorder="1" applyAlignment="1" applyProtection="1">
      <alignment wrapText="1"/>
      <protection locked="0"/>
    </xf>
    <xf numFmtId="0" fontId="0" fillId="2" borderId="0" xfId="0" applyFill="1" applyBorder="1" applyAlignment="1">
      <alignment horizontal="center" vertical="center" wrapText="1"/>
    </xf>
    <xf numFmtId="0" fontId="6" fillId="2" borderId="0" xfId="3" applyFill="1" applyAlignment="1">
      <alignment horizontal="left" vertical="center" wrapText="1"/>
    </xf>
    <xf numFmtId="0" fontId="3" fillId="3" borderId="64" xfId="0" applyFont="1" applyFill="1" applyBorder="1" applyAlignment="1">
      <alignment horizontal="center" vertical="center" wrapText="1"/>
    </xf>
    <xf numFmtId="0" fontId="0" fillId="2" borderId="0" xfId="0" applyFill="1" applyAlignment="1" applyProtection="1">
      <alignment horizontal="left" wrapText="1"/>
    </xf>
    <xf numFmtId="0" fontId="3" fillId="3" borderId="22" xfId="0" applyFont="1" applyFill="1" applyBorder="1" applyAlignment="1" applyProtection="1">
      <alignment horizontal="left" vertical="center" wrapText="1"/>
    </xf>
    <xf numFmtId="0" fontId="3" fillId="3" borderId="47" xfId="0" applyFont="1" applyFill="1" applyBorder="1" applyAlignment="1" applyProtection="1">
      <alignment horizontal="left" vertical="center" wrapText="1"/>
    </xf>
    <xf numFmtId="0" fontId="0" fillId="2" borderId="0" xfId="0" applyFill="1" applyBorder="1" applyAlignment="1">
      <alignment horizontal="left" wrapText="1"/>
    </xf>
    <xf numFmtId="0" fontId="3" fillId="3" borderId="60" xfId="0" applyFont="1" applyFill="1" applyBorder="1" applyAlignment="1" applyProtection="1">
      <alignment wrapText="1"/>
    </xf>
    <xf numFmtId="0" fontId="0" fillId="2" borderId="9" xfId="0" applyFill="1" applyBorder="1" applyAlignment="1">
      <alignment wrapText="1"/>
    </xf>
    <xf numFmtId="0" fontId="0" fillId="2" borderId="10" xfId="0" applyFill="1" applyBorder="1" applyAlignment="1">
      <alignment wrapText="1"/>
    </xf>
    <xf numFmtId="0" fontId="0" fillId="2" borderId="7" xfId="0" applyFill="1" applyBorder="1"/>
    <xf numFmtId="0" fontId="0" fillId="2" borderId="90" xfId="0" applyFill="1" applyBorder="1" applyAlignment="1">
      <alignment horizontal="center" vertical="center" wrapText="1"/>
    </xf>
    <xf numFmtId="0" fontId="0" fillId="2" borderId="7" xfId="0" applyFill="1" applyBorder="1" applyAlignment="1">
      <alignment wrapText="1"/>
    </xf>
    <xf numFmtId="0" fontId="0" fillId="2" borderId="7" xfId="0" applyFill="1" applyBorder="1" applyAlignment="1" applyProtection="1">
      <alignment wrapText="1"/>
    </xf>
    <xf numFmtId="0" fontId="16" fillId="4" borderId="29" xfId="0" applyFont="1" applyFill="1" applyBorder="1" applyAlignment="1" applyProtection="1">
      <alignment horizontal="center" vertical="center" wrapText="1"/>
      <protection locked="0"/>
    </xf>
    <xf numFmtId="0" fontId="0" fillId="4" borderId="2" xfId="0" applyFill="1" applyBorder="1" applyAlignment="1">
      <alignment wrapText="1"/>
    </xf>
    <xf numFmtId="0" fontId="0" fillId="4" borderId="54" xfId="0" applyFill="1" applyBorder="1" applyAlignment="1">
      <alignment wrapText="1"/>
    </xf>
    <xf numFmtId="0" fontId="0" fillId="4" borderId="21" xfId="0" applyFont="1" applyFill="1" applyBorder="1" applyAlignment="1" applyProtection="1">
      <alignment horizontal="center" wrapText="1"/>
    </xf>
    <xf numFmtId="0" fontId="0" fillId="4" borderId="14" xfId="0" applyFont="1" applyFill="1" applyBorder="1" applyAlignment="1" applyProtection="1">
      <alignment horizontal="center" wrapText="1"/>
    </xf>
    <xf numFmtId="0" fontId="0" fillId="4" borderId="57" xfId="0" applyFont="1" applyFill="1" applyBorder="1" applyAlignment="1" applyProtection="1">
      <alignment horizontal="center" wrapText="1"/>
    </xf>
    <xf numFmtId="0" fontId="0" fillId="4" borderId="59" xfId="0" applyFill="1" applyBorder="1" applyAlignment="1">
      <alignment horizontal="center" vertical="center" wrapText="1"/>
    </xf>
    <xf numFmtId="0" fontId="0" fillId="4" borderId="33" xfId="0" applyFill="1" applyBorder="1" applyAlignment="1">
      <alignment horizontal="center" vertical="center" wrapText="1"/>
    </xf>
    <xf numFmtId="0" fontId="0" fillId="5" borderId="5" xfId="0" applyFill="1" applyBorder="1"/>
    <xf numFmtId="1" fontId="0" fillId="2" borderId="0" xfId="0" applyNumberFormat="1" applyFill="1"/>
    <xf numFmtId="1" fontId="0" fillId="0" borderId="0" xfId="0" applyNumberFormat="1" applyBorder="1" applyProtection="1">
      <protection locked="0"/>
    </xf>
    <xf numFmtId="1" fontId="0" fillId="6" borderId="0" xfId="0" applyNumberFormat="1" applyFill="1" applyBorder="1"/>
    <xf numFmtId="1" fontId="0" fillId="0" borderId="22" xfId="0" applyNumberFormat="1" applyBorder="1" applyAlignment="1" applyProtection="1">
      <alignment horizontal="center" wrapText="1"/>
    </xf>
    <xf numFmtId="1" fontId="0" fillId="0" borderId="0" xfId="0" applyNumberFormat="1"/>
    <xf numFmtId="0" fontId="20" fillId="2" borderId="0" xfId="0" applyFont="1" applyFill="1" applyAlignment="1">
      <alignment horizontal="center" vertical="center" wrapText="1"/>
    </xf>
    <xf numFmtId="0" fontId="21" fillId="2" borderId="0" xfId="0" applyFont="1" applyFill="1" applyAlignment="1">
      <alignment horizontal="left" vertical="top" wrapText="1"/>
    </xf>
    <xf numFmtId="0" fontId="22" fillId="2" borderId="37" xfId="0" applyFont="1" applyFill="1" applyBorder="1" applyAlignment="1">
      <alignment vertical="center" wrapText="1"/>
    </xf>
    <xf numFmtId="0" fontId="22" fillId="2" borderId="0" xfId="0" applyFont="1" applyFill="1" applyAlignment="1">
      <alignment vertical="center" wrapText="1"/>
    </xf>
    <xf numFmtId="164" fontId="22" fillId="0" borderId="11" xfId="0" applyNumberFormat="1" applyFont="1" applyBorder="1" applyProtection="1"/>
    <xf numFmtId="0" fontId="22" fillId="2" borderId="0" xfId="0" applyFont="1" applyFill="1"/>
    <xf numFmtId="0" fontId="23" fillId="3" borderId="60" xfId="3" applyFont="1" applyFill="1" applyBorder="1"/>
    <xf numFmtId="0" fontId="22" fillId="4" borderId="2" xfId="0" applyFont="1" applyFill="1" applyBorder="1" applyAlignment="1">
      <alignment horizontal="center" vertical="center" wrapText="1"/>
    </xf>
    <xf numFmtId="0" fontId="22" fillId="4" borderId="56" xfId="0" applyFont="1" applyFill="1" applyBorder="1" applyAlignment="1">
      <alignment horizontal="center" vertical="center" wrapText="1"/>
    </xf>
    <xf numFmtId="0" fontId="22" fillId="4" borderId="51" xfId="0" applyFont="1" applyFill="1" applyBorder="1" applyAlignment="1">
      <alignment horizontal="center" vertical="center" wrapText="1"/>
    </xf>
    <xf numFmtId="0" fontId="22" fillId="5" borderId="51" xfId="0" applyFont="1" applyFill="1" applyBorder="1"/>
    <xf numFmtId="0" fontId="22" fillId="4" borderId="54" xfId="0" applyFont="1" applyFill="1" applyBorder="1" applyAlignment="1">
      <alignment horizontal="center" vertical="center" wrapText="1"/>
    </xf>
    <xf numFmtId="0" fontId="0" fillId="2" borderId="93" xfId="0" applyFill="1" applyBorder="1" applyAlignment="1">
      <alignment horizontal="center" vertical="center" wrapText="1"/>
    </xf>
    <xf numFmtId="0" fontId="5" fillId="3" borderId="0" xfId="0" applyFont="1" applyFill="1" applyBorder="1"/>
    <xf numFmtId="0" fontId="0" fillId="3" borderId="0" xfId="0" applyFill="1" applyBorder="1"/>
    <xf numFmtId="164" fontId="0" fillId="3" borderId="0" xfId="0" applyNumberFormat="1" applyFill="1" applyBorder="1"/>
    <xf numFmtId="1" fontId="0" fillId="3" borderId="0" xfId="0" applyNumberFormat="1" applyFill="1" applyBorder="1"/>
    <xf numFmtId="0" fontId="0" fillId="4" borderId="9" xfId="0" applyFont="1" applyFill="1" applyBorder="1" applyAlignment="1" applyProtection="1">
      <alignment horizontal="center" wrapText="1"/>
    </xf>
    <xf numFmtId="0" fontId="25" fillId="0" borderId="0" xfId="0" applyFont="1" applyAlignment="1">
      <alignment vertical="center"/>
    </xf>
    <xf numFmtId="164" fontId="0" fillId="0" borderId="10" xfId="0" applyNumberFormat="1" applyBorder="1" applyAlignment="1">
      <alignment horizontal="center"/>
    </xf>
    <xf numFmtId="164" fontId="0" fillId="0" borderId="3" xfId="0" applyNumberFormat="1" applyBorder="1" applyAlignment="1"/>
    <xf numFmtId="0" fontId="24" fillId="3" borderId="5" xfId="0" applyFont="1" applyFill="1" applyBorder="1" applyAlignment="1" applyProtection="1">
      <alignment horizontal="center" vertical="center" wrapText="1"/>
    </xf>
    <xf numFmtId="164" fontId="0" fillId="0" borderId="19" xfId="0" applyNumberFormat="1" applyBorder="1"/>
    <xf numFmtId="0" fontId="3" fillId="2" borderId="1" xfId="0" applyFont="1" applyFill="1" applyBorder="1"/>
    <xf numFmtId="164" fontId="3" fillId="3" borderId="94" xfId="0" applyNumberFormat="1" applyFont="1" applyFill="1" applyBorder="1"/>
    <xf numFmtId="164" fontId="3" fillId="3" borderId="42" xfId="0" applyNumberFormat="1" applyFont="1" applyFill="1" applyBorder="1"/>
    <xf numFmtId="164" fontId="3" fillId="3" borderId="43" xfId="0" applyNumberFormat="1" applyFont="1" applyFill="1" applyBorder="1"/>
    <xf numFmtId="164" fontId="0" fillId="0" borderId="28" xfId="0" applyNumberFormat="1" applyBorder="1"/>
    <xf numFmtId="164" fontId="0" fillId="0" borderId="27" xfId="0" applyNumberFormat="1" applyBorder="1"/>
    <xf numFmtId="164" fontId="0" fillId="0" borderId="35" xfId="0" applyNumberFormat="1" applyBorder="1"/>
    <xf numFmtId="0" fontId="3" fillId="3" borderId="50" xfId="0" applyFont="1" applyFill="1" applyBorder="1"/>
    <xf numFmtId="0" fontId="3" fillId="3" borderId="51" xfId="0" applyFont="1" applyFill="1" applyBorder="1"/>
    <xf numFmtId="164" fontId="0" fillId="0" borderId="54" xfId="0" applyNumberFormat="1" applyBorder="1" applyAlignment="1">
      <alignment horizontal="center"/>
    </xf>
    <xf numFmtId="164" fontId="0" fillId="0" borderId="15" xfId="0" applyNumberFormat="1" applyBorder="1" applyAlignment="1"/>
    <xf numFmtId="164" fontId="0" fillId="0" borderId="15" xfId="0" applyNumberFormat="1" applyBorder="1" applyAlignment="1">
      <alignment horizontal="center"/>
    </xf>
    <xf numFmtId="164" fontId="0" fillId="0" borderId="17" xfId="0" applyNumberFormat="1" applyBorder="1" applyAlignment="1">
      <alignment horizontal="center"/>
    </xf>
    <xf numFmtId="0" fontId="3" fillId="3" borderId="15" xfId="0" applyFont="1" applyFill="1" applyBorder="1"/>
    <xf numFmtId="0" fontId="3" fillId="3" borderId="2" xfId="0" applyFont="1" applyFill="1" applyBorder="1"/>
    <xf numFmtId="164" fontId="0" fillId="0" borderId="2" xfId="0" applyNumberFormat="1" applyBorder="1" applyAlignment="1"/>
    <xf numFmtId="164" fontId="0" fillId="0" borderId="2" xfId="0" applyNumberFormat="1" applyBorder="1" applyAlignment="1">
      <alignment horizontal="center"/>
    </xf>
    <xf numFmtId="164" fontId="0" fillId="0" borderId="16" xfId="0" applyNumberFormat="1" applyBorder="1" applyAlignment="1">
      <alignment horizontal="center"/>
    </xf>
    <xf numFmtId="0" fontId="24" fillId="3" borderId="30" xfId="0" applyFont="1" applyFill="1" applyBorder="1" applyAlignment="1" applyProtection="1">
      <alignment horizontal="center" vertical="center" wrapText="1"/>
    </xf>
    <xf numFmtId="164" fontId="22" fillId="0" borderId="32" xfId="0" applyNumberFormat="1" applyFont="1" applyBorder="1" applyProtection="1"/>
    <xf numFmtId="0" fontId="24" fillId="3" borderId="47" xfId="0" applyFont="1" applyFill="1" applyBorder="1" applyAlignment="1" applyProtection="1">
      <alignment horizontal="center" vertical="center" wrapText="1"/>
    </xf>
    <xf numFmtId="164" fontId="22" fillId="0" borderId="49" xfId="0" applyNumberFormat="1" applyFont="1" applyBorder="1" applyProtection="1"/>
    <xf numFmtId="164" fontId="22" fillId="0" borderId="18" xfId="0" applyNumberFormat="1" applyFont="1" applyBorder="1" applyProtection="1"/>
    <xf numFmtId="164" fontId="22" fillId="0" borderId="19" xfId="0" applyNumberFormat="1" applyFont="1" applyBorder="1" applyProtection="1"/>
    <xf numFmtId="0" fontId="24" fillId="3" borderId="50" xfId="0" applyFont="1" applyFill="1" applyBorder="1" applyAlignment="1" applyProtection="1">
      <alignment horizontal="center" vertical="center" wrapText="1"/>
    </xf>
    <xf numFmtId="164" fontId="0" fillId="2" borderId="7" xfId="0" applyNumberFormat="1" applyFill="1" applyBorder="1"/>
    <xf numFmtId="0" fontId="24" fillId="3" borderId="5" xfId="0" applyFont="1" applyFill="1" applyBorder="1" applyAlignment="1" applyProtection="1">
      <alignment horizontal="center" vertical="center"/>
    </xf>
    <xf numFmtId="164" fontId="0" fillId="0" borderId="21" xfId="0" applyNumberFormat="1" applyFill="1" applyBorder="1"/>
    <xf numFmtId="164" fontId="0" fillId="0" borderId="95" xfId="0" applyNumberFormat="1" applyBorder="1"/>
    <xf numFmtId="164" fontId="0" fillId="5" borderId="55" xfId="0" applyNumberFormat="1" applyFill="1" applyBorder="1"/>
    <xf numFmtId="164" fontId="0" fillId="5" borderId="48" xfId="0" applyNumberFormat="1" applyFill="1" applyBorder="1"/>
    <xf numFmtId="164" fontId="0" fillId="5" borderId="49" xfId="0" applyNumberFormat="1" applyFill="1" applyBorder="1"/>
    <xf numFmtId="164" fontId="0" fillId="0" borderId="41" xfId="0" applyNumberFormat="1" applyBorder="1"/>
    <xf numFmtId="164" fontId="0" fillId="0" borderId="11" xfId="0" applyNumberFormat="1" applyBorder="1"/>
    <xf numFmtId="164" fontId="0" fillId="0" borderId="71" xfId="0" applyNumberFormat="1" applyBorder="1"/>
    <xf numFmtId="0" fontId="0" fillId="0" borderId="28" xfId="0" applyBorder="1" applyAlignment="1">
      <alignment horizontal="center" wrapText="1"/>
    </xf>
    <xf numFmtId="0" fontId="3" fillId="3" borderId="46" xfId="0" applyFont="1" applyFill="1" applyBorder="1" applyAlignment="1">
      <alignment horizontal="center" vertical="center" wrapText="1"/>
    </xf>
    <xf numFmtId="0" fontId="0" fillId="2" borderId="1" xfId="0" applyFill="1" applyBorder="1" applyAlignment="1">
      <alignment wrapText="1"/>
    </xf>
    <xf numFmtId="0" fontId="5" fillId="4" borderId="0" xfId="0" applyFont="1" applyFill="1" applyAlignment="1" applyProtection="1">
      <alignment horizontal="center" vertical="center" wrapText="1"/>
      <protection locked="0"/>
    </xf>
    <xf numFmtId="0" fontId="5" fillId="4" borderId="92" xfId="0" applyFont="1" applyFill="1" applyBorder="1" applyAlignment="1" applyProtection="1">
      <alignment horizontal="center" vertical="center" wrapText="1"/>
      <protection locked="0"/>
    </xf>
    <xf numFmtId="0" fontId="5" fillId="4" borderId="96" xfId="0" applyFont="1" applyFill="1"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0" fillId="0" borderId="28" xfId="0" applyBorder="1" applyAlignment="1" applyProtection="1">
      <alignment wrapText="1"/>
      <protection locked="0"/>
    </xf>
    <xf numFmtId="0" fontId="0" fillId="0" borderId="2" xfId="0" applyBorder="1" applyAlignment="1" applyProtection="1">
      <alignment horizontal="center" vertical="center" wrapText="1"/>
      <protection locked="0"/>
    </xf>
    <xf numFmtId="0" fontId="0" fillId="0" borderId="59" xfId="0" applyBorder="1" applyAlignment="1" applyProtection="1">
      <alignment wrapText="1"/>
      <protection locked="0"/>
    </xf>
    <xf numFmtId="0" fontId="0" fillId="0" borderId="15" xfId="0" applyBorder="1" applyAlignment="1" applyProtection="1">
      <alignment wrapText="1"/>
      <protection locked="0"/>
    </xf>
    <xf numFmtId="0" fontId="0" fillId="0" borderId="34" xfId="0" applyBorder="1" applyAlignment="1" applyProtection="1">
      <alignment horizontal="center" vertical="center" wrapText="1"/>
      <protection locked="0"/>
    </xf>
    <xf numFmtId="0" fontId="0" fillId="0" borderId="17" xfId="0" applyBorder="1" applyAlignment="1" applyProtection="1">
      <alignment wrapText="1"/>
      <protection locked="0"/>
    </xf>
    <xf numFmtId="0" fontId="0" fillId="0" borderId="16" xfId="0" applyBorder="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2" borderId="0" xfId="0" applyFill="1" applyAlignment="1" applyProtection="1">
      <alignment wrapText="1"/>
      <protection locked="0"/>
    </xf>
    <xf numFmtId="0" fontId="0" fillId="5" borderId="0" xfId="0" applyFill="1" applyAlignment="1" applyProtection="1">
      <alignment horizontal="center" vertical="center" wrapText="1"/>
      <protection locked="0"/>
    </xf>
    <xf numFmtId="0" fontId="0" fillId="5" borderId="0" xfId="0" applyFill="1" applyAlignment="1" applyProtection="1">
      <alignment wrapText="1"/>
      <protection locked="0"/>
    </xf>
    <xf numFmtId="0" fontId="0" fillId="2" borderId="0" xfId="0" applyFill="1" applyAlignment="1">
      <alignment horizontal="center" wrapText="1"/>
    </xf>
    <xf numFmtId="0" fontId="5" fillId="0" borderId="0" xfId="0" applyFont="1" applyFill="1" applyBorder="1" applyProtection="1">
      <protection locked="0"/>
    </xf>
    <xf numFmtId="0" fontId="0" fillId="10" borderId="0" xfId="0" applyFill="1" applyAlignment="1">
      <alignment wrapText="1"/>
    </xf>
    <xf numFmtId="0" fontId="0" fillId="11" borderId="0" xfId="0" applyFill="1" applyAlignment="1">
      <alignment wrapText="1"/>
    </xf>
    <xf numFmtId="0" fontId="3" fillId="3" borderId="2" xfId="0" applyFont="1" applyFill="1" applyBorder="1" applyAlignment="1" applyProtection="1">
      <alignment horizontal="left" vertical="center" wrapText="1"/>
    </xf>
    <xf numFmtId="0" fontId="0" fillId="0" borderId="15" xfId="0" applyBorder="1" applyAlignment="1" applyProtection="1">
      <alignment horizontal="center" wrapText="1"/>
    </xf>
    <xf numFmtId="0" fontId="3" fillId="3" borderId="16" xfId="0" applyFont="1" applyFill="1" applyBorder="1" applyAlignment="1" applyProtection="1">
      <alignment horizontal="left" vertical="center" wrapText="1"/>
    </xf>
    <xf numFmtId="9" fontId="0" fillId="0" borderId="17" xfId="4" applyFont="1" applyBorder="1" applyAlignment="1" applyProtection="1">
      <alignment horizontal="center" wrapText="1"/>
    </xf>
    <xf numFmtId="0" fontId="0" fillId="4" borderId="3" xfId="0" applyFill="1" applyBorder="1" applyAlignment="1">
      <alignment horizontal="center" vertical="center" wrapText="1"/>
    </xf>
    <xf numFmtId="0" fontId="0" fillId="2" borderId="10" xfId="0" applyFill="1" applyBorder="1"/>
    <xf numFmtId="0" fontId="0" fillId="2" borderId="11" xfId="0" applyFill="1" applyBorder="1"/>
    <xf numFmtId="0" fontId="0" fillId="0" borderId="34" xfId="0" applyFill="1" applyBorder="1"/>
    <xf numFmtId="0" fontId="0" fillId="2" borderId="31" xfId="0" applyFill="1" applyBorder="1"/>
    <xf numFmtId="0" fontId="0" fillId="5" borderId="35" xfId="0" applyFill="1" applyBorder="1"/>
    <xf numFmtId="0" fontId="10" fillId="3" borderId="5"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8" xfId="0" applyFont="1" applyFill="1" applyBorder="1" applyAlignment="1">
      <alignment horizontal="center" vertical="center"/>
    </xf>
    <xf numFmtId="0" fontId="2" fillId="0" borderId="2" xfId="0" applyFont="1" applyBorder="1" applyAlignment="1">
      <alignment horizontal="center" vertical="center"/>
    </xf>
    <xf numFmtId="0" fontId="0" fillId="0" borderId="2" xfId="0" applyBorder="1" applyAlignment="1">
      <alignment horizontal="center" vertical="center"/>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6" fillId="0" borderId="2" xfId="3" applyBorder="1" applyAlignment="1">
      <alignment horizontal="center" vertical="center"/>
    </xf>
    <xf numFmtId="0" fontId="0" fillId="0" borderId="2" xfId="0" applyBorder="1" applyAlignment="1">
      <alignment horizontal="left" vertical="center" wrapText="1"/>
    </xf>
    <xf numFmtId="0" fontId="6" fillId="0" borderId="54" xfId="3" applyFill="1" applyBorder="1" applyAlignment="1">
      <alignment horizontal="center" vertical="center"/>
    </xf>
    <xf numFmtId="0" fontId="6" fillId="0" borderId="56" xfId="3" applyFill="1" applyBorder="1" applyAlignment="1">
      <alignment horizontal="center" vertical="center"/>
    </xf>
    <xf numFmtId="0" fontId="0" fillId="0" borderId="54" xfId="0" applyFill="1" applyBorder="1" applyAlignment="1">
      <alignment horizontal="left" vertical="center" wrapText="1"/>
    </xf>
    <xf numFmtId="0" fontId="0" fillId="0" borderId="51" xfId="0" applyFill="1" applyBorder="1" applyAlignment="1">
      <alignment horizontal="left" vertical="center" wrapText="1"/>
    </xf>
    <xf numFmtId="0" fontId="0" fillId="0" borderId="56" xfId="0" applyFill="1" applyBorder="1" applyAlignment="1">
      <alignment horizontal="left" vertical="center" wrapText="1"/>
    </xf>
    <xf numFmtId="0" fontId="6" fillId="0" borderId="2" xfId="3" applyFill="1" applyBorder="1" applyAlignment="1">
      <alignment horizontal="center" vertical="center"/>
    </xf>
    <xf numFmtId="0" fontId="0" fillId="0" borderId="2" xfId="0" applyFill="1" applyBorder="1" applyAlignment="1">
      <alignment horizontal="left" vertical="center" wrapText="1"/>
    </xf>
    <xf numFmtId="0" fontId="0" fillId="0" borderId="2" xfId="0" applyFill="1" applyBorder="1" applyAlignment="1">
      <alignment horizontal="left" vertical="center"/>
    </xf>
    <xf numFmtId="0" fontId="6" fillId="0" borderId="54" xfId="3" applyBorder="1" applyAlignment="1">
      <alignment horizontal="center" vertical="center"/>
    </xf>
    <xf numFmtId="0" fontId="6" fillId="0" borderId="56" xfId="3" applyBorder="1" applyAlignment="1">
      <alignment horizontal="center" vertical="center"/>
    </xf>
    <xf numFmtId="0" fontId="0" fillId="0" borderId="54" xfId="0" applyBorder="1" applyAlignment="1">
      <alignment horizontal="left" vertical="center" wrapText="1"/>
    </xf>
    <xf numFmtId="0" fontId="0" fillId="0" borderId="51" xfId="0" applyBorder="1" applyAlignment="1">
      <alignment horizontal="left" vertical="center" wrapText="1"/>
    </xf>
    <xf numFmtId="0" fontId="0" fillId="0" borderId="56" xfId="0" applyBorder="1" applyAlignment="1">
      <alignment horizontal="left" vertical="center" wrapText="1"/>
    </xf>
    <xf numFmtId="0" fontId="0" fillId="0" borderId="88" xfId="0" applyFill="1" applyBorder="1" applyAlignment="1">
      <alignment horizontal="center" vertical="center" wrapText="1"/>
    </xf>
    <xf numFmtId="0" fontId="0" fillId="0" borderId="82" xfId="0" applyFill="1" applyBorder="1" applyAlignment="1">
      <alignment horizontal="center" vertical="center" wrapText="1"/>
    </xf>
    <xf numFmtId="0" fontId="3" fillId="3" borderId="6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5" xfId="0" applyFont="1" applyFill="1" applyBorder="1" applyAlignment="1">
      <alignment horizontal="center" vertical="center" wrapText="1"/>
    </xf>
    <xf numFmtId="0" fontId="6" fillId="4" borderId="87" xfId="3" applyFill="1" applyBorder="1" applyAlignment="1">
      <alignment horizontal="center" vertical="center" wrapText="1"/>
    </xf>
    <xf numFmtId="0" fontId="6" fillId="4" borderId="51" xfId="3" applyFill="1" applyBorder="1" applyAlignment="1">
      <alignment horizontal="center" vertical="center" wrapText="1"/>
    </xf>
    <xf numFmtId="0" fontId="6" fillId="4" borderId="69" xfId="3" applyFill="1" applyBorder="1" applyAlignment="1">
      <alignment horizontal="center" vertical="center" wrapText="1"/>
    </xf>
    <xf numFmtId="0" fontId="0" fillId="0" borderId="33" xfId="0" applyFill="1" applyBorder="1" applyAlignment="1">
      <alignment vertical="center" wrapText="1"/>
    </xf>
    <xf numFmtId="0" fontId="0" fillId="0" borderId="3" xfId="0" applyFill="1" applyBorder="1" applyAlignment="1">
      <alignment vertical="center" wrapText="1"/>
    </xf>
    <xf numFmtId="0" fontId="0" fillId="0" borderId="89" xfId="0" applyFill="1" applyBorder="1" applyAlignment="1">
      <alignment vertical="center" wrapText="1"/>
    </xf>
    <xf numFmtId="0" fontId="0" fillId="4" borderId="87" xfId="0" applyFill="1" applyBorder="1" applyAlignment="1">
      <alignment horizontal="center" vertical="center" wrapText="1"/>
    </xf>
    <xf numFmtId="0" fontId="0" fillId="4" borderId="51" xfId="0" applyFill="1" applyBorder="1" applyAlignment="1">
      <alignment horizontal="center" vertical="center" wrapText="1"/>
    </xf>
    <xf numFmtId="0" fontId="0" fillId="0" borderId="87" xfId="0" applyFill="1" applyBorder="1" applyAlignment="1">
      <alignment horizontal="center" vertical="center" wrapText="1"/>
    </xf>
    <xf numFmtId="0" fontId="0" fillId="0" borderId="51" xfId="0" applyFill="1" applyBorder="1" applyAlignment="1">
      <alignment horizontal="center" vertical="center" wrapText="1"/>
    </xf>
    <xf numFmtId="0" fontId="0" fillId="4" borderId="31" xfId="0" applyFill="1" applyBorder="1" applyAlignment="1">
      <alignment horizontal="center" vertical="center" wrapText="1"/>
    </xf>
    <xf numFmtId="0" fontId="0" fillId="4" borderId="70" xfId="0" applyFill="1" applyBorder="1" applyAlignment="1">
      <alignment horizontal="center" vertical="center" wrapText="1"/>
    </xf>
    <xf numFmtId="0" fontId="0" fillId="0" borderId="54"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81" xfId="0" applyFill="1" applyBorder="1" applyAlignment="1">
      <alignment horizontal="center" vertical="center" wrapText="1"/>
    </xf>
    <xf numFmtId="0" fontId="0" fillId="4" borderId="54" xfId="0" applyFill="1" applyBorder="1" applyAlignment="1">
      <alignment horizontal="center" vertical="center" wrapText="1"/>
    </xf>
    <xf numFmtId="0" fontId="0" fillId="4" borderId="69" xfId="0" applyFill="1" applyBorder="1" applyAlignment="1">
      <alignment horizontal="center" vertical="center" wrapText="1"/>
    </xf>
    <xf numFmtId="0" fontId="0" fillId="0" borderId="69" xfId="0" applyFill="1" applyBorder="1" applyAlignment="1">
      <alignment horizontal="center" vertical="center" wrapText="1"/>
    </xf>
    <xf numFmtId="0" fontId="0" fillId="0" borderId="84" xfId="0" applyFill="1" applyBorder="1" applyAlignment="1">
      <alignment horizontal="center" vertical="center" wrapText="1"/>
    </xf>
    <xf numFmtId="0" fontId="5" fillId="0" borderId="31" xfId="0" applyFont="1" applyFill="1" applyBorder="1" applyAlignment="1">
      <alignment horizontal="left" vertical="center" wrapText="1"/>
    </xf>
    <xf numFmtId="0" fontId="5" fillId="0" borderId="7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89" xfId="0" applyFont="1" applyFill="1" applyBorder="1" applyAlignment="1">
      <alignment horizontal="left" vertical="center" wrapText="1"/>
    </xf>
    <xf numFmtId="0" fontId="9" fillId="3" borderId="6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65"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3" fillId="3" borderId="69" xfId="0" applyFont="1" applyFill="1" applyBorder="1" applyAlignment="1">
      <alignment horizontal="center" vertical="center" wrapText="1"/>
    </xf>
    <xf numFmtId="0" fontId="0" fillId="0" borderId="54" xfId="0" applyFill="1" applyBorder="1" applyAlignment="1">
      <alignment vertical="center" wrapText="1"/>
    </xf>
    <xf numFmtId="0" fontId="0" fillId="0" borderId="51" xfId="0" applyFill="1" applyBorder="1" applyAlignment="1">
      <alignment vertical="center" wrapText="1"/>
    </xf>
    <xf numFmtId="0" fontId="0" fillId="0" borderId="69" xfId="0" applyFill="1" applyBorder="1" applyAlignment="1">
      <alignment vertical="center" wrapText="1"/>
    </xf>
    <xf numFmtId="0" fontId="0" fillId="0" borderId="69" xfId="0" applyFill="1" applyBorder="1" applyAlignment="1">
      <alignment horizontal="left" vertical="center" wrapText="1"/>
    </xf>
    <xf numFmtId="0" fontId="19" fillId="7" borderId="61" xfId="0" applyFont="1" applyFill="1" applyBorder="1" applyAlignment="1">
      <alignment horizontal="center" vertical="center" wrapText="1"/>
    </xf>
    <xf numFmtId="0" fontId="19" fillId="7" borderId="62" xfId="0" applyFont="1" applyFill="1" applyBorder="1" applyAlignment="1">
      <alignment horizontal="center" vertical="center" wrapText="1"/>
    </xf>
    <xf numFmtId="0" fontId="19" fillId="7" borderId="63" xfId="0" applyFont="1" applyFill="1" applyBorder="1" applyAlignment="1">
      <alignment horizontal="center" vertical="center" wrapText="1"/>
    </xf>
    <xf numFmtId="0" fontId="0" fillId="0" borderId="81" xfId="0" applyFill="1" applyBorder="1" applyAlignment="1">
      <alignment horizontal="left" vertical="center" wrapText="1"/>
    </xf>
    <xf numFmtId="0" fontId="0" fillId="0" borderId="83" xfId="0" applyFill="1" applyBorder="1" applyAlignment="1">
      <alignment horizontal="left" vertical="center" wrapText="1"/>
    </xf>
    <xf numFmtId="0" fontId="0" fillId="0" borderId="84" xfId="0" applyFill="1" applyBorder="1" applyAlignment="1">
      <alignment horizontal="left" vertical="center" wrapText="1"/>
    </xf>
    <xf numFmtId="0" fontId="3" fillId="3" borderId="56" xfId="0" applyFont="1" applyFill="1" applyBorder="1" applyAlignment="1">
      <alignment horizontal="center" vertical="center" wrapText="1"/>
    </xf>
    <xf numFmtId="0" fontId="0" fillId="0" borderId="82" xfId="0" applyFill="1" applyBorder="1" applyAlignment="1">
      <alignment horizontal="left" vertical="center" wrapText="1"/>
    </xf>
    <xf numFmtId="0" fontId="0" fillId="0" borderId="81" xfId="0" applyFill="1" applyBorder="1" applyAlignment="1">
      <alignment horizontal="left" vertical="top" wrapText="1"/>
    </xf>
    <xf numFmtId="0" fontId="0" fillId="0" borderId="83" xfId="0" applyFill="1" applyBorder="1" applyAlignment="1">
      <alignment horizontal="left" vertical="top" wrapText="1"/>
    </xf>
    <xf numFmtId="0" fontId="0" fillId="0" borderId="84" xfId="0" applyFill="1" applyBorder="1" applyAlignment="1">
      <alignment horizontal="left" vertical="top" wrapText="1"/>
    </xf>
    <xf numFmtId="0" fontId="18" fillId="3" borderId="46" xfId="0" applyFont="1" applyFill="1" applyBorder="1" applyAlignment="1">
      <alignment horizontal="center" vertical="center"/>
    </xf>
    <xf numFmtId="0" fontId="18" fillId="3" borderId="45" xfId="0" applyFont="1" applyFill="1" applyBorder="1" applyAlignment="1">
      <alignment horizontal="center" vertical="center"/>
    </xf>
    <xf numFmtId="0" fontId="0" fillId="0" borderId="67" xfId="0" applyFill="1" applyBorder="1" applyAlignment="1">
      <alignment horizontal="left" vertical="center" wrapText="1"/>
    </xf>
    <xf numFmtId="0" fontId="0" fillId="0" borderId="68" xfId="0" applyFill="1" applyBorder="1" applyAlignment="1">
      <alignment horizontal="left" vertical="center" wrapText="1"/>
    </xf>
    <xf numFmtId="0" fontId="0" fillId="4" borderId="64" xfId="0" applyFill="1" applyBorder="1" applyAlignment="1">
      <alignment horizontal="left" vertical="center" wrapText="1"/>
    </xf>
    <xf numFmtId="0" fontId="0" fillId="4" borderId="2" xfId="0" applyFill="1" applyBorder="1" applyAlignment="1">
      <alignment horizontal="left" vertical="center" wrapText="1"/>
    </xf>
    <xf numFmtId="0" fontId="0" fillId="4" borderId="66" xfId="0" applyFill="1" applyBorder="1" applyAlignment="1">
      <alignment horizontal="left" vertical="center" wrapText="1"/>
    </xf>
    <xf numFmtId="0" fontId="0" fillId="4" borderId="67" xfId="0" applyFill="1" applyBorder="1" applyAlignment="1">
      <alignment horizontal="left" vertical="center" wrapText="1"/>
    </xf>
    <xf numFmtId="0" fontId="0" fillId="0" borderId="65" xfId="0" applyFill="1" applyBorder="1" applyAlignment="1">
      <alignment horizontal="left" vertical="center" wrapText="1"/>
    </xf>
    <xf numFmtId="0" fontId="5" fillId="0" borderId="2" xfId="0" applyFont="1" applyFill="1" applyBorder="1" applyAlignment="1">
      <alignment horizontal="left" vertical="center" wrapText="1"/>
    </xf>
    <xf numFmtId="0" fontId="19" fillId="3" borderId="78" xfId="0" applyFont="1" applyFill="1" applyBorder="1" applyAlignment="1">
      <alignment horizontal="center" vertical="center" wrapText="1"/>
    </xf>
    <xf numFmtId="0" fontId="19" fillId="3" borderId="79" xfId="0" applyFont="1" applyFill="1" applyBorder="1" applyAlignment="1">
      <alignment horizontal="center" vertical="center" wrapText="1"/>
    </xf>
    <xf numFmtId="0" fontId="19" fillId="3" borderId="80" xfId="0" applyFont="1" applyFill="1" applyBorder="1" applyAlignment="1">
      <alignment horizontal="center" vertical="center" wrapText="1"/>
    </xf>
    <xf numFmtId="0" fontId="5" fillId="0" borderId="30"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76" xfId="0" applyFont="1" applyFill="1" applyBorder="1" applyAlignment="1">
      <alignment horizontal="left" vertical="center" wrapText="1"/>
    </xf>
    <xf numFmtId="0" fontId="5" fillId="0" borderId="73" xfId="0" applyFont="1" applyFill="1" applyBorder="1" applyAlignment="1">
      <alignment horizontal="left" vertical="center" wrapText="1"/>
    </xf>
    <xf numFmtId="0" fontId="5" fillId="0" borderId="72" xfId="0" applyFont="1" applyFill="1" applyBorder="1" applyAlignment="1">
      <alignment horizontal="left" vertical="center" wrapText="1"/>
    </xf>
    <xf numFmtId="0" fontId="5" fillId="0" borderId="75" xfId="0" applyFont="1" applyFill="1" applyBorder="1" applyAlignment="1">
      <alignment horizontal="left" vertical="center" wrapText="1"/>
    </xf>
    <xf numFmtId="0" fontId="10" fillId="3" borderId="5" xfId="0" applyFont="1" applyFill="1" applyBorder="1" applyAlignment="1" applyProtection="1">
      <alignment horizontal="center"/>
      <protection locked="0"/>
    </xf>
    <xf numFmtId="0" fontId="10" fillId="3" borderId="6" xfId="0" applyFont="1" applyFill="1" applyBorder="1" applyAlignment="1" applyProtection="1">
      <alignment horizontal="center"/>
      <protection locked="0"/>
    </xf>
    <xf numFmtId="0" fontId="5" fillId="4" borderId="46" xfId="0" applyFont="1" applyFill="1" applyBorder="1" applyAlignment="1" applyProtection="1">
      <alignment horizontal="left" vertical="center" wrapText="1"/>
      <protection locked="0"/>
    </xf>
    <xf numFmtId="0" fontId="5" fillId="4" borderId="18" xfId="0" applyFont="1" applyFill="1" applyBorder="1" applyAlignment="1" applyProtection="1">
      <alignment horizontal="left" vertical="center" wrapText="1"/>
      <protection locked="0"/>
    </xf>
    <xf numFmtId="0" fontId="0" fillId="0" borderId="9"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5" fillId="8" borderId="47" xfId="0" applyFont="1" applyFill="1" applyBorder="1" applyAlignment="1" applyProtection="1">
      <alignment horizontal="center" vertical="center" wrapText="1"/>
      <protection locked="0"/>
    </xf>
    <xf numFmtId="0" fontId="5" fillId="8" borderId="49" xfId="0" applyFont="1" applyFill="1" applyBorder="1" applyAlignment="1" applyProtection="1">
      <alignment horizontal="center" vertical="center" wrapText="1"/>
      <protection locked="0"/>
    </xf>
    <xf numFmtId="164" fontId="13" fillId="3" borderId="12" xfId="0" applyNumberFormat="1" applyFont="1" applyFill="1" applyBorder="1" applyAlignment="1">
      <alignment horizontal="center" vertical="center" wrapText="1"/>
    </xf>
    <xf numFmtId="164" fontId="13" fillId="3" borderId="43" xfId="0" applyNumberFormat="1" applyFont="1" applyFill="1" applyBorder="1" applyAlignment="1">
      <alignment horizontal="center" vertical="center" wrapText="1"/>
    </xf>
    <xf numFmtId="164" fontId="13" fillId="3" borderId="13" xfId="0" applyNumberFormat="1" applyFont="1" applyFill="1" applyBorder="1" applyAlignment="1">
      <alignment horizontal="center" vertical="center" wrapText="1"/>
    </xf>
    <xf numFmtId="0" fontId="3" fillId="3" borderId="46" xfId="0" applyFont="1" applyFill="1" applyBorder="1" applyAlignment="1">
      <alignment horizontal="center"/>
    </xf>
    <xf numFmtId="0" fontId="3" fillId="3" borderId="45" xfId="0" applyFont="1" applyFill="1" applyBorder="1" applyAlignment="1">
      <alignment horizontal="center"/>
    </xf>
    <xf numFmtId="0" fontId="3" fillId="3" borderId="18" xfId="0" applyFont="1" applyFill="1" applyBorder="1" applyAlignment="1">
      <alignment horizontal="center"/>
    </xf>
    <xf numFmtId="0" fontId="0" fillId="0" borderId="30" xfId="0" applyFont="1" applyFill="1" applyBorder="1" applyAlignment="1" applyProtection="1">
      <alignment horizontal="center" vertical="center" wrapText="1"/>
    </xf>
    <xf numFmtId="0" fontId="0" fillId="0" borderId="31" xfId="0" applyFont="1" applyFill="1" applyBorder="1" applyAlignment="1" applyProtection="1">
      <alignment horizontal="center" vertical="center" wrapText="1"/>
    </xf>
    <xf numFmtId="0" fontId="0" fillId="0" borderId="70"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xf>
    <xf numFmtId="0" fontId="0" fillId="0" borderId="0" xfId="0" applyFont="1" applyFill="1" applyBorder="1" applyAlignment="1" applyProtection="1">
      <alignment horizontal="center" vertical="center" wrapText="1"/>
    </xf>
    <xf numFmtId="0" fontId="0" fillId="0" borderId="29" xfId="0" applyFont="1" applyFill="1" applyBorder="1" applyAlignment="1" applyProtection="1">
      <alignment horizontal="center" vertical="center" wrapText="1"/>
    </xf>
    <xf numFmtId="0" fontId="0" fillId="0" borderId="21" xfId="0" applyFont="1" applyFill="1" applyBorder="1" applyAlignment="1" applyProtection="1">
      <alignment horizontal="center" vertical="center" wrapText="1"/>
    </xf>
    <xf numFmtId="0" fontId="0" fillId="0" borderId="3" xfId="0" applyFont="1" applyFill="1" applyBorder="1" applyAlignment="1" applyProtection="1">
      <alignment horizontal="center" vertical="center" wrapText="1"/>
    </xf>
    <xf numFmtId="0" fontId="0" fillId="0" borderId="4" xfId="0" applyFont="1" applyFill="1" applyBorder="1" applyAlignment="1" applyProtection="1">
      <alignment horizontal="center" vertical="center" wrapText="1"/>
    </xf>
    <xf numFmtId="0" fontId="0" fillId="0" borderId="38" xfId="0" applyFont="1" applyFill="1" applyBorder="1" applyAlignment="1" applyProtection="1">
      <alignment horizontal="center" vertical="center" wrapText="1"/>
    </xf>
    <xf numFmtId="0" fontId="0" fillId="0" borderId="37" xfId="0" applyFont="1" applyFill="1" applyBorder="1" applyAlignment="1" applyProtection="1">
      <alignment horizontal="center" vertical="center" wrapText="1"/>
    </xf>
    <xf numFmtId="0" fontId="0" fillId="0" borderId="33" xfId="0" applyFont="1" applyFill="1" applyBorder="1" applyAlignment="1" applyProtection="1">
      <alignment horizontal="center" vertical="center" wrapText="1"/>
    </xf>
    <xf numFmtId="0" fontId="0" fillId="0" borderId="32"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0" fillId="0" borderId="20" xfId="0" applyFont="1" applyFill="1" applyBorder="1" applyAlignment="1" applyProtection="1">
      <alignment horizontal="center" vertical="center" wrapText="1"/>
    </xf>
    <xf numFmtId="0" fontId="0" fillId="0" borderId="30" xfId="0" applyFont="1" applyFill="1" applyBorder="1" applyAlignment="1">
      <alignment horizontal="center" wrapText="1"/>
    </xf>
    <xf numFmtId="0" fontId="0" fillId="0" borderId="31" xfId="0" applyFont="1" applyFill="1" applyBorder="1" applyAlignment="1">
      <alignment horizontal="center" wrapText="1"/>
    </xf>
    <xf numFmtId="0" fontId="0" fillId="0" borderId="70" xfId="0" applyFont="1" applyFill="1" applyBorder="1" applyAlignment="1">
      <alignment horizontal="center" wrapText="1"/>
    </xf>
    <xf numFmtId="0" fontId="0" fillId="0" borderId="7" xfId="0" applyFont="1" applyFill="1" applyBorder="1" applyAlignment="1">
      <alignment horizontal="center" wrapText="1"/>
    </xf>
    <xf numFmtId="0" fontId="0" fillId="0" borderId="0" xfId="0" applyFont="1" applyFill="1" applyBorder="1" applyAlignment="1">
      <alignment horizontal="center" wrapText="1"/>
    </xf>
    <xf numFmtId="0" fontId="0" fillId="0" borderId="29" xfId="0" applyFont="1" applyFill="1" applyBorder="1" applyAlignment="1">
      <alignment horizontal="center" wrapText="1"/>
    </xf>
    <xf numFmtId="0" fontId="0" fillId="0" borderId="9" xfId="0" applyFont="1" applyFill="1" applyBorder="1" applyAlignment="1">
      <alignment horizontal="center" wrapText="1"/>
    </xf>
    <xf numFmtId="0" fontId="0" fillId="0" borderId="10" xfId="0" applyFont="1" applyFill="1" applyBorder="1" applyAlignment="1">
      <alignment horizontal="center" wrapText="1"/>
    </xf>
    <xf numFmtId="0" fontId="0" fillId="0" borderId="39" xfId="0" applyFont="1" applyFill="1" applyBorder="1" applyAlignment="1">
      <alignment horizontal="center" wrapText="1"/>
    </xf>
    <xf numFmtId="0" fontId="0" fillId="0" borderId="38" xfId="0" applyFont="1" applyFill="1" applyBorder="1" applyAlignment="1">
      <alignment horizontal="center" wrapText="1"/>
    </xf>
    <xf numFmtId="0" fontId="0" fillId="0" borderId="37" xfId="0" applyFont="1" applyFill="1" applyBorder="1" applyAlignment="1">
      <alignment horizontal="center" wrapText="1"/>
    </xf>
    <xf numFmtId="0" fontId="0" fillId="0" borderId="92" xfId="0" applyFont="1" applyFill="1" applyBorder="1" applyAlignment="1">
      <alignment horizontal="center" wrapText="1"/>
    </xf>
    <xf numFmtId="0" fontId="0" fillId="0" borderId="32" xfId="0" applyFont="1" applyFill="1" applyBorder="1" applyAlignment="1">
      <alignment horizontal="center" wrapText="1"/>
    </xf>
    <xf numFmtId="0" fontId="0" fillId="0" borderId="8" xfId="0" applyFont="1" applyFill="1" applyBorder="1" applyAlignment="1">
      <alignment horizontal="center" wrapText="1"/>
    </xf>
    <xf numFmtId="0" fontId="0" fillId="0" borderId="11" xfId="0" applyFont="1" applyFill="1" applyBorder="1" applyAlignment="1">
      <alignment horizontal="center" wrapText="1"/>
    </xf>
    <xf numFmtId="0" fontId="3" fillId="3" borderId="85" xfId="0" applyFont="1" applyFill="1" applyBorder="1" applyAlignment="1" applyProtection="1">
      <alignment horizontal="center" wrapText="1"/>
    </xf>
    <xf numFmtId="0" fontId="3" fillId="3" borderId="27" xfId="0" applyFont="1" applyFill="1" applyBorder="1" applyAlignment="1" applyProtection="1">
      <alignment horizontal="center" wrapText="1"/>
    </xf>
    <xf numFmtId="0" fontId="3" fillId="3" borderId="28" xfId="0" applyFont="1" applyFill="1" applyBorder="1" applyAlignment="1" applyProtection="1">
      <alignment horizontal="center" wrapText="1"/>
    </xf>
    <xf numFmtId="0" fontId="6" fillId="8" borderId="14" xfId="3" applyFill="1" applyBorder="1" applyAlignment="1">
      <alignment horizontal="center" vertical="center" wrapText="1"/>
    </xf>
    <xf numFmtId="0" fontId="6" fillId="8" borderId="2" xfId="3" applyFill="1" applyBorder="1" applyAlignment="1">
      <alignment horizontal="center" vertical="center" wrapText="1"/>
    </xf>
    <xf numFmtId="0" fontId="6" fillId="8" borderId="15" xfId="3" applyFill="1" applyBorder="1" applyAlignment="1">
      <alignment horizontal="center" vertical="center" wrapText="1"/>
    </xf>
    <xf numFmtId="0" fontId="5" fillId="4" borderId="50" xfId="3" applyFont="1" applyFill="1" applyBorder="1" applyAlignment="1">
      <alignment horizontal="center" wrapText="1"/>
    </xf>
    <xf numFmtId="0" fontId="5" fillId="4" borderId="51" xfId="3" applyFont="1" applyFill="1" applyBorder="1" applyAlignment="1">
      <alignment horizontal="center" wrapText="1"/>
    </xf>
    <xf numFmtId="0" fontId="5" fillId="4" borderId="56" xfId="3" applyFont="1" applyFill="1" applyBorder="1" applyAlignment="1">
      <alignment horizontal="center" wrapText="1"/>
    </xf>
    <xf numFmtId="0" fontId="5" fillId="4" borderId="54" xfId="3" applyFont="1" applyFill="1" applyBorder="1" applyAlignment="1">
      <alignment horizontal="center" wrapText="1"/>
    </xf>
    <xf numFmtId="0" fontId="11" fillId="9" borderId="30" xfId="0" applyFont="1" applyFill="1" applyBorder="1" applyAlignment="1" applyProtection="1">
      <alignment horizontal="left" vertical="center" wrapText="1"/>
    </xf>
    <xf numFmtId="0" fontId="11" fillId="9" borderId="31" xfId="0" applyFont="1" applyFill="1" applyBorder="1" applyAlignment="1" applyProtection="1">
      <alignment horizontal="left" vertical="center" wrapText="1"/>
    </xf>
    <xf numFmtId="0" fontId="11" fillId="9" borderId="70" xfId="0" applyFont="1" applyFill="1" applyBorder="1" applyAlignment="1" applyProtection="1">
      <alignment horizontal="left" vertical="center" wrapText="1"/>
    </xf>
    <xf numFmtId="0" fontId="11" fillId="9" borderId="7" xfId="0" applyFont="1" applyFill="1" applyBorder="1" applyAlignment="1" applyProtection="1">
      <alignment horizontal="left" vertical="center" wrapText="1"/>
    </xf>
    <xf numFmtId="0" fontId="11" fillId="9" borderId="0" xfId="0" applyFont="1" applyFill="1" applyBorder="1" applyAlignment="1" applyProtection="1">
      <alignment horizontal="left" vertical="center" wrapText="1"/>
    </xf>
    <xf numFmtId="0" fontId="11" fillId="9" borderId="29" xfId="0" applyFont="1" applyFill="1" applyBorder="1" applyAlignment="1" applyProtection="1">
      <alignment horizontal="left" vertical="center" wrapText="1"/>
    </xf>
    <xf numFmtId="0" fontId="11" fillId="9" borderId="21" xfId="0" applyFont="1" applyFill="1" applyBorder="1" applyAlignment="1" applyProtection="1">
      <alignment horizontal="left" vertical="center" wrapText="1"/>
    </xf>
    <xf numFmtId="0" fontId="11" fillId="9" borderId="3" xfId="0" applyFont="1" applyFill="1" applyBorder="1" applyAlignment="1" applyProtection="1">
      <alignment horizontal="left" vertical="center" wrapText="1"/>
    </xf>
    <xf numFmtId="0" fontId="11" fillId="9" borderId="4" xfId="0" applyFont="1" applyFill="1" applyBorder="1" applyAlignment="1" applyProtection="1">
      <alignment horizontal="left" vertical="center" wrapText="1"/>
    </xf>
    <xf numFmtId="0" fontId="11" fillId="9" borderId="38" xfId="0" quotePrefix="1" applyFont="1" applyFill="1" applyBorder="1" applyAlignment="1" applyProtection="1">
      <alignment horizontal="left" vertical="center" wrapText="1"/>
    </xf>
    <xf numFmtId="0" fontId="11" fillId="9" borderId="37" xfId="0" applyFont="1" applyFill="1" applyBorder="1" applyAlignment="1" applyProtection="1">
      <alignment horizontal="left" vertical="center" wrapText="1"/>
    </xf>
    <xf numFmtId="0" fontId="11" fillId="9" borderId="33" xfId="0" applyFont="1" applyFill="1" applyBorder="1" applyAlignment="1" applyProtection="1">
      <alignment horizontal="left" vertical="center" wrapText="1"/>
    </xf>
    <xf numFmtId="0" fontId="11" fillId="9" borderId="38" xfId="0" applyFont="1" applyFill="1" applyBorder="1" applyAlignment="1" applyProtection="1">
      <alignment horizontal="left" vertical="center"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27" xfId="0" applyBorder="1" applyAlignment="1">
      <alignment horizontal="center" wrapText="1"/>
    </xf>
    <xf numFmtId="0" fontId="0" fillId="0" borderId="28" xfId="0" applyBorder="1" applyAlignment="1">
      <alignment horizontal="center" wrapText="1"/>
    </xf>
    <xf numFmtId="0" fontId="3" fillId="3" borderId="46" xfId="0" applyFont="1" applyFill="1" applyBorder="1" applyAlignment="1" applyProtection="1">
      <alignment horizontal="left" wrapText="1"/>
    </xf>
    <xf numFmtId="0" fontId="3" fillId="3" borderId="18" xfId="0" applyFont="1" applyFill="1" applyBorder="1" applyAlignment="1" applyProtection="1">
      <alignment horizontal="left" wrapText="1"/>
    </xf>
    <xf numFmtId="0" fontId="0" fillId="0" borderId="2" xfId="0" applyBorder="1" applyAlignment="1">
      <alignment horizontal="center" wrapText="1"/>
    </xf>
    <xf numFmtId="0" fontId="0" fillId="0" borderId="15" xfId="0" applyBorder="1" applyAlignment="1">
      <alignment horizontal="center" wrapText="1"/>
    </xf>
    <xf numFmtId="0" fontId="0" fillId="0" borderId="33" xfId="0" applyBorder="1" applyAlignment="1">
      <alignment horizontal="center" wrapText="1"/>
    </xf>
    <xf numFmtId="0" fontId="0" fillId="0" borderId="18" xfId="0" applyBorder="1" applyAlignment="1">
      <alignment horizontal="center" wrapText="1"/>
    </xf>
    <xf numFmtId="0" fontId="0" fillId="0" borderId="54" xfId="0" applyBorder="1" applyAlignment="1">
      <alignment horizontal="center" wrapText="1"/>
    </xf>
    <xf numFmtId="0" fontId="0" fillId="0" borderId="19" xfId="0" applyBorder="1" applyAlignment="1">
      <alignment horizontal="center" wrapText="1"/>
    </xf>
    <xf numFmtId="0" fontId="0" fillId="0" borderId="35" xfId="0" applyBorder="1" applyAlignment="1">
      <alignment horizontal="center" wrapText="1"/>
    </xf>
    <xf numFmtId="0" fontId="0" fillId="0" borderId="59" xfId="0" applyBorder="1" applyAlignment="1">
      <alignment horizontal="center" wrapText="1"/>
    </xf>
    <xf numFmtId="0" fontId="0" fillId="0" borderId="55" xfId="0" applyBorder="1" applyAlignment="1">
      <alignment horizontal="center" wrapText="1"/>
    </xf>
    <xf numFmtId="0" fontId="0" fillId="0" borderId="49" xfId="0" applyBorder="1" applyAlignment="1">
      <alignment horizontal="center" wrapText="1"/>
    </xf>
    <xf numFmtId="0" fontId="3" fillId="3" borderId="31"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0" fontId="0" fillId="0" borderId="20" xfId="0" applyBorder="1" applyAlignment="1">
      <alignment horizontal="left" vertical="center" wrapText="1"/>
    </xf>
    <xf numFmtId="0" fontId="0" fillId="0" borderId="48" xfId="0" applyBorder="1" applyAlignment="1">
      <alignment horizontal="left" vertical="center" wrapText="1"/>
    </xf>
    <xf numFmtId="0" fontId="0" fillId="0" borderId="49" xfId="0" applyBorder="1" applyAlignment="1">
      <alignment horizontal="left" vertical="center" wrapText="1"/>
    </xf>
    <xf numFmtId="0" fontId="3" fillId="3" borderId="12" xfId="0" applyFont="1" applyFill="1" applyBorder="1" applyAlignment="1" applyProtection="1">
      <alignment horizontal="left" wrapText="1"/>
    </xf>
    <xf numFmtId="0" fontId="3" fillId="3" borderId="43" xfId="0" applyFont="1" applyFill="1" applyBorder="1" applyAlignment="1" applyProtection="1">
      <alignment horizontal="left" wrapText="1"/>
    </xf>
    <xf numFmtId="0" fontId="3" fillId="3" borderId="36" xfId="0" applyFont="1" applyFill="1" applyBorder="1" applyAlignment="1" applyProtection="1">
      <alignment horizontal="center" vertical="center" wrapText="1"/>
    </xf>
    <xf numFmtId="0" fontId="3" fillId="3" borderId="35" xfId="0" applyFont="1" applyFill="1" applyBorder="1" applyAlignment="1" applyProtection="1">
      <alignment horizontal="center" vertical="center" wrapText="1"/>
    </xf>
    <xf numFmtId="0" fontId="0" fillId="0" borderId="37" xfId="0" applyBorder="1" applyAlignment="1">
      <alignment horizontal="left" vertical="center" wrapText="1"/>
    </xf>
    <xf numFmtId="0" fontId="3" fillId="3" borderId="34" xfId="0" applyFont="1" applyFill="1" applyBorder="1" applyAlignment="1" applyProtection="1">
      <alignment horizontal="center" vertical="center" wrapText="1"/>
    </xf>
    <xf numFmtId="0" fontId="0" fillId="0" borderId="38" xfId="0" applyBorder="1" applyAlignment="1">
      <alignment horizontal="left" vertical="center" wrapText="1"/>
    </xf>
    <xf numFmtId="0" fontId="0" fillId="0" borderId="52" xfId="0" applyBorder="1" applyAlignment="1">
      <alignment horizontal="left" vertical="center" wrapText="1"/>
    </xf>
    <xf numFmtId="0" fontId="0" fillId="0" borderId="53" xfId="0" applyBorder="1" applyAlignment="1">
      <alignment horizontal="left" vertical="center" wrapText="1"/>
    </xf>
    <xf numFmtId="0" fontId="0" fillId="0" borderId="33" xfId="0" applyBorder="1" applyAlignment="1">
      <alignment horizontal="left" vertical="center" wrapText="1"/>
    </xf>
    <xf numFmtId="0" fontId="3" fillId="3" borderId="38" xfId="0" applyFont="1" applyFill="1" applyBorder="1" applyAlignment="1" applyProtection="1">
      <alignment horizontal="left" vertical="center" wrapText="1"/>
    </xf>
    <xf numFmtId="0" fontId="3" fillId="3" borderId="37" xfId="0" applyFont="1" applyFill="1" applyBorder="1" applyAlignment="1" applyProtection="1">
      <alignment horizontal="left" vertical="center" wrapText="1"/>
    </xf>
    <xf numFmtId="0" fontId="0" fillId="0" borderId="71" xfId="0" applyBorder="1" applyAlignment="1">
      <alignment horizontal="left" vertical="center" wrapText="1"/>
    </xf>
    <xf numFmtId="0" fontId="0" fillId="0" borderId="86" xfId="0" applyBorder="1" applyAlignment="1">
      <alignment horizontal="left" vertical="center" wrapText="1"/>
    </xf>
    <xf numFmtId="0" fontId="0" fillId="0" borderId="59" xfId="0" applyBorder="1" applyAlignment="1">
      <alignment horizontal="left" vertical="center" wrapText="1"/>
    </xf>
    <xf numFmtId="0" fontId="0" fillId="0" borderId="91" xfId="0" applyBorder="1" applyAlignment="1">
      <alignment horizontal="left" vertical="center" wrapText="1"/>
    </xf>
    <xf numFmtId="0" fontId="0" fillId="0" borderId="29" xfId="0" applyBorder="1" applyAlignment="1">
      <alignment horizontal="left" vertical="center" wrapText="1"/>
    </xf>
    <xf numFmtId="0" fontId="0" fillId="0" borderId="4" xfId="0" applyBorder="1" applyAlignment="1">
      <alignment horizontal="left" vertical="center" wrapText="1"/>
    </xf>
    <xf numFmtId="0" fontId="3" fillId="3" borderId="31" xfId="0" applyFont="1" applyFill="1" applyBorder="1" applyAlignment="1" applyProtection="1">
      <alignment horizontal="left" vertical="center" wrapText="1"/>
    </xf>
    <xf numFmtId="0" fontId="3" fillId="3" borderId="0" xfId="0" applyFont="1" applyFill="1" applyBorder="1" applyAlignment="1" applyProtection="1">
      <alignment horizontal="left" vertical="center" wrapText="1"/>
    </xf>
    <xf numFmtId="0" fontId="3" fillId="3" borderId="3" xfId="0" applyFont="1" applyFill="1" applyBorder="1" applyAlignment="1" applyProtection="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57"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71" xfId="0" applyBorder="1" applyAlignment="1">
      <alignment horizontal="center" vertical="center" wrapText="1"/>
    </xf>
    <xf numFmtId="0" fontId="0" fillId="0" borderId="86" xfId="0" applyBorder="1" applyAlignment="1">
      <alignment horizontal="center" vertical="center" wrapText="1"/>
    </xf>
    <xf numFmtId="0" fontId="0" fillId="0" borderId="59" xfId="0" applyBorder="1" applyAlignment="1">
      <alignment horizontal="center" vertical="center" wrapText="1"/>
    </xf>
    <xf numFmtId="0" fontId="3" fillId="3" borderId="33" xfId="0" applyFont="1" applyFill="1" applyBorder="1" applyAlignment="1" applyProtection="1">
      <alignment horizontal="left" vertical="center" wrapText="1"/>
    </xf>
    <xf numFmtId="0" fontId="0" fillId="0" borderId="23"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40"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3" fillId="3" borderId="4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0" xfId="0" applyFont="1" applyFill="1" applyAlignment="1">
      <alignment horizontal="center" vertical="center" wrapText="1"/>
    </xf>
    <xf numFmtId="0" fontId="0" fillId="0" borderId="37" xfId="0" applyBorder="1" applyAlignment="1">
      <alignment horizontal="center" wrapText="1"/>
    </xf>
    <xf numFmtId="0" fontId="0" fillId="0" borderId="0" xfId="0" applyAlignment="1">
      <alignment horizontal="center" wrapText="1"/>
    </xf>
    <xf numFmtId="0" fontId="0" fillId="0" borderId="8" xfId="0" applyBorder="1" applyAlignment="1">
      <alignment horizontal="center" wrapText="1"/>
    </xf>
    <xf numFmtId="0" fontId="0" fillId="0" borderId="3" xfId="0" applyBorder="1" applyAlignment="1">
      <alignment horizontal="center" wrapText="1"/>
    </xf>
    <xf numFmtId="0" fontId="0" fillId="0" borderId="20" xfId="0" applyBorder="1" applyAlignment="1">
      <alignment horizontal="center" wrapText="1"/>
    </xf>
    <xf numFmtId="0" fontId="0" fillId="0" borderId="38" xfId="0" applyBorder="1" applyAlignment="1">
      <alignment horizontal="center" wrapText="1"/>
    </xf>
    <xf numFmtId="0" fontId="0" fillId="0" borderId="31" xfId="0" applyBorder="1" applyAlignment="1">
      <alignment horizontal="center" wrapText="1"/>
    </xf>
    <xf numFmtId="0" fontId="0" fillId="0" borderId="32"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15" fillId="3" borderId="5" xfId="0" applyFont="1" applyFill="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protection locked="0"/>
    </xf>
    <xf numFmtId="0" fontId="15" fillId="3" borderId="6" xfId="0" applyFont="1" applyFill="1"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3" fillId="3" borderId="10" xfId="0" applyFont="1" applyFill="1" applyBorder="1" applyAlignment="1">
      <alignment horizontal="center" vertical="center" wrapText="1"/>
    </xf>
    <xf numFmtId="0" fontId="12" fillId="3" borderId="5" xfId="0" applyFont="1" applyFill="1" applyBorder="1" applyAlignment="1">
      <alignment horizontal="center"/>
    </xf>
    <xf numFmtId="0" fontId="12" fillId="3" borderId="1" xfId="0" applyFont="1" applyFill="1" applyBorder="1" applyAlignment="1">
      <alignment horizontal="center"/>
    </xf>
    <xf numFmtId="0" fontId="12" fillId="3" borderId="6" xfId="0" applyFont="1" applyFill="1" applyBorder="1" applyAlignment="1">
      <alignment horizontal="center"/>
    </xf>
    <xf numFmtId="0" fontId="3" fillId="3" borderId="5" xfId="0" applyFont="1" applyFill="1" applyBorder="1" applyAlignment="1">
      <alignment horizontal="center"/>
    </xf>
    <xf numFmtId="0" fontId="3" fillId="3" borderId="1" xfId="0" applyFont="1" applyFill="1" applyBorder="1" applyAlignment="1">
      <alignment horizontal="center"/>
    </xf>
    <xf numFmtId="0" fontId="3" fillId="3" borderId="6" xfId="0" applyFont="1" applyFill="1" applyBorder="1" applyAlignment="1">
      <alignment horizontal="center"/>
    </xf>
    <xf numFmtId="0" fontId="0" fillId="4" borderId="7" xfId="0" applyFill="1" applyBorder="1" applyAlignment="1">
      <alignment horizontal="left" vertical="center" wrapText="1"/>
    </xf>
    <xf numFmtId="0" fontId="0" fillId="4" borderId="0" xfId="0" applyFill="1" applyBorder="1" applyAlignment="1">
      <alignment horizontal="left" vertical="center" wrapText="1"/>
    </xf>
    <xf numFmtId="0" fontId="0" fillId="4" borderId="9" xfId="0" applyFill="1" applyBorder="1" applyAlignment="1">
      <alignment horizontal="left" vertical="center" wrapText="1"/>
    </xf>
    <xf numFmtId="0" fontId="0" fillId="4" borderId="10" xfId="0" applyFill="1" applyBorder="1" applyAlignment="1">
      <alignment horizontal="left" vertical="center" wrapText="1"/>
    </xf>
    <xf numFmtId="0" fontId="0" fillId="0" borderId="0" xfId="0" applyAlignment="1">
      <alignment horizontal="center"/>
    </xf>
    <xf numFmtId="0" fontId="7" fillId="3" borderId="12"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2" fillId="3" borderId="7" xfId="0" applyFont="1" applyFill="1" applyBorder="1" applyAlignment="1">
      <alignment horizontal="left" vertical="center" wrapText="1"/>
    </xf>
    <xf numFmtId="0" fontId="12" fillId="3" borderId="0"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8" fillId="3" borderId="6" xfId="3" applyFont="1" applyFill="1" applyBorder="1" applyAlignment="1">
      <alignment horizontal="center" vertical="center" wrapText="1"/>
    </xf>
    <xf numFmtId="0" fontId="8" fillId="3" borderId="8" xfId="3" applyFont="1" applyFill="1" applyBorder="1" applyAlignment="1">
      <alignment horizontal="center" vertical="center"/>
    </xf>
    <xf numFmtId="0" fontId="8" fillId="3" borderId="11" xfId="3"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164" fontId="3" fillId="3" borderId="0" xfId="0" applyNumberFormat="1" applyFont="1" applyFill="1" applyBorder="1" applyAlignment="1">
      <alignment horizontal="center" vertical="center" wrapText="1"/>
    </xf>
    <xf numFmtId="164" fontId="3" fillId="3" borderId="9" xfId="0" applyNumberFormat="1" applyFont="1" applyFill="1" applyBorder="1" applyAlignment="1">
      <alignment horizontal="center" vertical="center" wrapText="1"/>
    </xf>
    <xf numFmtId="164" fontId="3" fillId="3" borderId="10" xfId="0" applyNumberFormat="1" applyFont="1" applyFill="1" applyBorder="1" applyAlignment="1">
      <alignment horizontal="center" vertical="center" wrapText="1"/>
    </xf>
  </cellXfs>
  <cellStyles count="5">
    <cellStyle name="Currency" xfId="1" builtinId="4"/>
    <cellStyle name="Hyperlink" xfId="3" builtinId="8"/>
    <cellStyle name="Normal" xfId="0" builtinId="0"/>
    <cellStyle name="Normal 2" xfId="2" xr:uid="{15D171B2-BE92-4C5C-8BCE-3E3147804A66}"/>
    <cellStyle name="Percent" xfId="4" builtinId="5"/>
  </cellStyles>
  <dxfs count="4">
    <dxf>
      <fill>
        <patternFill>
          <bgColor rgb="FFFFE5E8"/>
        </patternFill>
      </fill>
    </dxf>
    <dxf>
      <font>
        <color auto="1"/>
      </font>
      <fill>
        <patternFill>
          <bgColor rgb="FFFFE1E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E5E8"/>
      <color rgb="FFFFE1E5"/>
      <color rgb="FFFFC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1828800</xdr:colOff>
      <xdr:row>10</xdr:row>
      <xdr:rowOff>3553012</xdr:rowOff>
    </xdr:from>
    <xdr:to>
      <xdr:col>4</xdr:col>
      <xdr:colOff>1750338</xdr:colOff>
      <xdr:row>11</xdr:row>
      <xdr:rowOff>895350</xdr:rowOff>
    </xdr:to>
    <xdr:pic>
      <xdr:nvPicPr>
        <xdr:cNvPr id="6" name="Picture 5">
          <a:extLst>
            <a:ext uri="{FF2B5EF4-FFF2-40B4-BE49-F238E27FC236}">
              <a16:creationId xmlns:a16="http://schemas.microsoft.com/office/drawing/2014/main" id="{365BCF22-3481-41F1-9C46-14435DA0735E}"/>
            </a:ext>
          </a:extLst>
        </xdr:cNvPr>
        <xdr:cNvPicPr>
          <a:picLocks noChangeAspect="1"/>
        </xdr:cNvPicPr>
      </xdr:nvPicPr>
      <xdr:blipFill>
        <a:blip xmlns:r="http://schemas.openxmlformats.org/officeDocument/2006/relationships" r:embed="rId1"/>
        <a:stretch>
          <a:fillRect/>
        </a:stretch>
      </xdr:blipFill>
      <xdr:spPr>
        <a:xfrm>
          <a:off x="3390900" y="6220012"/>
          <a:ext cx="5522238" cy="2542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ema.gov/emergency-managers/national-preparedness/mission-core-capabilities/development-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www.fema.gov/emergency-managers/national-preparedness/mission-core-capabilities/development-sheets" TargetMode="External"/><Relationship Id="rId18" Type="http://schemas.openxmlformats.org/officeDocument/2006/relationships/hyperlink" Target="https://www.fema.gov/emergency-managers/national-preparedness/mission-core-capabilities/development-sheets" TargetMode="External"/><Relationship Id="rId26" Type="http://schemas.openxmlformats.org/officeDocument/2006/relationships/hyperlink" Target="https://www.fema.gov/emergency-managers/national-preparedness/mission-core-capabilities/development-sheets" TargetMode="External"/><Relationship Id="rId39" Type="http://schemas.openxmlformats.org/officeDocument/2006/relationships/hyperlink" Target="https://www.fema.gov/emergency-managers/national-preparedness/mission-core-capabilities/development-sheets" TargetMode="External"/><Relationship Id="rId21" Type="http://schemas.openxmlformats.org/officeDocument/2006/relationships/hyperlink" Target="https://www.fema.gov/emergency-managers/national-preparedness/mission-core-capabilities/development-sheets" TargetMode="External"/><Relationship Id="rId34" Type="http://schemas.openxmlformats.org/officeDocument/2006/relationships/hyperlink" Target="https://www.fema.gov/emergency-managers/national-preparedness/mission-core-capabilities/development-sheets" TargetMode="External"/><Relationship Id="rId7" Type="http://schemas.openxmlformats.org/officeDocument/2006/relationships/hyperlink" Target="https://www.fema.gov/emergency-managers/national-preparedness/mission-core-capabilities/development-sheets" TargetMode="External"/><Relationship Id="rId2" Type="http://schemas.openxmlformats.org/officeDocument/2006/relationships/hyperlink" Target="https://www.fema.gov/emergency-managers/national-preparedness/mission-core-capabilities/development-sheets" TargetMode="External"/><Relationship Id="rId16" Type="http://schemas.openxmlformats.org/officeDocument/2006/relationships/hyperlink" Target="https://www.fema.gov/emergency-managers/national-preparedness/mission-core-capabilities/development-sheets" TargetMode="External"/><Relationship Id="rId20" Type="http://schemas.openxmlformats.org/officeDocument/2006/relationships/hyperlink" Target="https://www.fema.gov/emergency-managers/national-preparedness/mission-core-capabilities/development-sheets" TargetMode="External"/><Relationship Id="rId29" Type="http://schemas.openxmlformats.org/officeDocument/2006/relationships/hyperlink" Target="https://www.fema.gov/emergency-managers/national-preparedness/mission-core-capabilities/development-sheets" TargetMode="External"/><Relationship Id="rId41" Type="http://schemas.openxmlformats.org/officeDocument/2006/relationships/printerSettings" Target="../printerSettings/printerSettings5.bin"/><Relationship Id="rId1" Type="http://schemas.openxmlformats.org/officeDocument/2006/relationships/hyperlink" Target="https://www.fema.gov/emergency-managers/national-preparedness/mission-core-capabilities/development-sheets" TargetMode="External"/><Relationship Id="rId6" Type="http://schemas.openxmlformats.org/officeDocument/2006/relationships/hyperlink" Target="https://www.fema.gov/emergency-managers/national-preparedness/mission-core-capabilities/development-sheets" TargetMode="External"/><Relationship Id="rId11" Type="http://schemas.openxmlformats.org/officeDocument/2006/relationships/hyperlink" Target="https://www.fema.gov/emergency-managers/national-preparedness/mission-core-capabilities/development-sheets" TargetMode="External"/><Relationship Id="rId24" Type="http://schemas.openxmlformats.org/officeDocument/2006/relationships/hyperlink" Target="https://www.fema.gov/emergency-managers/national-preparedness/mission-core-capabilities/development-sheets" TargetMode="External"/><Relationship Id="rId32" Type="http://schemas.openxmlformats.org/officeDocument/2006/relationships/hyperlink" Target="https://www.fema.gov/emergency-managers/national-preparedness/mission-core-capabilities/development-sheets" TargetMode="External"/><Relationship Id="rId37" Type="http://schemas.openxmlformats.org/officeDocument/2006/relationships/hyperlink" Target="https://www.fema.gov/emergency-managers/national-preparedness/mission-core-capabilities/development-sheets" TargetMode="External"/><Relationship Id="rId40" Type="http://schemas.openxmlformats.org/officeDocument/2006/relationships/hyperlink" Target="https://www.fema.gov/emergency-managers/national-preparedness/mission-core-capabilities/development-sheets" TargetMode="External"/><Relationship Id="rId5" Type="http://schemas.openxmlformats.org/officeDocument/2006/relationships/hyperlink" Target="https://www.fema.gov/emergency-managers/national-preparedness/mission-core-capabilities/development-sheets" TargetMode="External"/><Relationship Id="rId15" Type="http://schemas.openxmlformats.org/officeDocument/2006/relationships/hyperlink" Target="https://www.fema.gov/emergency-managers/national-preparedness/mission-core-capabilities/development-sheets" TargetMode="External"/><Relationship Id="rId23" Type="http://schemas.openxmlformats.org/officeDocument/2006/relationships/hyperlink" Target="https://www.fema.gov/emergency-managers/national-preparedness/mission-core-capabilities/development-sheets" TargetMode="External"/><Relationship Id="rId28" Type="http://schemas.openxmlformats.org/officeDocument/2006/relationships/hyperlink" Target="https://www.fema.gov/emergency-managers/national-preparedness/mission-core-capabilities/development-sheets" TargetMode="External"/><Relationship Id="rId36" Type="http://schemas.openxmlformats.org/officeDocument/2006/relationships/hyperlink" Target="https://www.fema.gov/emergency-managers/national-preparedness/mission-core-capabilities/development-sheets" TargetMode="External"/><Relationship Id="rId10" Type="http://schemas.openxmlformats.org/officeDocument/2006/relationships/hyperlink" Target="https://www.fema.gov/emergency-managers/national-preparedness/mission-core-capabilities/development-sheets" TargetMode="External"/><Relationship Id="rId19" Type="http://schemas.openxmlformats.org/officeDocument/2006/relationships/hyperlink" Target="https://www.fema.gov/emergency-managers/national-preparedness/mission-core-capabilities/development-sheets" TargetMode="External"/><Relationship Id="rId31" Type="http://schemas.openxmlformats.org/officeDocument/2006/relationships/hyperlink" Target="https://www.fema.gov/emergency-managers/national-preparedness/mission-core-capabilities/development-sheets" TargetMode="External"/><Relationship Id="rId4" Type="http://schemas.openxmlformats.org/officeDocument/2006/relationships/hyperlink" Target="https://www.fema.gov/emergency-managers/national-preparedness/mission-core-capabilities/development-sheets" TargetMode="External"/><Relationship Id="rId9" Type="http://schemas.openxmlformats.org/officeDocument/2006/relationships/hyperlink" Target="https://www.fema.gov/emergency-managers/national-preparedness/mission-core-capabilities/development-sheets" TargetMode="External"/><Relationship Id="rId14" Type="http://schemas.openxmlformats.org/officeDocument/2006/relationships/hyperlink" Target="https://www.fema.gov/emergency-managers/national-preparedness/mission-core-capabilities/development-sheets" TargetMode="External"/><Relationship Id="rId22" Type="http://schemas.openxmlformats.org/officeDocument/2006/relationships/hyperlink" Target="https://www.fema.gov/emergency-managers/national-preparedness/mission-core-capabilities/development-sheets" TargetMode="External"/><Relationship Id="rId27" Type="http://schemas.openxmlformats.org/officeDocument/2006/relationships/hyperlink" Target="https://www.fema.gov/emergency-managers/national-preparedness/mission-core-capabilities/development-sheets" TargetMode="External"/><Relationship Id="rId30" Type="http://schemas.openxmlformats.org/officeDocument/2006/relationships/hyperlink" Target="https://www.fema.gov/emergency-managers/national-preparedness/mission-core-capabilities/development-sheets" TargetMode="External"/><Relationship Id="rId35" Type="http://schemas.openxmlformats.org/officeDocument/2006/relationships/hyperlink" Target="https://www.fema.gov/emergency-managers/national-preparedness/mission-core-capabilities/development-sheets" TargetMode="External"/><Relationship Id="rId8" Type="http://schemas.openxmlformats.org/officeDocument/2006/relationships/hyperlink" Target="https://www.fema.gov/emergency-managers/national-preparedness/mission-core-capabilities/development-sheets" TargetMode="External"/><Relationship Id="rId3" Type="http://schemas.openxmlformats.org/officeDocument/2006/relationships/hyperlink" Target="https://www.fema.gov/emergency-managers/national-preparedness/mission-core-capabilities/development-sheets" TargetMode="External"/><Relationship Id="rId12" Type="http://schemas.openxmlformats.org/officeDocument/2006/relationships/hyperlink" Target="https://www.fema.gov/emergency-managers/national-preparedness/mission-core-capabilities/development-sheets" TargetMode="External"/><Relationship Id="rId17" Type="http://schemas.openxmlformats.org/officeDocument/2006/relationships/hyperlink" Target="https://www.fema.gov/emergency-managers/national-preparedness/mission-core-capabilities/development-sheets" TargetMode="External"/><Relationship Id="rId25" Type="http://schemas.openxmlformats.org/officeDocument/2006/relationships/hyperlink" Target="https://www.fema.gov/emergency-managers/national-preparedness/mission-core-capabilities/development-sheets" TargetMode="External"/><Relationship Id="rId33" Type="http://schemas.openxmlformats.org/officeDocument/2006/relationships/hyperlink" Target="https://www.fema.gov/emergency-managers/national-preparedness/mission-core-capabilities/development-sheets" TargetMode="External"/><Relationship Id="rId38" Type="http://schemas.openxmlformats.org/officeDocument/2006/relationships/hyperlink" Target="https://www.fema.gov/emergency-managers/national-preparedness/mission-core-capabilities/development-sheet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fema.gov/sites/default/files/2020-10/fema_fy-2020_information-bulletin-458_clarifying-guidance-emergency-management-performance-gra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A5D2B-D949-4F92-BBD1-30A0364F08DD}">
  <dimension ref="A1:F17"/>
  <sheetViews>
    <sheetView zoomScaleNormal="100" workbookViewId="0">
      <selection activeCell="C17" sqref="C17:F17"/>
    </sheetView>
  </sheetViews>
  <sheetFormatPr defaultColWidth="8.86328125" defaultRowHeight="14.25" x14ac:dyDescent="0.45"/>
  <cols>
    <col min="1" max="1" width="19.86328125" style="12" bestFit="1" customWidth="1"/>
    <col min="2" max="5" width="8.86328125" style="12"/>
    <col min="6" max="6" width="73.33203125" style="12" customWidth="1"/>
    <col min="7" max="16384" width="8.86328125" style="12"/>
  </cols>
  <sheetData>
    <row r="1" spans="1:6" ht="6" customHeight="1" x14ac:dyDescent="0.45">
      <c r="A1" s="218" t="s">
        <v>337</v>
      </c>
      <c r="B1" s="219"/>
      <c r="C1" s="219"/>
      <c r="D1" s="219"/>
      <c r="E1" s="219"/>
      <c r="F1" s="220"/>
    </row>
    <row r="2" spans="1:6" x14ac:dyDescent="0.45">
      <c r="A2" s="221"/>
      <c r="B2" s="222"/>
      <c r="C2" s="222"/>
      <c r="D2" s="222"/>
      <c r="E2" s="222"/>
      <c r="F2" s="223"/>
    </row>
    <row r="3" spans="1:6" ht="6" customHeight="1" x14ac:dyDescent="0.45">
      <c r="A3" s="221"/>
      <c r="B3" s="222"/>
      <c r="C3" s="222"/>
      <c r="D3" s="222"/>
      <c r="E3" s="222"/>
      <c r="F3" s="223"/>
    </row>
    <row r="4" spans="1:6" x14ac:dyDescent="0.45">
      <c r="A4" s="224" t="s">
        <v>0</v>
      </c>
      <c r="B4" s="224"/>
      <c r="C4" s="225"/>
      <c r="D4" s="225"/>
      <c r="E4" s="225"/>
      <c r="F4" s="225"/>
    </row>
    <row r="5" spans="1:6" x14ac:dyDescent="0.45">
      <c r="A5" s="224" t="s">
        <v>184</v>
      </c>
      <c r="B5" s="224"/>
      <c r="C5" s="225"/>
      <c r="D5" s="225"/>
      <c r="E5" s="225"/>
      <c r="F5" s="225"/>
    </row>
    <row r="6" spans="1:6" x14ac:dyDescent="0.45">
      <c r="A6" s="224" t="s">
        <v>1</v>
      </c>
      <c r="B6" s="224"/>
      <c r="C6" s="225"/>
      <c r="D6" s="225"/>
      <c r="E6" s="225"/>
      <c r="F6" s="225"/>
    </row>
    <row r="7" spans="1:6" x14ac:dyDescent="0.45">
      <c r="A7" s="224" t="s">
        <v>180</v>
      </c>
      <c r="B7" s="224"/>
      <c r="C7" s="225"/>
      <c r="D7" s="225"/>
      <c r="E7" s="225"/>
      <c r="F7" s="225"/>
    </row>
    <row r="8" spans="1:6" x14ac:dyDescent="0.45">
      <c r="A8" s="226" t="s">
        <v>2</v>
      </c>
      <c r="B8" s="227"/>
      <c r="C8" s="227" t="s">
        <v>113</v>
      </c>
      <c r="D8" s="227"/>
      <c r="E8" s="227"/>
      <c r="F8" s="228"/>
    </row>
    <row r="9" spans="1:6" ht="47.45" customHeight="1" x14ac:dyDescent="0.45">
      <c r="A9" s="236" t="s">
        <v>128</v>
      </c>
      <c r="B9" s="236"/>
      <c r="C9" s="237" t="s">
        <v>172</v>
      </c>
      <c r="D9" s="238"/>
      <c r="E9" s="238"/>
      <c r="F9" s="238"/>
    </row>
    <row r="10" spans="1:6" ht="47.45" customHeight="1" x14ac:dyDescent="0.45">
      <c r="A10" s="231" t="s">
        <v>143</v>
      </c>
      <c r="B10" s="232"/>
      <c r="C10" s="233" t="s">
        <v>174</v>
      </c>
      <c r="D10" s="234"/>
      <c r="E10" s="234"/>
      <c r="F10" s="235"/>
    </row>
    <row r="11" spans="1:6" ht="47.45" customHeight="1" x14ac:dyDescent="0.45">
      <c r="A11" s="229" t="s">
        <v>3</v>
      </c>
      <c r="B11" s="229"/>
      <c r="C11" s="230" t="s">
        <v>173</v>
      </c>
      <c r="D11" s="230"/>
      <c r="E11" s="230"/>
      <c r="F11" s="230"/>
    </row>
    <row r="12" spans="1:6" ht="47.45" customHeight="1" x14ac:dyDescent="0.45">
      <c r="A12" s="229" t="s">
        <v>148</v>
      </c>
      <c r="B12" s="229"/>
      <c r="C12" s="230" t="s">
        <v>338</v>
      </c>
      <c r="D12" s="230"/>
      <c r="E12" s="230"/>
      <c r="F12" s="230"/>
    </row>
    <row r="13" spans="1:6" ht="47.45" customHeight="1" x14ac:dyDescent="0.45">
      <c r="A13" s="239" t="s">
        <v>149</v>
      </c>
      <c r="B13" s="240"/>
      <c r="C13" s="241" t="s">
        <v>181</v>
      </c>
      <c r="D13" s="242"/>
      <c r="E13" s="242"/>
      <c r="F13" s="243"/>
    </row>
    <row r="14" spans="1:6" ht="47.45" customHeight="1" x14ac:dyDescent="0.45">
      <c r="A14" s="229" t="s">
        <v>147</v>
      </c>
      <c r="B14" s="229"/>
      <c r="C14" s="230" t="s">
        <v>339</v>
      </c>
      <c r="D14" s="230"/>
      <c r="E14" s="230"/>
      <c r="F14" s="230"/>
    </row>
    <row r="15" spans="1:6" ht="47.45" customHeight="1" x14ac:dyDescent="0.45">
      <c r="A15" s="229" t="s">
        <v>71</v>
      </c>
      <c r="B15" s="229"/>
      <c r="C15" s="230" t="s">
        <v>340</v>
      </c>
      <c r="D15" s="230"/>
      <c r="E15" s="230"/>
      <c r="F15" s="230"/>
    </row>
    <row r="16" spans="1:6" ht="47.45" customHeight="1" x14ac:dyDescent="0.45">
      <c r="A16" s="229" t="s">
        <v>67</v>
      </c>
      <c r="B16" s="229"/>
      <c r="C16" s="230" t="s">
        <v>341</v>
      </c>
      <c r="D16" s="230"/>
      <c r="E16" s="230"/>
      <c r="F16" s="230"/>
    </row>
    <row r="17" spans="1:6" ht="76.25" customHeight="1" x14ac:dyDescent="0.45">
      <c r="A17" s="229" t="s">
        <v>4</v>
      </c>
      <c r="B17" s="229"/>
      <c r="C17" s="230" t="s">
        <v>202</v>
      </c>
      <c r="D17" s="230"/>
      <c r="E17" s="230"/>
      <c r="F17" s="230"/>
    </row>
  </sheetData>
  <sheetProtection algorithmName="SHA-512" hashValue="1jjRmrO8waKUVu0bm0eTHb6hfr8/2eWTgPa9TaxWDZKeVYqqdQROKo/ofoNXP5qzbbMSe660pOqoqosleca5dw==" saltValue="707hhAzoBqI+1O7ISkhQOw==" spinCount="100000" sheet="1" objects="1" scenarios="1"/>
  <protectedRanges>
    <protectedRange sqref="C4:F7 A9:B17" name="Range1"/>
  </protectedRanges>
  <mergeCells count="29">
    <mergeCell ref="A10:B10"/>
    <mergeCell ref="C10:F10"/>
    <mergeCell ref="A9:B9"/>
    <mergeCell ref="C9:F9"/>
    <mergeCell ref="A15:B15"/>
    <mergeCell ref="C11:F11"/>
    <mergeCell ref="A11:B11"/>
    <mergeCell ref="A12:B12"/>
    <mergeCell ref="C12:F12"/>
    <mergeCell ref="A13:B13"/>
    <mergeCell ref="C13:F13"/>
    <mergeCell ref="A17:B17"/>
    <mergeCell ref="A14:B14"/>
    <mergeCell ref="A16:B16"/>
    <mergeCell ref="C17:F17"/>
    <mergeCell ref="C14:F14"/>
    <mergeCell ref="C16:F16"/>
    <mergeCell ref="C15:F15"/>
    <mergeCell ref="A6:B6"/>
    <mergeCell ref="C6:F6"/>
    <mergeCell ref="A7:B7"/>
    <mergeCell ref="C7:F7"/>
    <mergeCell ref="A8:B8"/>
    <mergeCell ref="C8:F8"/>
    <mergeCell ref="A1:F3"/>
    <mergeCell ref="A4:B4"/>
    <mergeCell ref="A5:B5"/>
    <mergeCell ref="C5:F5"/>
    <mergeCell ref="C4:F4"/>
  </mergeCells>
  <hyperlinks>
    <hyperlink ref="A11" location="'Budget Overview'!A1" display="Full Budget" xr:uid="{D2FED6FB-23A2-426B-A617-6EDAE87F1179}"/>
    <hyperlink ref="A15" location="Training!A1" display="Training" xr:uid="{41DE15C4-1F1B-4577-8B16-524BC2441B1E}"/>
    <hyperlink ref="A16" location="Exercises!A1" display="Exercises" xr:uid="{73164617-F5FF-42C2-9BC0-9A514AA5FE7F}"/>
    <hyperlink ref="A14" location="Personnel!A1" display="Personnel" xr:uid="{4C16717F-83F2-4631-B351-4EA339F9E528}"/>
    <hyperlink ref="A17" location="'Detailed Budget'!A1" display="Detailed Budget" xr:uid="{4B688A9A-C022-4131-ADFA-85FBCE05EB8F}"/>
    <hyperlink ref="A9:B9" location="'Definitions and Guidance'!A1" display="Definitions and Guidance" xr:uid="{D922ACBE-5E10-4080-B29A-253E51D2D569}"/>
    <hyperlink ref="A10:B10" location="'Grant Investment Strategy'!A1" display="Grant Investment Stategy" xr:uid="{3A9FC25B-E998-47E7-B902-49BB2A9AC73B}"/>
    <hyperlink ref="A12" location="'Grant Activity Ouline 1'!A1" display="Grant Activities Outline" xr:uid="{94CFC9D1-AD64-40F3-913C-3333A7D53210}"/>
    <hyperlink ref="A13:B13" location="'Project Activities Outline'!A1" display="Project Activities Outline" xr:uid="{A032D633-DA14-4325-A124-86F92A2E514B}"/>
    <hyperlink ref="A12:B12" location="'Grant Activities Outline'!A1" display="Grant Activities Outline" xr:uid="{1A4BAD35-E9B0-42FA-9985-5F146C36F92E}"/>
    <hyperlink ref="A14:B14" location="'Personnel Data Table'!A1" display="Personnel Data Table" xr:uid="{503EBAEB-841F-4D90-8230-EC474B03A959}"/>
    <hyperlink ref="A15:B15" location="'Training Data Table'!A1" display="Training Data Table" xr:uid="{482EDA25-E730-47FC-945F-26E845748150}"/>
    <hyperlink ref="A16:B16" location="'Exercise Data Table'!A1" display="Exercise Data Table" xr:uid="{54922792-0452-4BE3-AD54-46785D94E79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3CE5E-E6FC-45B7-B686-20B9985982E1}">
  <dimension ref="A1:J43"/>
  <sheetViews>
    <sheetView zoomScale="70" zoomScaleNormal="70" workbookViewId="0">
      <selection activeCell="A2" sqref="A2:F7"/>
    </sheetView>
  </sheetViews>
  <sheetFormatPr defaultColWidth="8.86328125" defaultRowHeight="14.25" x14ac:dyDescent="0.45"/>
  <cols>
    <col min="1" max="1" width="22.86328125" style="22" customWidth="1"/>
    <col min="2" max="2" width="30.6640625" style="22" customWidth="1"/>
    <col min="3" max="3" width="31.1328125" style="22" customWidth="1"/>
    <col min="4" max="4" width="20" style="22" customWidth="1"/>
    <col min="5" max="5" width="29.796875" style="22" customWidth="1"/>
    <col min="6" max="6" width="36.6640625" style="22" customWidth="1"/>
    <col min="7" max="16384" width="8.86328125" style="22"/>
  </cols>
  <sheetData>
    <row r="1" spans="1:8" ht="23.75" customHeight="1" x14ac:dyDescent="0.45">
      <c r="A1" s="293" t="s">
        <v>143</v>
      </c>
      <c r="B1" s="294"/>
      <c r="C1" s="294"/>
      <c r="D1" s="294"/>
      <c r="E1" s="294"/>
      <c r="F1" s="294"/>
    </row>
    <row r="2" spans="1:8" ht="28.25" customHeight="1" x14ac:dyDescent="0.45">
      <c r="A2" s="306" t="s">
        <v>293</v>
      </c>
      <c r="B2" s="268"/>
      <c r="C2" s="268"/>
      <c r="D2" s="268"/>
      <c r="E2" s="268"/>
      <c r="F2" s="269"/>
    </row>
    <row r="3" spans="1:8" ht="28.25" customHeight="1" x14ac:dyDescent="0.45">
      <c r="A3" s="307"/>
      <c r="B3" s="308"/>
      <c r="C3" s="308"/>
      <c r="D3" s="308"/>
      <c r="E3" s="308"/>
      <c r="F3" s="309"/>
    </row>
    <row r="4" spans="1:8" ht="28.25" customHeight="1" x14ac:dyDescent="0.45">
      <c r="A4" s="307"/>
      <c r="B4" s="308"/>
      <c r="C4" s="308"/>
      <c r="D4" s="308"/>
      <c r="E4" s="308"/>
      <c r="F4" s="309"/>
    </row>
    <row r="5" spans="1:8" ht="28.25" customHeight="1" x14ac:dyDescent="0.45">
      <c r="A5" s="307"/>
      <c r="B5" s="308"/>
      <c r="C5" s="308"/>
      <c r="D5" s="308"/>
      <c r="E5" s="308"/>
      <c r="F5" s="309"/>
    </row>
    <row r="6" spans="1:8" ht="16.5" customHeight="1" x14ac:dyDescent="0.45">
      <c r="A6" s="307"/>
      <c r="B6" s="308"/>
      <c r="C6" s="308"/>
      <c r="D6" s="308"/>
      <c r="E6" s="308"/>
      <c r="F6" s="309"/>
    </row>
    <row r="7" spans="1:8" ht="7.8" customHeight="1" thickBot="1" x14ac:dyDescent="0.5">
      <c r="A7" s="310"/>
      <c r="B7" s="311"/>
      <c r="C7" s="311"/>
      <c r="D7" s="311"/>
      <c r="E7" s="311"/>
      <c r="F7" s="312"/>
    </row>
    <row r="8" spans="1:8" ht="14.65" thickTop="1" x14ac:dyDescent="0.45"/>
    <row r="9" spans="1:8" ht="14.65" thickBot="1" x14ac:dyDescent="0.5"/>
    <row r="10" spans="1:8" s="128" customFormat="1" ht="18.399999999999999" thickTop="1" x14ac:dyDescent="0.45">
      <c r="A10" s="282" t="s">
        <v>148</v>
      </c>
      <c r="B10" s="283"/>
      <c r="C10" s="283"/>
      <c r="D10" s="283"/>
      <c r="E10" s="283"/>
      <c r="F10" s="284"/>
    </row>
    <row r="11" spans="1:8" ht="409.5" customHeight="1" x14ac:dyDescent="0.45">
      <c r="A11" s="268" t="s">
        <v>294</v>
      </c>
      <c r="B11" s="268"/>
      <c r="C11" s="268"/>
      <c r="D11" s="268"/>
      <c r="E11" s="268"/>
      <c r="F11" s="269"/>
    </row>
    <row r="12" spans="1:8" ht="190.25" customHeight="1" x14ac:dyDescent="0.45">
      <c r="A12" s="270"/>
      <c r="B12" s="270"/>
      <c r="C12" s="270"/>
      <c r="D12" s="270"/>
      <c r="E12" s="270"/>
      <c r="F12" s="271"/>
    </row>
    <row r="13" spans="1:8" ht="21" x14ac:dyDescent="0.45">
      <c r="A13" s="272" t="s">
        <v>136</v>
      </c>
      <c r="B13" s="273"/>
      <c r="C13" s="273"/>
      <c r="D13" s="273"/>
      <c r="E13" s="273"/>
      <c r="F13" s="274"/>
    </row>
    <row r="14" spans="1:8" x14ac:dyDescent="0.45">
      <c r="A14" s="102" t="s">
        <v>106</v>
      </c>
      <c r="B14" s="275" t="s">
        <v>169</v>
      </c>
      <c r="C14" s="276"/>
      <c r="D14" s="276"/>
      <c r="E14" s="276"/>
      <c r="F14" s="277"/>
    </row>
    <row r="15" spans="1:8" ht="196.8" customHeight="1" x14ac:dyDescent="0.45">
      <c r="A15" s="77" t="s">
        <v>138</v>
      </c>
      <c r="B15" s="278" t="s">
        <v>295</v>
      </c>
      <c r="C15" s="279"/>
      <c r="D15" s="279"/>
      <c r="E15" s="279"/>
      <c r="F15" s="280"/>
      <c r="G15" s="111"/>
    </row>
    <row r="16" spans="1:8" ht="27.6" customHeight="1" x14ac:dyDescent="0.45">
      <c r="A16" s="77" t="s">
        <v>258</v>
      </c>
      <c r="B16" s="252" t="s">
        <v>259</v>
      </c>
      <c r="C16" s="253"/>
      <c r="D16" s="253"/>
      <c r="E16" s="253"/>
      <c r="F16" s="254"/>
      <c r="G16" s="100"/>
      <c r="H16" s="100"/>
    </row>
    <row r="17" spans="1:8" ht="46.25" customHeight="1" x14ac:dyDescent="0.45">
      <c r="A17" s="77" t="s">
        <v>165</v>
      </c>
      <c r="B17" s="233" t="s">
        <v>168</v>
      </c>
      <c r="C17" s="234"/>
      <c r="D17" s="234"/>
      <c r="E17" s="234"/>
      <c r="F17" s="281"/>
    </row>
    <row r="18" spans="1:8" x14ac:dyDescent="0.45">
      <c r="A18" s="249" t="s">
        <v>185</v>
      </c>
      <c r="B18" s="250"/>
      <c r="C18" s="250"/>
      <c r="D18" s="250"/>
      <c r="E18" s="250"/>
      <c r="F18" s="251"/>
    </row>
    <row r="19" spans="1:8" x14ac:dyDescent="0.45">
      <c r="A19" s="246" t="s">
        <v>107</v>
      </c>
      <c r="B19" s="247"/>
      <c r="C19" s="247"/>
      <c r="D19" s="247"/>
      <c r="E19" s="247"/>
      <c r="F19" s="248"/>
    </row>
    <row r="20" spans="1:8" x14ac:dyDescent="0.45">
      <c r="A20" s="255" t="s">
        <v>138</v>
      </c>
      <c r="B20" s="256"/>
      <c r="C20" s="259" t="s">
        <v>258</v>
      </c>
      <c r="D20" s="260"/>
      <c r="E20" s="264" t="s">
        <v>165</v>
      </c>
      <c r="F20" s="265"/>
    </row>
    <row r="21" spans="1:8" ht="91.25" customHeight="1" x14ac:dyDescent="0.45">
      <c r="A21" s="257" t="s">
        <v>162</v>
      </c>
      <c r="B21" s="258"/>
      <c r="C21" s="261" t="s">
        <v>260</v>
      </c>
      <c r="D21" s="262"/>
      <c r="E21" s="261" t="s">
        <v>171</v>
      </c>
      <c r="F21" s="266"/>
    </row>
    <row r="22" spans="1:8" ht="91.25" customHeight="1" thickBot="1" x14ac:dyDescent="0.5">
      <c r="A22" s="244" t="s">
        <v>163</v>
      </c>
      <c r="B22" s="245"/>
      <c r="C22" s="263" t="s">
        <v>261</v>
      </c>
      <c r="D22" s="245"/>
      <c r="E22" s="263" t="s">
        <v>170</v>
      </c>
      <c r="F22" s="267"/>
    </row>
    <row r="23" spans="1:8" ht="14.65" thickTop="1" x14ac:dyDescent="0.45">
      <c r="C23" s="140"/>
      <c r="D23" s="140"/>
      <c r="E23" s="100"/>
      <c r="F23" s="100"/>
      <c r="G23" s="100"/>
    </row>
    <row r="24" spans="1:8" ht="14.65" thickBot="1" x14ac:dyDescent="0.5"/>
    <row r="25" spans="1:8" s="128" customFormat="1" ht="18.399999999999999" thickTop="1" x14ac:dyDescent="0.45">
      <c r="A25" s="282" t="s">
        <v>149</v>
      </c>
      <c r="B25" s="283"/>
      <c r="C25" s="283"/>
      <c r="D25" s="283"/>
      <c r="E25" s="283"/>
      <c r="F25" s="284"/>
    </row>
    <row r="26" spans="1:8" ht="147" customHeight="1" thickBot="1" x14ac:dyDescent="0.5">
      <c r="A26" s="290" t="s">
        <v>296</v>
      </c>
      <c r="B26" s="291"/>
      <c r="C26" s="291"/>
      <c r="D26" s="291"/>
      <c r="E26" s="291"/>
      <c r="F26" s="292"/>
    </row>
    <row r="27" spans="1:8" s="129" customFormat="1" ht="18.399999999999999" thickTop="1" x14ac:dyDescent="0.45">
      <c r="A27" s="303" t="s">
        <v>108</v>
      </c>
      <c r="B27" s="304"/>
      <c r="C27" s="304"/>
      <c r="D27" s="304"/>
      <c r="E27" s="304"/>
      <c r="F27" s="305"/>
    </row>
    <row r="28" spans="1:8" x14ac:dyDescent="0.45">
      <c r="A28" s="102" t="s">
        <v>90</v>
      </c>
      <c r="B28" s="275" t="s">
        <v>113</v>
      </c>
      <c r="C28" s="288"/>
      <c r="D28" s="275" t="s">
        <v>114</v>
      </c>
      <c r="E28" s="276"/>
      <c r="F28" s="277"/>
      <c r="G28" s="101"/>
    </row>
    <row r="29" spans="1:8" ht="73.25" customHeight="1" x14ac:dyDescent="0.45">
      <c r="A29" s="77" t="s">
        <v>109</v>
      </c>
      <c r="B29" s="233" t="s">
        <v>116</v>
      </c>
      <c r="C29" s="235"/>
      <c r="D29" s="233" t="s">
        <v>117</v>
      </c>
      <c r="E29" s="234"/>
      <c r="F29" s="281"/>
    </row>
    <row r="30" spans="1:8" ht="69" customHeight="1" x14ac:dyDescent="0.45">
      <c r="A30" s="77" t="s">
        <v>110</v>
      </c>
      <c r="B30" s="233" t="s">
        <v>118</v>
      </c>
      <c r="C30" s="235"/>
      <c r="D30" s="233" t="s">
        <v>119</v>
      </c>
      <c r="E30" s="234"/>
      <c r="F30" s="281"/>
    </row>
    <row r="31" spans="1:8" ht="69" customHeight="1" x14ac:dyDescent="0.45">
      <c r="A31" s="77" t="s">
        <v>111</v>
      </c>
      <c r="B31" s="233" t="s">
        <v>120</v>
      </c>
      <c r="C31" s="235"/>
      <c r="D31" s="233" t="s">
        <v>121</v>
      </c>
      <c r="E31" s="234"/>
      <c r="F31" s="281"/>
    </row>
    <row r="32" spans="1:8" ht="69" customHeight="1" x14ac:dyDescent="0.45">
      <c r="A32" s="77" t="s">
        <v>112</v>
      </c>
      <c r="B32" s="233" t="s">
        <v>122</v>
      </c>
      <c r="C32" s="235"/>
      <c r="D32" s="233" t="s">
        <v>183</v>
      </c>
      <c r="E32" s="234"/>
      <c r="F32" s="281"/>
      <c r="H32" s="100"/>
    </row>
    <row r="33" spans="1:10" ht="69" customHeight="1" thickBot="1" x14ac:dyDescent="0.5">
      <c r="A33" s="78" t="s">
        <v>115</v>
      </c>
      <c r="B33" s="285" t="s">
        <v>123</v>
      </c>
      <c r="C33" s="289"/>
      <c r="D33" s="285" t="s">
        <v>124</v>
      </c>
      <c r="E33" s="286"/>
      <c r="F33" s="287"/>
      <c r="J33" s="100"/>
    </row>
    <row r="34" spans="1:10" ht="14.65" thickTop="1" x14ac:dyDescent="0.45">
      <c r="B34" s="100"/>
      <c r="J34" s="100"/>
    </row>
    <row r="35" spans="1:10" ht="14.65" thickBot="1" x14ac:dyDescent="0.5"/>
    <row r="36" spans="1:10" s="128" customFormat="1" ht="18.399999999999999" thickTop="1" x14ac:dyDescent="0.45">
      <c r="A36" s="282" t="s">
        <v>147</v>
      </c>
      <c r="B36" s="283"/>
      <c r="C36" s="283"/>
      <c r="D36" s="283"/>
      <c r="E36" s="283"/>
      <c r="F36" s="284"/>
    </row>
    <row r="37" spans="1:10" x14ac:dyDescent="0.45">
      <c r="A37" s="246" t="s">
        <v>125</v>
      </c>
      <c r="B37" s="247"/>
      <c r="C37" s="247"/>
      <c r="D37" s="247" t="s">
        <v>126</v>
      </c>
      <c r="E37" s="247"/>
      <c r="F37" s="248"/>
    </row>
    <row r="38" spans="1:10" ht="47.45" customHeight="1" x14ac:dyDescent="0.45">
      <c r="A38" s="297" t="s">
        <v>297</v>
      </c>
      <c r="B38" s="298"/>
      <c r="C38" s="298"/>
      <c r="D38" s="237" t="s">
        <v>298</v>
      </c>
      <c r="E38" s="237"/>
      <c r="F38" s="301"/>
    </row>
    <row r="39" spans="1:10" ht="47.45" customHeight="1" x14ac:dyDescent="0.45">
      <c r="A39" s="297" t="s">
        <v>299</v>
      </c>
      <c r="B39" s="298"/>
      <c r="C39" s="298"/>
      <c r="D39" s="237" t="s">
        <v>300</v>
      </c>
      <c r="E39" s="237"/>
      <c r="F39" s="301"/>
    </row>
    <row r="40" spans="1:10" ht="47.45" customHeight="1" x14ac:dyDescent="0.45">
      <c r="A40" s="297" t="s">
        <v>182</v>
      </c>
      <c r="B40" s="298"/>
      <c r="C40" s="298"/>
      <c r="D40" s="237" t="s">
        <v>301</v>
      </c>
      <c r="E40" s="237"/>
      <c r="F40" s="301"/>
    </row>
    <row r="41" spans="1:10" ht="47.45" customHeight="1" x14ac:dyDescent="0.45">
      <c r="A41" s="297" t="s">
        <v>302</v>
      </c>
      <c r="B41" s="298"/>
      <c r="C41" s="298"/>
      <c r="D41" s="302" t="s">
        <v>303</v>
      </c>
      <c r="E41" s="237"/>
      <c r="F41" s="301"/>
    </row>
    <row r="42" spans="1:10" ht="47.45" customHeight="1" thickBot="1" x14ac:dyDescent="0.5">
      <c r="A42" s="299" t="s">
        <v>304</v>
      </c>
      <c r="B42" s="300"/>
      <c r="C42" s="300"/>
      <c r="D42" s="295" t="s">
        <v>305</v>
      </c>
      <c r="E42" s="295"/>
      <c r="F42" s="296"/>
    </row>
    <row r="43" spans="1:10" ht="14.65" thickTop="1" x14ac:dyDescent="0.45"/>
  </sheetData>
  <sheetProtection algorithmName="SHA-512" hashValue="RsdDIkPcap+tfOSz7SkedzjDHSobF99ufuPWUtw64ieD+vi4bOZw0tpyOpGcZ3416CcqNnZilDiwBjY6ik7PbA==" saltValue="9i/CiprQHDmEepjZoZ6iqQ==" spinCount="100000" sheet="1" objects="1" scenarios="1"/>
  <mergeCells count="48">
    <mergeCell ref="A1:F1"/>
    <mergeCell ref="D42:F42"/>
    <mergeCell ref="A38:C38"/>
    <mergeCell ref="A39:C39"/>
    <mergeCell ref="A40:C40"/>
    <mergeCell ref="A41:C41"/>
    <mergeCell ref="A42:C42"/>
    <mergeCell ref="D38:F38"/>
    <mergeCell ref="D39:F39"/>
    <mergeCell ref="D40:F40"/>
    <mergeCell ref="D41:F41"/>
    <mergeCell ref="A10:F10"/>
    <mergeCell ref="A37:C37"/>
    <mergeCell ref="D37:F37"/>
    <mergeCell ref="A27:F27"/>
    <mergeCell ref="A2:F7"/>
    <mergeCell ref="A25:F25"/>
    <mergeCell ref="D33:F33"/>
    <mergeCell ref="A36:F36"/>
    <mergeCell ref="B28:C28"/>
    <mergeCell ref="B29:C29"/>
    <mergeCell ref="B30:C30"/>
    <mergeCell ref="B31:C31"/>
    <mergeCell ref="B32:C32"/>
    <mergeCell ref="B33:C33"/>
    <mergeCell ref="D28:F28"/>
    <mergeCell ref="D29:F29"/>
    <mergeCell ref="D30:F30"/>
    <mergeCell ref="D31:F31"/>
    <mergeCell ref="D32:F32"/>
    <mergeCell ref="A26:F26"/>
    <mergeCell ref="A11:F12"/>
    <mergeCell ref="A13:F13"/>
    <mergeCell ref="B14:F14"/>
    <mergeCell ref="B15:F15"/>
    <mergeCell ref="B17:F17"/>
    <mergeCell ref="A22:B22"/>
    <mergeCell ref="A19:F19"/>
    <mergeCell ref="A18:F18"/>
    <mergeCell ref="B16:F16"/>
    <mergeCell ref="A20:B20"/>
    <mergeCell ref="A21:B21"/>
    <mergeCell ref="C20:D20"/>
    <mergeCell ref="C21:D21"/>
    <mergeCell ref="C22:D22"/>
    <mergeCell ref="E20:F20"/>
    <mergeCell ref="E21:F21"/>
    <mergeCell ref="E22:F22"/>
  </mergeCells>
  <dataValidations count="1">
    <dataValidation allowBlank="1" showInputMessage="1" showErrorMessage="1" prompt="This table provides a list of examples, not exact goals and measures that should be used. Goals and measures should be developed according to your specific projects and activities. " sqref="A19:F19" xr:uid="{C9D687DB-BFDA-40E3-A4E5-B072DF6C0A95}"/>
  </dataValidations>
  <hyperlinks>
    <hyperlink ref="A1:F1" location="'Grant Investment Strategy'!A1" display="Grant Investment Strategy" xr:uid="{69489F94-C949-41F8-A622-89B13199C9D7}"/>
    <hyperlink ref="A36:F36" location="'Personnel Data Table'!A1" display="Personnel Data Table" xr:uid="{EA53190C-52F8-48CA-B9BC-75ADB8E5ACFE}"/>
    <hyperlink ref="A10:F10" location="'Grant Activities Outline'!A1" display="Grant Activities Outline" xr:uid="{97F88401-C311-4BA2-91DE-0C6632624AD4}"/>
    <hyperlink ref="A25:F25" location="'Project Activities Outline'!A1" display="Project Activities Outlines" xr:uid="{85A0983B-3621-4717-9670-22AC8A011FF2}"/>
    <hyperlink ref="A18:F18" r:id="rId1" display="Core Capability Development Sheets" xr:uid="{E3FDE328-F24A-451E-AA28-BBF8E7F459A4}"/>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91110-4EE9-4E7C-A4B3-75CEA7B1242A}">
  <dimension ref="A1:E19"/>
  <sheetViews>
    <sheetView zoomScale="92" zoomScaleNormal="92" workbookViewId="0">
      <selection activeCell="A5" sqref="A5:B5"/>
    </sheetView>
  </sheetViews>
  <sheetFormatPr defaultColWidth="8.86328125" defaultRowHeight="14.25" x14ac:dyDescent="0.45"/>
  <cols>
    <col min="1" max="2" width="83.46484375" style="50" customWidth="1"/>
    <col min="3" max="16384" width="8.86328125" style="1"/>
  </cols>
  <sheetData>
    <row r="1" spans="1:5" ht="18" x14ac:dyDescent="0.55000000000000004">
      <c r="A1" s="313" t="s">
        <v>143</v>
      </c>
      <c r="B1" s="314"/>
    </row>
    <row r="2" spans="1:5" ht="36" customHeight="1" thickBot="1" x14ac:dyDescent="0.5">
      <c r="A2" s="319" t="s">
        <v>146</v>
      </c>
      <c r="B2" s="320"/>
      <c r="C2" s="3"/>
    </row>
    <row r="3" spans="1:5" ht="7.25" customHeight="1" thickBot="1" x14ac:dyDescent="0.5">
      <c r="A3" s="63"/>
      <c r="B3" s="64"/>
    </row>
    <row r="4" spans="1:5" s="61" customFormat="1" ht="34.5" customHeight="1" x14ac:dyDescent="0.45">
      <c r="A4" s="315" t="s">
        <v>253</v>
      </c>
      <c r="B4" s="316"/>
    </row>
    <row r="5" spans="1:5" ht="189.75" customHeight="1" thickBot="1" x14ac:dyDescent="0.5">
      <c r="A5" s="317"/>
      <c r="B5" s="318"/>
    </row>
    <row r="6" spans="1:5" ht="7.25" customHeight="1" thickBot="1" x14ac:dyDescent="0.5">
      <c r="A6" s="63"/>
      <c r="B6" s="64"/>
    </row>
    <row r="7" spans="1:5" s="61" customFormat="1" ht="34.5" customHeight="1" x14ac:dyDescent="0.45">
      <c r="A7" s="315" t="s">
        <v>254</v>
      </c>
      <c r="B7" s="316"/>
    </row>
    <row r="8" spans="1:5" ht="235.8" customHeight="1" thickBot="1" x14ac:dyDescent="0.5">
      <c r="A8" s="317"/>
      <c r="B8" s="318"/>
    </row>
    <row r="9" spans="1:5" ht="7.25" customHeight="1" thickBot="1" x14ac:dyDescent="0.5">
      <c r="A9" s="65"/>
      <c r="B9" s="66"/>
    </row>
    <row r="10" spans="1:5" s="61" customFormat="1" ht="28.5" customHeight="1" x14ac:dyDescent="0.45">
      <c r="A10" s="315" t="s">
        <v>306</v>
      </c>
      <c r="B10" s="316"/>
    </row>
    <row r="11" spans="1:5" ht="235.8" customHeight="1" thickBot="1" x14ac:dyDescent="0.5">
      <c r="A11" s="317"/>
      <c r="B11" s="318"/>
    </row>
    <row r="12" spans="1:5" ht="7.25" customHeight="1" thickBot="1" x14ac:dyDescent="0.5">
      <c r="A12" s="65"/>
      <c r="B12" s="66"/>
    </row>
    <row r="13" spans="1:5" s="61" customFormat="1" ht="48.95" customHeight="1" x14ac:dyDescent="0.45">
      <c r="A13" s="315" t="s">
        <v>307</v>
      </c>
      <c r="B13" s="316"/>
    </row>
    <row r="14" spans="1:5" ht="235.8" customHeight="1" thickBot="1" x14ac:dyDescent="0.5">
      <c r="A14" s="317"/>
      <c r="B14" s="318"/>
    </row>
    <row r="15" spans="1:5" ht="7.25" customHeight="1" thickBot="1" x14ac:dyDescent="0.5">
      <c r="A15" s="65"/>
      <c r="B15" s="66"/>
      <c r="E15" s="40"/>
    </row>
    <row r="16" spans="1:5" s="61" customFormat="1" ht="34.5" customHeight="1" x14ac:dyDescent="0.45">
      <c r="A16" s="315" t="s">
        <v>308</v>
      </c>
      <c r="B16" s="316"/>
    </row>
    <row r="17" spans="1:2" ht="119.45" customHeight="1" thickBot="1" x14ac:dyDescent="0.5">
      <c r="A17" s="317"/>
      <c r="B17" s="318"/>
    </row>
    <row r="19" spans="1:2" x14ac:dyDescent="0.45">
      <c r="B19" s="52"/>
    </row>
  </sheetData>
  <sheetProtection algorithmName="SHA-512" hashValue="datxguJa2BAaKf2Uo3d8Aw+93TqDpGnt6t3OXNito9klSFMB7V//bdkw4k/bKb3AGR7JbXG+F+1pIMi4eZPEJw==" saltValue="FrYaoSMUsQoGL5K/SqLzPA==" spinCount="100000" sheet="1" objects="1" scenarios="1"/>
  <protectedRanges>
    <protectedRange sqref="A5:B6 A17:B17 A15:B15 A11:B11 A14:B14 A8:B8" name="Range1"/>
  </protectedRanges>
  <mergeCells count="12">
    <mergeCell ref="A16:B16"/>
    <mergeCell ref="A7:B7"/>
    <mergeCell ref="A17:B17"/>
    <mergeCell ref="A10:B10"/>
    <mergeCell ref="A11:B11"/>
    <mergeCell ref="A13:B13"/>
    <mergeCell ref="A14:B14"/>
    <mergeCell ref="A1:B1"/>
    <mergeCell ref="A4:B4"/>
    <mergeCell ref="A5:B5"/>
    <mergeCell ref="A8:B8"/>
    <mergeCell ref="A2:B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EEDB5-4276-4671-B36C-A90218CAA2A6}">
  <dimension ref="A1:G60"/>
  <sheetViews>
    <sheetView workbookViewId="0">
      <selection activeCell="B39" sqref="B39"/>
    </sheetView>
  </sheetViews>
  <sheetFormatPr defaultColWidth="8.86328125" defaultRowHeight="14.25" x14ac:dyDescent="0.45"/>
  <cols>
    <col min="1" max="1" width="20.53125" style="1" customWidth="1"/>
    <col min="2" max="4" width="23.33203125" style="16" customWidth="1"/>
    <col min="5" max="5" width="5.46484375" style="1" customWidth="1"/>
    <col min="6" max="6" width="49.46484375" style="29" bestFit="1" customWidth="1"/>
    <col min="7" max="7" width="18.6640625" style="1" customWidth="1"/>
    <col min="8" max="16384" width="8.86328125" style="1"/>
  </cols>
  <sheetData>
    <row r="1" spans="1:7" ht="36.6" customHeight="1" thickBot="1" x14ac:dyDescent="0.5">
      <c r="A1" s="321" t="s">
        <v>150</v>
      </c>
      <c r="B1" s="322"/>
      <c r="C1" s="322"/>
      <c r="D1" s="322"/>
      <c r="E1" s="322"/>
      <c r="F1" s="322"/>
      <c r="G1" s="323"/>
    </row>
    <row r="2" spans="1:7" ht="10.8" customHeight="1" thickBot="1" x14ac:dyDescent="0.5"/>
    <row r="3" spans="1:7" x14ac:dyDescent="0.45">
      <c r="A3" s="324" t="s">
        <v>8</v>
      </c>
      <c r="B3" s="325"/>
      <c r="C3" s="325"/>
      <c r="D3" s="326"/>
      <c r="F3" s="30" t="s">
        <v>201</v>
      </c>
      <c r="G3" s="25" t="s">
        <v>11</v>
      </c>
    </row>
    <row r="4" spans="1:7" x14ac:dyDescent="0.45">
      <c r="A4" s="158"/>
      <c r="B4" s="159" t="s">
        <v>9</v>
      </c>
      <c r="C4" s="165" t="s">
        <v>10</v>
      </c>
      <c r="D4" s="164" t="s">
        <v>11</v>
      </c>
      <c r="F4" s="35" t="s">
        <v>37</v>
      </c>
      <c r="G4" s="37">
        <f>SUMIF('Detailed Budget'!$P$10:$P$1048576, "Prevention", 'Detailed Budget'!$N$10:$N$1048576)</f>
        <v>0</v>
      </c>
    </row>
    <row r="5" spans="1:7" x14ac:dyDescent="0.45">
      <c r="A5" s="35" t="s">
        <v>291</v>
      </c>
      <c r="B5" s="148">
        <f>Federal_EMPG21_Amount</f>
        <v>0</v>
      </c>
      <c r="C5" s="166">
        <f>Non_Federal_EMPG21_Amount</f>
        <v>0</v>
      </c>
      <c r="D5" s="161">
        <f>Total_EMPG21_Award_Amount</f>
        <v>0</v>
      </c>
      <c r="F5" s="35" t="s">
        <v>30</v>
      </c>
      <c r="G5" s="37">
        <f>SUMIF('Detailed Budget'!$P$10:$P$1048576, "Protection", 'Detailed Budget'!$N$10:$N$1048576)</f>
        <v>0</v>
      </c>
    </row>
    <row r="6" spans="1:7" x14ac:dyDescent="0.45">
      <c r="A6" s="35" t="s">
        <v>333</v>
      </c>
      <c r="B6" s="160">
        <f>Federal_ARP_Amount</f>
        <v>0</v>
      </c>
      <c r="C6" s="167">
        <f>Non_Federal_ARP_Amount</f>
        <v>0</v>
      </c>
      <c r="D6" s="162">
        <f>Total_ARP_Award_Amount</f>
        <v>0</v>
      </c>
      <c r="F6" s="35" t="s">
        <v>38</v>
      </c>
      <c r="G6" s="37">
        <f>SUMIF('Detailed Budget'!$P$10:$P$1048576, "Mitigation", 'Detailed Budget'!$N$10:$N$1048576)</f>
        <v>0</v>
      </c>
    </row>
    <row r="7" spans="1:7" ht="14.65" thickBot="1" x14ac:dyDescent="0.5">
      <c r="A7" s="38" t="s">
        <v>11</v>
      </c>
      <c r="B7" s="147">
        <f>B5+B6</f>
        <v>0</v>
      </c>
      <c r="C7" s="168">
        <f>C5+C6</f>
        <v>0</v>
      </c>
      <c r="D7" s="163">
        <f>Grand_Total</f>
        <v>0</v>
      </c>
      <c r="F7" s="35" t="s">
        <v>39</v>
      </c>
      <c r="G7" s="37">
        <f>SUMIF('Detailed Budget'!$P$10:$P$1048576, "Response", 'Detailed Budget'!$N$10:$N$1048576)</f>
        <v>0</v>
      </c>
    </row>
    <row r="8" spans="1:7" ht="14.65" thickBot="1" x14ac:dyDescent="0.5">
      <c r="F8" s="35" t="s">
        <v>40</v>
      </c>
      <c r="G8" s="37">
        <f>SUMIF('Detailed Budget'!$P$10:$P$1048576, "Recovery", 'Detailed Budget'!$N$10:$N$1048576)</f>
        <v>0</v>
      </c>
    </row>
    <row r="9" spans="1:7" ht="14.65" thickBot="1" x14ac:dyDescent="0.5">
      <c r="A9" s="6"/>
      <c r="B9" s="154" t="s">
        <v>9</v>
      </c>
      <c r="C9" s="152" t="s">
        <v>10</v>
      </c>
      <c r="D9" s="153" t="s">
        <v>11</v>
      </c>
      <c r="F9" s="31" t="s">
        <v>82</v>
      </c>
      <c r="G9" s="26"/>
    </row>
    <row r="10" spans="1:7" x14ac:dyDescent="0.45">
      <c r="A10" s="33" t="s">
        <v>5</v>
      </c>
      <c r="B10" s="156">
        <f>B11+B12</f>
        <v>0</v>
      </c>
      <c r="C10" s="156">
        <f>C11+C12</f>
        <v>0</v>
      </c>
      <c r="D10" s="179">
        <f>SUMIF('Detailed Budget'!$A$10:$A$1048576, "Personnel",'Detailed Budget'!$N$10:$N$1048576)</f>
        <v>0</v>
      </c>
      <c r="F10" s="35" t="s">
        <v>83</v>
      </c>
      <c r="G10" s="37">
        <f>SUMIF('Detailed Budget'!$S$10:$S$1048576, "Access Control and Identity Verification", 'Detailed Budget'!$N$10:$N$1048576)</f>
        <v>0</v>
      </c>
    </row>
    <row r="11" spans="1:7" x14ac:dyDescent="0.45">
      <c r="A11" s="35" t="s">
        <v>291</v>
      </c>
      <c r="B11" s="157">
        <f>SUMIF('Detailed Budget'!$A$10:$A$1048576, "Personnel",'Detailed Budget'!$D$10:$D$1048576)</f>
        <v>0</v>
      </c>
      <c r="C11" s="36">
        <f>SUMIF('Detailed Budget'!$A$10:$A$1048576, "Personnel",'Detailed Budget'!$F$10:$F$1048576)</f>
        <v>0</v>
      </c>
      <c r="D11" s="150">
        <f>C11+B11</f>
        <v>0</v>
      </c>
      <c r="F11" s="35" t="s">
        <v>99</v>
      </c>
      <c r="G11" s="37">
        <f>SUMIF('Detailed Budget'!$S$10:$S$1048576, "Body Recovery/Storage", 'Detailed Budget'!$N$10:$N$1048576)</f>
        <v>0</v>
      </c>
    </row>
    <row r="12" spans="1:7" ht="14.65" thickBot="1" x14ac:dyDescent="0.5">
      <c r="A12" s="35" t="s">
        <v>333</v>
      </c>
      <c r="B12" s="183">
        <f>SUMIF('Detailed Budget'!$A$10:$A$1048576, "Personnel",'Detailed Budget'!$E$10:$E$1048576)</f>
        <v>0</v>
      </c>
      <c r="C12" s="183">
        <f>SUMIF('Detailed Budget'!$A$10:$A$1048576, "Personnel",'Detailed Budget'!$G$10:$G$1048576)</f>
        <v>0</v>
      </c>
      <c r="D12" s="184">
        <f>C12+B12</f>
        <v>0</v>
      </c>
      <c r="F12" s="35" t="s">
        <v>251</v>
      </c>
      <c r="G12" s="37">
        <f>SUMIF('Detailed Budget'!$S$10:$S$1048576, "Catastrophic Disaster Housing", 'Detailed Budget'!$N$10:$N$1048576)</f>
        <v>0</v>
      </c>
    </row>
    <row r="13" spans="1:7" x14ac:dyDescent="0.45">
      <c r="A13" s="33" t="s">
        <v>12</v>
      </c>
      <c r="B13" s="157">
        <f>B14+B15</f>
        <v>0</v>
      </c>
      <c r="C13" s="156">
        <f>C14+C15</f>
        <v>0</v>
      </c>
      <c r="D13" s="155">
        <f>SUMIF('Detailed Budget'!$A$10:$A$1048576, "Personnel",'Detailed Budget'!$N$10:$N$1048576)</f>
        <v>0</v>
      </c>
      <c r="F13" s="35" t="s">
        <v>45</v>
      </c>
      <c r="G13" s="37">
        <f>SUMIF('Detailed Budget'!$S$10:$S$1048576, "Community Resilience", 'Detailed Budget'!$N$10:$N$1048576)</f>
        <v>0</v>
      </c>
    </row>
    <row r="14" spans="1:7" x14ac:dyDescent="0.45">
      <c r="A14" s="35" t="s">
        <v>291</v>
      </c>
      <c r="B14" s="157">
        <f>SUMIF('Detailed Budget'!$A$10:$A$1048576, "Fringes",'Detailed Budget'!$D$10:$D$1048576)</f>
        <v>0</v>
      </c>
      <c r="C14" s="157">
        <f>SUMIF('Detailed Budget'!$A$10:$A$1048576, "Fringes",'Detailed Budget'!$F$10:$F$1048576)</f>
        <v>0</v>
      </c>
      <c r="D14" s="15">
        <f>B14+C14</f>
        <v>0</v>
      </c>
      <c r="F14" s="35" t="s">
        <v>97</v>
      </c>
      <c r="G14" s="37">
        <f>SUMIF('Detailed Budget'!$S$10:$S$1048576, "Community Sheltering", 'Detailed Budget'!$N$10:$N$1048576)</f>
        <v>0</v>
      </c>
    </row>
    <row r="15" spans="1:7" ht="14.65" thickBot="1" x14ac:dyDescent="0.5">
      <c r="A15" s="35" t="s">
        <v>333</v>
      </c>
      <c r="B15" s="183">
        <f>SUMIF('Detailed Budget'!$A$10:$A$1048576, "Fringes",'Detailed Budget'!$E$10:$E$1048576)</f>
        <v>0</v>
      </c>
      <c r="C15" s="183">
        <f>SUMIF('Detailed Budget'!$A$10:$A$1048576, "Fringes",'Detailed Budget'!$G$10:$G$1048576)</f>
        <v>0</v>
      </c>
      <c r="D15" s="39">
        <f>B15+C15</f>
        <v>0</v>
      </c>
      <c r="F15" s="35" t="s">
        <v>46</v>
      </c>
      <c r="G15" s="37">
        <f>SUMIF('Detailed Budget'!$S$10:$S$1048576, "Critical Transportation", 'Detailed Budget'!$N$10:$N$1048576)</f>
        <v>0</v>
      </c>
    </row>
    <row r="16" spans="1:7" x14ac:dyDescent="0.45">
      <c r="A16" s="33" t="s">
        <v>13</v>
      </c>
      <c r="B16" s="157">
        <f>B17+B18</f>
        <v>0</v>
      </c>
      <c r="C16" s="157">
        <f>C17+C18</f>
        <v>0</v>
      </c>
      <c r="D16" s="15">
        <f>SUMIF('Detailed Budget'!$A$10:$A$1048576, "Personnel",'Detailed Budget'!$N$10:$N$1048576)</f>
        <v>0</v>
      </c>
      <c r="F16" s="35" t="s">
        <v>36</v>
      </c>
      <c r="G16" s="37">
        <f>SUMIF('Detailed Budget'!$S$10:$S$1048576, "Cybersecurity", 'Detailed Budget'!$N$10:$N$1048576)</f>
        <v>0</v>
      </c>
    </row>
    <row r="17" spans="1:7" x14ac:dyDescent="0.45">
      <c r="A17" s="35" t="s">
        <v>291</v>
      </c>
      <c r="B17" s="157">
        <f>SUMIF('Detailed Budget'!$A$10:$A$1048576, "Travel",'Detailed Budget'!$D$10:$D$1048576)</f>
        <v>0</v>
      </c>
      <c r="C17" s="157">
        <f>SUMIF('Detailed Budget'!$A$10:$A$1048576, "Travel",'Detailed Budget'!$F$10:$F$1048576)</f>
        <v>0</v>
      </c>
      <c r="D17" s="185">
        <f>B17+C17</f>
        <v>0</v>
      </c>
      <c r="F17" s="35" t="s">
        <v>221</v>
      </c>
      <c r="G17" s="37">
        <f>SUMIF('Detailed Budget'!$S$10:$S$1048576, "Disaster Financial Management", 'Detailed Budget'!$N$10:$N$1048576)</f>
        <v>0</v>
      </c>
    </row>
    <row r="18" spans="1:7" ht="14.65" thickBot="1" x14ac:dyDescent="0.5">
      <c r="A18" s="35" t="s">
        <v>333</v>
      </c>
      <c r="B18" s="183">
        <f>SUMIF('Detailed Budget'!$A$10:$A$1048576, "Travel",'Detailed Budget'!$E$10:$E$1048576)</f>
        <v>0</v>
      </c>
      <c r="C18" s="183">
        <f>SUMIF('Detailed Budget'!$A$10:$A$1048576, "Travel",'Detailed Budget'!$G$10:$G$1048576)</f>
        <v>0</v>
      </c>
      <c r="D18" s="39">
        <f>B18+C18</f>
        <v>0</v>
      </c>
      <c r="F18" s="35" t="s">
        <v>48</v>
      </c>
      <c r="G18" s="37">
        <f>SUMIF('Detailed Budget'!$S$10:$S$1048576, "Economic Recovery", 'Detailed Budget'!$N$10:$N$1048576)</f>
        <v>0</v>
      </c>
    </row>
    <row r="19" spans="1:7" x14ac:dyDescent="0.45">
      <c r="A19" s="33" t="s">
        <v>14</v>
      </c>
      <c r="B19" s="157">
        <f>B20+B21</f>
        <v>0</v>
      </c>
      <c r="C19" s="157">
        <f>C20+C21</f>
        <v>0</v>
      </c>
      <c r="D19" s="155">
        <f>SUMIF('Detailed Budget'!$A$10:$A$1048576, "Personnel",'Detailed Budget'!$N$10:$N$1048576)</f>
        <v>0</v>
      </c>
      <c r="F19" s="35" t="s">
        <v>86</v>
      </c>
      <c r="G19" s="37">
        <f>SUMIF('Detailed Budget'!$S$10:$S$1048576, "Environmental Response/Health and Safety", 'Detailed Budget'!$N$10:$N$1048576)</f>
        <v>0</v>
      </c>
    </row>
    <row r="20" spans="1:7" x14ac:dyDescent="0.45">
      <c r="A20" s="35" t="s">
        <v>291</v>
      </c>
      <c r="B20" s="157">
        <f>SUMIF('Detailed Budget'!$A$10:$A$1048576, "Equipment",'Detailed Budget'!$D$10:$D$1048576)</f>
        <v>0</v>
      </c>
      <c r="C20" s="157">
        <f>SUMIF('Detailed Budget'!$A$10:$A$1048576, "Equipment",'Detailed Budget'!$F$10:$F$1048576)</f>
        <v>0</v>
      </c>
      <c r="D20" s="15">
        <f>B20+C20</f>
        <v>0</v>
      </c>
      <c r="F20" s="35" t="s">
        <v>250</v>
      </c>
      <c r="G20" s="37">
        <f>SUMIF('Detailed Budget'!$S$10:$S$1048576, "Evacuation Plan/Annex", 'Detailed Budget'!$N$10:$N$1048576)</f>
        <v>0</v>
      </c>
    </row>
    <row r="21" spans="1:7" ht="14.65" thickBot="1" x14ac:dyDescent="0.5">
      <c r="A21" s="35" t="s">
        <v>333</v>
      </c>
      <c r="B21" s="183">
        <f>SUMIF('Detailed Budget'!$A$10:$A$1048576, "Equipment",'Detailed Budget'!$E$10:$E$1048576)</f>
        <v>0</v>
      </c>
      <c r="C21" s="183">
        <f>SUMIF('Detailed Budget'!$A$10:$A$1048576, "Equipment",'Detailed Budget'!$G$10:$G$1048576)</f>
        <v>0</v>
      </c>
      <c r="D21" s="39">
        <f>B21+C21</f>
        <v>0</v>
      </c>
      <c r="F21" s="35" t="s">
        <v>51</v>
      </c>
      <c r="G21" s="37">
        <f>SUMIF('Detailed Budget'!$S$10:$S$1048576, "Fatality Management Services", 'Detailed Budget'!$N$10:$N$1048576)</f>
        <v>0</v>
      </c>
    </row>
    <row r="22" spans="1:7" x14ac:dyDescent="0.45">
      <c r="A22" s="33" t="s">
        <v>15</v>
      </c>
      <c r="B22" s="157">
        <f>B23+B24</f>
        <v>0</v>
      </c>
      <c r="C22" s="157">
        <f>C23+C24</f>
        <v>0</v>
      </c>
      <c r="D22" s="155">
        <f>SUMIF('Detailed Budget'!$A$10:$A$1048576, "Personnel",'Detailed Budget'!$N$10:$N$1048576)</f>
        <v>0</v>
      </c>
      <c r="F22" s="35" t="s">
        <v>54</v>
      </c>
      <c r="G22" s="37">
        <f>SUMIF('Detailed Budget'!$S$10:$S$1048576, "Fire Management and Suppression", 'Detailed Budget'!$N$10:$N$1048576)</f>
        <v>0</v>
      </c>
    </row>
    <row r="23" spans="1:7" x14ac:dyDescent="0.45">
      <c r="A23" s="35" t="s">
        <v>291</v>
      </c>
      <c r="B23" s="157">
        <f>SUMIF('Detailed Budget'!$A$10:$A$1048576, "Supplies",'Detailed Budget'!$D$10:$D$1048576)</f>
        <v>0</v>
      </c>
      <c r="C23" s="157">
        <f>SUMIF('Detailed Budget'!$A$10:$A$1048576, "Supplies",'Detailed Budget'!$F$10:$F$1048576)</f>
        <v>0</v>
      </c>
      <c r="D23" s="15">
        <f>B23+C23</f>
        <v>0</v>
      </c>
      <c r="F23" s="35" t="s">
        <v>43</v>
      </c>
      <c r="G23" s="37">
        <f>SUMIF('Detailed Budget'!$S$10:$S$1048576, "Forensics and Attribution", 'Detailed Budget'!$N$10:$N$1048576)</f>
        <v>0</v>
      </c>
    </row>
    <row r="24" spans="1:7" ht="14.65" thickBot="1" x14ac:dyDescent="0.5">
      <c r="A24" s="35" t="s">
        <v>333</v>
      </c>
      <c r="B24" s="183">
        <f>SUMIF('Detailed Budget'!$A$10:$A$1048576, "Supplies",'Detailed Budget'!$E$10:$E$1048576)</f>
        <v>0</v>
      </c>
      <c r="C24" s="183">
        <f>SUMIF('Detailed Budget'!$A$10:$A$1048576, "Supplies",'Detailed Budget'!$G$10:$G$1048576)</f>
        <v>0</v>
      </c>
      <c r="D24" s="39">
        <f>B24+C24</f>
        <v>0</v>
      </c>
      <c r="F24" s="35" t="s">
        <v>52</v>
      </c>
      <c r="G24" s="37">
        <f>SUMIF('Detailed Budget'!$S$10:$S$1048576, "Health and Social Services", 'Detailed Budget'!$N$10:$N$1048576)</f>
        <v>0</v>
      </c>
    </row>
    <row r="25" spans="1:7" x14ac:dyDescent="0.45">
      <c r="A25" s="33" t="s">
        <v>16</v>
      </c>
      <c r="B25" s="157">
        <f>B26+B27</f>
        <v>0</v>
      </c>
      <c r="C25" s="156">
        <f>C26+C27</f>
        <v>0</v>
      </c>
      <c r="D25" s="155">
        <f>SUMIF('Detailed Budget'!$A$10:$A$1048576, "Personnel",'Detailed Budget'!$N$10:$N$1048576)</f>
        <v>0</v>
      </c>
      <c r="F25" s="35" t="s">
        <v>55</v>
      </c>
      <c r="G25" s="37">
        <f>SUMIF('Detailed Budget'!$S$10:$S$1048576, "Housing", 'Detailed Budget'!$N$10:$N$1048576)</f>
        <v>0</v>
      </c>
    </row>
    <row r="26" spans="1:7" x14ac:dyDescent="0.45">
      <c r="A26" s="35" t="s">
        <v>291</v>
      </c>
      <c r="B26" s="157">
        <f>SUMIF('Detailed Budget'!$A$10:$A$1048576, "Consultants/Contracts",'Detailed Budget'!$D$10:$D$1048576)</f>
        <v>0</v>
      </c>
      <c r="C26" s="157">
        <f>SUMIF('Detailed Budget'!$A$10:$A$1048576, "Consultants/Contracts",'Detailed Budget'!$F$10:$F$1048576)</f>
        <v>0</v>
      </c>
      <c r="D26" s="37">
        <f>B26+C26</f>
        <v>0</v>
      </c>
      <c r="F26" s="35" t="s">
        <v>57</v>
      </c>
      <c r="G26" s="37">
        <f>SUMIF('Detailed Budget'!$S$10:$S$1048576, "Infrastructure Systems", 'Detailed Budget'!$N$10:$N$1048576)</f>
        <v>0</v>
      </c>
    </row>
    <row r="27" spans="1:7" ht="14.65" thickBot="1" x14ac:dyDescent="0.5">
      <c r="A27" s="35" t="s">
        <v>333</v>
      </c>
      <c r="B27" s="183">
        <f>SUMIF('Detailed Budget'!$A$10:$A$1048576, "Consultants/Contracts",'Detailed Budget'!$E$10:$E$1048576)</f>
        <v>0</v>
      </c>
      <c r="C27" s="183">
        <f>SUMIF('Detailed Budget'!$A$10:$A$1048576, "Consultants/Contracts",'Detailed Budget'!$G$10:$G$1048576)</f>
        <v>0</v>
      </c>
      <c r="D27" s="184">
        <f>B27+C27</f>
        <v>0</v>
      </c>
      <c r="F27" s="35" t="s">
        <v>44</v>
      </c>
      <c r="G27" s="37">
        <f>SUMIF('Detailed Budget'!$S$10:$S$1048576, "Intelligence and Information Sharing", 'Detailed Budget'!$N$10:$N$1048576)</f>
        <v>0</v>
      </c>
    </row>
    <row r="28" spans="1:7" x14ac:dyDescent="0.45">
      <c r="A28" s="33" t="s">
        <v>17</v>
      </c>
      <c r="B28" s="157">
        <f>B29+B30</f>
        <v>0</v>
      </c>
      <c r="C28" s="157">
        <f>C29+C30</f>
        <v>0</v>
      </c>
      <c r="D28" s="15">
        <f>SUMIF('Detailed Budget'!$A$10:$A$1048576, "Personnel",'Detailed Budget'!$N$10:$N$1048576)</f>
        <v>0</v>
      </c>
      <c r="F28" s="35" t="s">
        <v>47</v>
      </c>
      <c r="G28" s="37">
        <f>SUMIF('Detailed Budget'!$S$10:$S$1048576, "Interdiction and Disruption", 'Detailed Budget'!$N$10:$N$1048576)</f>
        <v>0</v>
      </c>
    </row>
    <row r="29" spans="1:7" x14ac:dyDescent="0.45">
      <c r="A29" s="35" t="s">
        <v>291</v>
      </c>
      <c r="B29" s="157">
        <f>SUMIF('Detailed Budget'!$A$10:$A$1048576, "Other",'Detailed Budget'!$D$10:$D$1048576)</f>
        <v>0</v>
      </c>
      <c r="C29" s="157">
        <f>SUMIF('Detailed Budget'!$A$10:$A$1048576, "Other",'Detailed Budget'!$F$10:$F$1048576)</f>
        <v>0</v>
      </c>
      <c r="D29" s="185">
        <f>B29+C29</f>
        <v>0</v>
      </c>
      <c r="F29" s="35" t="s">
        <v>100</v>
      </c>
      <c r="G29" s="37">
        <f>SUMIF('Detailed Budget'!$S$10:$S$1048576, "Life-Sustaining Goods Delivery", 'Detailed Budget'!$N$10:$N$1048576)</f>
        <v>0</v>
      </c>
    </row>
    <row r="30" spans="1:7" ht="14.65" thickBot="1" x14ac:dyDescent="0.5">
      <c r="A30" s="35" t="s">
        <v>333</v>
      </c>
      <c r="B30" s="183">
        <f>SUMIF('Detailed Budget'!$A$10:$A$1048576, "Other",'Detailed Budget'!$E$10:$E$1048576)</f>
        <v>0</v>
      </c>
      <c r="C30" s="183">
        <f>SUMIF('Detailed Budget'!$A$10:$A$1048576, "Other",'Detailed Budget'!$G$10:$G$1048576)</f>
        <v>0</v>
      </c>
      <c r="D30" s="39">
        <f>B30+C30</f>
        <v>0</v>
      </c>
      <c r="F30" s="35" t="s">
        <v>249</v>
      </c>
      <c r="G30" s="37">
        <f>SUMIF('Detailed Budget'!$S$10:$S$1048576, "Logistics – Distribution Management Planning", 'Detailed Budget'!$N$10:$N$1048576)</f>
        <v>0</v>
      </c>
    </row>
    <row r="31" spans="1:7" x14ac:dyDescent="0.45">
      <c r="A31" s="33" t="s">
        <v>18</v>
      </c>
      <c r="B31" s="157">
        <f>B32+B33</f>
        <v>0</v>
      </c>
      <c r="C31" s="157">
        <f>C32+C33</f>
        <v>0</v>
      </c>
      <c r="D31" s="155">
        <f>SUMIF('Detailed Budget'!$A$10:$A$1048576, "Personnel",'Detailed Budget'!$N$10:$N$1048576)</f>
        <v>0</v>
      </c>
      <c r="F31" s="35" t="s">
        <v>53</v>
      </c>
      <c r="G31" s="37">
        <f>SUMIF('Detailed Budget'!$S$10:$S$1048576, "Logistics and Supply Chain Management", 'Detailed Budget'!$N$10:$N$1048576)</f>
        <v>0</v>
      </c>
    </row>
    <row r="32" spans="1:7" x14ac:dyDescent="0.45">
      <c r="A32" s="35" t="s">
        <v>291</v>
      </c>
      <c r="B32" s="157">
        <f>SUMIF('Detailed Budget'!$A$10:$A$1048576, "Construction",'Detailed Budget'!$D$10:$D$1048576)</f>
        <v>0</v>
      </c>
      <c r="C32" s="157">
        <f>SUMIF('Detailed Budget'!$A$10:$A$1048576, "Construction",'Detailed Budget'!$F$10:$F$1048576)</f>
        <v>0</v>
      </c>
      <c r="D32" s="15">
        <f>B32+C32</f>
        <v>0</v>
      </c>
      <c r="F32" s="35" t="s">
        <v>96</v>
      </c>
      <c r="G32" s="37">
        <f>SUMIF('Detailed Budget'!$S$10:$S$1048576, "Long-term Housing", 'Detailed Budget'!$N$10:$N$1048576)</f>
        <v>0</v>
      </c>
    </row>
    <row r="33" spans="1:7" ht="14.65" thickBot="1" x14ac:dyDescent="0.5">
      <c r="A33" s="38" t="s">
        <v>333</v>
      </c>
      <c r="B33" s="183">
        <f>SUMIF('Detailed Budget'!$A$10:$A$1048576, "Construction",'Detailed Budget'!$E$10:$E$1048576)</f>
        <v>0</v>
      </c>
      <c r="C33" s="183">
        <f>SUMIF('Detailed Budget'!$A$10:$A$1048576, "Construction",'Detailed Budget'!$G$10:$G$1048576)</f>
        <v>0</v>
      </c>
      <c r="D33" s="39">
        <f>B33+C33</f>
        <v>0</v>
      </c>
      <c r="F33" s="35" t="s">
        <v>85</v>
      </c>
      <c r="G33" s="37">
        <f>SUMIF('Detailed Budget'!$S$10:$S$1048576, "Long-term Vulnerability Reduction", 'Detailed Budget'!$N$10:$N$1048576)</f>
        <v>0</v>
      </c>
    </row>
    <row r="34" spans="1:7" x14ac:dyDescent="0.45">
      <c r="A34" s="33" t="s">
        <v>19</v>
      </c>
      <c r="B34" s="157">
        <f>B35+B36</f>
        <v>0</v>
      </c>
      <c r="C34" s="157">
        <f>C35+C36</f>
        <v>0</v>
      </c>
      <c r="D34" s="155">
        <f>SUMIF('Detailed Budget'!$A$10:$A$1048576, "Personnel",'Detailed Budget'!$N$10:$N$1048576)</f>
        <v>0</v>
      </c>
      <c r="F34" s="35" t="s">
        <v>59</v>
      </c>
      <c r="G34" s="37">
        <f>SUMIF('Detailed Budget'!$S$10:$S$1048576, "Mass Care Services", 'Detailed Budget'!$N$10:$N$1048576)</f>
        <v>0</v>
      </c>
    </row>
    <row r="35" spans="1:7" x14ac:dyDescent="0.45">
      <c r="A35" s="35" t="s">
        <v>291</v>
      </c>
      <c r="B35" s="157">
        <f>SUMIF('Detailed Budget'!$A$10:$A$1048576, "Indirect",'Detailed Budget'!$D$10:$D$1048576)</f>
        <v>0</v>
      </c>
      <c r="C35" s="157">
        <f>SUMIF('Detailed Budget'!$A$10:$A$1048576, "Indirect",'Detailed Budget'!$F$10:$F$1048576)</f>
        <v>0</v>
      </c>
      <c r="D35" s="15">
        <f>B35+C35</f>
        <v>0</v>
      </c>
      <c r="F35" s="35" t="s">
        <v>61</v>
      </c>
      <c r="G35" s="37">
        <f>SUMIF('Detailed Budget'!$S$10:$S$1048576, "Mass Search and Rescue Operations", 'Detailed Budget'!$N$10:$N$1048576)</f>
        <v>0</v>
      </c>
    </row>
    <row r="36" spans="1:7" x14ac:dyDescent="0.45">
      <c r="A36" s="35" t="s">
        <v>333</v>
      </c>
      <c r="B36" s="157">
        <f>SUMIF('Detailed Budget'!$A$10:$A$1048576, "Indirect",'Detailed Budget'!$E$10:$E$1048576)</f>
        <v>0</v>
      </c>
      <c r="C36" s="157">
        <f>SUMIF('Detailed Budget'!$A$10:$A$1048576, "Indirect",'Detailed Budget'!$G$10:$G$1048576)</f>
        <v>0</v>
      </c>
      <c r="D36" s="37">
        <f>B36+C36</f>
        <v>0</v>
      </c>
      <c r="F36" s="35" t="s">
        <v>58</v>
      </c>
      <c r="G36" s="37">
        <f>SUMIF('Detailed Budget'!$S$10:$S$1048576, "Natural and Cultural Resources", 'Detailed Budget'!$N$10:$N$1048576)</f>
        <v>0</v>
      </c>
    </row>
    <row r="37" spans="1:7" ht="14.65" thickBot="1" x14ac:dyDescent="0.5">
      <c r="A37" s="34"/>
      <c r="B37" s="180"/>
      <c r="C37" s="181"/>
      <c r="D37" s="182"/>
      <c r="F37" s="35" t="s">
        <v>63</v>
      </c>
      <c r="G37" s="37">
        <f>SUMIF('Detailed Budget'!$S$10:$S$1048576, "On-Scene Security, Protection, and Law Enforcement", 'Detailed Budget'!$N$10:$N$1048576)</f>
        <v>0</v>
      </c>
    </row>
    <row r="38" spans="1:7" x14ac:dyDescent="0.45">
      <c r="A38" s="151"/>
      <c r="B38" s="24"/>
      <c r="C38" s="24"/>
      <c r="D38" s="24"/>
      <c r="F38" s="35" t="s">
        <v>64</v>
      </c>
      <c r="G38" s="37">
        <f>SUMIF('Detailed Budget'!$S$10:$S$1048576, "Operational Communications", 'Detailed Budget'!$N$10:$N$1048576)</f>
        <v>0</v>
      </c>
    </row>
    <row r="39" spans="1:7" x14ac:dyDescent="0.45">
      <c r="A39" s="32"/>
      <c r="B39" s="24"/>
      <c r="C39" s="24"/>
      <c r="D39" s="24"/>
      <c r="F39" s="35" t="s">
        <v>33</v>
      </c>
      <c r="G39" s="37">
        <f>SUMIF('Detailed Budget'!$S$10:$S$1048576, "Operational Coordination", 'Detailed Budget'!$N$10:$N$1048576)</f>
        <v>0</v>
      </c>
    </row>
    <row r="40" spans="1:7" x14ac:dyDescent="0.45">
      <c r="A40" s="32"/>
      <c r="B40" s="24"/>
      <c r="C40" s="24"/>
      <c r="D40" s="24"/>
      <c r="F40" s="35" t="s">
        <v>84</v>
      </c>
      <c r="G40" s="37">
        <f>SUMIF('Detailed Budget'!$S$10:$S$1048576, "Physical Protective Measures", 'Detailed Budget'!$N$10:$N$1048576)</f>
        <v>0</v>
      </c>
    </row>
    <row r="41" spans="1:7" x14ac:dyDescent="0.45">
      <c r="A41" s="32"/>
      <c r="B41" s="24"/>
      <c r="C41" s="24"/>
      <c r="D41" s="24"/>
      <c r="F41" s="35" t="s">
        <v>41</v>
      </c>
      <c r="G41" s="37">
        <f>SUMIF('Detailed Budget'!$S$10:$S$1048576, "Planning", 'Detailed Budget'!$N$10:$N$1048576)</f>
        <v>0</v>
      </c>
    </row>
    <row r="42" spans="1:7" x14ac:dyDescent="0.45">
      <c r="A42" s="32"/>
      <c r="B42" s="24"/>
      <c r="C42" s="24"/>
      <c r="D42" s="24"/>
      <c r="F42" s="35" t="s">
        <v>65</v>
      </c>
      <c r="G42" s="37">
        <f>SUMIF('Detailed Budget'!$S$10:$S$1048576, "Public Health, Healthcare, and Emergency Medical Services", 'Detailed Budget'!$N$10:$N$1048576)</f>
        <v>0</v>
      </c>
    </row>
    <row r="43" spans="1:7" x14ac:dyDescent="0.45">
      <c r="A43" s="32"/>
      <c r="B43" s="24"/>
      <c r="C43" s="24"/>
      <c r="D43" s="24"/>
      <c r="F43" s="35" t="s">
        <v>42</v>
      </c>
      <c r="G43" s="37">
        <f>SUMIF('Detailed Budget'!$S$10:$S$1048576, "Public Information and Warning", 'Detailed Budget'!$N$10:$N$1048576)</f>
        <v>0</v>
      </c>
    </row>
    <row r="44" spans="1:7" x14ac:dyDescent="0.45">
      <c r="A44" s="32"/>
      <c r="B44" s="24"/>
      <c r="C44" s="24"/>
      <c r="D44" s="24"/>
      <c r="F44" s="35" t="s">
        <v>235</v>
      </c>
      <c r="G44" s="37">
        <f>SUMIF('Detailed Budget'!$S$10:$S$1048576, "Relocation Assistance", 'Detailed Budget'!$N$10:$N$1048576)</f>
        <v>0</v>
      </c>
    </row>
    <row r="45" spans="1:7" x14ac:dyDescent="0.45">
      <c r="A45" s="32"/>
      <c r="B45" s="24"/>
      <c r="C45" s="24"/>
      <c r="D45" s="24"/>
      <c r="F45" s="35" t="s">
        <v>252</v>
      </c>
      <c r="G45" s="37">
        <f>SUMIF('Detailed Budget'!$S$10:$S$1048576, "Resilient Communications", 'Detailed Budget'!$N$10:$N$1048576)</f>
        <v>0</v>
      </c>
    </row>
    <row r="46" spans="1:7" x14ac:dyDescent="0.45">
      <c r="A46" s="32"/>
      <c r="B46" s="24"/>
      <c r="C46" s="24"/>
      <c r="D46" s="24"/>
      <c r="F46" s="35" t="s">
        <v>50</v>
      </c>
      <c r="G46" s="37">
        <f>SUMIF('Detailed Budget'!$S$10:$S$1048576, "Risk and Disaster Resilience Assessment", 'Detailed Budget'!$N$10:$N$1048576)</f>
        <v>0</v>
      </c>
    </row>
    <row r="47" spans="1:7" x14ac:dyDescent="0.45">
      <c r="A47" s="32"/>
      <c r="B47" s="24"/>
      <c r="C47" s="24"/>
      <c r="D47" s="24"/>
      <c r="F47" s="35" t="s">
        <v>62</v>
      </c>
      <c r="G47" s="37">
        <f>SUMIF('Detailed Budget'!$S$10:$S$1048576, "Risk Management for Protection Programs and Activities", 'Detailed Budget'!$N$10:$N$1048576)</f>
        <v>0</v>
      </c>
    </row>
    <row r="48" spans="1:7" x14ac:dyDescent="0.45">
      <c r="A48" s="32"/>
      <c r="B48" s="24"/>
      <c r="C48" s="24"/>
      <c r="D48" s="24"/>
      <c r="F48" s="35" t="s">
        <v>49</v>
      </c>
      <c r="G48" s="37">
        <f>SUMIF('Detailed Budget'!$S$10:$S$1048576, "Screening, Search, and Detection", 'Detailed Budget'!$N$10:$N$1048576)</f>
        <v>0</v>
      </c>
    </row>
    <row r="49" spans="1:7" x14ac:dyDescent="0.45">
      <c r="A49" s="32"/>
      <c r="B49" s="24"/>
      <c r="C49" s="24"/>
      <c r="D49" s="24"/>
      <c r="F49" s="35" t="s">
        <v>66</v>
      </c>
      <c r="G49" s="37">
        <f>SUMIF('Detailed Budget'!$S$10:$S$1048576, "Situational Assessment", 'Detailed Budget'!$N$10:$N$1048576)</f>
        <v>0</v>
      </c>
    </row>
    <row r="50" spans="1:7" x14ac:dyDescent="0.45">
      <c r="A50" s="32"/>
      <c r="B50" s="24"/>
      <c r="C50" s="24"/>
      <c r="D50" s="24"/>
      <c r="F50" s="35" t="s">
        <v>60</v>
      </c>
      <c r="G50" s="37">
        <f>SUMIF('Detailed Budget'!$S$10:$S$1048576, "Supply Chain Integrity and Security", 'Detailed Budget'!$N$10:$N$1048576)</f>
        <v>0</v>
      </c>
    </row>
    <row r="51" spans="1:7" ht="14.65" thickBot="1" x14ac:dyDescent="0.5">
      <c r="A51" s="32"/>
      <c r="B51" s="24"/>
      <c r="C51" s="24"/>
      <c r="D51" s="24"/>
      <c r="F51" s="38" t="s">
        <v>56</v>
      </c>
      <c r="G51" s="37">
        <f>SUMIF('Detailed Budget'!$S$10:$S$1048576, "Threats and Hazards Identification", 'Detailed Budget'!$N$10:$N$1048576)</f>
        <v>0</v>
      </c>
    </row>
    <row r="52" spans="1:7" x14ac:dyDescent="0.45">
      <c r="A52" s="32"/>
      <c r="B52" s="24"/>
      <c r="C52" s="24"/>
      <c r="D52" s="24"/>
    </row>
    <row r="53" spans="1:7" x14ac:dyDescent="0.45">
      <c r="A53" s="32"/>
      <c r="B53" s="24"/>
      <c r="C53" s="24"/>
      <c r="D53" s="24"/>
    </row>
    <row r="54" spans="1:7" x14ac:dyDescent="0.45">
      <c r="A54" s="32"/>
      <c r="B54" s="24"/>
      <c r="C54" s="24"/>
      <c r="D54" s="24"/>
    </row>
    <row r="55" spans="1:7" x14ac:dyDescent="0.45">
      <c r="A55" s="32"/>
      <c r="B55" s="24"/>
      <c r="C55" s="24"/>
      <c r="D55" s="24"/>
    </row>
    <row r="56" spans="1:7" x14ac:dyDescent="0.45">
      <c r="A56" s="32"/>
      <c r="B56" s="24"/>
      <c r="C56" s="24"/>
      <c r="D56" s="24"/>
    </row>
    <row r="57" spans="1:7" x14ac:dyDescent="0.45">
      <c r="A57" s="32"/>
      <c r="B57" s="24"/>
      <c r="C57" s="24"/>
      <c r="D57" s="24"/>
    </row>
    <row r="58" spans="1:7" x14ac:dyDescent="0.45">
      <c r="A58" s="32"/>
      <c r="B58" s="24"/>
      <c r="C58" s="24"/>
      <c r="D58" s="24"/>
    </row>
    <row r="59" spans="1:7" x14ac:dyDescent="0.45">
      <c r="A59" s="32"/>
      <c r="B59" s="24"/>
      <c r="C59" s="24"/>
      <c r="D59" s="24"/>
    </row>
    <row r="60" spans="1:7" x14ac:dyDescent="0.45">
      <c r="A60" s="32"/>
      <c r="B60" s="24"/>
      <c r="C60" s="24"/>
      <c r="D60" s="24"/>
    </row>
  </sheetData>
  <sortState xmlns:xlrd2="http://schemas.microsoft.com/office/spreadsheetml/2017/richdata2" ref="F10:G51">
    <sortCondition ref="F10"/>
  </sortState>
  <mergeCells count="2">
    <mergeCell ref="A1:G1"/>
    <mergeCell ref="A3:D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D028E-6E4F-43F5-9F5A-CFB0D3A9C8D6}">
  <dimension ref="A1:H1964"/>
  <sheetViews>
    <sheetView topLeftCell="A70" zoomScaleNormal="100" workbookViewId="0">
      <selection activeCell="C4" sqref="C4"/>
    </sheetView>
  </sheetViews>
  <sheetFormatPr defaultColWidth="8.86328125" defaultRowHeight="14.25" x14ac:dyDescent="0.45"/>
  <cols>
    <col min="1" max="1" width="17.53125" style="61" customWidth="1"/>
    <col min="2" max="2" width="12.6640625" style="61" customWidth="1"/>
    <col min="3" max="3" width="27.1328125" style="61" customWidth="1"/>
    <col min="4" max="4" width="3" style="61" customWidth="1"/>
    <col min="5" max="5" width="15.33203125" style="61" customWidth="1"/>
    <col min="6" max="6" width="19.796875" style="61" customWidth="1"/>
    <col min="7" max="7" width="34.19921875" style="61" customWidth="1"/>
    <col min="8" max="16384" width="8.86328125" style="61"/>
  </cols>
  <sheetData>
    <row r="1" spans="1:7" x14ac:dyDescent="0.45">
      <c r="A1" s="208" t="s">
        <v>75</v>
      </c>
      <c r="B1" s="209">
        <f>COUNTA(Name1, Name2, Name3, Name4, Name5, Name6, Name7, Name8, Name9, Name10, Name11, Name12, Name13, Name14, Name15, Name16, Name17, Name18, Name19, Name20, Name21, Name22, Name23, Name24, Name25, Name26, Name27, Name28, Name29, Name30, Name31, Name32, Name33, Name34, Name35, Name36, Name37, Name38, Name39, Name40)</f>
        <v>0</v>
      </c>
    </row>
    <row r="2" spans="1:7" x14ac:dyDescent="0.45">
      <c r="A2" s="208" t="s">
        <v>329</v>
      </c>
      <c r="B2" s="209" cm="1">
        <f t="array" ref="B2">SUM(COUNTIFS(POETE1.1:POETE40.3, {"Planning","Training","Exercises"}))</f>
        <v>0</v>
      </c>
    </row>
    <row r="3" spans="1:7" x14ac:dyDescent="0.45">
      <c r="A3" s="208" t="s">
        <v>330</v>
      </c>
      <c r="B3" s="209">
        <f>'Project Reference'!X42</f>
        <v>0</v>
      </c>
    </row>
    <row r="4" spans="1:7" ht="28.9" thickBot="1" x14ac:dyDescent="0.5">
      <c r="A4" s="210" t="s">
        <v>336</v>
      </c>
      <c r="B4" s="211" t="e">
        <f>B2/B3</f>
        <v>#DIV/0!</v>
      </c>
    </row>
    <row r="5" spans="1:7" ht="14.65" thickBot="1" x14ac:dyDescent="0.5">
      <c r="A5" s="103"/>
      <c r="B5" s="83"/>
    </row>
    <row r="6" spans="1:7" ht="14.65" thickBot="1" x14ac:dyDescent="0.5">
      <c r="A6" s="104" t="s">
        <v>76</v>
      </c>
      <c r="B6" s="126">
        <v>1</v>
      </c>
    </row>
    <row r="7" spans="1:7" ht="12.6" customHeight="1" x14ac:dyDescent="0.45">
      <c r="A7" s="418" t="s">
        <v>89</v>
      </c>
      <c r="B7" s="437"/>
      <c r="C7" s="438"/>
      <c r="D7" s="438"/>
      <c r="E7" s="438"/>
      <c r="F7" s="438"/>
      <c r="G7" s="439"/>
    </row>
    <row r="8" spans="1:7" ht="12.6" customHeight="1" x14ac:dyDescent="0.45">
      <c r="A8" s="418"/>
      <c r="B8" s="428"/>
      <c r="C8" s="230"/>
      <c r="D8" s="230"/>
      <c r="E8" s="230"/>
      <c r="F8" s="230"/>
      <c r="G8" s="429"/>
    </row>
    <row r="9" spans="1:7" ht="12.6" customHeight="1" x14ac:dyDescent="0.45">
      <c r="A9" s="436"/>
      <c r="B9" s="428"/>
      <c r="C9" s="230"/>
      <c r="D9" s="230"/>
      <c r="E9" s="230"/>
      <c r="F9" s="230"/>
      <c r="G9" s="429"/>
    </row>
    <row r="10" spans="1:7" ht="23.45" customHeight="1" x14ac:dyDescent="0.45">
      <c r="A10" s="417" t="s">
        <v>158</v>
      </c>
      <c r="B10" s="428"/>
      <c r="C10" s="230"/>
      <c r="D10" s="230"/>
      <c r="E10" s="230"/>
      <c r="F10" s="230"/>
      <c r="G10" s="429"/>
    </row>
    <row r="11" spans="1:7" ht="23.45" customHeight="1" x14ac:dyDescent="0.45">
      <c r="A11" s="418"/>
      <c r="B11" s="428"/>
      <c r="C11" s="230"/>
      <c r="D11" s="230"/>
      <c r="E11" s="230"/>
      <c r="F11" s="230"/>
      <c r="G11" s="429"/>
    </row>
    <row r="12" spans="1:7" ht="23.45" customHeight="1" x14ac:dyDescent="0.45">
      <c r="A12" s="436"/>
      <c r="B12" s="428"/>
      <c r="C12" s="230"/>
      <c r="D12" s="230"/>
      <c r="E12" s="230"/>
      <c r="F12" s="230"/>
      <c r="G12" s="429"/>
    </row>
    <row r="13" spans="1:7" x14ac:dyDescent="0.45">
      <c r="A13" s="417" t="s">
        <v>155</v>
      </c>
      <c r="B13" s="428"/>
      <c r="C13" s="230"/>
      <c r="D13" s="230"/>
      <c r="E13" s="230"/>
      <c r="F13" s="417" t="s">
        <v>167</v>
      </c>
      <c r="G13" s="433"/>
    </row>
    <row r="14" spans="1:7" x14ac:dyDescent="0.45">
      <c r="A14" s="418"/>
      <c r="B14" s="428"/>
      <c r="C14" s="230"/>
      <c r="D14" s="230"/>
      <c r="E14" s="230"/>
      <c r="F14" s="418"/>
      <c r="G14" s="434"/>
    </row>
    <row r="15" spans="1:7" x14ac:dyDescent="0.45">
      <c r="A15" s="418"/>
      <c r="B15" s="428"/>
      <c r="C15" s="230"/>
      <c r="D15" s="230"/>
      <c r="E15" s="230"/>
      <c r="F15" s="418"/>
      <c r="G15" s="435"/>
    </row>
    <row r="16" spans="1:7" x14ac:dyDescent="0.45">
      <c r="A16" s="417" t="s">
        <v>159</v>
      </c>
      <c r="B16" s="428"/>
      <c r="C16" s="230"/>
      <c r="D16" s="230"/>
      <c r="E16" s="230"/>
      <c r="F16" s="230"/>
      <c r="G16" s="429"/>
    </row>
    <row r="17" spans="1:7" x14ac:dyDescent="0.45">
      <c r="A17" s="418"/>
      <c r="B17" s="428"/>
      <c r="C17" s="230"/>
      <c r="D17" s="230"/>
      <c r="E17" s="230"/>
      <c r="F17" s="230"/>
      <c r="G17" s="429"/>
    </row>
    <row r="18" spans="1:7" x14ac:dyDescent="0.45">
      <c r="A18" s="436"/>
      <c r="B18" s="428"/>
      <c r="C18" s="230"/>
      <c r="D18" s="230"/>
      <c r="E18" s="230"/>
      <c r="F18" s="230"/>
      <c r="G18" s="429"/>
    </row>
    <row r="19" spans="1:7" x14ac:dyDescent="0.45">
      <c r="A19" s="425" t="s">
        <v>161</v>
      </c>
      <c r="B19" s="428"/>
      <c r="C19" s="230"/>
      <c r="D19" s="230"/>
      <c r="E19" s="230"/>
      <c r="F19" s="230"/>
      <c r="G19" s="429"/>
    </row>
    <row r="20" spans="1:7" x14ac:dyDescent="0.45">
      <c r="A20" s="426"/>
      <c r="B20" s="428"/>
      <c r="C20" s="230"/>
      <c r="D20" s="230"/>
      <c r="E20" s="230"/>
      <c r="F20" s="230"/>
      <c r="G20" s="429"/>
    </row>
    <row r="21" spans="1:7" x14ac:dyDescent="0.45">
      <c r="A21" s="427"/>
      <c r="B21" s="428"/>
      <c r="C21" s="230"/>
      <c r="D21" s="230"/>
      <c r="E21" s="230"/>
      <c r="F21" s="230"/>
      <c r="G21" s="429"/>
    </row>
    <row r="22" spans="1:7" ht="14.65" thickBot="1" x14ac:dyDescent="0.5">
      <c r="A22" s="105" t="s">
        <v>166</v>
      </c>
      <c r="B22" s="430"/>
      <c r="C22" s="431"/>
      <c r="D22" s="431"/>
      <c r="E22" s="431"/>
      <c r="F22" s="431"/>
      <c r="G22" s="432"/>
    </row>
    <row r="23" spans="1:7" ht="14.65" thickBot="1" x14ac:dyDescent="0.5"/>
    <row r="24" spans="1:7" ht="14.65" thickBot="1" x14ac:dyDescent="0.5">
      <c r="A24" s="407" t="s">
        <v>77</v>
      </c>
      <c r="B24" s="408"/>
      <c r="C24" s="69"/>
      <c r="E24" s="86" t="s">
        <v>22</v>
      </c>
      <c r="F24" s="62"/>
      <c r="G24" s="62"/>
    </row>
    <row r="25" spans="1:7" ht="14.65" thickBot="1" x14ac:dyDescent="0.5">
      <c r="A25" s="106"/>
      <c r="B25" s="106"/>
      <c r="E25" s="88" t="s">
        <v>32</v>
      </c>
      <c r="F25" s="382"/>
      <c r="G25" s="383"/>
    </row>
    <row r="26" spans="1:7" ht="14.65" thickBot="1" x14ac:dyDescent="0.5">
      <c r="A26" s="107" t="s">
        <v>103</v>
      </c>
      <c r="B26" s="106"/>
      <c r="E26" s="88" t="s">
        <v>34</v>
      </c>
      <c r="F26" s="386"/>
      <c r="G26" s="387"/>
    </row>
    <row r="27" spans="1:7" ht="14.65" thickBot="1" x14ac:dyDescent="0.5">
      <c r="A27" s="88" t="s">
        <v>32</v>
      </c>
      <c r="B27" s="382"/>
      <c r="C27" s="383"/>
      <c r="E27" s="89" t="s">
        <v>35</v>
      </c>
      <c r="F27" s="380"/>
      <c r="G27" s="381"/>
    </row>
    <row r="28" spans="1:7" ht="15" customHeight="1" thickBot="1" x14ac:dyDescent="0.5">
      <c r="A28" s="88" t="s">
        <v>34</v>
      </c>
      <c r="B28" s="386"/>
      <c r="C28" s="387"/>
      <c r="F28" s="62"/>
    </row>
    <row r="29" spans="1:7" ht="14.65" thickBot="1" x14ac:dyDescent="0.5">
      <c r="A29" s="89" t="s">
        <v>35</v>
      </c>
      <c r="B29" s="380"/>
      <c r="C29" s="381"/>
      <c r="E29" s="86" t="s">
        <v>31</v>
      </c>
      <c r="F29" s="62"/>
    </row>
    <row r="30" spans="1:7" ht="14.65" thickBot="1" x14ac:dyDescent="0.5">
      <c r="A30" s="87"/>
      <c r="B30" s="62"/>
      <c r="C30" s="62"/>
      <c r="E30" s="117">
        <v>1</v>
      </c>
      <c r="F30" s="382"/>
      <c r="G30" s="383"/>
    </row>
    <row r="31" spans="1:7" ht="14.65" thickBot="1" x14ac:dyDescent="0.5">
      <c r="A31" s="384" t="s">
        <v>262</v>
      </c>
      <c r="B31" s="385"/>
      <c r="E31" s="117">
        <v>2</v>
      </c>
      <c r="F31" s="386"/>
      <c r="G31" s="387"/>
    </row>
    <row r="32" spans="1:7" x14ac:dyDescent="0.45">
      <c r="A32" s="117">
        <v>1</v>
      </c>
      <c r="B32" s="388"/>
      <c r="C32" s="389"/>
      <c r="E32" s="118">
        <v>3</v>
      </c>
      <c r="F32" s="386"/>
      <c r="G32" s="387"/>
    </row>
    <row r="33" spans="1:7" x14ac:dyDescent="0.45">
      <c r="A33" s="117">
        <v>2</v>
      </c>
      <c r="B33" s="390"/>
      <c r="C33" s="391"/>
      <c r="E33" s="117">
        <v>4</v>
      </c>
      <c r="F33" s="392"/>
      <c r="G33" s="393"/>
    </row>
    <row r="34" spans="1:7" ht="14.65" thickBot="1" x14ac:dyDescent="0.5">
      <c r="A34" s="145">
        <v>3</v>
      </c>
      <c r="B34" s="394"/>
      <c r="C34" s="395"/>
      <c r="E34" s="119">
        <v>5</v>
      </c>
      <c r="F34" s="380"/>
      <c r="G34" s="381"/>
    </row>
    <row r="35" spans="1:7" ht="14.65" thickBot="1" x14ac:dyDescent="0.5"/>
    <row r="36" spans="1:7" s="90" customFormat="1" x14ac:dyDescent="0.45">
      <c r="A36" s="357" t="s">
        <v>136</v>
      </c>
      <c r="B36" s="358"/>
      <c r="C36" s="358"/>
      <c r="D36" s="358"/>
      <c r="E36" s="358"/>
      <c r="F36" s="358"/>
      <c r="G36" s="359"/>
    </row>
    <row r="37" spans="1:7" ht="14.25" customHeight="1" x14ac:dyDescent="0.45">
      <c r="A37" s="360" t="s">
        <v>137</v>
      </c>
      <c r="B37" s="361"/>
      <c r="C37" s="361"/>
      <c r="D37" s="361"/>
      <c r="E37" s="361"/>
      <c r="F37" s="361"/>
      <c r="G37" s="362"/>
    </row>
    <row r="38" spans="1:7" ht="14.25" customHeight="1" x14ac:dyDescent="0.45">
      <c r="A38" s="360" t="s">
        <v>164</v>
      </c>
      <c r="B38" s="361"/>
      <c r="C38" s="361"/>
      <c r="D38" s="361"/>
      <c r="E38" s="361"/>
      <c r="F38" s="361"/>
      <c r="G38" s="362"/>
    </row>
    <row r="39" spans="1:7" ht="30.5" customHeight="1" x14ac:dyDescent="0.45">
      <c r="A39" s="363" t="s">
        <v>136</v>
      </c>
      <c r="B39" s="364"/>
      <c r="C39" s="365"/>
      <c r="D39" s="366" t="s">
        <v>203</v>
      </c>
      <c r="E39" s="365"/>
      <c r="F39" s="366" t="s">
        <v>165</v>
      </c>
      <c r="G39" s="365"/>
    </row>
    <row r="40" spans="1:7" ht="46.25" customHeight="1" x14ac:dyDescent="0.45">
      <c r="A40" s="367" t="s">
        <v>206</v>
      </c>
      <c r="B40" s="368"/>
      <c r="C40" s="369"/>
      <c r="D40" s="376" t="s">
        <v>204</v>
      </c>
      <c r="E40" s="369"/>
      <c r="F40" s="379" t="s">
        <v>205</v>
      </c>
      <c r="G40" s="369"/>
    </row>
    <row r="41" spans="1:7" ht="46.25" customHeight="1" x14ac:dyDescent="0.45">
      <c r="A41" s="370"/>
      <c r="B41" s="371"/>
      <c r="C41" s="372"/>
      <c r="D41" s="377"/>
      <c r="E41" s="372"/>
      <c r="F41" s="377"/>
      <c r="G41" s="372"/>
    </row>
    <row r="42" spans="1:7" ht="39" customHeight="1" x14ac:dyDescent="0.45">
      <c r="A42" s="373"/>
      <c r="B42" s="374"/>
      <c r="C42" s="375"/>
      <c r="D42" s="378"/>
      <c r="E42" s="375"/>
      <c r="F42" s="378"/>
      <c r="G42" s="375"/>
    </row>
    <row r="43" spans="1:7" ht="28.25" customHeight="1" x14ac:dyDescent="0.45">
      <c r="A43" s="327"/>
      <c r="B43" s="328"/>
      <c r="C43" s="329"/>
      <c r="D43" s="336"/>
      <c r="E43" s="329"/>
      <c r="F43" s="336"/>
      <c r="G43" s="339"/>
    </row>
    <row r="44" spans="1:7" ht="28.25" customHeight="1" x14ac:dyDescent="0.45">
      <c r="A44" s="330"/>
      <c r="B44" s="331"/>
      <c r="C44" s="332"/>
      <c r="D44" s="337"/>
      <c r="E44" s="332"/>
      <c r="F44" s="337"/>
      <c r="G44" s="340"/>
    </row>
    <row r="45" spans="1:7" ht="28.25" customHeight="1" x14ac:dyDescent="0.45">
      <c r="A45" s="333"/>
      <c r="B45" s="334"/>
      <c r="C45" s="335"/>
      <c r="D45" s="338"/>
      <c r="E45" s="335"/>
      <c r="F45" s="338"/>
      <c r="G45" s="341"/>
    </row>
    <row r="46" spans="1:7" ht="28.25" customHeight="1" x14ac:dyDescent="0.45">
      <c r="A46" s="327"/>
      <c r="B46" s="328"/>
      <c r="C46" s="329"/>
      <c r="D46" s="336"/>
      <c r="E46" s="329"/>
      <c r="F46" s="336"/>
      <c r="G46" s="339"/>
    </row>
    <row r="47" spans="1:7" ht="28.25" customHeight="1" x14ac:dyDescent="0.45">
      <c r="A47" s="330"/>
      <c r="B47" s="331"/>
      <c r="C47" s="332"/>
      <c r="D47" s="337"/>
      <c r="E47" s="332"/>
      <c r="F47" s="337"/>
      <c r="G47" s="340"/>
    </row>
    <row r="48" spans="1:7" ht="28.25" customHeight="1" x14ac:dyDescent="0.45">
      <c r="A48" s="333"/>
      <c r="B48" s="334"/>
      <c r="C48" s="335"/>
      <c r="D48" s="338"/>
      <c r="E48" s="335"/>
      <c r="F48" s="338"/>
      <c r="G48" s="341"/>
    </row>
    <row r="49" spans="1:7" ht="28.25" customHeight="1" x14ac:dyDescent="0.45">
      <c r="A49" s="342"/>
      <c r="B49" s="343"/>
      <c r="C49" s="344"/>
      <c r="D49" s="351"/>
      <c r="E49" s="344"/>
      <c r="F49" s="351"/>
      <c r="G49" s="354"/>
    </row>
    <row r="50" spans="1:7" ht="28.25" customHeight="1" x14ac:dyDescent="0.45">
      <c r="A50" s="345"/>
      <c r="B50" s="346"/>
      <c r="C50" s="347"/>
      <c r="D50" s="352"/>
      <c r="E50" s="347"/>
      <c r="F50" s="352"/>
      <c r="G50" s="355"/>
    </row>
    <row r="51" spans="1:7" ht="28.25" customHeight="1" thickBot="1" x14ac:dyDescent="0.5">
      <c r="A51" s="348"/>
      <c r="B51" s="349"/>
      <c r="C51" s="350"/>
      <c r="D51" s="353"/>
      <c r="E51" s="350"/>
      <c r="F51" s="353"/>
      <c r="G51" s="356"/>
    </row>
    <row r="53" spans="1:7" s="91" customFormat="1" x14ac:dyDescent="0.45"/>
    <row r="54" spans="1:7" ht="14.65" thickBot="1" x14ac:dyDescent="0.5"/>
    <row r="55" spans="1:7" ht="14.65" thickBot="1" x14ac:dyDescent="0.5">
      <c r="A55" s="84" t="s">
        <v>76</v>
      </c>
      <c r="B55" s="126">
        <v>2</v>
      </c>
      <c r="C55" s="108"/>
      <c r="D55" s="109"/>
      <c r="E55" s="109"/>
      <c r="F55" s="109"/>
      <c r="G55" s="109"/>
    </row>
    <row r="56" spans="1:7" ht="12.6" customHeight="1" x14ac:dyDescent="0.45">
      <c r="A56" s="409" t="s">
        <v>89</v>
      </c>
      <c r="B56" s="411"/>
      <c r="C56" s="401"/>
      <c r="D56" s="401"/>
      <c r="E56" s="401"/>
      <c r="F56" s="401"/>
      <c r="G56" s="402"/>
    </row>
    <row r="57" spans="1:7" ht="12.6" customHeight="1" x14ac:dyDescent="0.45">
      <c r="A57" s="409"/>
      <c r="B57" s="411"/>
      <c r="C57" s="401"/>
      <c r="D57" s="401"/>
      <c r="E57" s="401"/>
      <c r="F57" s="401"/>
      <c r="G57" s="402"/>
    </row>
    <row r="58" spans="1:7" ht="12.6" customHeight="1" x14ac:dyDescent="0.45">
      <c r="A58" s="410"/>
      <c r="B58" s="416"/>
      <c r="C58" s="403"/>
      <c r="D58" s="403"/>
      <c r="E58" s="403"/>
      <c r="F58" s="403"/>
      <c r="G58" s="404"/>
    </row>
    <row r="59" spans="1:7" ht="31.8" customHeight="1" x14ac:dyDescent="0.45">
      <c r="A59" s="412" t="s">
        <v>160</v>
      </c>
      <c r="B59" s="411"/>
      <c r="C59" s="401"/>
      <c r="D59" s="401"/>
      <c r="E59" s="401"/>
      <c r="F59" s="401"/>
      <c r="G59" s="402"/>
    </row>
    <row r="60" spans="1:7" ht="31.8" customHeight="1" x14ac:dyDescent="0.45">
      <c r="A60" s="409"/>
      <c r="B60" s="411"/>
      <c r="C60" s="401"/>
      <c r="D60" s="401"/>
      <c r="E60" s="401"/>
      <c r="F60" s="401"/>
      <c r="G60" s="402"/>
    </row>
    <row r="61" spans="1:7" ht="31.8" customHeight="1" x14ac:dyDescent="0.45">
      <c r="A61" s="410"/>
      <c r="B61" s="411"/>
      <c r="C61" s="401"/>
      <c r="D61" s="401"/>
      <c r="E61" s="401"/>
      <c r="F61" s="401"/>
      <c r="G61" s="402"/>
    </row>
    <row r="62" spans="1:7" ht="14.45" customHeight="1" x14ac:dyDescent="0.45">
      <c r="A62" s="412" t="s">
        <v>155</v>
      </c>
      <c r="B62" s="414"/>
      <c r="C62" s="415"/>
      <c r="D62" s="415"/>
      <c r="E62" s="422"/>
      <c r="F62" s="417" t="s">
        <v>167</v>
      </c>
      <c r="G62" s="419"/>
    </row>
    <row r="63" spans="1:7" x14ac:dyDescent="0.45">
      <c r="A63" s="409"/>
      <c r="B63" s="411"/>
      <c r="C63" s="401"/>
      <c r="D63" s="401"/>
      <c r="E63" s="423"/>
      <c r="F63" s="418"/>
      <c r="G63" s="420"/>
    </row>
    <row r="64" spans="1:7" x14ac:dyDescent="0.45">
      <c r="A64" s="409"/>
      <c r="B64" s="416"/>
      <c r="C64" s="403"/>
      <c r="D64" s="403"/>
      <c r="E64" s="424"/>
      <c r="F64" s="418"/>
      <c r="G64" s="421"/>
    </row>
    <row r="65" spans="1:7" x14ac:dyDescent="0.45">
      <c r="A65" s="412" t="s">
        <v>159</v>
      </c>
      <c r="B65" s="413"/>
      <c r="C65" s="399"/>
      <c r="D65" s="399"/>
      <c r="E65" s="399"/>
      <c r="F65" s="399"/>
      <c r="G65" s="400"/>
    </row>
    <row r="66" spans="1:7" x14ac:dyDescent="0.45">
      <c r="A66" s="409"/>
      <c r="B66" s="411"/>
      <c r="C66" s="401"/>
      <c r="D66" s="401"/>
      <c r="E66" s="401"/>
      <c r="F66" s="401"/>
      <c r="G66" s="402"/>
    </row>
    <row r="67" spans="1:7" x14ac:dyDescent="0.45">
      <c r="A67" s="410"/>
      <c r="B67" s="416"/>
      <c r="C67" s="403"/>
      <c r="D67" s="403"/>
      <c r="E67" s="403"/>
      <c r="F67" s="403"/>
      <c r="G67" s="404"/>
    </row>
    <row r="68" spans="1:7" ht="15" customHeight="1" x14ac:dyDescent="0.45">
      <c r="A68" s="396" t="s">
        <v>161</v>
      </c>
      <c r="B68" s="401"/>
      <c r="C68" s="401"/>
      <c r="D68" s="401"/>
      <c r="E68" s="401"/>
      <c r="F68" s="401"/>
      <c r="G68" s="402"/>
    </row>
    <row r="69" spans="1:7" x14ac:dyDescent="0.45">
      <c r="A69" s="397"/>
      <c r="B69" s="401"/>
      <c r="C69" s="401"/>
      <c r="D69" s="401"/>
      <c r="E69" s="401"/>
      <c r="F69" s="401"/>
      <c r="G69" s="402"/>
    </row>
    <row r="70" spans="1:7" x14ac:dyDescent="0.45">
      <c r="A70" s="398"/>
      <c r="B70" s="401"/>
      <c r="C70" s="401"/>
      <c r="D70" s="401"/>
      <c r="E70" s="401"/>
      <c r="F70" s="401"/>
      <c r="G70" s="402"/>
    </row>
    <row r="71" spans="1:7" ht="14.65" thickBot="1" x14ac:dyDescent="0.5">
      <c r="A71" s="85" t="s">
        <v>166</v>
      </c>
      <c r="B71" s="405"/>
      <c r="C71" s="405"/>
      <c r="D71" s="405"/>
      <c r="E71" s="405"/>
      <c r="F71" s="405"/>
      <c r="G71" s="406"/>
    </row>
    <row r="72" spans="1:7" s="90" customFormat="1" ht="14.65" thickBot="1" x14ac:dyDescent="0.5">
      <c r="A72" s="61"/>
      <c r="B72" s="61"/>
      <c r="C72" s="61"/>
      <c r="D72" s="61"/>
      <c r="E72" s="61"/>
      <c r="F72" s="61"/>
    </row>
    <row r="73" spans="1:7" ht="15" customHeight="1" thickBot="1" x14ac:dyDescent="0.5">
      <c r="A73" s="407" t="s">
        <v>77</v>
      </c>
      <c r="B73" s="408"/>
      <c r="C73" s="69"/>
      <c r="E73" s="86" t="s">
        <v>22</v>
      </c>
      <c r="F73" s="62"/>
      <c r="G73" s="62"/>
    </row>
    <row r="74" spans="1:7" ht="15" customHeight="1" thickBot="1" x14ac:dyDescent="0.5">
      <c r="A74" s="106"/>
      <c r="B74" s="106"/>
      <c r="E74" s="88" t="s">
        <v>32</v>
      </c>
      <c r="F74" s="382"/>
      <c r="G74" s="383"/>
    </row>
    <row r="75" spans="1:7" ht="15" customHeight="1" thickBot="1" x14ac:dyDescent="0.5">
      <c r="A75" s="107" t="s">
        <v>103</v>
      </c>
      <c r="B75" s="106"/>
      <c r="E75" s="88" t="s">
        <v>34</v>
      </c>
      <c r="F75" s="386"/>
      <c r="G75" s="387"/>
    </row>
    <row r="76" spans="1:7" ht="15" customHeight="1" thickBot="1" x14ac:dyDescent="0.5">
      <c r="A76" s="88" t="s">
        <v>32</v>
      </c>
      <c r="B76" s="382"/>
      <c r="C76" s="383"/>
      <c r="E76" s="89" t="s">
        <v>35</v>
      </c>
      <c r="F76" s="380"/>
      <c r="G76" s="381"/>
    </row>
    <row r="77" spans="1:7" ht="14.65" thickBot="1" x14ac:dyDescent="0.5">
      <c r="A77" s="88" t="s">
        <v>34</v>
      </c>
      <c r="B77" s="386"/>
      <c r="C77" s="387"/>
      <c r="F77" s="62"/>
    </row>
    <row r="78" spans="1:7" ht="15" customHeight="1" thickBot="1" x14ac:dyDescent="0.5">
      <c r="A78" s="89" t="s">
        <v>35</v>
      </c>
      <c r="B78" s="380"/>
      <c r="C78" s="381"/>
      <c r="E78" s="86" t="s">
        <v>31</v>
      </c>
      <c r="F78" s="62"/>
    </row>
    <row r="79" spans="1:7" ht="14.65" thickBot="1" x14ac:dyDescent="0.5">
      <c r="A79" s="87"/>
      <c r="B79" s="62"/>
      <c r="C79" s="62"/>
      <c r="E79" s="117">
        <v>1</v>
      </c>
      <c r="F79" s="382"/>
      <c r="G79" s="383"/>
    </row>
    <row r="80" spans="1:7" ht="15" customHeight="1" thickBot="1" x14ac:dyDescent="0.5">
      <c r="A80" s="384" t="s">
        <v>262</v>
      </c>
      <c r="B80" s="385"/>
      <c r="E80" s="117">
        <v>2</v>
      </c>
      <c r="F80" s="386"/>
      <c r="G80" s="387"/>
    </row>
    <row r="81" spans="1:7" ht="15" customHeight="1" x14ac:dyDescent="0.45">
      <c r="A81" s="117">
        <v>1</v>
      </c>
      <c r="B81" s="388"/>
      <c r="C81" s="389"/>
      <c r="E81" s="118">
        <v>3</v>
      </c>
      <c r="F81" s="386"/>
      <c r="G81" s="387"/>
    </row>
    <row r="82" spans="1:7" x14ac:dyDescent="0.45">
      <c r="A82" s="117">
        <v>2</v>
      </c>
      <c r="B82" s="390"/>
      <c r="C82" s="391"/>
      <c r="E82" s="117">
        <v>4</v>
      </c>
      <c r="F82" s="392"/>
      <c r="G82" s="393"/>
    </row>
    <row r="83" spans="1:7" ht="15" customHeight="1" thickBot="1" x14ac:dyDescent="0.5">
      <c r="A83" s="145">
        <v>3</v>
      </c>
      <c r="B83" s="394"/>
      <c r="C83" s="395"/>
      <c r="E83" s="119">
        <v>5</v>
      </c>
      <c r="F83" s="380"/>
      <c r="G83" s="381"/>
    </row>
    <row r="84" spans="1:7" ht="14.65" thickBot="1" x14ac:dyDescent="0.5"/>
    <row r="85" spans="1:7" x14ac:dyDescent="0.45">
      <c r="A85" s="357" t="s">
        <v>136</v>
      </c>
      <c r="B85" s="358"/>
      <c r="C85" s="358"/>
      <c r="D85" s="358"/>
      <c r="E85" s="358"/>
      <c r="F85" s="358"/>
      <c r="G85" s="359"/>
    </row>
    <row r="86" spans="1:7" ht="14.45" customHeight="1" x14ac:dyDescent="0.45">
      <c r="A86" s="360" t="s">
        <v>137</v>
      </c>
      <c r="B86" s="361"/>
      <c r="C86" s="361"/>
      <c r="D86" s="361"/>
      <c r="E86" s="361"/>
      <c r="F86" s="361"/>
      <c r="G86" s="362"/>
    </row>
    <row r="87" spans="1:7" ht="14.45" customHeight="1" x14ac:dyDescent="0.45">
      <c r="A87" s="360" t="s">
        <v>164</v>
      </c>
      <c r="B87" s="361"/>
      <c r="C87" s="361"/>
      <c r="D87" s="361"/>
      <c r="E87" s="361"/>
      <c r="F87" s="361"/>
      <c r="G87" s="362"/>
    </row>
    <row r="88" spans="1:7" s="83" customFormat="1" ht="14.45" customHeight="1" x14ac:dyDescent="0.45">
      <c r="A88" s="363" t="s">
        <v>136</v>
      </c>
      <c r="B88" s="364"/>
      <c r="C88" s="365"/>
      <c r="D88" s="366" t="s">
        <v>203</v>
      </c>
      <c r="E88" s="365"/>
      <c r="F88" s="366" t="s">
        <v>165</v>
      </c>
      <c r="G88" s="365"/>
    </row>
    <row r="89" spans="1:7" ht="46.25" customHeight="1" x14ac:dyDescent="0.45">
      <c r="A89" s="367" t="s">
        <v>206</v>
      </c>
      <c r="B89" s="368"/>
      <c r="C89" s="369"/>
      <c r="D89" s="376" t="s">
        <v>204</v>
      </c>
      <c r="E89" s="369"/>
      <c r="F89" s="379" t="s">
        <v>205</v>
      </c>
      <c r="G89" s="369"/>
    </row>
    <row r="90" spans="1:7" ht="46.25" customHeight="1" x14ac:dyDescent="0.45">
      <c r="A90" s="370"/>
      <c r="B90" s="371"/>
      <c r="C90" s="372"/>
      <c r="D90" s="377"/>
      <c r="E90" s="372"/>
      <c r="F90" s="377"/>
      <c r="G90" s="372"/>
    </row>
    <row r="91" spans="1:7" ht="46.25" customHeight="1" x14ac:dyDescent="0.45">
      <c r="A91" s="373"/>
      <c r="B91" s="374"/>
      <c r="C91" s="375"/>
      <c r="D91" s="378"/>
      <c r="E91" s="375"/>
      <c r="F91" s="378"/>
      <c r="G91" s="375"/>
    </row>
    <row r="92" spans="1:7" ht="28.8" customHeight="1" x14ac:dyDescent="0.45">
      <c r="A92" s="327"/>
      <c r="B92" s="328"/>
      <c r="C92" s="329"/>
      <c r="D92" s="336"/>
      <c r="E92" s="329"/>
      <c r="F92" s="336"/>
      <c r="G92" s="339"/>
    </row>
    <row r="93" spans="1:7" ht="28.8" customHeight="1" x14ac:dyDescent="0.45">
      <c r="A93" s="330"/>
      <c r="B93" s="331"/>
      <c r="C93" s="332"/>
      <c r="D93" s="337"/>
      <c r="E93" s="332"/>
      <c r="F93" s="337"/>
      <c r="G93" s="340"/>
    </row>
    <row r="94" spans="1:7" ht="28.8" customHeight="1" x14ac:dyDescent="0.45">
      <c r="A94" s="333"/>
      <c r="B94" s="334"/>
      <c r="C94" s="335"/>
      <c r="D94" s="338"/>
      <c r="E94" s="335"/>
      <c r="F94" s="338"/>
      <c r="G94" s="341"/>
    </row>
    <row r="95" spans="1:7" ht="28.8" customHeight="1" x14ac:dyDescent="0.45">
      <c r="A95" s="327"/>
      <c r="B95" s="328"/>
      <c r="C95" s="329"/>
      <c r="D95" s="336"/>
      <c r="E95" s="329"/>
      <c r="F95" s="336"/>
      <c r="G95" s="339"/>
    </row>
    <row r="96" spans="1:7" ht="28.8" customHeight="1" x14ac:dyDescent="0.45">
      <c r="A96" s="330"/>
      <c r="B96" s="331"/>
      <c r="C96" s="332"/>
      <c r="D96" s="337"/>
      <c r="E96" s="332"/>
      <c r="F96" s="337"/>
      <c r="G96" s="340"/>
    </row>
    <row r="97" spans="1:7" ht="28.8" customHeight="1" x14ac:dyDescent="0.45">
      <c r="A97" s="333"/>
      <c r="B97" s="334"/>
      <c r="C97" s="335"/>
      <c r="D97" s="338"/>
      <c r="E97" s="335"/>
      <c r="F97" s="338"/>
      <c r="G97" s="341"/>
    </row>
    <row r="98" spans="1:7" ht="28.8" customHeight="1" x14ac:dyDescent="0.45">
      <c r="A98" s="342"/>
      <c r="B98" s="343"/>
      <c r="C98" s="344"/>
      <c r="D98" s="351"/>
      <c r="E98" s="344"/>
      <c r="F98" s="351"/>
      <c r="G98" s="354"/>
    </row>
    <row r="99" spans="1:7" ht="28.8" customHeight="1" x14ac:dyDescent="0.45">
      <c r="A99" s="345"/>
      <c r="B99" s="346"/>
      <c r="C99" s="347"/>
      <c r="D99" s="352"/>
      <c r="E99" s="347"/>
      <c r="F99" s="352"/>
      <c r="G99" s="355"/>
    </row>
    <row r="100" spans="1:7" ht="28.8" customHeight="1" thickBot="1" x14ac:dyDescent="0.5">
      <c r="A100" s="348"/>
      <c r="B100" s="349"/>
      <c r="C100" s="350"/>
      <c r="D100" s="353"/>
      <c r="E100" s="350"/>
      <c r="F100" s="353"/>
      <c r="G100" s="356"/>
    </row>
    <row r="101" spans="1:7" ht="12.6" customHeight="1" x14ac:dyDescent="0.45"/>
    <row r="102" spans="1:7" s="91" customFormat="1" x14ac:dyDescent="0.45"/>
    <row r="103" spans="1:7" ht="14.65" thickBot="1" x14ac:dyDescent="0.5"/>
    <row r="104" spans="1:7" ht="14.65" thickBot="1" x14ac:dyDescent="0.5">
      <c r="A104" s="84" t="s">
        <v>76</v>
      </c>
      <c r="B104" s="126">
        <v>3</v>
      </c>
      <c r="C104" s="108"/>
      <c r="D104" s="109"/>
      <c r="E104" s="109"/>
      <c r="F104" s="109"/>
      <c r="G104" s="109"/>
    </row>
    <row r="105" spans="1:7" ht="12.6" customHeight="1" x14ac:dyDescent="0.45">
      <c r="A105" s="409" t="s">
        <v>89</v>
      </c>
      <c r="B105" s="411"/>
      <c r="C105" s="401"/>
      <c r="D105" s="401"/>
      <c r="E105" s="401"/>
      <c r="F105" s="401"/>
      <c r="G105" s="402"/>
    </row>
    <row r="106" spans="1:7" ht="12.6" customHeight="1" x14ac:dyDescent="0.45">
      <c r="A106" s="409"/>
      <c r="B106" s="411"/>
      <c r="C106" s="401"/>
      <c r="D106" s="401"/>
      <c r="E106" s="401"/>
      <c r="F106" s="401"/>
      <c r="G106" s="402"/>
    </row>
    <row r="107" spans="1:7" ht="12.6" customHeight="1" x14ac:dyDescent="0.45">
      <c r="A107" s="410"/>
      <c r="B107" s="411"/>
      <c r="C107" s="401"/>
      <c r="D107" s="401"/>
      <c r="E107" s="401"/>
      <c r="F107" s="401"/>
      <c r="G107" s="402"/>
    </row>
    <row r="108" spans="1:7" ht="31.8" customHeight="1" x14ac:dyDescent="0.45">
      <c r="A108" s="412" t="s">
        <v>158</v>
      </c>
      <c r="B108" s="413"/>
      <c r="C108" s="399"/>
      <c r="D108" s="399"/>
      <c r="E108" s="399"/>
      <c r="F108" s="399"/>
      <c r="G108" s="400"/>
    </row>
    <row r="109" spans="1:7" ht="31.8" customHeight="1" x14ac:dyDescent="0.45">
      <c r="A109" s="409"/>
      <c r="B109" s="411"/>
      <c r="C109" s="401"/>
      <c r="D109" s="401"/>
      <c r="E109" s="401"/>
      <c r="F109" s="401"/>
      <c r="G109" s="402"/>
    </row>
    <row r="110" spans="1:7" ht="31.8" customHeight="1" x14ac:dyDescent="0.45">
      <c r="A110" s="409"/>
      <c r="B110" s="411"/>
      <c r="C110" s="401"/>
      <c r="D110" s="401"/>
      <c r="E110" s="401"/>
      <c r="F110" s="401"/>
      <c r="G110" s="402"/>
    </row>
    <row r="111" spans="1:7" x14ac:dyDescent="0.45">
      <c r="A111" s="412" t="s">
        <v>155</v>
      </c>
      <c r="B111" s="414"/>
      <c r="C111" s="415"/>
      <c r="D111" s="415"/>
      <c r="E111" s="415"/>
      <c r="F111" s="417" t="s">
        <v>167</v>
      </c>
      <c r="G111" s="419"/>
    </row>
    <row r="112" spans="1:7" s="90" customFormat="1" x14ac:dyDescent="0.45">
      <c r="A112" s="409"/>
      <c r="B112" s="411"/>
      <c r="C112" s="401"/>
      <c r="D112" s="401"/>
      <c r="E112" s="401"/>
      <c r="F112" s="418"/>
      <c r="G112" s="420"/>
    </row>
    <row r="113" spans="1:7" x14ac:dyDescent="0.45">
      <c r="A113" s="409"/>
      <c r="B113" s="416"/>
      <c r="C113" s="403"/>
      <c r="D113" s="403"/>
      <c r="E113" s="403"/>
      <c r="F113" s="418"/>
      <c r="G113" s="421"/>
    </row>
    <row r="114" spans="1:7" x14ac:dyDescent="0.45">
      <c r="A114" s="412" t="s">
        <v>159</v>
      </c>
      <c r="B114" s="411"/>
      <c r="C114" s="401"/>
      <c r="D114" s="401"/>
      <c r="E114" s="401"/>
      <c r="F114" s="401"/>
      <c r="G114" s="402"/>
    </row>
    <row r="115" spans="1:7" x14ac:dyDescent="0.45">
      <c r="A115" s="409"/>
      <c r="B115" s="411"/>
      <c r="C115" s="401"/>
      <c r="D115" s="401"/>
      <c r="E115" s="401"/>
      <c r="F115" s="401"/>
      <c r="G115" s="402"/>
    </row>
    <row r="116" spans="1:7" x14ac:dyDescent="0.45">
      <c r="A116" s="410"/>
      <c r="B116" s="411"/>
      <c r="C116" s="401"/>
      <c r="D116" s="401"/>
      <c r="E116" s="401"/>
      <c r="F116" s="401"/>
      <c r="G116" s="402"/>
    </row>
    <row r="117" spans="1:7" x14ac:dyDescent="0.45">
      <c r="A117" s="396" t="s">
        <v>161</v>
      </c>
      <c r="B117" s="399"/>
      <c r="C117" s="399"/>
      <c r="D117" s="399"/>
      <c r="E117" s="399"/>
      <c r="F117" s="399"/>
      <c r="G117" s="400"/>
    </row>
    <row r="118" spans="1:7" x14ac:dyDescent="0.45">
      <c r="A118" s="397"/>
      <c r="B118" s="401"/>
      <c r="C118" s="401"/>
      <c r="D118" s="401"/>
      <c r="E118" s="401"/>
      <c r="F118" s="401"/>
      <c r="G118" s="402"/>
    </row>
    <row r="119" spans="1:7" x14ac:dyDescent="0.45">
      <c r="A119" s="398"/>
      <c r="B119" s="403"/>
      <c r="C119" s="403"/>
      <c r="D119" s="403"/>
      <c r="E119" s="403"/>
      <c r="F119" s="403"/>
      <c r="G119" s="404"/>
    </row>
    <row r="120" spans="1:7" ht="14.65" thickBot="1" x14ac:dyDescent="0.5">
      <c r="A120" s="85" t="s">
        <v>166</v>
      </c>
      <c r="B120" s="405"/>
      <c r="C120" s="405"/>
      <c r="D120" s="405"/>
      <c r="E120" s="405"/>
      <c r="F120" s="405"/>
      <c r="G120" s="406"/>
    </row>
    <row r="121" spans="1:7" ht="14.65" thickBot="1" x14ac:dyDescent="0.5"/>
    <row r="122" spans="1:7" ht="15" customHeight="1" thickBot="1" x14ac:dyDescent="0.5">
      <c r="A122" s="407" t="s">
        <v>77</v>
      </c>
      <c r="B122" s="408"/>
      <c r="C122" s="69"/>
      <c r="E122" s="86" t="s">
        <v>22</v>
      </c>
      <c r="F122" s="62"/>
      <c r="G122" s="62"/>
    </row>
    <row r="123" spans="1:7" ht="14.65" thickBot="1" x14ac:dyDescent="0.5">
      <c r="A123" s="106"/>
      <c r="B123" s="106"/>
      <c r="E123" s="88" t="s">
        <v>32</v>
      </c>
      <c r="F123" s="382"/>
      <c r="G123" s="383"/>
    </row>
    <row r="124" spans="1:7" ht="14.65" thickBot="1" x14ac:dyDescent="0.5">
      <c r="A124" s="107" t="s">
        <v>103</v>
      </c>
      <c r="B124" s="106"/>
      <c r="E124" s="88" t="s">
        <v>34</v>
      </c>
      <c r="F124" s="386"/>
      <c r="G124" s="387"/>
    </row>
    <row r="125" spans="1:7" ht="14.65" thickBot="1" x14ac:dyDescent="0.5">
      <c r="A125" s="88" t="s">
        <v>32</v>
      </c>
      <c r="B125" s="382"/>
      <c r="C125" s="383"/>
      <c r="E125" s="89" t="s">
        <v>35</v>
      </c>
      <c r="F125" s="380"/>
      <c r="G125" s="381"/>
    </row>
    <row r="126" spans="1:7" ht="14.65" thickBot="1" x14ac:dyDescent="0.5">
      <c r="A126" s="88" t="s">
        <v>34</v>
      </c>
      <c r="B126" s="386"/>
      <c r="C126" s="387"/>
      <c r="F126" s="62"/>
    </row>
    <row r="127" spans="1:7" ht="15" customHeight="1" thickBot="1" x14ac:dyDescent="0.5">
      <c r="A127" s="89" t="s">
        <v>35</v>
      </c>
      <c r="B127" s="380"/>
      <c r="C127" s="381"/>
      <c r="E127" s="86" t="s">
        <v>31</v>
      </c>
      <c r="F127" s="62"/>
    </row>
    <row r="128" spans="1:7" s="83" customFormat="1" ht="14.65" thickBot="1" x14ac:dyDescent="0.5">
      <c r="A128" s="87"/>
      <c r="B128" s="62"/>
      <c r="C128" s="62"/>
      <c r="D128" s="61"/>
      <c r="E128" s="117">
        <v>1</v>
      </c>
      <c r="F128" s="382"/>
      <c r="G128" s="383"/>
    </row>
    <row r="129" spans="1:7" ht="15" customHeight="1" thickBot="1" x14ac:dyDescent="0.5">
      <c r="A129" s="384" t="s">
        <v>262</v>
      </c>
      <c r="B129" s="385"/>
      <c r="E129" s="117">
        <v>2</v>
      </c>
      <c r="F129" s="386"/>
      <c r="G129" s="387"/>
    </row>
    <row r="130" spans="1:7" x14ac:dyDescent="0.45">
      <c r="A130" s="117">
        <v>1</v>
      </c>
      <c r="B130" s="388"/>
      <c r="C130" s="389"/>
      <c r="E130" s="118">
        <v>3</v>
      </c>
      <c r="F130" s="386"/>
      <c r="G130" s="387"/>
    </row>
    <row r="131" spans="1:7" x14ac:dyDescent="0.45">
      <c r="A131" s="117">
        <v>2</v>
      </c>
      <c r="B131" s="390"/>
      <c r="C131" s="391"/>
      <c r="E131" s="117">
        <v>4</v>
      </c>
      <c r="F131" s="392"/>
      <c r="G131" s="393"/>
    </row>
    <row r="132" spans="1:7" ht="14.65" thickBot="1" x14ac:dyDescent="0.5">
      <c r="A132" s="145">
        <v>3</v>
      </c>
      <c r="B132" s="394"/>
      <c r="C132" s="395"/>
      <c r="E132" s="119">
        <v>5</v>
      </c>
      <c r="F132" s="380"/>
      <c r="G132" s="381"/>
    </row>
    <row r="133" spans="1:7" ht="14.65" thickBot="1" x14ac:dyDescent="0.5"/>
    <row r="134" spans="1:7" x14ac:dyDescent="0.45">
      <c r="A134" s="357" t="s">
        <v>136</v>
      </c>
      <c r="B134" s="358"/>
      <c r="C134" s="358"/>
      <c r="D134" s="358"/>
      <c r="E134" s="358"/>
      <c r="F134" s="358"/>
      <c r="G134" s="359"/>
    </row>
    <row r="135" spans="1:7" ht="14.45" customHeight="1" x14ac:dyDescent="0.45">
      <c r="A135" s="360" t="s">
        <v>137</v>
      </c>
      <c r="B135" s="361"/>
      <c r="C135" s="361"/>
      <c r="D135" s="361"/>
      <c r="E135" s="361"/>
      <c r="F135" s="361"/>
      <c r="G135" s="362"/>
    </row>
    <row r="136" spans="1:7" ht="14.45" customHeight="1" x14ac:dyDescent="0.45">
      <c r="A136" s="360" t="s">
        <v>164</v>
      </c>
      <c r="B136" s="361"/>
      <c r="C136" s="361"/>
      <c r="D136" s="361"/>
      <c r="E136" s="361"/>
      <c r="F136" s="361"/>
      <c r="G136" s="362"/>
    </row>
    <row r="137" spans="1:7" ht="14.45" customHeight="1" x14ac:dyDescent="0.45">
      <c r="A137" s="363" t="s">
        <v>136</v>
      </c>
      <c r="B137" s="364"/>
      <c r="C137" s="365"/>
      <c r="D137" s="366" t="s">
        <v>203</v>
      </c>
      <c r="E137" s="365"/>
      <c r="F137" s="366" t="s">
        <v>165</v>
      </c>
      <c r="G137" s="365"/>
    </row>
    <row r="138" spans="1:7" ht="46.25" customHeight="1" x14ac:dyDescent="0.45">
      <c r="A138" s="367" t="s">
        <v>206</v>
      </c>
      <c r="B138" s="368"/>
      <c r="C138" s="369"/>
      <c r="D138" s="376" t="s">
        <v>204</v>
      </c>
      <c r="E138" s="369"/>
      <c r="F138" s="379" t="s">
        <v>205</v>
      </c>
      <c r="G138" s="369"/>
    </row>
    <row r="139" spans="1:7" ht="46.25" customHeight="1" x14ac:dyDescent="0.45">
      <c r="A139" s="370"/>
      <c r="B139" s="371"/>
      <c r="C139" s="372"/>
      <c r="D139" s="377"/>
      <c r="E139" s="372"/>
      <c r="F139" s="377"/>
      <c r="G139" s="372"/>
    </row>
    <row r="140" spans="1:7" ht="46.25" customHeight="1" x14ac:dyDescent="0.45">
      <c r="A140" s="373"/>
      <c r="B140" s="374"/>
      <c r="C140" s="375"/>
      <c r="D140" s="378"/>
      <c r="E140" s="375"/>
      <c r="F140" s="378"/>
      <c r="G140" s="375"/>
    </row>
    <row r="141" spans="1:7" ht="28.8" customHeight="1" x14ac:dyDescent="0.45">
      <c r="A141" s="327"/>
      <c r="B141" s="328"/>
      <c r="C141" s="329"/>
      <c r="D141" s="336"/>
      <c r="E141" s="329"/>
      <c r="F141" s="336"/>
      <c r="G141" s="339"/>
    </row>
    <row r="142" spans="1:7" ht="28.8" customHeight="1" x14ac:dyDescent="0.45">
      <c r="A142" s="330"/>
      <c r="B142" s="331"/>
      <c r="C142" s="332"/>
      <c r="D142" s="337"/>
      <c r="E142" s="332"/>
      <c r="F142" s="337"/>
      <c r="G142" s="340"/>
    </row>
    <row r="143" spans="1:7" ht="28.8" customHeight="1" x14ac:dyDescent="0.45">
      <c r="A143" s="333"/>
      <c r="B143" s="334"/>
      <c r="C143" s="335"/>
      <c r="D143" s="338"/>
      <c r="E143" s="335"/>
      <c r="F143" s="338"/>
      <c r="G143" s="341"/>
    </row>
    <row r="144" spans="1:7" ht="28.8" customHeight="1" x14ac:dyDescent="0.45">
      <c r="A144" s="327"/>
      <c r="B144" s="328"/>
      <c r="C144" s="329"/>
      <c r="D144" s="336"/>
      <c r="E144" s="329"/>
      <c r="F144" s="336"/>
      <c r="G144" s="339"/>
    </row>
    <row r="145" spans="1:7" ht="28.8" customHeight="1" x14ac:dyDescent="0.45">
      <c r="A145" s="330"/>
      <c r="B145" s="331"/>
      <c r="C145" s="332"/>
      <c r="D145" s="337"/>
      <c r="E145" s="332"/>
      <c r="F145" s="337"/>
      <c r="G145" s="340"/>
    </row>
    <row r="146" spans="1:7" ht="28.8" customHeight="1" x14ac:dyDescent="0.45">
      <c r="A146" s="333"/>
      <c r="B146" s="334"/>
      <c r="C146" s="335"/>
      <c r="D146" s="338"/>
      <c r="E146" s="335"/>
      <c r="F146" s="338"/>
      <c r="G146" s="341"/>
    </row>
    <row r="147" spans="1:7" ht="28.8" customHeight="1" x14ac:dyDescent="0.45">
      <c r="A147" s="342"/>
      <c r="B147" s="343"/>
      <c r="C147" s="344"/>
      <c r="D147" s="351"/>
      <c r="E147" s="344"/>
      <c r="F147" s="351"/>
      <c r="G147" s="354"/>
    </row>
    <row r="148" spans="1:7" ht="28.8" customHeight="1" x14ac:dyDescent="0.45">
      <c r="A148" s="345"/>
      <c r="B148" s="346"/>
      <c r="C148" s="347"/>
      <c r="D148" s="352"/>
      <c r="E148" s="347"/>
      <c r="F148" s="352"/>
      <c r="G148" s="355"/>
    </row>
    <row r="149" spans="1:7" ht="28.8" customHeight="1" thickBot="1" x14ac:dyDescent="0.5">
      <c r="A149" s="348"/>
      <c r="B149" s="349"/>
      <c r="C149" s="350"/>
      <c r="D149" s="353"/>
      <c r="E149" s="350"/>
      <c r="F149" s="353"/>
      <c r="G149" s="356"/>
    </row>
    <row r="151" spans="1:7" s="91" customFormat="1" ht="15" customHeight="1" x14ac:dyDescent="0.45"/>
    <row r="152" spans="1:7" ht="14.65" thickBot="1" x14ac:dyDescent="0.5"/>
    <row r="153" spans="1:7" ht="14.65" thickBot="1" x14ac:dyDescent="0.5">
      <c r="A153" s="84" t="s">
        <v>76</v>
      </c>
      <c r="B153" s="126">
        <v>4</v>
      </c>
      <c r="C153" s="108"/>
      <c r="D153" s="109"/>
      <c r="E153" s="109"/>
      <c r="F153" s="109"/>
      <c r="G153" s="109"/>
    </row>
    <row r="154" spans="1:7" ht="12.6" customHeight="1" x14ac:dyDescent="0.45">
      <c r="A154" s="409" t="s">
        <v>89</v>
      </c>
      <c r="B154" s="411"/>
      <c r="C154" s="401"/>
      <c r="D154" s="401"/>
      <c r="E154" s="401"/>
      <c r="F154" s="401"/>
      <c r="G154" s="402"/>
    </row>
    <row r="155" spans="1:7" s="90" customFormat="1" ht="12.6" customHeight="1" x14ac:dyDescent="0.45">
      <c r="A155" s="409"/>
      <c r="B155" s="411"/>
      <c r="C155" s="401"/>
      <c r="D155" s="401"/>
      <c r="E155" s="401"/>
      <c r="F155" s="401"/>
      <c r="G155" s="402"/>
    </row>
    <row r="156" spans="1:7" ht="12.6" customHeight="1" x14ac:dyDescent="0.45">
      <c r="A156" s="410"/>
      <c r="B156" s="411"/>
      <c r="C156" s="401"/>
      <c r="D156" s="401"/>
      <c r="E156" s="401"/>
      <c r="F156" s="401"/>
      <c r="G156" s="402"/>
    </row>
    <row r="157" spans="1:7" ht="31.8" customHeight="1" x14ac:dyDescent="0.45">
      <c r="A157" s="412" t="s">
        <v>158</v>
      </c>
      <c r="B157" s="413"/>
      <c r="C157" s="399"/>
      <c r="D157" s="399"/>
      <c r="E157" s="399"/>
      <c r="F157" s="399"/>
      <c r="G157" s="400"/>
    </row>
    <row r="158" spans="1:7" ht="31.8" customHeight="1" x14ac:dyDescent="0.45">
      <c r="A158" s="409"/>
      <c r="B158" s="411"/>
      <c r="C158" s="401"/>
      <c r="D158" s="401"/>
      <c r="E158" s="401"/>
      <c r="F158" s="401"/>
      <c r="G158" s="402"/>
    </row>
    <row r="159" spans="1:7" ht="31.8" customHeight="1" x14ac:dyDescent="0.45">
      <c r="A159" s="409"/>
      <c r="B159" s="411"/>
      <c r="C159" s="401"/>
      <c r="D159" s="401"/>
      <c r="E159" s="401"/>
      <c r="F159" s="401"/>
      <c r="G159" s="402"/>
    </row>
    <row r="160" spans="1:7" x14ac:dyDescent="0.45">
      <c r="A160" s="412" t="s">
        <v>155</v>
      </c>
      <c r="B160" s="414"/>
      <c r="C160" s="415"/>
      <c r="D160" s="415"/>
      <c r="E160" s="415"/>
      <c r="F160" s="417" t="s">
        <v>167</v>
      </c>
      <c r="G160" s="419"/>
    </row>
    <row r="161" spans="1:7" x14ac:dyDescent="0.45">
      <c r="A161" s="409"/>
      <c r="B161" s="411"/>
      <c r="C161" s="401"/>
      <c r="D161" s="401"/>
      <c r="E161" s="401"/>
      <c r="F161" s="418"/>
      <c r="G161" s="420"/>
    </row>
    <row r="162" spans="1:7" x14ac:dyDescent="0.45">
      <c r="A162" s="409"/>
      <c r="B162" s="416"/>
      <c r="C162" s="403"/>
      <c r="D162" s="403"/>
      <c r="E162" s="403"/>
      <c r="F162" s="418"/>
      <c r="G162" s="421"/>
    </row>
    <row r="163" spans="1:7" x14ac:dyDescent="0.45">
      <c r="A163" s="412" t="s">
        <v>159</v>
      </c>
      <c r="B163" s="411"/>
      <c r="C163" s="401"/>
      <c r="D163" s="401"/>
      <c r="E163" s="401"/>
      <c r="F163" s="401"/>
      <c r="G163" s="402"/>
    </row>
    <row r="164" spans="1:7" x14ac:dyDescent="0.45">
      <c r="A164" s="409"/>
      <c r="B164" s="411"/>
      <c r="C164" s="401"/>
      <c r="D164" s="401"/>
      <c r="E164" s="401"/>
      <c r="F164" s="401"/>
      <c r="G164" s="402"/>
    </row>
    <row r="165" spans="1:7" s="83" customFormat="1" x14ac:dyDescent="0.45">
      <c r="A165" s="410"/>
      <c r="B165" s="416"/>
      <c r="C165" s="403"/>
      <c r="D165" s="403"/>
      <c r="E165" s="403"/>
      <c r="F165" s="403"/>
      <c r="G165" s="404"/>
    </row>
    <row r="166" spans="1:7" x14ac:dyDescent="0.45">
      <c r="A166" s="396" t="s">
        <v>161</v>
      </c>
      <c r="B166" s="399"/>
      <c r="C166" s="399"/>
      <c r="D166" s="399"/>
      <c r="E166" s="399"/>
      <c r="F166" s="399"/>
      <c r="G166" s="400"/>
    </row>
    <row r="167" spans="1:7" x14ac:dyDescent="0.45">
      <c r="A167" s="397"/>
      <c r="B167" s="401"/>
      <c r="C167" s="401"/>
      <c r="D167" s="401"/>
      <c r="E167" s="401"/>
      <c r="F167" s="401"/>
      <c r="G167" s="402"/>
    </row>
    <row r="168" spans="1:7" x14ac:dyDescent="0.45">
      <c r="A168" s="398"/>
      <c r="B168" s="401"/>
      <c r="C168" s="401"/>
      <c r="D168" s="401"/>
      <c r="E168" s="401"/>
      <c r="F168" s="401"/>
      <c r="G168" s="402"/>
    </row>
    <row r="169" spans="1:7" ht="14.65" thickBot="1" x14ac:dyDescent="0.5">
      <c r="A169" s="85" t="s">
        <v>166</v>
      </c>
      <c r="B169" s="405"/>
      <c r="C169" s="405"/>
      <c r="D169" s="405"/>
      <c r="E169" s="405"/>
      <c r="F169" s="405"/>
      <c r="G169" s="406"/>
    </row>
    <row r="170" spans="1:7" ht="14.65" thickBot="1" x14ac:dyDescent="0.5"/>
    <row r="171" spans="1:7" ht="15" customHeight="1" thickBot="1" x14ac:dyDescent="0.5">
      <c r="A171" s="407" t="s">
        <v>77</v>
      </c>
      <c r="B171" s="408"/>
      <c r="C171" s="69"/>
      <c r="E171" s="86" t="s">
        <v>22</v>
      </c>
      <c r="F171" s="62"/>
      <c r="G171" s="62"/>
    </row>
    <row r="172" spans="1:7" ht="14.65" thickBot="1" x14ac:dyDescent="0.5">
      <c r="A172" s="106"/>
      <c r="B172" s="106"/>
      <c r="E172" s="88" t="s">
        <v>32</v>
      </c>
      <c r="F172" s="382"/>
      <c r="G172" s="383"/>
    </row>
    <row r="173" spans="1:7" ht="14.65" thickBot="1" x14ac:dyDescent="0.5">
      <c r="A173" s="107" t="s">
        <v>103</v>
      </c>
      <c r="B173" s="106"/>
      <c r="E173" s="88" t="s">
        <v>34</v>
      </c>
      <c r="F173" s="386"/>
      <c r="G173" s="387"/>
    </row>
    <row r="174" spans="1:7" ht="14.65" thickBot="1" x14ac:dyDescent="0.5">
      <c r="A174" s="88" t="s">
        <v>32</v>
      </c>
      <c r="B174" s="382"/>
      <c r="C174" s="383"/>
      <c r="E174" s="89" t="s">
        <v>35</v>
      </c>
      <c r="F174" s="380"/>
      <c r="G174" s="381"/>
    </row>
    <row r="175" spans="1:7" ht="14.65" thickBot="1" x14ac:dyDescent="0.5">
      <c r="A175" s="88" t="s">
        <v>34</v>
      </c>
      <c r="B175" s="386"/>
      <c r="C175" s="387"/>
      <c r="F175" s="62"/>
    </row>
    <row r="176" spans="1:7" ht="15" customHeight="1" thickBot="1" x14ac:dyDescent="0.5">
      <c r="A176" s="89" t="s">
        <v>35</v>
      </c>
      <c r="B176" s="380"/>
      <c r="C176" s="381"/>
      <c r="E176" s="86" t="s">
        <v>31</v>
      </c>
      <c r="F176" s="62"/>
    </row>
    <row r="177" spans="1:7" ht="14.65" thickBot="1" x14ac:dyDescent="0.5">
      <c r="A177" s="87"/>
      <c r="B177" s="62"/>
      <c r="C177" s="62"/>
      <c r="E177" s="117">
        <v>1</v>
      </c>
      <c r="F177" s="382"/>
      <c r="G177" s="383"/>
    </row>
    <row r="178" spans="1:7" ht="15" customHeight="1" thickBot="1" x14ac:dyDescent="0.5">
      <c r="A178" s="384" t="s">
        <v>262</v>
      </c>
      <c r="B178" s="385"/>
      <c r="E178" s="117">
        <v>2</v>
      </c>
      <c r="F178" s="386"/>
      <c r="G178" s="387"/>
    </row>
    <row r="179" spans="1:7" x14ac:dyDescent="0.45">
      <c r="A179" s="117">
        <v>1</v>
      </c>
      <c r="B179" s="388"/>
      <c r="C179" s="389"/>
      <c r="E179" s="118">
        <v>3</v>
      </c>
      <c r="F179" s="386"/>
      <c r="G179" s="387"/>
    </row>
    <row r="180" spans="1:7" x14ac:dyDescent="0.45">
      <c r="A180" s="117">
        <v>2</v>
      </c>
      <c r="B180" s="390"/>
      <c r="C180" s="391"/>
      <c r="E180" s="117">
        <v>4</v>
      </c>
      <c r="F180" s="392"/>
      <c r="G180" s="393"/>
    </row>
    <row r="181" spans="1:7" ht="14.65" thickBot="1" x14ac:dyDescent="0.5">
      <c r="A181" s="145">
        <v>3</v>
      </c>
      <c r="B181" s="394"/>
      <c r="C181" s="395"/>
      <c r="E181" s="119">
        <v>5</v>
      </c>
      <c r="F181" s="380"/>
      <c r="G181" s="381"/>
    </row>
    <row r="182" spans="1:7" ht="14.65" thickBot="1" x14ac:dyDescent="0.5"/>
    <row r="183" spans="1:7" x14ac:dyDescent="0.45">
      <c r="A183" s="357" t="s">
        <v>136</v>
      </c>
      <c r="B183" s="358"/>
      <c r="C183" s="358"/>
      <c r="D183" s="358"/>
      <c r="E183" s="358"/>
      <c r="F183" s="358"/>
      <c r="G183" s="359"/>
    </row>
    <row r="184" spans="1:7" ht="14.45" customHeight="1" x14ac:dyDescent="0.45">
      <c r="A184" s="360" t="s">
        <v>137</v>
      </c>
      <c r="B184" s="361"/>
      <c r="C184" s="361"/>
      <c r="D184" s="361"/>
      <c r="E184" s="361"/>
      <c r="F184" s="361"/>
      <c r="G184" s="362"/>
    </row>
    <row r="185" spans="1:7" ht="14.45" customHeight="1" x14ac:dyDescent="0.45">
      <c r="A185" s="360" t="s">
        <v>164</v>
      </c>
      <c r="B185" s="361"/>
      <c r="C185" s="361"/>
      <c r="D185" s="361"/>
      <c r="E185" s="361"/>
      <c r="F185" s="361"/>
      <c r="G185" s="362"/>
    </row>
    <row r="186" spans="1:7" ht="14.45" customHeight="1" x14ac:dyDescent="0.45">
      <c r="A186" s="363" t="s">
        <v>136</v>
      </c>
      <c r="B186" s="364"/>
      <c r="C186" s="365"/>
      <c r="D186" s="366" t="s">
        <v>203</v>
      </c>
      <c r="E186" s="365"/>
      <c r="F186" s="366" t="s">
        <v>165</v>
      </c>
      <c r="G186" s="365"/>
    </row>
    <row r="187" spans="1:7" ht="42.6" customHeight="1" x14ac:dyDescent="0.45">
      <c r="A187" s="367" t="s">
        <v>206</v>
      </c>
      <c r="B187" s="368"/>
      <c r="C187" s="369"/>
      <c r="D187" s="376" t="s">
        <v>204</v>
      </c>
      <c r="E187" s="369"/>
      <c r="F187" s="379" t="s">
        <v>205</v>
      </c>
      <c r="G187" s="369"/>
    </row>
    <row r="188" spans="1:7" ht="42.6" customHeight="1" x14ac:dyDescent="0.45">
      <c r="A188" s="370"/>
      <c r="B188" s="371"/>
      <c r="C188" s="372"/>
      <c r="D188" s="377"/>
      <c r="E188" s="372"/>
      <c r="F188" s="377"/>
      <c r="G188" s="372"/>
    </row>
    <row r="189" spans="1:7" ht="42.6" customHeight="1" x14ac:dyDescent="0.45">
      <c r="A189" s="373"/>
      <c r="B189" s="374"/>
      <c r="C189" s="375"/>
      <c r="D189" s="378"/>
      <c r="E189" s="375"/>
      <c r="F189" s="378"/>
      <c r="G189" s="375"/>
    </row>
    <row r="190" spans="1:7" ht="28.25" customHeight="1" x14ac:dyDescent="0.45">
      <c r="A190" s="327"/>
      <c r="B190" s="328"/>
      <c r="C190" s="329"/>
      <c r="D190" s="336"/>
      <c r="E190" s="329"/>
      <c r="F190" s="336"/>
      <c r="G190" s="339"/>
    </row>
    <row r="191" spans="1:7" ht="28.25" customHeight="1" x14ac:dyDescent="0.45">
      <c r="A191" s="330"/>
      <c r="B191" s="331"/>
      <c r="C191" s="332"/>
      <c r="D191" s="337"/>
      <c r="E191" s="332"/>
      <c r="F191" s="337"/>
      <c r="G191" s="340"/>
    </row>
    <row r="192" spans="1:7" ht="28.25" customHeight="1" x14ac:dyDescent="0.45">
      <c r="A192" s="333"/>
      <c r="B192" s="334"/>
      <c r="C192" s="335"/>
      <c r="D192" s="338"/>
      <c r="E192" s="335"/>
      <c r="F192" s="338"/>
      <c r="G192" s="341"/>
    </row>
    <row r="193" spans="1:8" ht="28.25" customHeight="1" x14ac:dyDescent="0.45">
      <c r="A193" s="327"/>
      <c r="B193" s="328"/>
      <c r="C193" s="329"/>
      <c r="D193" s="336"/>
      <c r="E193" s="329"/>
      <c r="F193" s="336"/>
      <c r="G193" s="339"/>
    </row>
    <row r="194" spans="1:8" ht="28.25" customHeight="1" x14ac:dyDescent="0.45">
      <c r="A194" s="330"/>
      <c r="B194" s="331"/>
      <c r="C194" s="332"/>
      <c r="D194" s="337"/>
      <c r="E194" s="332"/>
      <c r="F194" s="337"/>
      <c r="G194" s="340"/>
    </row>
    <row r="195" spans="1:8" s="90" customFormat="1" ht="28.25" customHeight="1" x14ac:dyDescent="0.45">
      <c r="A195" s="333"/>
      <c r="B195" s="334"/>
      <c r="C195" s="335"/>
      <c r="D195" s="338"/>
      <c r="E195" s="335"/>
      <c r="F195" s="338"/>
      <c r="G195" s="341"/>
    </row>
    <row r="196" spans="1:8" ht="28.25" customHeight="1" x14ac:dyDescent="0.45">
      <c r="A196" s="342"/>
      <c r="B196" s="343"/>
      <c r="C196" s="344"/>
      <c r="D196" s="351"/>
      <c r="E196" s="344"/>
      <c r="F196" s="351"/>
      <c r="G196" s="354"/>
    </row>
    <row r="197" spans="1:8" ht="28.25" customHeight="1" x14ac:dyDescent="0.45">
      <c r="A197" s="345"/>
      <c r="B197" s="346"/>
      <c r="C197" s="347"/>
      <c r="D197" s="352"/>
      <c r="E197" s="347"/>
      <c r="F197" s="352"/>
      <c r="G197" s="355"/>
    </row>
    <row r="198" spans="1:8" ht="28.25" customHeight="1" thickBot="1" x14ac:dyDescent="0.5">
      <c r="A198" s="348"/>
      <c r="B198" s="349"/>
      <c r="C198" s="350"/>
      <c r="D198" s="353"/>
      <c r="E198" s="350"/>
      <c r="F198" s="353"/>
      <c r="G198" s="356"/>
    </row>
    <row r="200" spans="1:8" s="91" customFormat="1" x14ac:dyDescent="0.45"/>
    <row r="201" spans="1:8" ht="14.65" thickBot="1" x14ac:dyDescent="0.5"/>
    <row r="202" spans="1:8" ht="14.65" thickBot="1" x14ac:dyDescent="0.5">
      <c r="A202" s="84" t="s">
        <v>76</v>
      </c>
      <c r="B202" s="126">
        <v>5</v>
      </c>
      <c r="C202" s="108"/>
      <c r="D202" s="109"/>
      <c r="E202" s="109"/>
      <c r="F202" s="109"/>
      <c r="G202" s="109"/>
    </row>
    <row r="203" spans="1:8" ht="12.6" customHeight="1" x14ac:dyDescent="0.45">
      <c r="A203" s="409" t="s">
        <v>89</v>
      </c>
      <c r="B203" s="411"/>
      <c r="C203" s="401"/>
      <c r="D203" s="401"/>
      <c r="E203" s="401"/>
      <c r="F203" s="401"/>
      <c r="G203" s="401"/>
      <c r="H203" s="112"/>
    </row>
    <row r="204" spans="1:8" ht="12.6" customHeight="1" x14ac:dyDescent="0.45">
      <c r="A204" s="409"/>
      <c r="B204" s="411"/>
      <c r="C204" s="401"/>
      <c r="D204" s="401"/>
      <c r="E204" s="401"/>
      <c r="F204" s="401"/>
      <c r="G204" s="401"/>
      <c r="H204" s="112"/>
    </row>
    <row r="205" spans="1:8" s="83" customFormat="1" ht="12.6" customHeight="1" x14ac:dyDescent="0.45">
      <c r="A205" s="410"/>
      <c r="B205" s="411"/>
      <c r="C205" s="401"/>
      <c r="D205" s="401"/>
      <c r="E205" s="401"/>
      <c r="F205" s="401"/>
      <c r="G205" s="401"/>
      <c r="H205" s="113"/>
    </row>
    <row r="206" spans="1:8" ht="31.8" customHeight="1" x14ac:dyDescent="0.45">
      <c r="A206" s="412" t="s">
        <v>160</v>
      </c>
      <c r="B206" s="413"/>
      <c r="C206" s="399"/>
      <c r="D206" s="399"/>
      <c r="E206" s="399"/>
      <c r="F206" s="399"/>
      <c r="G206" s="399"/>
      <c r="H206" s="112"/>
    </row>
    <row r="207" spans="1:8" ht="31.8" customHeight="1" x14ac:dyDescent="0.45">
      <c r="A207" s="409"/>
      <c r="B207" s="411"/>
      <c r="C207" s="401"/>
      <c r="D207" s="401"/>
      <c r="E207" s="401"/>
      <c r="F207" s="401"/>
      <c r="G207" s="401"/>
      <c r="H207" s="112"/>
    </row>
    <row r="208" spans="1:8" ht="31.8" customHeight="1" x14ac:dyDescent="0.45">
      <c r="A208" s="409"/>
      <c r="B208" s="411"/>
      <c r="C208" s="401"/>
      <c r="D208" s="401"/>
      <c r="E208" s="401"/>
      <c r="F208" s="401"/>
      <c r="G208" s="401"/>
      <c r="H208" s="112"/>
    </row>
    <row r="209" spans="1:8" x14ac:dyDescent="0.45">
      <c r="A209" s="412" t="s">
        <v>155</v>
      </c>
      <c r="B209" s="414"/>
      <c r="C209" s="415"/>
      <c r="D209" s="415"/>
      <c r="E209" s="415"/>
      <c r="F209" s="417" t="s">
        <v>167</v>
      </c>
      <c r="G209" s="413"/>
      <c r="H209" s="112"/>
    </row>
    <row r="210" spans="1:8" x14ac:dyDescent="0.45">
      <c r="A210" s="409"/>
      <c r="B210" s="411"/>
      <c r="C210" s="401"/>
      <c r="D210" s="401"/>
      <c r="E210" s="401"/>
      <c r="F210" s="418"/>
      <c r="G210" s="411"/>
      <c r="H210" s="112"/>
    </row>
    <row r="211" spans="1:8" x14ac:dyDescent="0.45">
      <c r="A211" s="409"/>
      <c r="B211" s="416"/>
      <c r="C211" s="403"/>
      <c r="D211" s="403"/>
      <c r="E211" s="403"/>
      <c r="F211" s="418"/>
      <c r="G211" s="416"/>
      <c r="H211" s="112"/>
    </row>
    <row r="212" spans="1:8" x14ac:dyDescent="0.45">
      <c r="A212" s="412" t="s">
        <v>159</v>
      </c>
      <c r="B212" s="411"/>
      <c r="C212" s="401"/>
      <c r="D212" s="401"/>
      <c r="E212" s="401"/>
      <c r="F212" s="401"/>
      <c r="G212" s="401"/>
      <c r="H212" s="112"/>
    </row>
    <row r="213" spans="1:8" x14ac:dyDescent="0.45">
      <c r="A213" s="409"/>
      <c r="B213" s="411"/>
      <c r="C213" s="401"/>
      <c r="D213" s="401"/>
      <c r="E213" s="401"/>
      <c r="F213" s="401"/>
      <c r="G213" s="401"/>
      <c r="H213" s="112"/>
    </row>
    <row r="214" spans="1:8" x14ac:dyDescent="0.45">
      <c r="A214" s="410"/>
      <c r="B214" s="411"/>
      <c r="C214" s="401"/>
      <c r="D214" s="401"/>
      <c r="E214" s="401"/>
      <c r="F214" s="401"/>
      <c r="G214" s="401"/>
      <c r="H214" s="112"/>
    </row>
    <row r="215" spans="1:8" x14ac:dyDescent="0.45">
      <c r="A215" s="396" t="s">
        <v>161</v>
      </c>
      <c r="B215" s="399"/>
      <c r="C215" s="399"/>
      <c r="D215" s="399"/>
      <c r="E215" s="399"/>
      <c r="F215" s="399"/>
      <c r="G215" s="399"/>
      <c r="H215" s="112"/>
    </row>
    <row r="216" spans="1:8" x14ac:dyDescent="0.45">
      <c r="A216" s="397"/>
      <c r="B216" s="401"/>
      <c r="C216" s="401"/>
      <c r="D216" s="401"/>
      <c r="E216" s="401"/>
      <c r="F216" s="401"/>
      <c r="G216" s="401"/>
      <c r="H216" s="112"/>
    </row>
    <row r="217" spans="1:8" x14ac:dyDescent="0.45">
      <c r="A217" s="398"/>
      <c r="B217" s="403"/>
      <c r="C217" s="403"/>
      <c r="D217" s="403"/>
      <c r="E217" s="403"/>
      <c r="F217" s="403"/>
      <c r="G217" s="403"/>
      <c r="H217" s="112"/>
    </row>
    <row r="218" spans="1:8" ht="14.65" thickBot="1" x14ac:dyDescent="0.5">
      <c r="A218" s="85" t="s">
        <v>166</v>
      </c>
      <c r="B218" s="405"/>
      <c r="C218" s="405"/>
      <c r="D218" s="405"/>
      <c r="E218" s="405"/>
      <c r="F218" s="405"/>
      <c r="G218" s="405"/>
      <c r="H218" s="112"/>
    </row>
    <row r="219" spans="1:8" ht="14.65" thickBot="1" x14ac:dyDescent="0.5"/>
    <row r="220" spans="1:8" ht="15" customHeight="1" thickBot="1" x14ac:dyDescent="0.5">
      <c r="A220" s="407" t="s">
        <v>77</v>
      </c>
      <c r="B220" s="408"/>
      <c r="C220" s="69"/>
      <c r="E220" s="86" t="s">
        <v>22</v>
      </c>
      <c r="F220" s="62"/>
      <c r="G220" s="62"/>
    </row>
    <row r="221" spans="1:8" ht="14.65" thickBot="1" x14ac:dyDescent="0.5">
      <c r="A221" s="106"/>
      <c r="B221" s="106"/>
      <c r="E221" s="88" t="s">
        <v>32</v>
      </c>
      <c r="F221" s="382"/>
      <c r="G221" s="383"/>
    </row>
    <row r="222" spans="1:8" ht="14.65" thickBot="1" x14ac:dyDescent="0.5">
      <c r="A222" s="107" t="s">
        <v>103</v>
      </c>
      <c r="B222" s="106"/>
      <c r="E222" s="88" t="s">
        <v>34</v>
      </c>
      <c r="F222" s="386"/>
      <c r="G222" s="387"/>
    </row>
    <row r="223" spans="1:8" ht="14.65" thickBot="1" x14ac:dyDescent="0.5">
      <c r="A223" s="88" t="s">
        <v>32</v>
      </c>
      <c r="B223" s="382"/>
      <c r="C223" s="383"/>
      <c r="E223" s="89" t="s">
        <v>35</v>
      </c>
      <c r="F223" s="380"/>
      <c r="G223" s="381"/>
    </row>
    <row r="224" spans="1:8" ht="14.65" thickBot="1" x14ac:dyDescent="0.5">
      <c r="A224" s="88" t="s">
        <v>34</v>
      </c>
      <c r="B224" s="386"/>
      <c r="C224" s="387"/>
      <c r="F224" s="62"/>
    </row>
    <row r="225" spans="1:7" ht="15" customHeight="1" thickBot="1" x14ac:dyDescent="0.5">
      <c r="A225" s="89" t="s">
        <v>35</v>
      </c>
      <c r="B225" s="380"/>
      <c r="C225" s="381"/>
      <c r="E225" s="86" t="s">
        <v>31</v>
      </c>
      <c r="F225" s="62"/>
    </row>
    <row r="226" spans="1:7" ht="14.65" thickBot="1" x14ac:dyDescent="0.5">
      <c r="A226" s="87"/>
      <c r="B226" s="62"/>
      <c r="C226" s="62"/>
      <c r="E226" s="117">
        <v>1</v>
      </c>
      <c r="F226" s="382"/>
      <c r="G226" s="383"/>
    </row>
    <row r="227" spans="1:7" ht="15" customHeight="1" thickBot="1" x14ac:dyDescent="0.5">
      <c r="A227" s="384" t="s">
        <v>262</v>
      </c>
      <c r="B227" s="385"/>
      <c r="E227" s="117">
        <v>2</v>
      </c>
      <c r="F227" s="386"/>
      <c r="G227" s="387"/>
    </row>
    <row r="228" spans="1:7" x14ac:dyDescent="0.45">
      <c r="A228" s="117">
        <v>1</v>
      </c>
      <c r="B228" s="388"/>
      <c r="C228" s="389"/>
      <c r="E228" s="118">
        <v>3</v>
      </c>
      <c r="F228" s="386"/>
      <c r="G228" s="387"/>
    </row>
    <row r="229" spans="1:7" x14ac:dyDescent="0.45">
      <c r="A229" s="117">
        <v>2</v>
      </c>
      <c r="B229" s="390"/>
      <c r="C229" s="391"/>
      <c r="E229" s="117">
        <v>4</v>
      </c>
      <c r="F229" s="392"/>
      <c r="G229" s="393"/>
    </row>
    <row r="230" spans="1:7" ht="14.65" thickBot="1" x14ac:dyDescent="0.5">
      <c r="A230" s="145">
        <v>3</v>
      </c>
      <c r="B230" s="394"/>
      <c r="C230" s="395"/>
      <c r="E230" s="119">
        <v>5</v>
      </c>
      <c r="F230" s="380"/>
      <c r="G230" s="381"/>
    </row>
    <row r="231" spans="1:7" ht="14.65" thickBot="1" x14ac:dyDescent="0.5"/>
    <row r="232" spans="1:7" ht="15" customHeight="1" x14ac:dyDescent="0.45">
      <c r="A232" s="357" t="s">
        <v>136</v>
      </c>
      <c r="B232" s="358"/>
      <c r="C232" s="358"/>
      <c r="D232" s="358"/>
      <c r="E232" s="358"/>
      <c r="F232" s="358"/>
      <c r="G232" s="359"/>
    </row>
    <row r="233" spans="1:7" ht="14.45" customHeight="1" x14ac:dyDescent="0.45">
      <c r="A233" s="360" t="s">
        <v>137</v>
      </c>
      <c r="B233" s="361"/>
      <c r="C233" s="361"/>
      <c r="D233" s="361"/>
      <c r="E233" s="361"/>
      <c r="F233" s="361"/>
      <c r="G233" s="362"/>
    </row>
    <row r="234" spans="1:7" ht="14.45" customHeight="1" x14ac:dyDescent="0.45">
      <c r="A234" s="360" t="s">
        <v>164</v>
      </c>
      <c r="B234" s="361"/>
      <c r="C234" s="361"/>
      <c r="D234" s="361"/>
      <c r="E234" s="361"/>
      <c r="F234" s="361"/>
      <c r="G234" s="362"/>
    </row>
    <row r="235" spans="1:7" s="90" customFormat="1" ht="14.45" customHeight="1" x14ac:dyDescent="0.45">
      <c r="A235" s="363" t="s">
        <v>136</v>
      </c>
      <c r="B235" s="364"/>
      <c r="C235" s="365"/>
      <c r="D235" s="366" t="s">
        <v>203</v>
      </c>
      <c r="E235" s="365"/>
      <c r="F235" s="366" t="s">
        <v>165</v>
      </c>
      <c r="G235" s="365"/>
    </row>
    <row r="236" spans="1:7" ht="46.25" customHeight="1" x14ac:dyDescent="0.45">
      <c r="A236" s="367" t="s">
        <v>206</v>
      </c>
      <c r="B236" s="368"/>
      <c r="C236" s="369"/>
      <c r="D236" s="376" t="s">
        <v>204</v>
      </c>
      <c r="E236" s="369"/>
      <c r="F236" s="379" t="s">
        <v>205</v>
      </c>
      <c r="G236" s="369"/>
    </row>
    <row r="237" spans="1:7" ht="46.25" customHeight="1" x14ac:dyDescent="0.45">
      <c r="A237" s="370"/>
      <c r="B237" s="371"/>
      <c r="C237" s="372"/>
      <c r="D237" s="377"/>
      <c r="E237" s="372"/>
      <c r="F237" s="377"/>
      <c r="G237" s="372"/>
    </row>
    <row r="238" spans="1:7" ht="46.25" customHeight="1" x14ac:dyDescent="0.45">
      <c r="A238" s="373"/>
      <c r="B238" s="374"/>
      <c r="C238" s="375"/>
      <c r="D238" s="378"/>
      <c r="E238" s="375"/>
      <c r="F238" s="378"/>
      <c r="G238" s="375"/>
    </row>
    <row r="239" spans="1:7" ht="28.25" customHeight="1" x14ac:dyDescent="0.45">
      <c r="A239" s="327"/>
      <c r="B239" s="328"/>
      <c r="C239" s="329"/>
      <c r="D239" s="336"/>
      <c r="E239" s="329"/>
      <c r="F239" s="336"/>
      <c r="G239" s="339"/>
    </row>
    <row r="240" spans="1:7" ht="28.25" customHeight="1" x14ac:dyDescent="0.45">
      <c r="A240" s="330"/>
      <c r="B240" s="331"/>
      <c r="C240" s="332"/>
      <c r="D240" s="337"/>
      <c r="E240" s="332"/>
      <c r="F240" s="337"/>
      <c r="G240" s="340"/>
    </row>
    <row r="241" spans="1:7" ht="28.25" customHeight="1" x14ac:dyDescent="0.45">
      <c r="A241" s="333"/>
      <c r="B241" s="334"/>
      <c r="C241" s="335"/>
      <c r="D241" s="338"/>
      <c r="E241" s="335"/>
      <c r="F241" s="338"/>
      <c r="G241" s="341"/>
    </row>
    <row r="242" spans="1:7" ht="28.25" customHeight="1" x14ac:dyDescent="0.45">
      <c r="A242" s="327"/>
      <c r="B242" s="328"/>
      <c r="C242" s="329"/>
      <c r="D242" s="336"/>
      <c r="E242" s="329"/>
      <c r="F242" s="336"/>
      <c r="G242" s="339"/>
    </row>
    <row r="243" spans="1:7" ht="28.25" customHeight="1" x14ac:dyDescent="0.45">
      <c r="A243" s="330"/>
      <c r="B243" s="331"/>
      <c r="C243" s="332"/>
      <c r="D243" s="337"/>
      <c r="E243" s="332"/>
      <c r="F243" s="337"/>
      <c r="G243" s="340"/>
    </row>
    <row r="244" spans="1:7" ht="28.25" customHeight="1" x14ac:dyDescent="0.45">
      <c r="A244" s="333"/>
      <c r="B244" s="334"/>
      <c r="C244" s="335"/>
      <c r="D244" s="338"/>
      <c r="E244" s="335"/>
      <c r="F244" s="338"/>
      <c r="G244" s="341"/>
    </row>
    <row r="245" spans="1:7" ht="28.25" customHeight="1" x14ac:dyDescent="0.45">
      <c r="A245" s="342"/>
      <c r="B245" s="343"/>
      <c r="C245" s="344"/>
      <c r="D245" s="351"/>
      <c r="E245" s="344"/>
      <c r="F245" s="351"/>
      <c r="G245" s="354"/>
    </row>
    <row r="246" spans="1:7" ht="28.25" customHeight="1" x14ac:dyDescent="0.45">
      <c r="A246" s="345"/>
      <c r="B246" s="346"/>
      <c r="C246" s="347"/>
      <c r="D246" s="352"/>
      <c r="E246" s="347"/>
      <c r="F246" s="352"/>
      <c r="G246" s="355"/>
    </row>
    <row r="247" spans="1:7" ht="28.25" customHeight="1" thickBot="1" x14ac:dyDescent="0.5">
      <c r="A247" s="348"/>
      <c r="B247" s="349"/>
      <c r="C247" s="350"/>
      <c r="D247" s="353"/>
      <c r="E247" s="350"/>
      <c r="F247" s="353"/>
      <c r="G247" s="356"/>
    </row>
    <row r="249" spans="1:7" s="91" customFormat="1" x14ac:dyDescent="0.45"/>
    <row r="250" spans="1:7" ht="14.65" thickBot="1" x14ac:dyDescent="0.5"/>
    <row r="251" spans="1:7" ht="14.65" thickBot="1" x14ac:dyDescent="0.5">
      <c r="A251" s="84" t="s">
        <v>76</v>
      </c>
      <c r="B251" s="126">
        <v>6</v>
      </c>
      <c r="C251" s="108"/>
      <c r="D251" s="109"/>
      <c r="E251" s="109"/>
      <c r="F251" s="109"/>
      <c r="G251" s="109"/>
    </row>
    <row r="252" spans="1:7" ht="12.6" customHeight="1" x14ac:dyDescent="0.45">
      <c r="A252" s="409" t="s">
        <v>89</v>
      </c>
      <c r="B252" s="411"/>
      <c r="C252" s="401"/>
      <c r="D252" s="401"/>
      <c r="E252" s="401"/>
      <c r="F252" s="401"/>
      <c r="G252" s="402"/>
    </row>
    <row r="253" spans="1:7" ht="12.6" customHeight="1" x14ac:dyDescent="0.45">
      <c r="A253" s="409"/>
      <c r="B253" s="411"/>
      <c r="C253" s="401"/>
      <c r="D253" s="401"/>
      <c r="E253" s="401"/>
      <c r="F253" s="401"/>
      <c r="G253" s="402"/>
    </row>
    <row r="254" spans="1:7" ht="12.6" customHeight="1" x14ac:dyDescent="0.45">
      <c r="A254" s="410"/>
      <c r="B254" s="411"/>
      <c r="C254" s="401"/>
      <c r="D254" s="401"/>
      <c r="E254" s="401"/>
      <c r="F254" s="401"/>
      <c r="G254" s="402"/>
    </row>
    <row r="255" spans="1:7" ht="31.8" customHeight="1" x14ac:dyDescent="0.45">
      <c r="A255" s="412" t="s">
        <v>158</v>
      </c>
      <c r="B255" s="413"/>
      <c r="C255" s="399"/>
      <c r="D255" s="399"/>
      <c r="E255" s="399"/>
      <c r="F255" s="399"/>
      <c r="G255" s="400"/>
    </row>
    <row r="256" spans="1:7" ht="31.8" customHeight="1" x14ac:dyDescent="0.45">
      <c r="A256" s="409"/>
      <c r="B256" s="411"/>
      <c r="C256" s="401"/>
      <c r="D256" s="401"/>
      <c r="E256" s="401"/>
      <c r="F256" s="401"/>
      <c r="G256" s="402"/>
    </row>
    <row r="257" spans="1:7" ht="31.8" customHeight="1" x14ac:dyDescent="0.45">
      <c r="A257" s="410"/>
      <c r="B257" s="411"/>
      <c r="C257" s="401"/>
      <c r="D257" s="401"/>
      <c r="E257" s="401"/>
      <c r="F257" s="401"/>
      <c r="G257" s="402"/>
    </row>
    <row r="258" spans="1:7" x14ac:dyDescent="0.45">
      <c r="A258" s="412" t="s">
        <v>155</v>
      </c>
      <c r="B258" s="414"/>
      <c r="C258" s="415"/>
      <c r="D258" s="415"/>
      <c r="E258" s="415"/>
      <c r="F258" s="417" t="s">
        <v>167</v>
      </c>
      <c r="G258" s="419"/>
    </row>
    <row r="259" spans="1:7" x14ac:dyDescent="0.45">
      <c r="A259" s="409"/>
      <c r="B259" s="411"/>
      <c r="C259" s="401"/>
      <c r="D259" s="401"/>
      <c r="E259" s="401"/>
      <c r="F259" s="418"/>
      <c r="G259" s="420"/>
    </row>
    <row r="260" spans="1:7" x14ac:dyDescent="0.45">
      <c r="A260" s="409"/>
      <c r="B260" s="416"/>
      <c r="C260" s="403"/>
      <c r="D260" s="403"/>
      <c r="E260" s="403"/>
      <c r="F260" s="418"/>
      <c r="G260" s="421"/>
    </row>
    <row r="261" spans="1:7" x14ac:dyDescent="0.45">
      <c r="A261" s="412" t="s">
        <v>159</v>
      </c>
      <c r="B261" s="411"/>
      <c r="C261" s="401"/>
      <c r="D261" s="401"/>
      <c r="E261" s="401"/>
      <c r="F261" s="401"/>
      <c r="G261" s="402"/>
    </row>
    <row r="262" spans="1:7" x14ac:dyDescent="0.45">
      <c r="A262" s="409"/>
      <c r="B262" s="411"/>
      <c r="C262" s="401"/>
      <c r="D262" s="401"/>
      <c r="E262" s="401"/>
      <c r="F262" s="401"/>
      <c r="G262" s="402"/>
    </row>
    <row r="263" spans="1:7" x14ac:dyDescent="0.45">
      <c r="A263" s="410"/>
      <c r="B263" s="416"/>
      <c r="C263" s="403"/>
      <c r="D263" s="403"/>
      <c r="E263" s="403"/>
      <c r="F263" s="403"/>
      <c r="G263" s="404"/>
    </row>
    <row r="264" spans="1:7" x14ac:dyDescent="0.45">
      <c r="A264" s="396" t="s">
        <v>161</v>
      </c>
      <c r="B264" s="399"/>
      <c r="C264" s="399"/>
      <c r="D264" s="399"/>
      <c r="E264" s="399"/>
      <c r="F264" s="399"/>
      <c r="G264" s="400"/>
    </row>
    <row r="265" spans="1:7" x14ac:dyDescent="0.45">
      <c r="A265" s="397"/>
      <c r="B265" s="401"/>
      <c r="C265" s="401"/>
      <c r="D265" s="401"/>
      <c r="E265" s="401"/>
      <c r="F265" s="401"/>
      <c r="G265" s="402"/>
    </row>
    <row r="266" spans="1:7" x14ac:dyDescent="0.45">
      <c r="A266" s="398"/>
      <c r="B266" s="403"/>
      <c r="C266" s="403"/>
      <c r="D266" s="403"/>
      <c r="E266" s="403"/>
      <c r="F266" s="403"/>
      <c r="G266" s="404"/>
    </row>
    <row r="267" spans="1:7" ht="14.65" thickBot="1" x14ac:dyDescent="0.5">
      <c r="A267" s="85" t="s">
        <v>166</v>
      </c>
      <c r="B267" s="405"/>
      <c r="C267" s="405"/>
      <c r="D267" s="405"/>
      <c r="E267" s="405"/>
      <c r="F267" s="405"/>
      <c r="G267" s="406"/>
    </row>
    <row r="268" spans="1:7" ht="14.65" thickBot="1" x14ac:dyDescent="0.5"/>
    <row r="269" spans="1:7" ht="15" customHeight="1" thickBot="1" x14ac:dyDescent="0.5">
      <c r="A269" s="407" t="s">
        <v>77</v>
      </c>
      <c r="B269" s="408"/>
      <c r="C269" s="69"/>
      <c r="E269" s="86" t="s">
        <v>22</v>
      </c>
      <c r="F269" s="62"/>
      <c r="G269" s="62"/>
    </row>
    <row r="270" spans="1:7" ht="15" customHeight="1" thickBot="1" x14ac:dyDescent="0.5">
      <c r="A270" s="106"/>
      <c r="B270" s="106"/>
      <c r="E270" s="88" t="s">
        <v>32</v>
      </c>
      <c r="F270" s="382"/>
      <c r="G270" s="383"/>
    </row>
    <row r="271" spans="1:7" ht="15" customHeight="1" thickBot="1" x14ac:dyDescent="0.5">
      <c r="A271" s="107" t="s">
        <v>103</v>
      </c>
      <c r="B271" s="106"/>
      <c r="E271" s="88" t="s">
        <v>34</v>
      </c>
      <c r="F271" s="386"/>
      <c r="G271" s="387"/>
    </row>
    <row r="272" spans="1:7" ht="15" customHeight="1" thickBot="1" x14ac:dyDescent="0.5">
      <c r="A272" s="88" t="s">
        <v>32</v>
      </c>
      <c r="B272" s="382"/>
      <c r="C272" s="383"/>
      <c r="E272" s="89" t="s">
        <v>35</v>
      </c>
      <c r="F272" s="380"/>
      <c r="G272" s="381"/>
    </row>
    <row r="273" spans="1:7" ht="14.65" thickBot="1" x14ac:dyDescent="0.5">
      <c r="A273" s="88" t="s">
        <v>34</v>
      </c>
      <c r="B273" s="386"/>
      <c r="C273" s="387"/>
      <c r="F273" s="62"/>
    </row>
    <row r="274" spans="1:7" ht="15" customHeight="1" thickBot="1" x14ac:dyDescent="0.5">
      <c r="A274" s="89" t="s">
        <v>35</v>
      </c>
      <c r="B274" s="380"/>
      <c r="C274" s="381"/>
      <c r="E274" s="86" t="s">
        <v>31</v>
      </c>
      <c r="F274" s="62"/>
    </row>
    <row r="275" spans="1:7" ht="14.65" thickBot="1" x14ac:dyDescent="0.5">
      <c r="A275" s="87"/>
      <c r="B275" s="62"/>
      <c r="C275" s="62"/>
      <c r="E275" s="117">
        <v>1</v>
      </c>
      <c r="F275" s="382"/>
      <c r="G275" s="383"/>
    </row>
    <row r="276" spans="1:7" ht="15" customHeight="1" thickBot="1" x14ac:dyDescent="0.5">
      <c r="A276" s="384" t="s">
        <v>262</v>
      </c>
      <c r="B276" s="385"/>
      <c r="E276" s="117">
        <v>2</v>
      </c>
      <c r="F276" s="386"/>
      <c r="G276" s="387"/>
    </row>
    <row r="277" spans="1:7" x14ac:dyDescent="0.45">
      <c r="A277" s="117">
        <v>1</v>
      </c>
      <c r="B277" s="388"/>
      <c r="C277" s="389"/>
      <c r="E277" s="118">
        <v>3</v>
      </c>
      <c r="F277" s="386"/>
      <c r="G277" s="387"/>
    </row>
    <row r="278" spans="1:7" x14ac:dyDescent="0.45">
      <c r="A278" s="117">
        <v>2</v>
      </c>
      <c r="B278" s="390"/>
      <c r="C278" s="391"/>
      <c r="E278" s="117">
        <v>4</v>
      </c>
      <c r="F278" s="392"/>
      <c r="G278" s="393"/>
    </row>
    <row r="279" spans="1:7" ht="14.65" thickBot="1" x14ac:dyDescent="0.5">
      <c r="A279" s="145">
        <v>3</v>
      </c>
      <c r="B279" s="394"/>
      <c r="C279" s="395"/>
      <c r="E279" s="119">
        <v>5</v>
      </c>
      <c r="F279" s="380"/>
      <c r="G279" s="381"/>
    </row>
    <row r="280" spans="1:7" ht="14.65" thickBot="1" x14ac:dyDescent="0.5"/>
    <row r="281" spans="1:7" x14ac:dyDescent="0.45">
      <c r="A281" s="357" t="s">
        <v>136</v>
      </c>
      <c r="B281" s="358"/>
      <c r="C281" s="358"/>
      <c r="D281" s="358"/>
      <c r="E281" s="358"/>
      <c r="F281" s="358"/>
      <c r="G281" s="359"/>
    </row>
    <row r="282" spans="1:7" ht="14.25" customHeight="1" x14ac:dyDescent="0.45">
      <c r="A282" s="360" t="s">
        <v>137</v>
      </c>
      <c r="B282" s="361"/>
      <c r="C282" s="361"/>
      <c r="D282" s="361"/>
      <c r="E282" s="361"/>
      <c r="F282" s="361"/>
      <c r="G282" s="362"/>
    </row>
    <row r="283" spans="1:7" ht="14.25" customHeight="1" x14ac:dyDescent="0.45">
      <c r="A283" s="360" t="s">
        <v>164</v>
      </c>
      <c r="B283" s="361"/>
      <c r="C283" s="361"/>
      <c r="D283" s="361"/>
      <c r="E283" s="361"/>
      <c r="F283" s="361"/>
      <c r="G283" s="362"/>
    </row>
    <row r="284" spans="1:7" ht="14.45" customHeight="1" x14ac:dyDescent="0.45">
      <c r="A284" s="363" t="s">
        <v>136</v>
      </c>
      <c r="B284" s="364"/>
      <c r="C284" s="365"/>
      <c r="D284" s="366" t="s">
        <v>203</v>
      </c>
      <c r="E284" s="365"/>
      <c r="F284" s="366" t="s">
        <v>165</v>
      </c>
      <c r="G284" s="365"/>
    </row>
    <row r="285" spans="1:7" ht="42.6" customHeight="1" x14ac:dyDescent="0.45">
      <c r="A285" s="367" t="s">
        <v>206</v>
      </c>
      <c r="B285" s="368"/>
      <c r="C285" s="369"/>
      <c r="D285" s="376" t="s">
        <v>204</v>
      </c>
      <c r="E285" s="369"/>
      <c r="F285" s="379" t="s">
        <v>205</v>
      </c>
      <c r="G285" s="369"/>
    </row>
    <row r="286" spans="1:7" ht="42.6" customHeight="1" x14ac:dyDescent="0.45">
      <c r="A286" s="370"/>
      <c r="B286" s="371"/>
      <c r="C286" s="372"/>
      <c r="D286" s="377"/>
      <c r="E286" s="372"/>
      <c r="F286" s="377"/>
      <c r="G286" s="372"/>
    </row>
    <row r="287" spans="1:7" ht="42.6" customHeight="1" x14ac:dyDescent="0.45">
      <c r="A287" s="373"/>
      <c r="B287" s="374"/>
      <c r="C287" s="375"/>
      <c r="D287" s="378"/>
      <c r="E287" s="375"/>
      <c r="F287" s="378"/>
      <c r="G287" s="375"/>
    </row>
    <row r="288" spans="1:7" s="83" customFormat="1" ht="28.25" customHeight="1" x14ac:dyDescent="0.45">
      <c r="A288" s="327"/>
      <c r="B288" s="328"/>
      <c r="C288" s="329"/>
      <c r="D288" s="336"/>
      <c r="E288" s="329"/>
      <c r="F288" s="336"/>
      <c r="G288" s="339"/>
    </row>
    <row r="289" spans="1:7" ht="28.25" customHeight="1" x14ac:dyDescent="0.45">
      <c r="A289" s="330"/>
      <c r="B289" s="331"/>
      <c r="C289" s="332"/>
      <c r="D289" s="337"/>
      <c r="E289" s="332"/>
      <c r="F289" s="337"/>
      <c r="G289" s="340"/>
    </row>
    <row r="290" spans="1:7" ht="28.25" customHeight="1" x14ac:dyDescent="0.45">
      <c r="A290" s="333"/>
      <c r="B290" s="334"/>
      <c r="C290" s="335"/>
      <c r="D290" s="338"/>
      <c r="E290" s="335"/>
      <c r="F290" s="338"/>
      <c r="G290" s="341"/>
    </row>
    <row r="291" spans="1:7" ht="28.25" customHeight="1" x14ac:dyDescent="0.45">
      <c r="A291" s="327"/>
      <c r="B291" s="328"/>
      <c r="C291" s="329"/>
      <c r="D291" s="336"/>
      <c r="E291" s="329"/>
      <c r="F291" s="336"/>
      <c r="G291" s="339"/>
    </row>
    <row r="292" spans="1:7" ht="28.25" customHeight="1" x14ac:dyDescent="0.45">
      <c r="A292" s="330"/>
      <c r="B292" s="331"/>
      <c r="C292" s="332"/>
      <c r="D292" s="337"/>
      <c r="E292" s="332"/>
      <c r="F292" s="337"/>
      <c r="G292" s="340"/>
    </row>
    <row r="293" spans="1:7" ht="28.25" customHeight="1" x14ac:dyDescent="0.45">
      <c r="A293" s="333"/>
      <c r="B293" s="334"/>
      <c r="C293" s="335"/>
      <c r="D293" s="338"/>
      <c r="E293" s="335"/>
      <c r="F293" s="338"/>
      <c r="G293" s="341"/>
    </row>
    <row r="294" spans="1:7" ht="28.25" customHeight="1" x14ac:dyDescent="0.45">
      <c r="A294" s="342"/>
      <c r="B294" s="343"/>
      <c r="C294" s="344"/>
      <c r="D294" s="351"/>
      <c r="E294" s="344"/>
      <c r="F294" s="351"/>
      <c r="G294" s="354"/>
    </row>
    <row r="295" spans="1:7" ht="28.25" customHeight="1" x14ac:dyDescent="0.45">
      <c r="A295" s="345"/>
      <c r="B295" s="346"/>
      <c r="C295" s="347"/>
      <c r="D295" s="352"/>
      <c r="E295" s="347"/>
      <c r="F295" s="352"/>
      <c r="G295" s="355"/>
    </row>
    <row r="296" spans="1:7" ht="28.25" customHeight="1" thickBot="1" x14ac:dyDescent="0.5">
      <c r="A296" s="348"/>
      <c r="B296" s="349"/>
      <c r="C296" s="350"/>
      <c r="D296" s="353"/>
      <c r="E296" s="350"/>
      <c r="F296" s="353"/>
      <c r="G296" s="356"/>
    </row>
    <row r="298" spans="1:7" s="91" customFormat="1" x14ac:dyDescent="0.45"/>
    <row r="299" spans="1:7" ht="14.65" thickBot="1" x14ac:dyDescent="0.5"/>
    <row r="300" spans="1:7" ht="14.65" thickBot="1" x14ac:dyDescent="0.5">
      <c r="A300" s="84" t="s">
        <v>76</v>
      </c>
      <c r="B300" s="126">
        <v>7</v>
      </c>
      <c r="C300" s="108"/>
      <c r="D300" s="109"/>
      <c r="E300" s="109"/>
      <c r="F300" s="109"/>
      <c r="G300" s="109"/>
    </row>
    <row r="301" spans="1:7" ht="12.6" customHeight="1" x14ac:dyDescent="0.45">
      <c r="A301" s="409" t="s">
        <v>89</v>
      </c>
      <c r="B301" s="411"/>
      <c r="C301" s="401"/>
      <c r="D301" s="401"/>
      <c r="E301" s="401"/>
      <c r="F301" s="401"/>
      <c r="G301" s="402"/>
    </row>
    <row r="302" spans="1:7" ht="12.6" customHeight="1" x14ac:dyDescent="0.45">
      <c r="A302" s="409"/>
      <c r="B302" s="411"/>
      <c r="C302" s="401"/>
      <c r="D302" s="401"/>
      <c r="E302" s="401"/>
      <c r="F302" s="401"/>
      <c r="G302" s="402"/>
    </row>
    <row r="303" spans="1:7" ht="12.6" customHeight="1" x14ac:dyDescent="0.45">
      <c r="A303" s="410"/>
      <c r="B303" s="411"/>
      <c r="C303" s="401"/>
      <c r="D303" s="401"/>
      <c r="E303" s="401"/>
      <c r="F303" s="401"/>
      <c r="G303" s="402"/>
    </row>
    <row r="304" spans="1:7" ht="31.8" customHeight="1" x14ac:dyDescent="0.45">
      <c r="A304" s="412" t="s">
        <v>160</v>
      </c>
      <c r="B304" s="413"/>
      <c r="C304" s="399"/>
      <c r="D304" s="399"/>
      <c r="E304" s="399"/>
      <c r="F304" s="399"/>
      <c r="G304" s="400"/>
    </row>
    <row r="305" spans="1:7" ht="31.8" customHeight="1" x14ac:dyDescent="0.45">
      <c r="A305" s="409"/>
      <c r="B305" s="411"/>
      <c r="C305" s="401"/>
      <c r="D305" s="401"/>
      <c r="E305" s="401"/>
      <c r="F305" s="401"/>
      <c r="G305" s="402"/>
    </row>
    <row r="306" spans="1:7" ht="31.8" customHeight="1" x14ac:dyDescent="0.45">
      <c r="A306" s="410"/>
      <c r="B306" s="411"/>
      <c r="C306" s="401"/>
      <c r="D306" s="401"/>
      <c r="E306" s="401"/>
      <c r="F306" s="401"/>
      <c r="G306" s="402"/>
    </row>
    <row r="307" spans="1:7" x14ac:dyDescent="0.45">
      <c r="A307" s="412" t="s">
        <v>155</v>
      </c>
      <c r="B307" s="414"/>
      <c r="C307" s="415"/>
      <c r="D307" s="415"/>
      <c r="E307" s="415"/>
      <c r="F307" s="417" t="s">
        <v>167</v>
      </c>
      <c r="G307" s="419"/>
    </row>
    <row r="308" spans="1:7" x14ac:dyDescent="0.45">
      <c r="A308" s="409"/>
      <c r="B308" s="411"/>
      <c r="C308" s="401"/>
      <c r="D308" s="401"/>
      <c r="E308" s="401"/>
      <c r="F308" s="418"/>
      <c r="G308" s="420"/>
    </row>
    <row r="309" spans="1:7" ht="15" customHeight="1" x14ac:dyDescent="0.45">
      <c r="A309" s="409"/>
      <c r="B309" s="416"/>
      <c r="C309" s="403"/>
      <c r="D309" s="403"/>
      <c r="E309" s="403"/>
      <c r="F309" s="418"/>
      <c r="G309" s="421"/>
    </row>
    <row r="310" spans="1:7" x14ac:dyDescent="0.45">
      <c r="A310" s="412" t="s">
        <v>159</v>
      </c>
      <c r="B310" s="411"/>
      <c r="C310" s="401"/>
      <c r="D310" s="401"/>
      <c r="E310" s="401"/>
      <c r="F310" s="401"/>
      <c r="G310" s="402"/>
    </row>
    <row r="311" spans="1:7" x14ac:dyDescent="0.45">
      <c r="A311" s="409"/>
      <c r="B311" s="411"/>
      <c r="C311" s="401"/>
      <c r="D311" s="401"/>
      <c r="E311" s="401"/>
      <c r="F311" s="401"/>
      <c r="G311" s="402"/>
    </row>
    <row r="312" spans="1:7" x14ac:dyDescent="0.45">
      <c r="A312" s="410"/>
      <c r="B312" s="416"/>
      <c r="C312" s="403"/>
      <c r="D312" s="403"/>
      <c r="E312" s="403"/>
      <c r="F312" s="403"/>
      <c r="G312" s="404"/>
    </row>
    <row r="313" spans="1:7" ht="15" customHeight="1" x14ac:dyDescent="0.45">
      <c r="A313" s="396" t="s">
        <v>161</v>
      </c>
      <c r="B313" s="399"/>
      <c r="C313" s="399"/>
      <c r="D313" s="399"/>
      <c r="E313" s="399"/>
      <c r="F313" s="399"/>
      <c r="G313" s="400"/>
    </row>
    <row r="314" spans="1:7" x14ac:dyDescent="0.45">
      <c r="A314" s="397"/>
      <c r="B314" s="401"/>
      <c r="C314" s="401"/>
      <c r="D314" s="401"/>
      <c r="E314" s="401"/>
      <c r="F314" s="401"/>
      <c r="G314" s="402"/>
    </row>
    <row r="315" spans="1:7" x14ac:dyDescent="0.45">
      <c r="A315" s="398"/>
      <c r="B315" s="403"/>
      <c r="C315" s="403"/>
      <c r="D315" s="403"/>
      <c r="E315" s="403"/>
      <c r="F315" s="403"/>
      <c r="G315" s="404"/>
    </row>
    <row r="316" spans="1:7" ht="14.65" thickBot="1" x14ac:dyDescent="0.5">
      <c r="A316" s="85" t="s">
        <v>166</v>
      </c>
      <c r="B316" s="405"/>
      <c r="C316" s="405"/>
      <c r="D316" s="405"/>
      <c r="E316" s="405"/>
      <c r="F316" s="405"/>
      <c r="G316" s="406"/>
    </row>
    <row r="317" spans="1:7" s="90" customFormat="1" ht="14.65" thickBot="1" x14ac:dyDescent="0.5">
      <c r="A317" s="61"/>
      <c r="B317" s="61"/>
      <c r="C317" s="61"/>
      <c r="D317" s="61"/>
      <c r="E317" s="61"/>
      <c r="F317" s="61"/>
    </row>
    <row r="318" spans="1:7" ht="15" customHeight="1" thickBot="1" x14ac:dyDescent="0.5">
      <c r="A318" s="407" t="s">
        <v>77</v>
      </c>
      <c r="B318" s="408"/>
      <c r="C318" s="69"/>
      <c r="E318" s="86" t="s">
        <v>22</v>
      </c>
      <c r="F318" s="62"/>
      <c r="G318" s="62"/>
    </row>
    <row r="319" spans="1:7" ht="14.65" thickBot="1" x14ac:dyDescent="0.5">
      <c r="A319" s="106"/>
      <c r="B319" s="106"/>
      <c r="E319" s="88" t="s">
        <v>32</v>
      </c>
      <c r="F319" s="382"/>
      <c r="G319" s="383"/>
    </row>
    <row r="320" spans="1:7" ht="14.65" thickBot="1" x14ac:dyDescent="0.5">
      <c r="A320" s="107" t="s">
        <v>103</v>
      </c>
      <c r="B320" s="106"/>
      <c r="E320" s="88" t="s">
        <v>34</v>
      </c>
      <c r="F320" s="386"/>
      <c r="G320" s="387"/>
    </row>
    <row r="321" spans="1:7" ht="14.65" thickBot="1" x14ac:dyDescent="0.5">
      <c r="A321" s="88" t="s">
        <v>32</v>
      </c>
      <c r="B321" s="382"/>
      <c r="C321" s="383"/>
      <c r="E321" s="89" t="s">
        <v>35</v>
      </c>
      <c r="F321" s="380"/>
      <c r="G321" s="381"/>
    </row>
    <row r="322" spans="1:7" ht="14.65" thickBot="1" x14ac:dyDescent="0.5">
      <c r="A322" s="88" t="s">
        <v>34</v>
      </c>
      <c r="B322" s="386"/>
      <c r="C322" s="387"/>
      <c r="F322" s="62"/>
    </row>
    <row r="323" spans="1:7" ht="15" customHeight="1" thickBot="1" x14ac:dyDescent="0.5">
      <c r="A323" s="89" t="s">
        <v>35</v>
      </c>
      <c r="B323" s="380"/>
      <c r="C323" s="381"/>
      <c r="E323" s="86" t="s">
        <v>31</v>
      </c>
      <c r="F323" s="62"/>
    </row>
    <row r="324" spans="1:7" ht="14.65" thickBot="1" x14ac:dyDescent="0.5">
      <c r="A324" s="87"/>
      <c r="B324" s="62"/>
      <c r="C324" s="62"/>
      <c r="E324" s="117">
        <v>1</v>
      </c>
      <c r="F324" s="382"/>
      <c r="G324" s="383"/>
    </row>
    <row r="325" spans="1:7" ht="15" customHeight="1" thickBot="1" x14ac:dyDescent="0.5">
      <c r="A325" s="384" t="s">
        <v>262</v>
      </c>
      <c r="B325" s="385"/>
      <c r="E325" s="117">
        <v>2</v>
      </c>
      <c r="F325" s="386"/>
      <c r="G325" s="387"/>
    </row>
    <row r="326" spans="1:7" x14ac:dyDescent="0.45">
      <c r="A326" s="117">
        <v>1</v>
      </c>
      <c r="B326" s="388"/>
      <c r="C326" s="389"/>
      <c r="E326" s="118">
        <v>3</v>
      </c>
      <c r="F326" s="386"/>
      <c r="G326" s="387"/>
    </row>
    <row r="327" spans="1:7" x14ac:dyDescent="0.45">
      <c r="A327" s="117">
        <v>2</v>
      </c>
      <c r="B327" s="390"/>
      <c r="C327" s="391"/>
      <c r="E327" s="117">
        <v>4</v>
      </c>
      <c r="F327" s="392"/>
      <c r="G327" s="393"/>
    </row>
    <row r="328" spans="1:7" s="83" customFormat="1" ht="14.65" thickBot="1" x14ac:dyDescent="0.5">
      <c r="A328" s="145">
        <v>3</v>
      </c>
      <c r="B328" s="394"/>
      <c r="C328" s="395"/>
      <c r="D328" s="61"/>
      <c r="E328" s="119">
        <v>5</v>
      </c>
      <c r="F328" s="380"/>
      <c r="G328" s="381"/>
    </row>
    <row r="329" spans="1:7" ht="12.6" customHeight="1" thickBot="1" x14ac:dyDescent="0.5"/>
    <row r="330" spans="1:7" ht="12.6" customHeight="1" x14ac:dyDescent="0.45">
      <c r="A330" s="357" t="s">
        <v>136</v>
      </c>
      <c r="B330" s="358"/>
      <c r="C330" s="358"/>
      <c r="D330" s="358"/>
      <c r="E330" s="358"/>
      <c r="F330" s="358"/>
      <c r="G330" s="359"/>
    </row>
    <row r="331" spans="1:7" ht="12.6" customHeight="1" x14ac:dyDescent="0.45">
      <c r="A331" s="360" t="s">
        <v>137</v>
      </c>
      <c r="B331" s="361"/>
      <c r="C331" s="361"/>
      <c r="D331" s="361"/>
      <c r="E331" s="361"/>
      <c r="F331" s="361"/>
      <c r="G331" s="362"/>
    </row>
    <row r="332" spans="1:7" ht="14.45" customHeight="1" x14ac:dyDescent="0.45">
      <c r="A332" s="360" t="s">
        <v>164</v>
      </c>
      <c r="B332" s="361"/>
      <c r="C332" s="361"/>
      <c r="D332" s="361"/>
      <c r="E332" s="361"/>
      <c r="F332" s="361"/>
      <c r="G332" s="362"/>
    </row>
    <row r="333" spans="1:7" ht="14.45" customHeight="1" x14ac:dyDescent="0.45">
      <c r="A333" s="363" t="s">
        <v>136</v>
      </c>
      <c r="B333" s="364"/>
      <c r="C333" s="365"/>
      <c r="D333" s="366" t="s">
        <v>203</v>
      </c>
      <c r="E333" s="365"/>
      <c r="F333" s="366" t="s">
        <v>165</v>
      </c>
      <c r="G333" s="365"/>
    </row>
    <row r="334" spans="1:7" ht="46.25" customHeight="1" x14ac:dyDescent="0.45">
      <c r="A334" s="367" t="s">
        <v>206</v>
      </c>
      <c r="B334" s="368"/>
      <c r="C334" s="369"/>
      <c r="D334" s="376" t="s">
        <v>204</v>
      </c>
      <c r="E334" s="369"/>
      <c r="F334" s="379" t="s">
        <v>205</v>
      </c>
      <c r="G334" s="369"/>
    </row>
    <row r="335" spans="1:7" ht="46.25" customHeight="1" x14ac:dyDescent="0.45">
      <c r="A335" s="370"/>
      <c r="B335" s="371"/>
      <c r="C335" s="372"/>
      <c r="D335" s="377"/>
      <c r="E335" s="372"/>
      <c r="F335" s="377"/>
      <c r="G335" s="372"/>
    </row>
    <row r="336" spans="1:7" ht="46.25" customHeight="1" x14ac:dyDescent="0.45">
      <c r="A336" s="373"/>
      <c r="B336" s="374"/>
      <c r="C336" s="375"/>
      <c r="D336" s="378"/>
      <c r="E336" s="375"/>
      <c r="F336" s="378"/>
      <c r="G336" s="375"/>
    </row>
    <row r="337" spans="1:7" ht="28.25" customHeight="1" x14ac:dyDescent="0.45">
      <c r="A337" s="327"/>
      <c r="B337" s="328"/>
      <c r="C337" s="329"/>
      <c r="D337" s="336"/>
      <c r="E337" s="329"/>
      <c r="F337" s="336"/>
      <c r="G337" s="339"/>
    </row>
    <row r="338" spans="1:7" ht="28.25" customHeight="1" x14ac:dyDescent="0.45">
      <c r="A338" s="330"/>
      <c r="B338" s="331"/>
      <c r="C338" s="332"/>
      <c r="D338" s="337"/>
      <c r="E338" s="332"/>
      <c r="F338" s="337"/>
      <c r="G338" s="340"/>
    </row>
    <row r="339" spans="1:7" ht="28.25" customHeight="1" x14ac:dyDescent="0.45">
      <c r="A339" s="333"/>
      <c r="B339" s="334"/>
      <c r="C339" s="335"/>
      <c r="D339" s="338"/>
      <c r="E339" s="335"/>
      <c r="F339" s="338"/>
      <c r="G339" s="341"/>
    </row>
    <row r="340" spans="1:7" ht="28.25" customHeight="1" x14ac:dyDescent="0.45">
      <c r="A340" s="327"/>
      <c r="B340" s="328"/>
      <c r="C340" s="329"/>
      <c r="D340" s="336"/>
      <c r="E340" s="329"/>
      <c r="F340" s="336"/>
      <c r="G340" s="339"/>
    </row>
    <row r="341" spans="1:7" ht="28.25" customHeight="1" x14ac:dyDescent="0.45">
      <c r="A341" s="330"/>
      <c r="B341" s="331"/>
      <c r="C341" s="332"/>
      <c r="D341" s="337"/>
      <c r="E341" s="332"/>
      <c r="F341" s="337"/>
      <c r="G341" s="340"/>
    </row>
    <row r="342" spans="1:7" ht="28.25" customHeight="1" x14ac:dyDescent="0.45">
      <c r="A342" s="333"/>
      <c r="B342" s="334"/>
      <c r="C342" s="335"/>
      <c r="D342" s="338"/>
      <c r="E342" s="335"/>
      <c r="F342" s="338"/>
      <c r="G342" s="341"/>
    </row>
    <row r="343" spans="1:7" ht="28.25" customHeight="1" x14ac:dyDescent="0.45">
      <c r="A343" s="342"/>
      <c r="B343" s="343"/>
      <c r="C343" s="344"/>
      <c r="D343" s="351"/>
      <c r="E343" s="344"/>
      <c r="F343" s="351"/>
      <c r="G343" s="354"/>
    </row>
    <row r="344" spans="1:7" ht="28.25" customHeight="1" x14ac:dyDescent="0.45">
      <c r="A344" s="345"/>
      <c r="B344" s="346"/>
      <c r="C344" s="347"/>
      <c r="D344" s="352"/>
      <c r="E344" s="347"/>
      <c r="F344" s="352"/>
      <c r="G344" s="355"/>
    </row>
    <row r="345" spans="1:7" ht="28.25" customHeight="1" thickBot="1" x14ac:dyDescent="0.5">
      <c r="A345" s="348"/>
      <c r="B345" s="349"/>
      <c r="C345" s="350"/>
      <c r="D345" s="353"/>
      <c r="E345" s="350"/>
      <c r="F345" s="353"/>
      <c r="G345" s="356"/>
    </row>
    <row r="347" spans="1:7" s="91" customFormat="1" x14ac:dyDescent="0.45"/>
    <row r="348" spans="1:7" ht="14.65" thickBot="1" x14ac:dyDescent="0.5"/>
    <row r="349" spans="1:7" ht="15" customHeight="1" thickBot="1" x14ac:dyDescent="0.5">
      <c r="A349" s="84" t="s">
        <v>76</v>
      </c>
      <c r="B349" s="126">
        <v>8</v>
      </c>
      <c r="C349" s="108"/>
      <c r="D349" s="109"/>
      <c r="E349" s="109"/>
      <c r="F349" s="109"/>
      <c r="G349" s="109"/>
    </row>
    <row r="350" spans="1:7" ht="12.6" customHeight="1" x14ac:dyDescent="0.45">
      <c r="A350" s="409" t="s">
        <v>89</v>
      </c>
      <c r="B350" s="411"/>
      <c r="C350" s="401"/>
      <c r="D350" s="401"/>
      <c r="E350" s="401"/>
      <c r="F350" s="401"/>
      <c r="G350" s="402"/>
    </row>
    <row r="351" spans="1:7" ht="12.6" customHeight="1" x14ac:dyDescent="0.45">
      <c r="A351" s="409"/>
      <c r="B351" s="411"/>
      <c r="C351" s="401"/>
      <c r="D351" s="401"/>
      <c r="E351" s="401"/>
      <c r="F351" s="401"/>
      <c r="G351" s="402"/>
    </row>
    <row r="352" spans="1:7" ht="12.6" customHeight="1" x14ac:dyDescent="0.45">
      <c r="A352" s="410"/>
      <c r="B352" s="411"/>
      <c r="C352" s="401"/>
      <c r="D352" s="401"/>
      <c r="E352" s="401"/>
      <c r="F352" s="401"/>
      <c r="G352" s="402"/>
    </row>
    <row r="353" spans="1:7" ht="31.8" customHeight="1" x14ac:dyDescent="0.45">
      <c r="A353" s="412" t="s">
        <v>160</v>
      </c>
      <c r="B353" s="413"/>
      <c r="C353" s="399"/>
      <c r="D353" s="399"/>
      <c r="E353" s="399"/>
      <c r="F353" s="399"/>
      <c r="G353" s="400"/>
    </row>
    <row r="354" spans="1:7" ht="31.8" customHeight="1" x14ac:dyDescent="0.45">
      <c r="A354" s="409"/>
      <c r="B354" s="411"/>
      <c r="C354" s="401"/>
      <c r="D354" s="401"/>
      <c r="E354" s="401"/>
      <c r="F354" s="401"/>
      <c r="G354" s="402"/>
    </row>
    <row r="355" spans="1:7" ht="31.8" customHeight="1" x14ac:dyDescent="0.45">
      <c r="A355" s="410"/>
      <c r="B355" s="411"/>
      <c r="C355" s="401"/>
      <c r="D355" s="401"/>
      <c r="E355" s="401"/>
      <c r="F355" s="401"/>
      <c r="G355" s="402"/>
    </row>
    <row r="356" spans="1:7" x14ac:dyDescent="0.45">
      <c r="A356" s="412" t="s">
        <v>155</v>
      </c>
      <c r="B356" s="414"/>
      <c r="C356" s="415"/>
      <c r="D356" s="415"/>
      <c r="E356" s="415"/>
      <c r="F356" s="417" t="s">
        <v>167</v>
      </c>
      <c r="G356" s="419"/>
    </row>
    <row r="357" spans="1:7" s="90" customFormat="1" x14ac:dyDescent="0.45">
      <c r="A357" s="409"/>
      <c r="B357" s="411"/>
      <c r="C357" s="401"/>
      <c r="D357" s="401"/>
      <c r="E357" s="401"/>
      <c r="F357" s="418"/>
      <c r="G357" s="420"/>
    </row>
    <row r="358" spans="1:7" x14ac:dyDescent="0.45">
      <c r="A358" s="409"/>
      <c r="B358" s="416"/>
      <c r="C358" s="403"/>
      <c r="D358" s="403"/>
      <c r="E358" s="403"/>
      <c r="F358" s="418"/>
      <c r="G358" s="421"/>
    </row>
    <row r="359" spans="1:7" x14ac:dyDescent="0.45">
      <c r="A359" s="412" t="s">
        <v>159</v>
      </c>
      <c r="B359" s="411"/>
      <c r="C359" s="401"/>
      <c r="D359" s="401"/>
      <c r="E359" s="401"/>
      <c r="F359" s="401"/>
      <c r="G359" s="402"/>
    </row>
    <row r="360" spans="1:7" x14ac:dyDescent="0.45">
      <c r="A360" s="409"/>
      <c r="B360" s="411"/>
      <c r="C360" s="401"/>
      <c r="D360" s="401"/>
      <c r="E360" s="401"/>
      <c r="F360" s="401"/>
      <c r="G360" s="402"/>
    </row>
    <row r="361" spans="1:7" x14ac:dyDescent="0.45">
      <c r="A361" s="410"/>
      <c r="B361" s="416"/>
      <c r="C361" s="403"/>
      <c r="D361" s="403"/>
      <c r="E361" s="403"/>
      <c r="F361" s="403"/>
      <c r="G361" s="404"/>
    </row>
    <row r="362" spans="1:7" x14ac:dyDescent="0.45">
      <c r="A362" s="396" t="s">
        <v>161</v>
      </c>
      <c r="B362" s="401"/>
      <c r="C362" s="401"/>
      <c r="D362" s="401"/>
      <c r="E362" s="401"/>
      <c r="F362" s="401"/>
      <c r="G362" s="402"/>
    </row>
    <row r="363" spans="1:7" x14ac:dyDescent="0.45">
      <c r="A363" s="397"/>
      <c r="B363" s="401"/>
      <c r="C363" s="401"/>
      <c r="D363" s="401"/>
      <c r="E363" s="401"/>
      <c r="F363" s="401"/>
      <c r="G363" s="402"/>
    </row>
    <row r="364" spans="1:7" x14ac:dyDescent="0.45">
      <c r="A364" s="398"/>
      <c r="B364" s="401"/>
      <c r="C364" s="401"/>
      <c r="D364" s="401"/>
      <c r="E364" s="401"/>
      <c r="F364" s="401"/>
      <c r="G364" s="402"/>
    </row>
    <row r="365" spans="1:7" ht="14.65" thickBot="1" x14ac:dyDescent="0.5">
      <c r="A365" s="85" t="s">
        <v>166</v>
      </c>
      <c r="B365" s="405"/>
      <c r="C365" s="405"/>
      <c r="D365" s="405"/>
      <c r="E365" s="405"/>
      <c r="F365" s="405"/>
      <c r="G365" s="406"/>
    </row>
    <row r="366" spans="1:7" ht="14.65" thickBot="1" x14ac:dyDescent="0.5"/>
    <row r="367" spans="1:7" ht="15" customHeight="1" thickBot="1" x14ac:dyDescent="0.5">
      <c r="A367" s="407" t="s">
        <v>77</v>
      </c>
      <c r="B367" s="408"/>
      <c r="C367" s="69"/>
      <c r="E367" s="86" t="s">
        <v>22</v>
      </c>
      <c r="F367" s="62"/>
      <c r="G367" s="62"/>
    </row>
    <row r="368" spans="1:7" ht="14.65" thickBot="1" x14ac:dyDescent="0.5">
      <c r="A368" s="106"/>
      <c r="B368" s="106"/>
      <c r="E368" s="88" t="s">
        <v>32</v>
      </c>
      <c r="F368" s="382"/>
      <c r="G368" s="383"/>
    </row>
    <row r="369" spans="1:7" ht="14.65" thickBot="1" x14ac:dyDescent="0.5">
      <c r="A369" s="107" t="s">
        <v>103</v>
      </c>
      <c r="B369" s="106"/>
      <c r="E369" s="88" t="s">
        <v>34</v>
      </c>
      <c r="F369" s="386"/>
      <c r="G369" s="387"/>
    </row>
    <row r="370" spans="1:7" ht="14.65" thickBot="1" x14ac:dyDescent="0.5">
      <c r="A370" s="88" t="s">
        <v>32</v>
      </c>
      <c r="B370" s="382"/>
      <c r="C370" s="383"/>
      <c r="E370" s="89" t="s">
        <v>35</v>
      </c>
      <c r="F370" s="380"/>
      <c r="G370" s="381"/>
    </row>
    <row r="371" spans="1:7" ht="14.65" thickBot="1" x14ac:dyDescent="0.5">
      <c r="A371" s="88" t="s">
        <v>34</v>
      </c>
      <c r="B371" s="386"/>
      <c r="C371" s="387"/>
      <c r="F371" s="62"/>
    </row>
    <row r="372" spans="1:7" ht="15" customHeight="1" thickBot="1" x14ac:dyDescent="0.5">
      <c r="A372" s="89" t="s">
        <v>35</v>
      </c>
      <c r="B372" s="380"/>
      <c r="C372" s="381"/>
      <c r="E372" s="86" t="s">
        <v>31</v>
      </c>
      <c r="F372" s="62"/>
    </row>
    <row r="373" spans="1:7" ht="14.65" thickBot="1" x14ac:dyDescent="0.5">
      <c r="A373" s="87"/>
      <c r="B373" s="62"/>
      <c r="C373" s="62"/>
      <c r="E373" s="117">
        <v>1</v>
      </c>
      <c r="F373" s="382"/>
      <c r="G373" s="383"/>
    </row>
    <row r="374" spans="1:7" ht="15" customHeight="1" thickBot="1" x14ac:dyDescent="0.5">
      <c r="A374" s="384" t="s">
        <v>262</v>
      </c>
      <c r="B374" s="385"/>
      <c r="E374" s="117">
        <v>2</v>
      </c>
      <c r="F374" s="386"/>
      <c r="G374" s="387"/>
    </row>
    <row r="375" spans="1:7" x14ac:dyDescent="0.45">
      <c r="A375" s="117">
        <v>1</v>
      </c>
      <c r="B375" s="388"/>
      <c r="C375" s="389"/>
      <c r="E375" s="118">
        <v>3</v>
      </c>
      <c r="F375" s="386"/>
      <c r="G375" s="387"/>
    </row>
    <row r="376" spans="1:7" x14ac:dyDescent="0.45">
      <c r="A376" s="117">
        <v>2</v>
      </c>
      <c r="B376" s="390"/>
      <c r="C376" s="391"/>
      <c r="E376" s="117">
        <v>4</v>
      </c>
      <c r="F376" s="392"/>
      <c r="G376" s="393"/>
    </row>
    <row r="377" spans="1:7" ht="14.65" thickBot="1" x14ac:dyDescent="0.5">
      <c r="A377" s="145">
        <v>3</v>
      </c>
      <c r="B377" s="394"/>
      <c r="C377" s="395"/>
      <c r="E377" s="119">
        <v>5</v>
      </c>
      <c r="F377" s="380"/>
      <c r="G377" s="381"/>
    </row>
    <row r="378" spans="1:7" ht="14.65" thickBot="1" x14ac:dyDescent="0.5"/>
    <row r="379" spans="1:7" x14ac:dyDescent="0.45">
      <c r="A379" s="357" t="s">
        <v>136</v>
      </c>
      <c r="B379" s="358"/>
      <c r="C379" s="358"/>
      <c r="D379" s="358"/>
      <c r="E379" s="358"/>
      <c r="F379" s="358"/>
      <c r="G379" s="359"/>
    </row>
    <row r="380" spans="1:7" ht="14.45" customHeight="1" x14ac:dyDescent="0.45">
      <c r="A380" s="360" t="s">
        <v>137</v>
      </c>
      <c r="B380" s="361"/>
      <c r="C380" s="361"/>
      <c r="D380" s="361"/>
      <c r="E380" s="361"/>
      <c r="F380" s="361"/>
      <c r="G380" s="362"/>
    </row>
    <row r="381" spans="1:7" ht="14.45" customHeight="1" x14ac:dyDescent="0.45">
      <c r="A381" s="360" t="s">
        <v>164</v>
      </c>
      <c r="B381" s="361"/>
      <c r="C381" s="361"/>
      <c r="D381" s="361"/>
      <c r="E381" s="361"/>
      <c r="F381" s="361"/>
      <c r="G381" s="362"/>
    </row>
    <row r="382" spans="1:7" ht="14.45" customHeight="1" x14ac:dyDescent="0.45">
      <c r="A382" s="363" t="s">
        <v>136</v>
      </c>
      <c r="B382" s="364"/>
      <c r="C382" s="365"/>
      <c r="D382" s="366" t="s">
        <v>203</v>
      </c>
      <c r="E382" s="365"/>
      <c r="F382" s="366" t="s">
        <v>165</v>
      </c>
      <c r="G382" s="365"/>
    </row>
    <row r="383" spans="1:7" ht="46.25" customHeight="1" x14ac:dyDescent="0.45">
      <c r="A383" s="367" t="s">
        <v>206</v>
      </c>
      <c r="B383" s="368"/>
      <c r="C383" s="369"/>
      <c r="D383" s="376" t="s">
        <v>204</v>
      </c>
      <c r="E383" s="369"/>
      <c r="F383" s="379" t="s">
        <v>205</v>
      </c>
      <c r="G383" s="369"/>
    </row>
    <row r="384" spans="1:7" ht="46.25" customHeight="1" x14ac:dyDescent="0.45">
      <c r="A384" s="370"/>
      <c r="B384" s="371"/>
      <c r="C384" s="372"/>
      <c r="D384" s="377"/>
      <c r="E384" s="372"/>
      <c r="F384" s="377"/>
      <c r="G384" s="372"/>
    </row>
    <row r="385" spans="1:7" ht="46.25" customHeight="1" x14ac:dyDescent="0.45">
      <c r="A385" s="373"/>
      <c r="B385" s="374"/>
      <c r="C385" s="375"/>
      <c r="D385" s="378"/>
      <c r="E385" s="375"/>
      <c r="F385" s="378"/>
      <c r="G385" s="375"/>
    </row>
    <row r="386" spans="1:7" ht="28.25" customHeight="1" x14ac:dyDescent="0.45">
      <c r="A386" s="327"/>
      <c r="B386" s="328"/>
      <c r="C386" s="329"/>
      <c r="D386" s="336"/>
      <c r="E386" s="329"/>
      <c r="F386" s="336"/>
      <c r="G386" s="339"/>
    </row>
    <row r="387" spans="1:7" ht="28.25" customHeight="1" x14ac:dyDescent="0.45">
      <c r="A387" s="330"/>
      <c r="B387" s="331"/>
      <c r="C387" s="332"/>
      <c r="D387" s="337"/>
      <c r="E387" s="332"/>
      <c r="F387" s="337"/>
      <c r="G387" s="340"/>
    </row>
    <row r="388" spans="1:7" ht="28.25" customHeight="1" x14ac:dyDescent="0.45">
      <c r="A388" s="333"/>
      <c r="B388" s="334"/>
      <c r="C388" s="335"/>
      <c r="D388" s="338"/>
      <c r="E388" s="335"/>
      <c r="F388" s="338"/>
      <c r="G388" s="341"/>
    </row>
    <row r="389" spans="1:7" ht="28.25" customHeight="1" x14ac:dyDescent="0.45">
      <c r="A389" s="327"/>
      <c r="B389" s="328"/>
      <c r="C389" s="329"/>
      <c r="D389" s="336"/>
      <c r="E389" s="329"/>
      <c r="F389" s="336"/>
      <c r="G389" s="339"/>
    </row>
    <row r="390" spans="1:7" ht="28.25" customHeight="1" x14ac:dyDescent="0.45">
      <c r="A390" s="330"/>
      <c r="B390" s="331"/>
      <c r="C390" s="332"/>
      <c r="D390" s="337"/>
      <c r="E390" s="332"/>
      <c r="F390" s="337"/>
      <c r="G390" s="340"/>
    </row>
    <row r="391" spans="1:7" ht="28.25" customHeight="1" x14ac:dyDescent="0.45">
      <c r="A391" s="333"/>
      <c r="B391" s="334"/>
      <c r="C391" s="335"/>
      <c r="D391" s="338"/>
      <c r="E391" s="335"/>
      <c r="F391" s="338"/>
      <c r="G391" s="341"/>
    </row>
    <row r="392" spans="1:7" ht="28.25" customHeight="1" x14ac:dyDescent="0.45">
      <c r="A392" s="342"/>
      <c r="B392" s="343"/>
      <c r="C392" s="344"/>
      <c r="D392" s="351"/>
      <c r="E392" s="344"/>
      <c r="F392" s="351"/>
      <c r="G392" s="354"/>
    </row>
    <row r="393" spans="1:7" ht="28.25" customHeight="1" x14ac:dyDescent="0.45">
      <c r="A393" s="345"/>
      <c r="B393" s="346"/>
      <c r="C393" s="347"/>
      <c r="D393" s="352"/>
      <c r="E393" s="347"/>
      <c r="F393" s="352"/>
      <c r="G393" s="355"/>
    </row>
    <row r="394" spans="1:7" ht="28.25" customHeight="1" thickBot="1" x14ac:dyDescent="0.5">
      <c r="A394" s="348"/>
      <c r="B394" s="349"/>
      <c r="C394" s="350"/>
      <c r="D394" s="353"/>
      <c r="E394" s="350"/>
      <c r="F394" s="353"/>
      <c r="G394" s="356"/>
    </row>
    <row r="396" spans="1:7" s="91" customFormat="1" x14ac:dyDescent="0.45"/>
    <row r="397" spans="1:7" s="90" customFormat="1" ht="14.65" thickBot="1" x14ac:dyDescent="0.5">
      <c r="A397" s="61"/>
      <c r="B397" s="61"/>
      <c r="C397" s="61"/>
      <c r="D397" s="61"/>
      <c r="E397" s="61"/>
      <c r="F397" s="61"/>
    </row>
    <row r="398" spans="1:7" ht="14.65" thickBot="1" x14ac:dyDescent="0.5">
      <c r="A398" s="84" t="s">
        <v>76</v>
      </c>
      <c r="B398" s="126">
        <v>9</v>
      </c>
      <c r="C398" s="108"/>
      <c r="D398" s="109"/>
      <c r="E398" s="109"/>
      <c r="F398" s="109"/>
      <c r="G398" s="109"/>
    </row>
    <row r="399" spans="1:7" ht="12.6" customHeight="1" x14ac:dyDescent="0.45">
      <c r="A399" s="409" t="s">
        <v>89</v>
      </c>
      <c r="B399" s="411"/>
      <c r="C399" s="401"/>
      <c r="D399" s="401"/>
      <c r="E399" s="401"/>
      <c r="F399" s="401"/>
      <c r="G399" s="402"/>
    </row>
    <row r="400" spans="1:7" ht="12.6" customHeight="1" x14ac:dyDescent="0.45">
      <c r="A400" s="409"/>
      <c r="B400" s="411"/>
      <c r="C400" s="401"/>
      <c r="D400" s="401"/>
      <c r="E400" s="401"/>
      <c r="F400" s="401"/>
      <c r="G400" s="402"/>
    </row>
    <row r="401" spans="1:7" ht="12.6" customHeight="1" x14ac:dyDescent="0.45">
      <c r="A401" s="410"/>
      <c r="B401" s="411"/>
      <c r="C401" s="401"/>
      <c r="D401" s="401"/>
      <c r="E401" s="401"/>
      <c r="F401" s="401"/>
      <c r="G401" s="402"/>
    </row>
    <row r="402" spans="1:7" ht="31.8" customHeight="1" x14ac:dyDescent="0.45">
      <c r="A402" s="412" t="s">
        <v>158</v>
      </c>
      <c r="B402" s="413"/>
      <c r="C402" s="399"/>
      <c r="D402" s="399"/>
      <c r="E402" s="399"/>
      <c r="F402" s="399"/>
      <c r="G402" s="400"/>
    </row>
    <row r="403" spans="1:7" ht="31.8" customHeight="1" x14ac:dyDescent="0.45">
      <c r="A403" s="409"/>
      <c r="B403" s="411"/>
      <c r="C403" s="401"/>
      <c r="D403" s="401"/>
      <c r="E403" s="401"/>
      <c r="F403" s="401"/>
      <c r="G403" s="402"/>
    </row>
    <row r="404" spans="1:7" ht="31.8" customHeight="1" x14ac:dyDescent="0.45">
      <c r="A404" s="410"/>
      <c r="B404" s="411"/>
      <c r="C404" s="401"/>
      <c r="D404" s="401"/>
      <c r="E404" s="401"/>
      <c r="F404" s="401"/>
      <c r="G404" s="402"/>
    </row>
    <row r="405" spans="1:7" x14ac:dyDescent="0.45">
      <c r="A405" s="412" t="s">
        <v>155</v>
      </c>
      <c r="B405" s="414"/>
      <c r="C405" s="415"/>
      <c r="D405" s="415"/>
      <c r="E405" s="415"/>
      <c r="F405" s="417" t="s">
        <v>167</v>
      </c>
      <c r="G405" s="419"/>
    </row>
    <row r="406" spans="1:7" x14ac:dyDescent="0.45">
      <c r="A406" s="409"/>
      <c r="B406" s="411"/>
      <c r="C406" s="401"/>
      <c r="D406" s="401"/>
      <c r="E406" s="401"/>
      <c r="F406" s="418"/>
      <c r="G406" s="420"/>
    </row>
    <row r="407" spans="1:7" x14ac:dyDescent="0.45">
      <c r="A407" s="409"/>
      <c r="B407" s="416"/>
      <c r="C407" s="403"/>
      <c r="D407" s="403"/>
      <c r="E407" s="403"/>
      <c r="F407" s="418"/>
      <c r="G407" s="421"/>
    </row>
    <row r="408" spans="1:7" x14ac:dyDescent="0.45">
      <c r="A408" s="412" t="s">
        <v>159</v>
      </c>
      <c r="B408" s="411"/>
      <c r="C408" s="401"/>
      <c r="D408" s="401"/>
      <c r="E408" s="401"/>
      <c r="F408" s="401"/>
      <c r="G408" s="402"/>
    </row>
    <row r="409" spans="1:7" x14ac:dyDescent="0.45">
      <c r="A409" s="409"/>
      <c r="B409" s="411"/>
      <c r="C409" s="401"/>
      <c r="D409" s="401"/>
      <c r="E409" s="401"/>
      <c r="F409" s="401"/>
      <c r="G409" s="402"/>
    </row>
    <row r="410" spans="1:7" s="83" customFormat="1" x14ac:dyDescent="0.45">
      <c r="A410" s="410"/>
      <c r="B410" s="416"/>
      <c r="C410" s="403"/>
      <c r="D410" s="403"/>
      <c r="E410" s="403"/>
      <c r="F410" s="403"/>
      <c r="G410" s="404"/>
    </row>
    <row r="411" spans="1:7" x14ac:dyDescent="0.45">
      <c r="A411" s="396" t="s">
        <v>161</v>
      </c>
      <c r="B411" s="401"/>
      <c r="C411" s="401"/>
      <c r="D411" s="401"/>
      <c r="E411" s="401"/>
      <c r="F411" s="401"/>
      <c r="G411" s="402"/>
    </row>
    <row r="412" spans="1:7" x14ac:dyDescent="0.45">
      <c r="A412" s="397"/>
      <c r="B412" s="401"/>
      <c r="C412" s="401"/>
      <c r="D412" s="401"/>
      <c r="E412" s="401"/>
      <c r="F412" s="401"/>
      <c r="G412" s="402"/>
    </row>
    <row r="413" spans="1:7" x14ac:dyDescent="0.45">
      <c r="A413" s="398"/>
      <c r="B413" s="401"/>
      <c r="C413" s="401"/>
      <c r="D413" s="401"/>
      <c r="E413" s="401"/>
      <c r="F413" s="401"/>
      <c r="G413" s="402"/>
    </row>
    <row r="414" spans="1:7" ht="14.65" thickBot="1" x14ac:dyDescent="0.5">
      <c r="A414" s="85" t="s">
        <v>166</v>
      </c>
      <c r="B414" s="405"/>
      <c r="C414" s="405"/>
      <c r="D414" s="405"/>
      <c r="E414" s="405"/>
      <c r="F414" s="405"/>
      <c r="G414" s="406"/>
    </row>
    <row r="415" spans="1:7" ht="14.65" thickBot="1" x14ac:dyDescent="0.5"/>
    <row r="416" spans="1:7" ht="15" customHeight="1" thickBot="1" x14ac:dyDescent="0.5">
      <c r="A416" s="407" t="s">
        <v>77</v>
      </c>
      <c r="B416" s="408"/>
      <c r="C416" s="69"/>
      <c r="E416" s="86" t="s">
        <v>22</v>
      </c>
      <c r="F416" s="62"/>
      <c r="G416" s="62"/>
    </row>
    <row r="417" spans="1:7" ht="14.65" thickBot="1" x14ac:dyDescent="0.5">
      <c r="A417" s="106"/>
      <c r="B417" s="106"/>
      <c r="E417" s="88" t="s">
        <v>32</v>
      </c>
      <c r="F417" s="382"/>
      <c r="G417" s="383"/>
    </row>
    <row r="418" spans="1:7" ht="14.65" thickBot="1" x14ac:dyDescent="0.5">
      <c r="A418" s="107" t="s">
        <v>103</v>
      </c>
      <c r="B418" s="106"/>
      <c r="E418" s="88" t="s">
        <v>34</v>
      </c>
      <c r="F418" s="386"/>
      <c r="G418" s="387"/>
    </row>
    <row r="419" spans="1:7" ht="14.65" thickBot="1" x14ac:dyDescent="0.5">
      <c r="A419" s="88" t="s">
        <v>32</v>
      </c>
      <c r="B419" s="382"/>
      <c r="C419" s="383"/>
      <c r="E419" s="89" t="s">
        <v>35</v>
      </c>
      <c r="F419" s="380"/>
      <c r="G419" s="381"/>
    </row>
    <row r="420" spans="1:7" ht="14.65" thickBot="1" x14ac:dyDescent="0.5">
      <c r="A420" s="88" t="s">
        <v>34</v>
      </c>
      <c r="B420" s="386"/>
      <c r="C420" s="387"/>
      <c r="F420" s="62"/>
    </row>
    <row r="421" spans="1:7" ht="15" customHeight="1" thickBot="1" x14ac:dyDescent="0.5">
      <c r="A421" s="89" t="s">
        <v>35</v>
      </c>
      <c r="B421" s="380"/>
      <c r="C421" s="381"/>
      <c r="E421" s="86" t="s">
        <v>31</v>
      </c>
      <c r="F421" s="62"/>
    </row>
    <row r="422" spans="1:7" ht="14.65" thickBot="1" x14ac:dyDescent="0.5">
      <c r="A422" s="87"/>
      <c r="B422" s="62"/>
      <c r="C422" s="62"/>
      <c r="E422" s="117">
        <v>1</v>
      </c>
      <c r="F422" s="382"/>
      <c r="G422" s="383"/>
    </row>
    <row r="423" spans="1:7" ht="12.6" customHeight="1" thickBot="1" x14ac:dyDescent="0.5">
      <c r="A423" s="384" t="s">
        <v>262</v>
      </c>
      <c r="B423" s="385"/>
      <c r="E423" s="117">
        <v>2</v>
      </c>
      <c r="F423" s="386"/>
      <c r="G423" s="387"/>
    </row>
    <row r="424" spans="1:7" x14ac:dyDescent="0.45">
      <c r="A424" s="117">
        <v>1</v>
      </c>
      <c r="B424" s="388"/>
      <c r="C424" s="389"/>
      <c r="E424" s="118">
        <v>3</v>
      </c>
      <c r="F424" s="386"/>
      <c r="G424" s="387"/>
    </row>
    <row r="425" spans="1:7" x14ac:dyDescent="0.45">
      <c r="A425" s="117">
        <v>2</v>
      </c>
      <c r="B425" s="390"/>
      <c r="C425" s="391"/>
      <c r="E425" s="117">
        <v>4</v>
      </c>
      <c r="F425" s="392"/>
      <c r="G425" s="393"/>
    </row>
    <row r="426" spans="1:7" ht="14.65" thickBot="1" x14ac:dyDescent="0.5">
      <c r="A426" s="145">
        <v>3</v>
      </c>
      <c r="B426" s="394"/>
      <c r="C426" s="395"/>
      <c r="E426" s="119">
        <v>5</v>
      </c>
      <c r="F426" s="380"/>
      <c r="G426" s="381"/>
    </row>
    <row r="427" spans="1:7" ht="14.65" thickBot="1" x14ac:dyDescent="0.5"/>
    <row r="428" spans="1:7" x14ac:dyDescent="0.45">
      <c r="A428" s="357" t="s">
        <v>136</v>
      </c>
      <c r="B428" s="358"/>
      <c r="C428" s="358"/>
      <c r="D428" s="358"/>
      <c r="E428" s="358"/>
      <c r="F428" s="358"/>
      <c r="G428" s="359"/>
    </row>
    <row r="429" spans="1:7" ht="14.45" customHeight="1" x14ac:dyDescent="0.45">
      <c r="A429" s="360" t="s">
        <v>137</v>
      </c>
      <c r="B429" s="361"/>
      <c r="C429" s="361"/>
      <c r="D429" s="361"/>
      <c r="E429" s="361"/>
      <c r="F429" s="361"/>
      <c r="G429" s="362"/>
    </row>
    <row r="430" spans="1:7" ht="14.45" customHeight="1" x14ac:dyDescent="0.45">
      <c r="A430" s="360" t="s">
        <v>164</v>
      </c>
      <c r="B430" s="361"/>
      <c r="C430" s="361"/>
      <c r="D430" s="361"/>
      <c r="E430" s="361"/>
      <c r="F430" s="361"/>
      <c r="G430" s="362"/>
    </row>
    <row r="431" spans="1:7" ht="14.45" customHeight="1" x14ac:dyDescent="0.45">
      <c r="A431" s="363" t="s">
        <v>136</v>
      </c>
      <c r="B431" s="364"/>
      <c r="C431" s="365"/>
      <c r="D431" s="366" t="s">
        <v>203</v>
      </c>
      <c r="E431" s="365"/>
      <c r="F431" s="366" t="s">
        <v>165</v>
      </c>
      <c r="G431" s="365"/>
    </row>
    <row r="432" spans="1:7" ht="46.25" customHeight="1" x14ac:dyDescent="0.45">
      <c r="A432" s="367" t="s">
        <v>206</v>
      </c>
      <c r="B432" s="368"/>
      <c r="C432" s="369"/>
      <c r="D432" s="376" t="s">
        <v>204</v>
      </c>
      <c r="E432" s="369"/>
      <c r="F432" s="379" t="s">
        <v>205</v>
      </c>
      <c r="G432" s="369"/>
    </row>
    <row r="433" spans="1:7" ht="46.25" customHeight="1" x14ac:dyDescent="0.45">
      <c r="A433" s="370"/>
      <c r="B433" s="371"/>
      <c r="C433" s="372"/>
      <c r="D433" s="377"/>
      <c r="E433" s="372"/>
      <c r="F433" s="377"/>
      <c r="G433" s="372"/>
    </row>
    <row r="434" spans="1:7" ht="46.25" customHeight="1" x14ac:dyDescent="0.45">
      <c r="A434" s="373"/>
      <c r="B434" s="374"/>
      <c r="C434" s="375"/>
      <c r="D434" s="378"/>
      <c r="E434" s="375"/>
      <c r="F434" s="378"/>
      <c r="G434" s="375"/>
    </row>
    <row r="435" spans="1:7" ht="28.25" customHeight="1" x14ac:dyDescent="0.45">
      <c r="A435" s="327"/>
      <c r="B435" s="328"/>
      <c r="C435" s="329"/>
      <c r="D435" s="336"/>
      <c r="E435" s="329"/>
      <c r="F435" s="336"/>
      <c r="G435" s="339"/>
    </row>
    <row r="436" spans="1:7" ht="28.25" customHeight="1" x14ac:dyDescent="0.45">
      <c r="A436" s="330"/>
      <c r="B436" s="331"/>
      <c r="C436" s="332"/>
      <c r="D436" s="337"/>
      <c r="E436" s="332"/>
      <c r="F436" s="337"/>
      <c r="G436" s="340"/>
    </row>
    <row r="437" spans="1:7" ht="28.25" customHeight="1" x14ac:dyDescent="0.45">
      <c r="A437" s="333"/>
      <c r="B437" s="334"/>
      <c r="C437" s="335"/>
      <c r="D437" s="338"/>
      <c r="E437" s="335"/>
      <c r="F437" s="338"/>
      <c r="G437" s="341"/>
    </row>
    <row r="438" spans="1:7" ht="28.25" customHeight="1" x14ac:dyDescent="0.45">
      <c r="A438" s="327"/>
      <c r="B438" s="328"/>
      <c r="C438" s="329"/>
      <c r="D438" s="336"/>
      <c r="E438" s="329"/>
      <c r="F438" s="336"/>
      <c r="G438" s="339"/>
    </row>
    <row r="439" spans="1:7" ht="28.25" customHeight="1" x14ac:dyDescent="0.45">
      <c r="A439" s="330"/>
      <c r="B439" s="331"/>
      <c r="C439" s="332"/>
      <c r="D439" s="337"/>
      <c r="E439" s="332"/>
      <c r="F439" s="337"/>
      <c r="G439" s="340"/>
    </row>
    <row r="440" spans="1:7" ht="28.25" customHeight="1" x14ac:dyDescent="0.45">
      <c r="A440" s="333"/>
      <c r="B440" s="334"/>
      <c r="C440" s="335"/>
      <c r="D440" s="338"/>
      <c r="E440" s="335"/>
      <c r="F440" s="338"/>
      <c r="G440" s="341"/>
    </row>
    <row r="441" spans="1:7" ht="28.25" customHeight="1" x14ac:dyDescent="0.45">
      <c r="A441" s="342"/>
      <c r="B441" s="343"/>
      <c r="C441" s="344"/>
      <c r="D441" s="351"/>
      <c r="E441" s="344"/>
      <c r="F441" s="351"/>
      <c r="G441" s="354"/>
    </row>
    <row r="442" spans="1:7" ht="28.25" customHeight="1" x14ac:dyDescent="0.45">
      <c r="A442" s="345"/>
      <c r="B442" s="346"/>
      <c r="C442" s="347"/>
      <c r="D442" s="352"/>
      <c r="E442" s="347"/>
      <c r="F442" s="352"/>
      <c r="G442" s="355"/>
    </row>
    <row r="443" spans="1:7" ht="28.25" customHeight="1" thickBot="1" x14ac:dyDescent="0.5">
      <c r="A443" s="348"/>
      <c r="B443" s="349"/>
      <c r="C443" s="350"/>
      <c r="D443" s="353"/>
      <c r="E443" s="350"/>
      <c r="F443" s="353"/>
      <c r="G443" s="356"/>
    </row>
    <row r="445" spans="1:7" s="91" customFormat="1" x14ac:dyDescent="0.45"/>
    <row r="446" spans="1:7" ht="14.65" thickBot="1" x14ac:dyDescent="0.5"/>
    <row r="447" spans="1:7" ht="14.65" thickBot="1" x14ac:dyDescent="0.5">
      <c r="A447" s="84" t="s">
        <v>76</v>
      </c>
      <c r="B447" s="126">
        <v>10</v>
      </c>
      <c r="C447" s="108"/>
      <c r="D447" s="109"/>
      <c r="E447" s="109"/>
      <c r="F447" s="109"/>
      <c r="G447" s="109"/>
    </row>
    <row r="448" spans="1:7" ht="12.6" customHeight="1" x14ac:dyDescent="0.45">
      <c r="A448" s="409" t="s">
        <v>89</v>
      </c>
      <c r="B448" s="411"/>
      <c r="C448" s="401"/>
      <c r="D448" s="401"/>
      <c r="E448" s="401"/>
      <c r="F448" s="401"/>
      <c r="G448" s="402"/>
    </row>
    <row r="449" spans="1:7" ht="12.6" customHeight="1" x14ac:dyDescent="0.45">
      <c r="A449" s="409"/>
      <c r="B449" s="411"/>
      <c r="C449" s="401"/>
      <c r="D449" s="401"/>
      <c r="E449" s="401"/>
      <c r="F449" s="401"/>
      <c r="G449" s="402"/>
    </row>
    <row r="450" spans="1:7" ht="12.6" customHeight="1" x14ac:dyDescent="0.45">
      <c r="A450" s="410"/>
      <c r="B450" s="411"/>
      <c r="C450" s="401"/>
      <c r="D450" s="401"/>
      <c r="E450" s="401"/>
      <c r="F450" s="401"/>
      <c r="G450" s="402"/>
    </row>
    <row r="451" spans="1:7" ht="31.8" customHeight="1" x14ac:dyDescent="0.45">
      <c r="A451" s="412" t="s">
        <v>160</v>
      </c>
      <c r="B451" s="413"/>
      <c r="C451" s="399"/>
      <c r="D451" s="399"/>
      <c r="E451" s="399"/>
      <c r="F451" s="399"/>
      <c r="G451" s="400"/>
    </row>
    <row r="452" spans="1:7" ht="31.8" customHeight="1" x14ac:dyDescent="0.45">
      <c r="A452" s="409"/>
      <c r="B452" s="411"/>
      <c r="C452" s="401"/>
      <c r="D452" s="401"/>
      <c r="E452" s="401"/>
      <c r="F452" s="401"/>
      <c r="G452" s="402"/>
    </row>
    <row r="453" spans="1:7" ht="31.8" customHeight="1" x14ac:dyDescent="0.45">
      <c r="A453" s="410"/>
      <c r="B453" s="411"/>
      <c r="C453" s="401"/>
      <c r="D453" s="401"/>
      <c r="E453" s="401"/>
      <c r="F453" s="401"/>
      <c r="G453" s="402"/>
    </row>
    <row r="454" spans="1:7" x14ac:dyDescent="0.45">
      <c r="A454" s="412" t="s">
        <v>155</v>
      </c>
      <c r="B454" s="414"/>
      <c r="C454" s="415"/>
      <c r="D454" s="415"/>
      <c r="E454" s="415"/>
      <c r="F454" s="417" t="s">
        <v>167</v>
      </c>
      <c r="G454" s="419"/>
    </row>
    <row r="455" spans="1:7" x14ac:dyDescent="0.45">
      <c r="A455" s="409"/>
      <c r="B455" s="411"/>
      <c r="C455" s="401"/>
      <c r="D455" s="401"/>
      <c r="E455" s="401"/>
      <c r="F455" s="418"/>
      <c r="G455" s="420"/>
    </row>
    <row r="456" spans="1:7" x14ac:dyDescent="0.45">
      <c r="A456" s="409"/>
      <c r="B456" s="416"/>
      <c r="C456" s="403"/>
      <c r="D456" s="403"/>
      <c r="E456" s="403"/>
      <c r="F456" s="418"/>
      <c r="G456" s="421"/>
    </row>
    <row r="457" spans="1:7" x14ac:dyDescent="0.45">
      <c r="A457" s="412" t="s">
        <v>159</v>
      </c>
      <c r="B457" s="411"/>
      <c r="C457" s="401"/>
      <c r="D457" s="401"/>
      <c r="E457" s="401"/>
      <c r="F457" s="401"/>
      <c r="G457" s="402"/>
    </row>
    <row r="458" spans="1:7" x14ac:dyDescent="0.45">
      <c r="A458" s="409"/>
      <c r="B458" s="411"/>
      <c r="C458" s="401"/>
      <c r="D458" s="401"/>
      <c r="E458" s="401"/>
      <c r="F458" s="401"/>
      <c r="G458" s="402"/>
    </row>
    <row r="459" spans="1:7" x14ac:dyDescent="0.45">
      <c r="A459" s="410"/>
      <c r="B459" s="416"/>
      <c r="C459" s="403"/>
      <c r="D459" s="403"/>
      <c r="E459" s="403"/>
      <c r="F459" s="403"/>
      <c r="G459" s="404"/>
    </row>
    <row r="460" spans="1:7" x14ac:dyDescent="0.45">
      <c r="A460" s="396" t="s">
        <v>161</v>
      </c>
      <c r="B460" s="399"/>
      <c r="C460" s="399"/>
      <c r="D460" s="399"/>
      <c r="E460" s="399"/>
      <c r="F460" s="399"/>
      <c r="G460" s="400"/>
    </row>
    <row r="461" spans="1:7" x14ac:dyDescent="0.45">
      <c r="A461" s="397"/>
      <c r="B461" s="401"/>
      <c r="C461" s="401"/>
      <c r="D461" s="401"/>
      <c r="E461" s="401"/>
      <c r="F461" s="401"/>
      <c r="G461" s="402"/>
    </row>
    <row r="462" spans="1:7" x14ac:dyDescent="0.45">
      <c r="A462" s="398"/>
      <c r="B462" s="403"/>
      <c r="C462" s="403"/>
      <c r="D462" s="403"/>
      <c r="E462" s="403"/>
      <c r="F462" s="403"/>
      <c r="G462" s="404"/>
    </row>
    <row r="463" spans="1:7" ht="14.65" thickBot="1" x14ac:dyDescent="0.5">
      <c r="A463" s="85" t="s">
        <v>166</v>
      </c>
      <c r="B463" s="405"/>
      <c r="C463" s="405"/>
      <c r="D463" s="405"/>
      <c r="E463" s="405"/>
      <c r="F463" s="405"/>
      <c r="G463" s="406"/>
    </row>
    <row r="464" spans="1:7" ht="14.65" thickBot="1" x14ac:dyDescent="0.5"/>
    <row r="465" spans="1:7" ht="15" customHeight="1" thickBot="1" x14ac:dyDescent="0.5">
      <c r="A465" s="407" t="s">
        <v>77</v>
      </c>
      <c r="B465" s="408"/>
      <c r="C465" s="69"/>
      <c r="E465" s="86" t="s">
        <v>22</v>
      </c>
      <c r="F465" s="62"/>
      <c r="G465" s="62"/>
    </row>
    <row r="466" spans="1:7" ht="14.65" thickBot="1" x14ac:dyDescent="0.5">
      <c r="A466" s="106"/>
      <c r="B466" s="106"/>
      <c r="E466" s="88" t="s">
        <v>32</v>
      </c>
      <c r="F466" s="382"/>
      <c r="G466" s="383"/>
    </row>
    <row r="467" spans="1:7" ht="14.65" thickBot="1" x14ac:dyDescent="0.5">
      <c r="A467" s="107" t="s">
        <v>103</v>
      </c>
      <c r="B467" s="106"/>
      <c r="E467" s="88" t="s">
        <v>34</v>
      </c>
      <c r="F467" s="386"/>
      <c r="G467" s="387"/>
    </row>
    <row r="468" spans="1:7" ht="14.65" thickBot="1" x14ac:dyDescent="0.5">
      <c r="A468" s="88" t="s">
        <v>32</v>
      </c>
      <c r="B468" s="382"/>
      <c r="C468" s="383"/>
      <c r="E468" s="89" t="s">
        <v>35</v>
      </c>
      <c r="F468" s="380"/>
      <c r="G468" s="381"/>
    </row>
    <row r="469" spans="1:7" ht="14.65" thickBot="1" x14ac:dyDescent="0.5">
      <c r="A469" s="88" t="s">
        <v>34</v>
      </c>
      <c r="B469" s="386"/>
      <c r="C469" s="387"/>
      <c r="F469" s="62"/>
    </row>
    <row r="470" spans="1:7" ht="15" customHeight="1" thickBot="1" x14ac:dyDescent="0.5">
      <c r="A470" s="89" t="s">
        <v>35</v>
      </c>
      <c r="B470" s="380"/>
      <c r="C470" s="381"/>
      <c r="E470" s="86" t="s">
        <v>31</v>
      </c>
      <c r="F470" s="62"/>
    </row>
    <row r="471" spans="1:7" ht="14.65" thickBot="1" x14ac:dyDescent="0.5">
      <c r="A471" s="87"/>
      <c r="B471" s="62"/>
      <c r="C471" s="62"/>
      <c r="E471" s="117">
        <v>1</v>
      </c>
      <c r="F471" s="382"/>
      <c r="G471" s="383"/>
    </row>
    <row r="472" spans="1:7" ht="15" customHeight="1" thickBot="1" x14ac:dyDescent="0.5">
      <c r="A472" s="384" t="s">
        <v>262</v>
      </c>
      <c r="B472" s="385"/>
      <c r="E472" s="117">
        <v>2</v>
      </c>
      <c r="F472" s="386"/>
      <c r="G472" s="387"/>
    </row>
    <row r="473" spans="1:7" x14ac:dyDescent="0.45">
      <c r="A473" s="117">
        <v>1</v>
      </c>
      <c r="B473" s="388"/>
      <c r="C473" s="389"/>
      <c r="E473" s="118">
        <v>3</v>
      </c>
      <c r="F473" s="386"/>
      <c r="G473" s="387"/>
    </row>
    <row r="474" spans="1:7" x14ac:dyDescent="0.45">
      <c r="A474" s="117">
        <v>2</v>
      </c>
      <c r="B474" s="390"/>
      <c r="C474" s="391"/>
      <c r="E474" s="117">
        <v>4</v>
      </c>
      <c r="F474" s="392"/>
      <c r="G474" s="393"/>
    </row>
    <row r="475" spans="1:7" ht="14.65" thickBot="1" x14ac:dyDescent="0.5">
      <c r="A475" s="145">
        <v>3</v>
      </c>
      <c r="B475" s="394"/>
      <c r="C475" s="395"/>
      <c r="E475" s="119">
        <v>5</v>
      </c>
      <c r="F475" s="380"/>
      <c r="G475" s="381"/>
    </row>
    <row r="476" spans="1:7" ht="14.65" thickBot="1" x14ac:dyDescent="0.5"/>
    <row r="477" spans="1:7" x14ac:dyDescent="0.45">
      <c r="A477" s="357" t="s">
        <v>136</v>
      </c>
      <c r="B477" s="358"/>
      <c r="C477" s="358"/>
      <c r="D477" s="358"/>
      <c r="E477" s="358"/>
      <c r="F477" s="358"/>
      <c r="G477" s="359"/>
    </row>
    <row r="478" spans="1:7" ht="14.45" customHeight="1" x14ac:dyDescent="0.45">
      <c r="A478" s="360" t="s">
        <v>137</v>
      </c>
      <c r="B478" s="361"/>
      <c r="C478" s="361"/>
      <c r="D478" s="361"/>
      <c r="E478" s="361"/>
      <c r="F478" s="361"/>
      <c r="G478" s="362"/>
    </row>
    <row r="479" spans="1:7" ht="14.45" customHeight="1" x14ac:dyDescent="0.45">
      <c r="A479" s="360" t="s">
        <v>164</v>
      </c>
      <c r="B479" s="361"/>
      <c r="C479" s="361"/>
      <c r="D479" s="361"/>
      <c r="E479" s="361"/>
      <c r="F479" s="361"/>
      <c r="G479" s="362"/>
    </row>
    <row r="480" spans="1:7" ht="14.45" customHeight="1" x14ac:dyDescent="0.45">
      <c r="A480" s="363" t="s">
        <v>136</v>
      </c>
      <c r="B480" s="364"/>
      <c r="C480" s="365"/>
      <c r="D480" s="366" t="s">
        <v>203</v>
      </c>
      <c r="E480" s="365"/>
      <c r="F480" s="366" t="s">
        <v>165</v>
      </c>
      <c r="G480" s="365"/>
    </row>
    <row r="481" spans="1:7" ht="46.25" customHeight="1" x14ac:dyDescent="0.45">
      <c r="A481" s="367" t="s">
        <v>206</v>
      </c>
      <c r="B481" s="368"/>
      <c r="C481" s="369"/>
      <c r="D481" s="376" t="s">
        <v>204</v>
      </c>
      <c r="E481" s="369"/>
      <c r="F481" s="379" t="s">
        <v>205</v>
      </c>
      <c r="G481" s="369"/>
    </row>
    <row r="482" spans="1:7" ht="46.25" customHeight="1" x14ac:dyDescent="0.45">
      <c r="A482" s="370"/>
      <c r="B482" s="371"/>
      <c r="C482" s="372"/>
      <c r="D482" s="377"/>
      <c r="E482" s="372"/>
      <c r="F482" s="377"/>
      <c r="G482" s="372"/>
    </row>
    <row r="483" spans="1:7" ht="46.25" customHeight="1" x14ac:dyDescent="0.45">
      <c r="A483" s="373"/>
      <c r="B483" s="374"/>
      <c r="C483" s="375"/>
      <c r="D483" s="378"/>
      <c r="E483" s="375"/>
      <c r="F483" s="378"/>
      <c r="G483" s="375"/>
    </row>
    <row r="484" spans="1:7" ht="28.25" customHeight="1" x14ac:dyDescent="0.45">
      <c r="A484" s="327"/>
      <c r="B484" s="328"/>
      <c r="C484" s="329"/>
      <c r="D484" s="336"/>
      <c r="E484" s="329"/>
      <c r="F484" s="336"/>
      <c r="G484" s="339"/>
    </row>
    <row r="485" spans="1:7" ht="28.25" customHeight="1" x14ac:dyDescent="0.45">
      <c r="A485" s="330"/>
      <c r="B485" s="331"/>
      <c r="C485" s="332"/>
      <c r="D485" s="337"/>
      <c r="E485" s="332"/>
      <c r="F485" s="337"/>
      <c r="G485" s="340"/>
    </row>
    <row r="486" spans="1:7" ht="28.25" customHeight="1" x14ac:dyDescent="0.45">
      <c r="A486" s="333"/>
      <c r="B486" s="334"/>
      <c r="C486" s="335"/>
      <c r="D486" s="338"/>
      <c r="E486" s="335"/>
      <c r="F486" s="338"/>
      <c r="G486" s="341"/>
    </row>
    <row r="487" spans="1:7" ht="28.25" customHeight="1" x14ac:dyDescent="0.45">
      <c r="A487" s="327"/>
      <c r="B487" s="328"/>
      <c r="C487" s="329"/>
      <c r="D487" s="336"/>
      <c r="E487" s="329"/>
      <c r="F487" s="336"/>
      <c r="G487" s="339"/>
    </row>
    <row r="488" spans="1:7" ht="28.25" customHeight="1" x14ac:dyDescent="0.45">
      <c r="A488" s="330"/>
      <c r="B488" s="331"/>
      <c r="C488" s="332"/>
      <c r="D488" s="337"/>
      <c r="E488" s="332"/>
      <c r="F488" s="337"/>
      <c r="G488" s="340"/>
    </row>
    <row r="489" spans="1:7" ht="28.25" customHeight="1" x14ac:dyDescent="0.45">
      <c r="A489" s="333"/>
      <c r="B489" s="334"/>
      <c r="C489" s="335"/>
      <c r="D489" s="338"/>
      <c r="E489" s="335"/>
      <c r="F489" s="338"/>
      <c r="G489" s="341"/>
    </row>
    <row r="490" spans="1:7" ht="28.25" customHeight="1" x14ac:dyDescent="0.45">
      <c r="A490" s="342"/>
      <c r="B490" s="343"/>
      <c r="C490" s="344"/>
      <c r="D490" s="351"/>
      <c r="E490" s="344"/>
      <c r="F490" s="351"/>
      <c r="G490" s="354"/>
    </row>
    <row r="491" spans="1:7" ht="28.25" customHeight="1" x14ac:dyDescent="0.45">
      <c r="A491" s="345"/>
      <c r="B491" s="346"/>
      <c r="C491" s="347"/>
      <c r="D491" s="352"/>
      <c r="E491" s="347"/>
      <c r="F491" s="352"/>
      <c r="G491" s="355"/>
    </row>
    <row r="492" spans="1:7" ht="28.25" customHeight="1" thickBot="1" x14ac:dyDescent="0.5">
      <c r="A492" s="348"/>
      <c r="B492" s="349"/>
      <c r="C492" s="350"/>
      <c r="D492" s="353"/>
      <c r="E492" s="350"/>
      <c r="F492" s="353"/>
      <c r="G492" s="356"/>
    </row>
    <row r="494" spans="1:7" s="91" customFormat="1" x14ac:dyDescent="0.45">
      <c r="A494" s="92"/>
      <c r="B494" s="92"/>
      <c r="C494" s="92"/>
      <c r="D494" s="92"/>
      <c r="E494" s="92"/>
      <c r="F494" s="92"/>
    </row>
    <row r="495" spans="1:7" ht="14.65" thickBot="1" x14ac:dyDescent="0.5"/>
    <row r="496" spans="1:7" ht="14.65" thickBot="1" x14ac:dyDescent="0.5">
      <c r="A496" s="104" t="s">
        <v>76</v>
      </c>
      <c r="B496" s="126">
        <v>11</v>
      </c>
    </row>
    <row r="497" spans="1:7" ht="12.6" customHeight="1" x14ac:dyDescent="0.45">
      <c r="A497" s="418" t="s">
        <v>89</v>
      </c>
      <c r="B497" s="437"/>
      <c r="C497" s="438"/>
      <c r="D497" s="438"/>
      <c r="E497" s="438"/>
      <c r="F497" s="438"/>
      <c r="G497" s="439"/>
    </row>
    <row r="498" spans="1:7" ht="12.6" customHeight="1" x14ac:dyDescent="0.45">
      <c r="A498" s="418"/>
      <c r="B498" s="428"/>
      <c r="C498" s="230"/>
      <c r="D498" s="230"/>
      <c r="E498" s="230"/>
      <c r="F498" s="230"/>
      <c r="G498" s="429"/>
    </row>
    <row r="499" spans="1:7" ht="12.6" customHeight="1" x14ac:dyDescent="0.45">
      <c r="A499" s="436"/>
      <c r="B499" s="428"/>
      <c r="C499" s="230"/>
      <c r="D499" s="230"/>
      <c r="E499" s="230"/>
      <c r="F499" s="230"/>
      <c r="G499" s="429"/>
    </row>
    <row r="500" spans="1:7" ht="23.45" customHeight="1" x14ac:dyDescent="0.45">
      <c r="A500" s="417" t="s">
        <v>158</v>
      </c>
      <c r="B500" s="428"/>
      <c r="C500" s="230"/>
      <c r="D500" s="230"/>
      <c r="E500" s="230"/>
      <c r="F500" s="230"/>
      <c r="G500" s="429"/>
    </row>
    <row r="501" spans="1:7" ht="23.45" customHeight="1" x14ac:dyDescent="0.45">
      <c r="A501" s="418"/>
      <c r="B501" s="428"/>
      <c r="C501" s="230"/>
      <c r="D501" s="230"/>
      <c r="E501" s="230"/>
      <c r="F501" s="230"/>
      <c r="G501" s="429"/>
    </row>
    <row r="502" spans="1:7" ht="23.45" customHeight="1" x14ac:dyDescent="0.45">
      <c r="A502" s="436"/>
      <c r="B502" s="428"/>
      <c r="C502" s="230"/>
      <c r="D502" s="230"/>
      <c r="E502" s="230"/>
      <c r="F502" s="230"/>
      <c r="G502" s="429"/>
    </row>
    <row r="503" spans="1:7" x14ac:dyDescent="0.45">
      <c r="A503" s="417" t="s">
        <v>155</v>
      </c>
      <c r="B503" s="428"/>
      <c r="C503" s="230"/>
      <c r="D503" s="230"/>
      <c r="E503" s="230"/>
      <c r="F503" s="417" t="s">
        <v>167</v>
      </c>
      <c r="G503" s="433"/>
    </row>
    <row r="504" spans="1:7" x14ac:dyDescent="0.45">
      <c r="A504" s="418"/>
      <c r="B504" s="428"/>
      <c r="C504" s="230"/>
      <c r="D504" s="230"/>
      <c r="E504" s="230"/>
      <c r="F504" s="418"/>
      <c r="G504" s="434"/>
    </row>
    <row r="505" spans="1:7" x14ac:dyDescent="0.45">
      <c r="A505" s="418"/>
      <c r="B505" s="428"/>
      <c r="C505" s="230"/>
      <c r="D505" s="230"/>
      <c r="E505" s="230"/>
      <c r="F505" s="418"/>
      <c r="G505" s="435"/>
    </row>
    <row r="506" spans="1:7" x14ac:dyDescent="0.45">
      <c r="A506" s="417" t="s">
        <v>159</v>
      </c>
      <c r="B506" s="428"/>
      <c r="C506" s="230"/>
      <c r="D506" s="230"/>
      <c r="E506" s="230"/>
      <c r="F506" s="230"/>
      <c r="G506" s="429"/>
    </row>
    <row r="507" spans="1:7" x14ac:dyDescent="0.45">
      <c r="A507" s="418"/>
      <c r="B507" s="428"/>
      <c r="C507" s="230"/>
      <c r="D507" s="230"/>
      <c r="E507" s="230"/>
      <c r="F507" s="230"/>
      <c r="G507" s="429"/>
    </row>
    <row r="508" spans="1:7" x14ac:dyDescent="0.45">
      <c r="A508" s="436"/>
      <c r="B508" s="428"/>
      <c r="C508" s="230"/>
      <c r="D508" s="230"/>
      <c r="E508" s="230"/>
      <c r="F508" s="230"/>
      <c r="G508" s="429"/>
    </row>
    <row r="509" spans="1:7" x14ac:dyDescent="0.45">
      <c r="A509" s="425" t="s">
        <v>161</v>
      </c>
      <c r="B509" s="428"/>
      <c r="C509" s="230"/>
      <c r="D509" s="230"/>
      <c r="E509" s="230"/>
      <c r="F509" s="230"/>
      <c r="G509" s="429"/>
    </row>
    <row r="510" spans="1:7" x14ac:dyDescent="0.45">
      <c r="A510" s="426"/>
      <c r="B510" s="428"/>
      <c r="C510" s="230"/>
      <c r="D510" s="230"/>
      <c r="E510" s="230"/>
      <c r="F510" s="230"/>
      <c r="G510" s="429"/>
    </row>
    <row r="511" spans="1:7" x14ac:dyDescent="0.45">
      <c r="A511" s="427"/>
      <c r="B511" s="428"/>
      <c r="C511" s="230"/>
      <c r="D511" s="230"/>
      <c r="E511" s="230"/>
      <c r="F511" s="230"/>
      <c r="G511" s="429"/>
    </row>
    <row r="512" spans="1:7" ht="14.65" thickBot="1" x14ac:dyDescent="0.5">
      <c r="A512" s="105" t="s">
        <v>166</v>
      </c>
      <c r="B512" s="430"/>
      <c r="C512" s="431"/>
      <c r="D512" s="431"/>
      <c r="E512" s="431"/>
      <c r="F512" s="431"/>
      <c r="G512" s="432"/>
    </row>
    <row r="513" spans="1:7" ht="14.65" thickBot="1" x14ac:dyDescent="0.5"/>
    <row r="514" spans="1:7" ht="14.65" thickBot="1" x14ac:dyDescent="0.5">
      <c r="A514" s="407" t="s">
        <v>77</v>
      </c>
      <c r="B514" s="408"/>
      <c r="C514" s="69"/>
      <c r="E514" s="86" t="s">
        <v>22</v>
      </c>
      <c r="F514" s="62"/>
      <c r="G514" s="62"/>
    </row>
    <row r="515" spans="1:7" ht="14.65" thickBot="1" x14ac:dyDescent="0.5">
      <c r="A515" s="106"/>
      <c r="B515" s="106"/>
      <c r="E515" s="88" t="s">
        <v>32</v>
      </c>
      <c r="F515" s="382"/>
      <c r="G515" s="383"/>
    </row>
    <row r="516" spans="1:7" ht="14.65" thickBot="1" x14ac:dyDescent="0.5">
      <c r="A516" s="107" t="s">
        <v>103</v>
      </c>
      <c r="B516" s="106"/>
      <c r="E516" s="88" t="s">
        <v>34</v>
      </c>
      <c r="F516" s="386"/>
      <c r="G516" s="387"/>
    </row>
    <row r="517" spans="1:7" ht="14.65" thickBot="1" x14ac:dyDescent="0.5">
      <c r="A517" s="88" t="s">
        <v>32</v>
      </c>
      <c r="B517" s="382"/>
      <c r="C517" s="383"/>
      <c r="E517" s="89" t="s">
        <v>35</v>
      </c>
      <c r="F517" s="380"/>
      <c r="G517" s="381"/>
    </row>
    <row r="518" spans="1:7" ht="15" customHeight="1" thickBot="1" x14ac:dyDescent="0.5">
      <c r="A518" s="88" t="s">
        <v>34</v>
      </c>
      <c r="B518" s="386"/>
      <c r="C518" s="387"/>
      <c r="F518" s="62"/>
    </row>
    <row r="519" spans="1:7" ht="14.65" thickBot="1" x14ac:dyDescent="0.5">
      <c r="A519" s="89" t="s">
        <v>35</v>
      </c>
      <c r="B519" s="380"/>
      <c r="C519" s="381"/>
      <c r="E519" s="86" t="s">
        <v>31</v>
      </c>
      <c r="F519" s="62"/>
    </row>
    <row r="520" spans="1:7" ht="14.65" thickBot="1" x14ac:dyDescent="0.5">
      <c r="A520" s="87"/>
      <c r="B520" s="62"/>
      <c r="C520" s="62"/>
      <c r="E520" s="117">
        <v>1</v>
      </c>
      <c r="F520" s="382"/>
      <c r="G520" s="383"/>
    </row>
    <row r="521" spans="1:7" ht="15" customHeight="1" thickBot="1" x14ac:dyDescent="0.5">
      <c r="A521" s="384" t="s">
        <v>262</v>
      </c>
      <c r="B521" s="385"/>
      <c r="E521" s="117">
        <v>2</v>
      </c>
      <c r="F521" s="386"/>
      <c r="G521" s="387"/>
    </row>
    <row r="522" spans="1:7" x14ac:dyDescent="0.45">
      <c r="A522" s="117">
        <v>1</v>
      </c>
      <c r="B522" s="388"/>
      <c r="C522" s="389"/>
      <c r="E522" s="118">
        <v>3</v>
      </c>
      <c r="F522" s="386"/>
      <c r="G522" s="387"/>
    </row>
    <row r="523" spans="1:7" x14ac:dyDescent="0.45">
      <c r="A523" s="117">
        <v>2</v>
      </c>
      <c r="B523" s="390"/>
      <c r="C523" s="391"/>
      <c r="E523" s="117">
        <v>4</v>
      </c>
      <c r="F523" s="392"/>
      <c r="G523" s="393"/>
    </row>
    <row r="524" spans="1:7" ht="14.65" thickBot="1" x14ac:dyDescent="0.5">
      <c r="A524" s="145">
        <v>3</v>
      </c>
      <c r="B524" s="394"/>
      <c r="C524" s="395"/>
      <c r="E524" s="119">
        <v>5</v>
      </c>
      <c r="F524" s="380"/>
      <c r="G524" s="381"/>
    </row>
    <row r="525" spans="1:7" ht="14.65" thickBot="1" x14ac:dyDescent="0.5"/>
    <row r="526" spans="1:7" s="90" customFormat="1" x14ac:dyDescent="0.45">
      <c r="A526" s="357" t="s">
        <v>136</v>
      </c>
      <c r="B526" s="358"/>
      <c r="C526" s="358"/>
      <c r="D526" s="358"/>
      <c r="E526" s="358"/>
      <c r="F526" s="358"/>
      <c r="G526" s="359"/>
    </row>
    <row r="527" spans="1:7" ht="14.25" customHeight="1" x14ac:dyDescent="0.45">
      <c r="A527" s="360" t="s">
        <v>137</v>
      </c>
      <c r="B527" s="361"/>
      <c r="C527" s="361"/>
      <c r="D527" s="361"/>
      <c r="E527" s="361"/>
      <c r="F527" s="361"/>
      <c r="G527" s="362"/>
    </row>
    <row r="528" spans="1:7" ht="14.25" customHeight="1" x14ac:dyDescent="0.45">
      <c r="A528" s="360" t="s">
        <v>164</v>
      </c>
      <c r="B528" s="361"/>
      <c r="C528" s="361"/>
      <c r="D528" s="361"/>
      <c r="E528" s="361"/>
      <c r="F528" s="361"/>
      <c r="G528" s="362"/>
    </row>
    <row r="529" spans="1:7" ht="30.5" customHeight="1" x14ac:dyDescent="0.45">
      <c r="A529" s="363" t="s">
        <v>136</v>
      </c>
      <c r="B529" s="364"/>
      <c r="C529" s="365"/>
      <c r="D529" s="366" t="s">
        <v>203</v>
      </c>
      <c r="E529" s="365"/>
      <c r="F529" s="366" t="s">
        <v>165</v>
      </c>
      <c r="G529" s="365"/>
    </row>
    <row r="530" spans="1:7" ht="46.25" customHeight="1" x14ac:dyDescent="0.45">
      <c r="A530" s="367" t="s">
        <v>206</v>
      </c>
      <c r="B530" s="368"/>
      <c r="C530" s="369"/>
      <c r="D530" s="376" t="s">
        <v>204</v>
      </c>
      <c r="E530" s="369"/>
      <c r="F530" s="379" t="s">
        <v>205</v>
      </c>
      <c r="G530" s="369"/>
    </row>
    <row r="531" spans="1:7" ht="46.25" customHeight="1" x14ac:dyDescent="0.45">
      <c r="A531" s="370"/>
      <c r="B531" s="371"/>
      <c r="C531" s="372"/>
      <c r="D531" s="377"/>
      <c r="E531" s="372"/>
      <c r="F531" s="377"/>
      <c r="G531" s="372"/>
    </row>
    <row r="532" spans="1:7" ht="39" customHeight="1" x14ac:dyDescent="0.45">
      <c r="A532" s="373"/>
      <c r="B532" s="374"/>
      <c r="C532" s="375"/>
      <c r="D532" s="378"/>
      <c r="E532" s="375"/>
      <c r="F532" s="378"/>
      <c r="G532" s="375"/>
    </row>
    <row r="533" spans="1:7" ht="28.25" customHeight="1" x14ac:dyDescent="0.45">
      <c r="A533" s="327"/>
      <c r="B533" s="328"/>
      <c r="C533" s="329"/>
      <c r="D533" s="336"/>
      <c r="E533" s="329"/>
      <c r="F533" s="336"/>
      <c r="G533" s="339"/>
    </row>
    <row r="534" spans="1:7" ht="28.25" customHeight="1" x14ac:dyDescent="0.45">
      <c r="A534" s="330"/>
      <c r="B534" s="331"/>
      <c r="C534" s="332"/>
      <c r="D534" s="337"/>
      <c r="E534" s="332"/>
      <c r="F534" s="337"/>
      <c r="G534" s="340"/>
    </row>
    <row r="535" spans="1:7" ht="28.25" customHeight="1" x14ac:dyDescent="0.45">
      <c r="A535" s="333"/>
      <c r="B535" s="334"/>
      <c r="C535" s="335"/>
      <c r="D535" s="338"/>
      <c r="E535" s="335"/>
      <c r="F535" s="338"/>
      <c r="G535" s="341"/>
    </row>
    <row r="536" spans="1:7" ht="28.25" customHeight="1" x14ac:dyDescent="0.45">
      <c r="A536" s="327"/>
      <c r="B536" s="328"/>
      <c r="C536" s="329"/>
      <c r="D536" s="336"/>
      <c r="E536" s="329"/>
      <c r="F536" s="336"/>
      <c r="G536" s="339"/>
    </row>
    <row r="537" spans="1:7" ht="28.25" customHeight="1" x14ac:dyDescent="0.45">
      <c r="A537" s="330"/>
      <c r="B537" s="331"/>
      <c r="C537" s="332"/>
      <c r="D537" s="337"/>
      <c r="E537" s="332"/>
      <c r="F537" s="337"/>
      <c r="G537" s="340"/>
    </row>
    <row r="538" spans="1:7" ht="28.25" customHeight="1" x14ac:dyDescent="0.45">
      <c r="A538" s="333"/>
      <c r="B538" s="334"/>
      <c r="C538" s="335"/>
      <c r="D538" s="338"/>
      <c r="E538" s="335"/>
      <c r="F538" s="338"/>
      <c r="G538" s="341"/>
    </row>
    <row r="539" spans="1:7" ht="28.25" customHeight="1" x14ac:dyDescent="0.45">
      <c r="A539" s="342"/>
      <c r="B539" s="343"/>
      <c r="C539" s="344"/>
      <c r="D539" s="351"/>
      <c r="E539" s="344"/>
      <c r="F539" s="351"/>
      <c r="G539" s="354"/>
    </row>
    <row r="540" spans="1:7" ht="28.25" customHeight="1" x14ac:dyDescent="0.45">
      <c r="A540" s="345"/>
      <c r="B540" s="346"/>
      <c r="C540" s="347"/>
      <c r="D540" s="352"/>
      <c r="E540" s="347"/>
      <c r="F540" s="352"/>
      <c r="G540" s="355"/>
    </row>
    <row r="541" spans="1:7" ht="28.25" customHeight="1" thickBot="1" x14ac:dyDescent="0.5">
      <c r="A541" s="348"/>
      <c r="B541" s="349"/>
      <c r="C541" s="350"/>
      <c r="D541" s="353"/>
      <c r="E541" s="350"/>
      <c r="F541" s="353"/>
      <c r="G541" s="356"/>
    </row>
    <row r="543" spans="1:7" s="91" customFormat="1" x14ac:dyDescent="0.45"/>
    <row r="544" spans="1:7" ht="14.65" thickBot="1" x14ac:dyDescent="0.5"/>
    <row r="545" spans="1:7" ht="14.65" thickBot="1" x14ac:dyDescent="0.5">
      <c r="A545" s="84" t="s">
        <v>76</v>
      </c>
      <c r="B545" s="126">
        <v>12</v>
      </c>
      <c r="C545" s="108"/>
      <c r="D545" s="109"/>
      <c r="E545" s="109"/>
      <c r="F545" s="109"/>
      <c r="G545" s="109"/>
    </row>
    <row r="546" spans="1:7" ht="12.6" customHeight="1" x14ac:dyDescent="0.45">
      <c r="A546" s="409" t="s">
        <v>89</v>
      </c>
      <c r="B546" s="411"/>
      <c r="C546" s="401"/>
      <c r="D546" s="401"/>
      <c r="E546" s="401"/>
      <c r="F546" s="401"/>
      <c r="G546" s="402"/>
    </row>
    <row r="547" spans="1:7" ht="12.6" customHeight="1" x14ac:dyDescent="0.45">
      <c r="A547" s="409"/>
      <c r="B547" s="411"/>
      <c r="C547" s="401"/>
      <c r="D547" s="401"/>
      <c r="E547" s="401"/>
      <c r="F547" s="401"/>
      <c r="G547" s="402"/>
    </row>
    <row r="548" spans="1:7" ht="12.6" customHeight="1" x14ac:dyDescent="0.45">
      <c r="A548" s="410"/>
      <c r="B548" s="416"/>
      <c r="C548" s="403"/>
      <c r="D548" s="403"/>
      <c r="E548" s="403"/>
      <c r="F548" s="403"/>
      <c r="G548" s="404"/>
    </row>
    <row r="549" spans="1:7" ht="31.8" customHeight="1" x14ac:dyDescent="0.45">
      <c r="A549" s="412" t="s">
        <v>160</v>
      </c>
      <c r="B549" s="411"/>
      <c r="C549" s="401"/>
      <c r="D549" s="401"/>
      <c r="E549" s="401"/>
      <c r="F549" s="401"/>
      <c r="G549" s="402"/>
    </row>
    <row r="550" spans="1:7" ht="31.8" customHeight="1" x14ac:dyDescent="0.45">
      <c r="A550" s="409"/>
      <c r="B550" s="411"/>
      <c r="C550" s="401"/>
      <c r="D550" s="401"/>
      <c r="E550" s="401"/>
      <c r="F550" s="401"/>
      <c r="G550" s="402"/>
    </row>
    <row r="551" spans="1:7" ht="31.8" customHeight="1" x14ac:dyDescent="0.45">
      <c r="A551" s="410"/>
      <c r="B551" s="411"/>
      <c r="C551" s="401"/>
      <c r="D551" s="401"/>
      <c r="E551" s="401"/>
      <c r="F551" s="401"/>
      <c r="G551" s="402"/>
    </row>
    <row r="552" spans="1:7" ht="14.45" customHeight="1" x14ac:dyDescent="0.45">
      <c r="A552" s="412" t="s">
        <v>155</v>
      </c>
      <c r="B552" s="414"/>
      <c r="C552" s="415"/>
      <c r="D552" s="415"/>
      <c r="E552" s="422"/>
      <c r="F552" s="417" t="s">
        <v>167</v>
      </c>
      <c r="G552" s="419"/>
    </row>
    <row r="553" spans="1:7" x14ac:dyDescent="0.45">
      <c r="A553" s="409"/>
      <c r="B553" s="411"/>
      <c r="C553" s="401"/>
      <c r="D553" s="401"/>
      <c r="E553" s="423"/>
      <c r="F553" s="418"/>
      <c r="G553" s="420"/>
    </row>
    <row r="554" spans="1:7" x14ac:dyDescent="0.45">
      <c r="A554" s="409"/>
      <c r="B554" s="416"/>
      <c r="C554" s="403"/>
      <c r="D554" s="403"/>
      <c r="E554" s="424"/>
      <c r="F554" s="418"/>
      <c r="G554" s="421"/>
    </row>
    <row r="555" spans="1:7" x14ac:dyDescent="0.45">
      <c r="A555" s="412" t="s">
        <v>159</v>
      </c>
      <c r="B555" s="413"/>
      <c r="C555" s="399"/>
      <c r="D555" s="399"/>
      <c r="E555" s="399"/>
      <c r="F555" s="399"/>
      <c r="G555" s="400"/>
    </row>
    <row r="556" spans="1:7" x14ac:dyDescent="0.45">
      <c r="A556" s="409"/>
      <c r="B556" s="411"/>
      <c r="C556" s="401"/>
      <c r="D556" s="401"/>
      <c r="E556" s="401"/>
      <c r="F556" s="401"/>
      <c r="G556" s="402"/>
    </row>
    <row r="557" spans="1:7" x14ac:dyDescent="0.45">
      <c r="A557" s="410"/>
      <c r="B557" s="416"/>
      <c r="C557" s="403"/>
      <c r="D557" s="403"/>
      <c r="E557" s="403"/>
      <c r="F557" s="403"/>
      <c r="G557" s="404"/>
    </row>
    <row r="558" spans="1:7" ht="15" customHeight="1" x14ac:dyDescent="0.45">
      <c r="A558" s="396" t="s">
        <v>161</v>
      </c>
      <c r="B558" s="401"/>
      <c r="C558" s="401"/>
      <c r="D558" s="401"/>
      <c r="E558" s="401"/>
      <c r="F558" s="401"/>
      <c r="G558" s="402"/>
    </row>
    <row r="559" spans="1:7" x14ac:dyDescent="0.45">
      <c r="A559" s="397"/>
      <c r="B559" s="401"/>
      <c r="C559" s="401"/>
      <c r="D559" s="401"/>
      <c r="E559" s="401"/>
      <c r="F559" s="401"/>
      <c r="G559" s="402"/>
    </row>
    <row r="560" spans="1:7" x14ac:dyDescent="0.45">
      <c r="A560" s="398"/>
      <c r="B560" s="401"/>
      <c r="C560" s="401"/>
      <c r="D560" s="401"/>
      <c r="E560" s="401"/>
      <c r="F560" s="401"/>
      <c r="G560" s="402"/>
    </row>
    <row r="561" spans="1:7" ht="14.65" thickBot="1" x14ac:dyDescent="0.5">
      <c r="A561" s="85" t="s">
        <v>166</v>
      </c>
      <c r="B561" s="405"/>
      <c r="C561" s="405"/>
      <c r="D561" s="405"/>
      <c r="E561" s="405"/>
      <c r="F561" s="405"/>
      <c r="G561" s="406"/>
    </row>
    <row r="562" spans="1:7" s="90" customFormat="1" ht="14.65" thickBot="1" x14ac:dyDescent="0.5">
      <c r="A562" s="61"/>
      <c r="B562" s="61"/>
      <c r="C562" s="61"/>
      <c r="D562" s="61"/>
      <c r="E562" s="61"/>
      <c r="F562" s="61"/>
    </row>
    <row r="563" spans="1:7" ht="15" customHeight="1" thickBot="1" x14ac:dyDescent="0.5">
      <c r="A563" s="407" t="s">
        <v>77</v>
      </c>
      <c r="B563" s="408"/>
      <c r="C563" s="69"/>
      <c r="E563" s="86" t="s">
        <v>22</v>
      </c>
      <c r="F563" s="62"/>
      <c r="G563" s="62"/>
    </row>
    <row r="564" spans="1:7" ht="15" customHeight="1" thickBot="1" x14ac:dyDescent="0.5">
      <c r="A564" s="106"/>
      <c r="B564" s="106"/>
      <c r="E564" s="88" t="s">
        <v>32</v>
      </c>
      <c r="F564" s="382"/>
      <c r="G564" s="383"/>
    </row>
    <row r="565" spans="1:7" ht="15" customHeight="1" thickBot="1" x14ac:dyDescent="0.5">
      <c r="A565" s="107" t="s">
        <v>103</v>
      </c>
      <c r="B565" s="106"/>
      <c r="E565" s="88" t="s">
        <v>34</v>
      </c>
      <c r="F565" s="386"/>
      <c r="G565" s="387"/>
    </row>
    <row r="566" spans="1:7" ht="15" customHeight="1" thickBot="1" x14ac:dyDescent="0.5">
      <c r="A566" s="88" t="s">
        <v>32</v>
      </c>
      <c r="B566" s="382"/>
      <c r="C566" s="383"/>
      <c r="E566" s="89" t="s">
        <v>35</v>
      </c>
      <c r="F566" s="380"/>
      <c r="G566" s="381"/>
    </row>
    <row r="567" spans="1:7" ht="14.65" thickBot="1" x14ac:dyDescent="0.5">
      <c r="A567" s="88" t="s">
        <v>34</v>
      </c>
      <c r="B567" s="386"/>
      <c r="C567" s="387"/>
      <c r="F567" s="62"/>
    </row>
    <row r="568" spans="1:7" ht="15" customHeight="1" thickBot="1" x14ac:dyDescent="0.5">
      <c r="A568" s="89" t="s">
        <v>35</v>
      </c>
      <c r="B568" s="380"/>
      <c r="C568" s="381"/>
      <c r="E568" s="86" t="s">
        <v>31</v>
      </c>
      <c r="F568" s="62"/>
    </row>
    <row r="569" spans="1:7" ht="14.65" thickBot="1" x14ac:dyDescent="0.5">
      <c r="A569" s="87"/>
      <c r="B569" s="62"/>
      <c r="C569" s="62"/>
      <c r="E569" s="117">
        <v>1</v>
      </c>
      <c r="F569" s="382"/>
      <c r="G569" s="383"/>
    </row>
    <row r="570" spans="1:7" ht="15" customHeight="1" thickBot="1" x14ac:dyDescent="0.5">
      <c r="A570" s="384" t="s">
        <v>262</v>
      </c>
      <c r="B570" s="385"/>
      <c r="E570" s="117">
        <v>2</v>
      </c>
      <c r="F570" s="386"/>
      <c r="G570" s="387"/>
    </row>
    <row r="571" spans="1:7" ht="15" customHeight="1" x14ac:dyDescent="0.45">
      <c r="A571" s="117">
        <v>1</v>
      </c>
      <c r="B571" s="388"/>
      <c r="C571" s="389"/>
      <c r="E571" s="118">
        <v>3</v>
      </c>
      <c r="F571" s="386"/>
      <c r="G571" s="387"/>
    </row>
    <row r="572" spans="1:7" x14ac:dyDescent="0.45">
      <c r="A572" s="117">
        <v>2</v>
      </c>
      <c r="B572" s="390"/>
      <c r="C572" s="391"/>
      <c r="E572" s="117">
        <v>4</v>
      </c>
      <c r="F572" s="392"/>
      <c r="G572" s="393"/>
    </row>
    <row r="573" spans="1:7" ht="15" customHeight="1" thickBot="1" x14ac:dyDescent="0.5">
      <c r="A573" s="145">
        <v>3</v>
      </c>
      <c r="B573" s="394"/>
      <c r="C573" s="395"/>
      <c r="E573" s="119">
        <v>5</v>
      </c>
      <c r="F573" s="380"/>
      <c r="G573" s="381"/>
    </row>
    <row r="574" spans="1:7" ht="14.65" thickBot="1" x14ac:dyDescent="0.5"/>
    <row r="575" spans="1:7" x14ac:dyDescent="0.45">
      <c r="A575" s="357" t="s">
        <v>136</v>
      </c>
      <c r="B575" s="358"/>
      <c r="C575" s="358"/>
      <c r="D575" s="358"/>
      <c r="E575" s="358"/>
      <c r="F575" s="358"/>
      <c r="G575" s="359"/>
    </row>
    <row r="576" spans="1:7" ht="14.45" customHeight="1" x14ac:dyDescent="0.45">
      <c r="A576" s="360" t="s">
        <v>137</v>
      </c>
      <c r="B576" s="361"/>
      <c r="C576" s="361"/>
      <c r="D576" s="361"/>
      <c r="E576" s="361"/>
      <c r="F576" s="361"/>
      <c r="G576" s="362"/>
    </row>
    <row r="577" spans="1:7" ht="14.45" customHeight="1" x14ac:dyDescent="0.45">
      <c r="A577" s="360" t="s">
        <v>164</v>
      </c>
      <c r="B577" s="361"/>
      <c r="C577" s="361"/>
      <c r="D577" s="361"/>
      <c r="E577" s="361"/>
      <c r="F577" s="361"/>
      <c r="G577" s="362"/>
    </row>
    <row r="578" spans="1:7" s="83" customFormat="1" ht="14.45" customHeight="1" x14ac:dyDescent="0.45">
      <c r="A578" s="363" t="s">
        <v>136</v>
      </c>
      <c r="B578" s="364"/>
      <c r="C578" s="365"/>
      <c r="D578" s="366" t="s">
        <v>203</v>
      </c>
      <c r="E578" s="365"/>
      <c r="F578" s="366" t="s">
        <v>165</v>
      </c>
      <c r="G578" s="365"/>
    </row>
    <row r="579" spans="1:7" ht="46.25" customHeight="1" x14ac:dyDescent="0.45">
      <c r="A579" s="367" t="s">
        <v>206</v>
      </c>
      <c r="B579" s="368"/>
      <c r="C579" s="369"/>
      <c r="D579" s="376" t="s">
        <v>204</v>
      </c>
      <c r="E579" s="369"/>
      <c r="F579" s="379" t="s">
        <v>205</v>
      </c>
      <c r="G579" s="369"/>
    </row>
    <row r="580" spans="1:7" ht="46.25" customHeight="1" x14ac:dyDescent="0.45">
      <c r="A580" s="370"/>
      <c r="B580" s="371"/>
      <c r="C580" s="372"/>
      <c r="D580" s="377"/>
      <c r="E580" s="372"/>
      <c r="F580" s="377"/>
      <c r="G580" s="372"/>
    </row>
    <row r="581" spans="1:7" ht="46.25" customHeight="1" x14ac:dyDescent="0.45">
      <c r="A581" s="373"/>
      <c r="B581" s="374"/>
      <c r="C581" s="375"/>
      <c r="D581" s="378"/>
      <c r="E581" s="375"/>
      <c r="F581" s="378"/>
      <c r="G581" s="375"/>
    </row>
    <row r="582" spans="1:7" ht="28.25" customHeight="1" x14ac:dyDescent="0.45">
      <c r="A582" s="327"/>
      <c r="B582" s="328"/>
      <c r="C582" s="329"/>
      <c r="D582" s="336"/>
      <c r="E582" s="329"/>
      <c r="F582" s="336"/>
      <c r="G582" s="339"/>
    </row>
    <row r="583" spans="1:7" ht="28.25" customHeight="1" x14ac:dyDescent="0.45">
      <c r="A583" s="330"/>
      <c r="B583" s="331"/>
      <c r="C583" s="332"/>
      <c r="D583" s="337"/>
      <c r="E583" s="332"/>
      <c r="F583" s="337"/>
      <c r="G583" s="340"/>
    </row>
    <row r="584" spans="1:7" ht="28.25" customHeight="1" x14ac:dyDescent="0.45">
      <c r="A584" s="333"/>
      <c r="B584" s="334"/>
      <c r="C584" s="335"/>
      <c r="D584" s="338"/>
      <c r="E584" s="335"/>
      <c r="F584" s="338"/>
      <c r="G584" s="341"/>
    </row>
    <row r="585" spans="1:7" ht="28.25" customHeight="1" x14ac:dyDescent="0.45">
      <c r="A585" s="327"/>
      <c r="B585" s="328"/>
      <c r="C585" s="329"/>
      <c r="D585" s="336"/>
      <c r="E585" s="329"/>
      <c r="F585" s="336"/>
      <c r="G585" s="339"/>
    </row>
    <row r="586" spans="1:7" ht="28.25" customHeight="1" x14ac:dyDescent="0.45">
      <c r="A586" s="330"/>
      <c r="B586" s="331"/>
      <c r="C586" s="332"/>
      <c r="D586" s="337"/>
      <c r="E586" s="332"/>
      <c r="F586" s="337"/>
      <c r="G586" s="340"/>
    </row>
    <row r="587" spans="1:7" ht="28.25" customHeight="1" x14ac:dyDescent="0.45">
      <c r="A587" s="333"/>
      <c r="B587" s="334"/>
      <c r="C587" s="335"/>
      <c r="D587" s="338"/>
      <c r="E587" s="335"/>
      <c r="F587" s="338"/>
      <c r="G587" s="341"/>
    </row>
    <row r="588" spans="1:7" ht="28.25" customHeight="1" x14ac:dyDescent="0.45">
      <c r="A588" s="342"/>
      <c r="B588" s="343"/>
      <c r="C588" s="344"/>
      <c r="D588" s="351"/>
      <c r="E588" s="344"/>
      <c r="F588" s="351"/>
      <c r="G588" s="354"/>
    </row>
    <row r="589" spans="1:7" ht="28.25" customHeight="1" x14ac:dyDescent="0.45">
      <c r="A589" s="345"/>
      <c r="B589" s="346"/>
      <c r="C589" s="347"/>
      <c r="D589" s="352"/>
      <c r="E589" s="347"/>
      <c r="F589" s="352"/>
      <c r="G589" s="355"/>
    </row>
    <row r="590" spans="1:7" ht="28.25" customHeight="1" thickBot="1" x14ac:dyDescent="0.5">
      <c r="A590" s="348"/>
      <c r="B590" s="349"/>
      <c r="C590" s="350"/>
      <c r="D590" s="353"/>
      <c r="E590" s="350"/>
      <c r="F590" s="353"/>
      <c r="G590" s="356"/>
    </row>
    <row r="591" spans="1:7" ht="12.6" customHeight="1" x14ac:dyDescent="0.45"/>
    <row r="592" spans="1:7" s="91" customFormat="1" x14ac:dyDescent="0.45"/>
    <row r="593" spans="1:7" ht="14.65" thickBot="1" x14ac:dyDescent="0.5"/>
    <row r="594" spans="1:7" ht="14.65" thickBot="1" x14ac:dyDescent="0.5">
      <c r="A594" s="84" t="s">
        <v>76</v>
      </c>
      <c r="B594" s="126">
        <v>13</v>
      </c>
      <c r="C594" s="108"/>
      <c r="D594" s="109"/>
      <c r="E594" s="109"/>
      <c r="F594" s="109"/>
      <c r="G594" s="109"/>
    </row>
    <row r="595" spans="1:7" ht="12.6" customHeight="1" x14ac:dyDescent="0.45">
      <c r="A595" s="409" t="s">
        <v>89</v>
      </c>
      <c r="B595" s="411"/>
      <c r="C595" s="401"/>
      <c r="D595" s="401"/>
      <c r="E595" s="401"/>
      <c r="F595" s="401"/>
      <c r="G595" s="402"/>
    </row>
    <row r="596" spans="1:7" ht="12.6" customHeight="1" x14ac:dyDescent="0.45">
      <c r="A596" s="409"/>
      <c r="B596" s="411"/>
      <c r="C596" s="401"/>
      <c r="D596" s="401"/>
      <c r="E596" s="401"/>
      <c r="F596" s="401"/>
      <c r="G596" s="402"/>
    </row>
    <row r="597" spans="1:7" ht="12.6" customHeight="1" x14ac:dyDescent="0.45">
      <c r="A597" s="410"/>
      <c r="B597" s="411"/>
      <c r="C597" s="401"/>
      <c r="D597" s="401"/>
      <c r="E597" s="401"/>
      <c r="F597" s="401"/>
      <c r="G597" s="402"/>
    </row>
    <row r="598" spans="1:7" ht="31.8" customHeight="1" x14ac:dyDescent="0.45">
      <c r="A598" s="412" t="s">
        <v>158</v>
      </c>
      <c r="B598" s="413"/>
      <c r="C598" s="399"/>
      <c r="D598" s="399"/>
      <c r="E598" s="399"/>
      <c r="F598" s="399"/>
      <c r="G598" s="400"/>
    </row>
    <row r="599" spans="1:7" ht="31.8" customHeight="1" x14ac:dyDescent="0.45">
      <c r="A599" s="409"/>
      <c r="B599" s="411"/>
      <c r="C599" s="401"/>
      <c r="D599" s="401"/>
      <c r="E599" s="401"/>
      <c r="F599" s="401"/>
      <c r="G599" s="402"/>
    </row>
    <row r="600" spans="1:7" ht="31.8" customHeight="1" x14ac:dyDescent="0.45">
      <c r="A600" s="409"/>
      <c r="B600" s="411"/>
      <c r="C600" s="401"/>
      <c r="D600" s="401"/>
      <c r="E600" s="401"/>
      <c r="F600" s="401"/>
      <c r="G600" s="402"/>
    </row>
    <row r="601" spans="1:7" x14ac:dyDescent="0.45">
      <c r="A601" s="412" t="s">
        <v>155</v>
      </c>
      <c r="B601" s="414"/>
      <c r="C601" s="415"/>
      <c r="D601" s="415"/>
      <c r="E601" s="415"/>
      <c r="F601" s="417" t="s">
        <v>167</v>
      </c>
      <c r="G601" s="419"/>
    </row>
    <row r="602" spans="1:7" s="90" customFormat="1" x14ac:dyDescent="0.45">
      <c r="A602" s="409"/>
      <c r="B602" s="411"/>
      <c r="C602" s="401"/>
      <c r="D602" s="401"/>
      <c r="E602" s="401"/>
      <c r="F602" s="418"/>
      <c r="G602" s="420"/>
    </row>
    <row r="603" spans="1:7" x14ac:dyDescent="0.45">
      <c r="A603" s="409"/>
      <c r="B603" s="416"/>
      <c r="C603" s="403"/>
      <c r="D603" s="403"/>
      <c r="E603" s="403"/>
      <c r="F603" s="418"/>
      <c r="G603" s="421"/>
    </row>
    <row r="604" spans="1:7" x14ac:dyDescent="0.45">
      <c r="A604" s="412" t="s">
        <v>159</v>
      </c>
      <c r="B604" s="411"/>
      <c r="C604" s="401"/>
      <c r="D604" s="401"/>
      <c r="E604" s="401"/>
      <c r="F604" s="401"/>
      <c r="G604" s="402"/>
    </row>
    <row r="605" spans="1:7" x14ac:dyDescent="0.45">
      <c r="A605" s="409"/>
      <c r="B605" s="411"/>
      <c r="C605" s="401"/>
      <c r="D605" s="401"/>
      <c r="E605" s="401"/>
      <c r="F605" s="401"/>
      <c r="G605" s="402"/>
    </row>
    <row r="606" spans="1:7" x14ac:dyDescent="0.45">
      <c r="A606" s="410"/>
      <c r="B606" s="411"/>
      <c r="C606" s="401"/>
      <c r="D606" s="401"/>
      <c r="E606" s="401"/>
      <c r="F606" s="401"/>
      <c r="G606" s="402"/>
    </row>
    <row r="607" spans="1:7" x14ac:dyDescent="0.45">
      <c r="A607" s="396" t="s">
        <v>161</v>
      </c>
      <c r="B607" s="399"/>
      <c r="C607" s="399"/>
      <c r="D607" s="399"/>
      <c r="E607" s="399"/>
      <c r="F607" s="399"/>
      <c r="G607" s="400"/>
    </row>
    <row r="608" spans="1:7" x14ac:dyDescent="0.45">
      <c r="A608" s="397"/>
      <c r="B608" s="401"/>
      <c r="C608" s="401"/>
      <c r="D608" s="401"/>
      <c r="E608" s="401"/>
      <c r="F608" s="401"/>
      <c r="G608" s="402"/>
    </row>
    <row r="609" spans="1:7" x14ac:dyDescent="0.45">
      <c r="A609" s="398"/>
      <c r="B609" s="403"/>
      <c r="C609" s="403"/>
      <c r="D609" s="403"/>
      <c r="E609" s="403"/>
      <c r="F609" s="403"/>
      <c r="G609" s="404"/>
    </row>
    <row r="610" spans="1:7" ht="14.65" thickBot="1" x14ac:dyDescent="0.5">
      <c r="A610" s="85" t="s">
        <v>166</v>
      </c>
      <c r="B610" s="405"/>
      <c r="C610" s="405"/>
      <c r="D610" s="405"/>
      <c r="E610" s="405"/>
      <c r="F610" s="405"/>
      <c r="G610" s="406"/>
    </row>
    <row r="611" spans="1:7" ht="14.65" thickBot="1" x14ac:dyDescent="0.5"/>
    <row r="612" spans="1:7" ht="15" customHeight="1" thickBot="1" x14ac:dyDescent="0.5">
      <c r="A612" s="407" t="s">
        <v>77</v>
      </c>
      <c r="B612" s="408"/>
      <c r="C612" s="69"/>
      <c r="E612" s="86" t="s">
        <v>22</v>
      </c>
      <c r="F612" s="62"/>
      <c r="G612" s="62"/>
    </row>
    <row r="613" spans="1:7" ht="14.65" thickBot="1" x14ac:dyDescent="0.5">
      <c r="A613" s="106"/>
      <c r="B613" s="106"/>
      <c r="E613" s="88" t="s">
        <v>32</v>
      </c>
      <c r="F613" s="382"/>
      <c r="G613" s="383"/>
    </row>
    <row r="614" spans="1:7" ht="14.65" thickBot="1" x14ac:dyDescent="0.5">
      <c r="A614" s="107" t="s">
        <v>103</v>
      </c>
      <c r="B614" s="106"/>
      <c r="E614" s="88" t="s">
        <v>34</v>
      </c>
      <c r="F614" s="386"/>
      <c r="G614" s="387"/>
    </row>
    <row r="615" spans="1:7" ht="14.65" thickBot="1" x14ac:dyDescent="0.5">
      <c r="A615" s="88" t="s">
        <v>32</v>
      </c>
      <c r="B615" s="382"/>
      <c r="C615" s="383"/>
      <c r="E615" s="89" t="s">
        <v>35</v>
      </c>
      <c r="F615" s="380"/>
      <c r="G615" s="381"/>
    </row>
    <row r="616" spans="1:7" ht="14.65" thickBot="1" x14ac:dyDescent="0.5">
      <c r="A616" s="88" t="s">
        <v>34</v>
      </c>
      <c r="B616" s="386"/>
      <c r="C616" s="387"/>
      <c r="F616" s="62"/>
    </row>
    <row r="617" spans="1:7" ht="15" customHeight="1" thickBot="1" x14ac:dyDescent="0.5">
      <c r="A617" s="89" t="s">
        <v>35</v>
      </c>
      <c r="B617" s="380"/>
      <c r="C617" s="381"/>
      <c r="E617" s="86" t="s">
        <v>31</v>
      </c>
      <c r="F617" s="62"/>
    </row>
    <row r="618" spans="1:7" s="83" customFormat="1" ht="14.65" thickBot="1" x14ac:dyDescent="0.5">
      <c r="A618" s="87"/>
      <c r="B618" s="62"/>
      <c r="C618" s="62"/>
      <c r="D618" s="61"/>
      <c r="E618" s="117">
        <v>1</v>
      </c>
      <c r="F618" s="382"/>
      <c r="G618" s="383"/>
    </row>
    <row r="619" spans="1:7" ht="15" customHeight="1" thickBot="1" x14ac:dyDescent="0.5">
      <c r="A619" s="384" t="s">
        <v>262</v>
      </c>
      <c r="B619" s="385"/>
      <c r="E619" s="117">
        <v>2</v>
      </c>
      <c r="F619" s="386"/>
      <c r="G619" s="387"/>
    </row>
    <row r="620" spans="1:7" x14ac:dyDescent="0.45">
      <c r="A620" s="117">
        <v>1</v>
      </c>
      <c r="B620" s="388"/>
      <c r="C620" s="389"/>
      <c r="E620" s="118">
        <v>3</v>
      </c>
      <c r="F620" s="386"/>
      <c r="G620" s="387"/>
    </row>
    <row r="621" spans="1:7" x14ac:dyDescent="0.45">
      <c r="A621" s="117">
        <v>2</v>
      </c>
      <c r="B621" s="390"/>
      <c r="C621" s="391"/>
      <c r="E621" s="117">
        <v>4</v>
      </c>
      <c r="F621" s="392"/>
      <c r="G621" s="393"/>
    </row>
    <row r="622" spans="1:7" ht="14.65" thickBot="1" x14ac:dyDescent="0.5">
      <c r="A622" s="145">
        <v>3</v>
      </c>
      <c r="B622" s="394"/>
      <c r="C622" s="395"/>
      <c r="E622" s="119">
        <v>5</v>
      </c>
      <c r="F622" s="380"/>
      <c r="G622" s="381"/>
    </row>
    <row r="623" spans="1:7" ht="14.65" thickBot="1" x14ac:dyDescent="0.5"/>
    <row r="624" spans="1:7" x14ac:dyDescent="0.45">
      <c r="A624" s="357" t="s">
        <v>136</v>
      </c>
      <c r="B624" s="358"/>
      <c r="C624" s="358"/>
      <c r="D624" s="358"/>
      <c r="E624" s="358"/>
      <c r="F624" s="358"/>
      <c r="G624" s="359"/>
    </row>
    <row r="625" spans="1:7" ht="14.45" customHeight="1" x14ac:dyDescent="0.45">
      <c r="A625" s="360" t="s">
        <v>137</v>
      </c>
      <c r="B625" s="361"/>
      <c r="C625" s="361"/>
      <c r="D625" s="361"/>
      <c r="E625" s="361"/>
      <c r="F625" s="361"/>
      <c r="G625" s="362"/>
    </row>
    <row r="626" spans="1:7" ht="14.45" customHeight="1" x14ac:dyDescent="0.45">
      <c r="A626" s="360" t="s">
        <v>164</v>
      </c>
      <c r="B626" s="361"/>
      <c r="C626" s="361"/>
      <c r="D626" s="361"/>
      <c r="E626" s="361"/>
      <c r="F626" s="361"/>
      <c r="G626" s="362"/>
    </row>
    <row r="627" spans="1:7" ht="14.45" customHeight="1" x14ac:dyDescent="0.45">
      <c r="A627" s="363" t="s">
        <v>136</v>
      </c>
      <c r="B627" s="364"/>
      <c r="C627" s="365"/>
      <c r="D627" s="366" t="s">
        <v>203</v>
      </c>
      <c r="E627" s="365"/>
      <c r="F627" s="366" t="s">
        <v>165</v>
      </c>
      <c r="G627" s="365"/>
    </row>
    <row r="628" spans="1:7" ht="46.25" customHeight="1" x14ac:dyDescent="0.45">
      <c r="A628" s="367" t="s">
        <v>206</v>
      </c>
      <c r="B628" s="368"/>
      <c r="C628" s="369"/>
      <c r="D628" s="376" t="s">
        <v>204</v>
      </c>
      <c r="E628" s="369"/>
      <c r="F628" s="379" t="s">
        <v>205</v>
      </c>
      <c r="G628" s="369"/>
    </row>
    <row r="629" spans="1:7" ht="46.25" customHeight="1" x14ac:dyDescent="0.45">
      <c r="A629" s="370"/>
      <c r="B629" s="371"/>
      <c r="C629" s="372"/>
      <c r="D629" s="377"/>
      <c r="E629" s="372"/>
      <c r="F629" s="377"/>
      <c r="G629" s="372"/>
    </row>
    <row r="630" spans="1:7" ht="46.25" customHeight="1" x14ac:dyDescent="0.45">
      <c r="A630" s="373"/>
      <c r="B630" s="374"/>
      <c r="C630" s="375"/>
      <c r="D630" s="378"/>
      <c r="E630" s="375"/>
      <c r="F630" s="378"/>
      <c r="G630" s="375"/>
    </row>
    <row r="631" spans="1:7" ht="28.25" customHeight="1" x14ac:dyDescent="0.45">
      <c r="A631" s="327"/>
      <c r="B631" s="328"/>
      <c r="C631" s="329"/>
      <c r="D631" s="336"/>
      <c r="E631" s="329"/>
      <c r="F631" s="336"/>
      <c r="G631" s="339"/>
    </row>
    <row r="632" spans="1:7" ht="28.25" customHeight="1" x14ac:dyDescent="0.45">
      <c r="A632" s="330"/>
      <c r="B632" s="331"/>
      <c r="C632" s="332"/>
      <c r="D632" s="337"/>
      <c r="E632" s="332"/>
      <c r="F632" s="337"/>
      <c r="G632" s="340"/>
    </row>
    <row r="633" spans="1:7" ht="28.25" customHeight="1" x14ac:dyDescent="0.45">
      <c r="A633" s="333"/>
      <c r="B633" s="334"/>
      <c r="C633" s="335"/>
      <c r="D633" s="338"/>
      <c r="E633" s="335"/>
      <c r="F633" s="338"/>
      <c r="G633" s="341"/>
    </row>
    <row r="634" spans="1:7" ht="28.25" customHeight="1" x14ac:dyDescent="0.45">
      <c r="A634" s="327"/>
      <c r="B634" s="328"/>
      <c r="C634" s="329"/>
      <c r="D634" s="336"/>
      <c r="E634" s="329"/>
      <c r="F634" s="336"/>
      <c r="G634" s="339"/>
    </row>
    <row r="635" spans="1:7" ht="28.25" customHeight="1" x14ac:dyDescent="0.45">
      <c r="A635" s="330"/>
      <c r="B635" s="331"/>
      <c r="C635" s="332"/>
      <c r="D635" s="337"/>
      <c r="E635" s="332"/>
      <c r="F635" s="337"/>
      <c r="G635" s="340"/>
    </row>
    <row r="636" spans="1:7" ht="28.25" customHeight="1" x14ac:dyDescent="0.45">
      <c r="A636" s="333"/>
      <c r="B636" s="334"/>
      <c r="C636" s="335"/>
      <c r="D636" s="338"/>
      <c r="E636" s="335"/>
      <c r="F636" s="338"/>
      <c r="G636" s="341"/>
    </row>
    <row r="637" spans="1:7" ht="28.25" customHeight="1" x14ac:dyDescent="0.45">
      <c r="A637" s="342"/>
      <c r="B637" s="343"/>
      <c r="C637" s="344"/>
      <c r="D637" s="351"/>
      <c r="E637" s="344"/>
      <c r="F637" s="351"/>
      <c r="G637" s="354"/>
    </row>
    <row r="638" spans="1:7" ht="28.25" customHeight="1" x14ac:dyDescent="0.45">
      <c r="A638" s="345"/>
      <c r="B638" s="346"/>
      <c r="C638" s="347"/>
      <c r="D638" s="352"/>
      <c r="E638" s="347"/>
      <c r="F638" s="352"/>
      <c r="G638" s="355"/>
    </row>
    <row r="639" spans="1:7" ht="28.25" customHeight="1" thickBot="1" x14ac:dyDescent="0.5">
      <c r="A639" s="348"/>
      <c r="B639" s="349"/>
      <c r="C639" s="350"/>
      <c r="D639" s="353"/>
      <c r="E639" s="350"/>
      <c r="F639" s="353"/>
      <c r="G639" s="356"/>
    </row>
    <row r="641" spans="1:7" s="91" customFormat="1" ht="15" customHeight="1" x14ac:dyDescent="0.45"/>
    <row r="642" spans="1:7" ht="14.65" thickBot="1" x14ac:dyDescent="0.5"/>
    <row r="643" spans="1:7" ht="14.65" thickBot="1" x14ac:dyDescent="0.5">
      <c r="A643" s="84" t="s">
        <v>76</v>
      </c>
      <c r="B643" s="126">
        <v>14</v>
      </c>
      <c r="C643" s="108"/>
      <c r="D643" s="109"/>
      <c r="E643" s="109"/>
      <c r="F643" s="109"/>
      <c r="G643" s="109"/>
    </row>
    <row r="644" spans="1:7" ht="12.6" customHeight="1" x14ac:dyDescent="0.45">
      <c r="A644" s="409" t="s">
        <v>89</v>
      </c>
      <c r="B644" s="411"/>
      <c r="C644" s="401"/>
      <c r="D644" s="401"/>
      <c r="E644" s="401"/>
      <c r="F644" s="401"/>
      <c r="G644" s="402"/>
    </row>
    <row r="645" spans="1:7" s="90" customFormat="1" ht="12.6" customHeight="1" x14ac:dyDescent="0.45">
      <c r="A645" s="409"/>
      <c r="B645" s="411"/>
      <c r="C645" s="401"/>
      <c r="D645" s="401"/>
      <c r="E645" s="401"/>
      <c r="F645" s="401"/>
      <c r="G645" s="402"/>
    </row>
    <row r="646" spans="1:7" ht="12.6" customHeight="1" x14ac:dyDescent="0.45">
      <c r="A646" s="410"/>
      <c r="B646" s="411"/>
      <c r="C646" s="401"/>
      <c r="D646" s="401"/>
      <c r="E646" s="401"/>
      <c r="F646" s="401"/>
      <c r="G646" s="402"/>
    </row>
    <row r="647" spans="1:7" ht="31.8" customHeight="1" x14ac:dyDescent="0.45">
      <c r="A647" s="412" t="s">
        <v>158</v>
      </c>
      <c r="B647" s="413"/>
      <c r="C647" s="399"/>
      <c r="D647" s="399"/>
      <c r="E647" s="399"/>
      <c r="F647" s="399"/>
      <c r="G647" s="400"/>
    </row>
    <row r="648" spans="1:7" ht="31.8" customHeight="1" x14ac:dyDescent="0.45">
      <c r="A648" s="409"/>
      <c r="B648" s="411"/>
      <c r="C648" s="401"/>
      <c r="D648" s="401"/>
      <c r="E648" s="401"/>
      <c r="F648" s="401"/>
      <c r="G648" s="402"/>
    </row>
    <row r="649" spans="1:7" ht="31.8" customHeight="1" x14ac:dyDescent="0.45">
      <c r="A649" s="409"/>
      <c r="B649" s="411"/>
      <c r="C649" s="401"/>
      <c r="D649" s="401"/>
      <c r="E649" s="401"/>
      <c r="F649" s="401"/>
      <c r="G649" s="402"/>
    </row>
    <row r="650" spans="1:7" x14ac:dyDescent="0.45">
      <c r="A650" s="412" t="s">
        <v>155</v>
      </c>
      <c r="B650" s="414"/>
      <c r="C650" s="415"/>
      <c r="D650" s="415"/>
      <c r="E650" s="415"/>
      <c r="F650" s="417" t="s">
        <v>167</v>
      </c>
      <c r="G650" s="419"/>
    </row>
    <row r="651" spans="1:7" x14ac:dyDescent="0.45">
      <c r="A651" s="409"/>
      <c r="B651" s="411"/>
      <c r="C651" s="401"/>
      <c r="D651" s="401"/>
      <c r="E651" s="401"/>
      <c r="F651" s="418"/>
      <c r="G651" s="420"/>
    </row>
    <row r="652" spans="1:7" x14ac:dyDescent="0.45">
      <c r="A652" s="409"/>
      <c r="B652" s="416"/>
      <c r="C652" s="403"/>
      <c r="D652" s="403"/>
      <c r="E652" s="403"/>
      <c r="F652" s="418"/>
      <c r="G652" s="421"/>
    </row>
    <row r="653" spans="1:7" x14ac:dyDescent="0.45">
      <c r="A653" s="412" t="s">
        <v>159</v>
      </c>
      <c r="B653" s="411"/>
      <c r="C653" s="401"/>
      <c r="D653" s="401"/>
      <c r="E653" s="401"/>
      <c r="F653" s="401"/>
      <c r="G653" s="402"/>
    </row>
    <row r="654" spans="1:7" x14ac:dyDescent="0.45">
      <c r="A654" s="409"/>
      <c r="B654" s="411"/>
      <c r="C654" s="401"/>
      <c r="D654" s="401"/>
      <c r="E654" s="401"/>
      <c r="F654" s="401"/>
      <c r="G654" s="402"/>
    </row>
    <row r="655" spans="1:7" s="83" customFormat="1" x14ac:dyDescent="0.45">
      <c r="A655" s="410"/>
      <c r="B655" s="416"/>
      <c r="C655" s="403"/>
      <c r="D655" s="403"/>
      <c r="E655" s="403"/>
      <c r="F655" s="403"/>
      <c r="G655" s="404"/>
    </row>
    <row r="656" spans="1:7" x14ac:dyDescent="0.45">
      <c r="A656" s="396" t="s">
        <v>161</v>
      </c>
      <c r="B656" s="399"/>
      <c r="C656" s="399"/>
      <c r="D656" s="399"/>
      <c r="E656" s="399"/>
      <c r="F656" s="399"/>
      <c r="G656" s="400"/>
    </row>
    <row r="657" spans="1:7" x14ac:dyDescent="0.45">
      <c r="A657" s="397"/>
      <c r="B657" s="401"/>
      <c r="C657" s="401"/>
      <c r="D657" s="401"/>
      <c r="E657" s="401"/>
      <c r="F657" s="401"/>
      <c r="G657" s="402"/>
    </row>
    <row r="658" spans="1:7" x14ac:dyDescent="0.45">
      <c r="A658" s="398"/>
      <c r="B658" s="401"/>
      <c r="C658" s="401"/>
      <c r="D658" s="401"/>
      <c r="E658" s="401"/>
      <c r="F658" s="401"/>
      <c r="G658" s="402"/>
    </row>
    <row r="659" spans="1:7" ht="14.65" thickBot="1" x14ac:dyDescent="0.5">
      <c r="A659" s="85" t="s">
        <v>166</v>
      </c>
      <c r="B659" s="405"/>
      <c r="C659" s="405"/>
      <c r="D659" s="405"/>
      <c r="E659" s="405"/>
      <c r="F659" s="405"/>
      <c r="G659" s="406"/>
    </row>
    <row r="660" spans="1:7" ht="14.65" thickBot="1" x14ac:dyDescent="0.5"/>
    <row r="661" spans="1:7" ht="15" customHeight="1" thickBot="1" x14ac:dyDescent="0.5">
      <c r="A661" s="407" t="s">
        <v>77</v>
      </c>
      <c r="B661" s="408"/>
      <c r="C661" s="69"/>
      <c r="E661" s="86" t="s">
        <v>22</v>
      </c>
      <c r="F661" s="62"/>
      <c r="G661" s="62"/>
    </row>
    <row r="662" spans="1:7" ht="14.65" thickBot="1" x14ac:dyDescent="0.5">
      <c r="A662" s="106"/>
      <c r="B662" s="106"/>
      <c r="E662" s="88" t="s">
        <v>32</v>
      </c>
      <c r="F662" s="382"/>
      <c r="G662" s="383"/>
    </row>
    <row r="663" spans="1:7" ht="14.65" thickBot="1" x14ac:dyDescent="0.5">
      <c r="A663" s="107" t="s">
        <v>103</v>
      </c>
      <c r="B663" s="106"/>
      <c r="E663" s="88" t="s">
        <v>34</v>
      </c>
      <c r="F663" s="386"/>
      <c r="G663" s="387"/>
    </row>
    <row r="664" spans="1:7" ht="14.65" thickBot="1" x14ac:dyDescent="0.5">
      <c r="A664" s="88" t="s">
        <v>32</v>
      </c>
      <c r="B664" s="382"/>
      <c r="C664" s="383"/>
      <c r="E664" s="89" t="s">
        <v>35</v>
      </c>
      <c r="F664" s="380"/>
      <c r="G664" s="381"/>
    </row>
    <row r="665" spans="1:7" ht="14.65" thickBot="1" x14ac:dyDescent="0.5">
      <c r="A665" s="88" t="s">
        <v>34</v>
      </c>
      <c r="B665" s="386"/>
      <c r="C665" s="387"/>
      <c r="F665" s="62"/>
    </row>
    <row r="666" spans="1:7" ht="15" customHeight="1" thickBot="1" x14ac:dyDescent="0.5">
      <c r="A666" s="89" t="s">
        <v>35</v>
      </c>
      <c r="B666" s="380"/>
      <c r="C666" s="381"/>
      <c r="E666" s="86" t="s">
        <v>31</v>
      </c>
      <c r="F666" s="62"/>
    </row>
    <row r="667" spans="1:7" ht="14.65" thickBot="1" x14ac:dyDescent="0.5">
      <c r="A667" s="87"/>
      <c r="B667" s="62"/>
      <c r="C667" s="62"/>
      <c r="E667" s="117">
        <v>1</v>
      </c>
      <c r="F667" s="382"/>
      <c r="G667" s="383"/>
    </row>
    <row r="668" spans="1:7" ht="15" customHeight="1" thickBot="1" x14ac:dyDescent="0.5">
      <c r="A668" s="384" t="s">
        <v>262</v>
      </c>
      <c r="B668" s="385"/>
      <c r="E668" s="117">
        <v>2</v>
      </c>
      <c r="F668" s="386"/>
      <c r="G668" s="387"/>
    </row>
    <row r="669" spans="1:7" x14ac:dyDescent="0.45">
      <c r="A669" s="117">
        <v>1</v>
      </c>
      <c r="B669" s="388"/>
      <c r="C669" s="389"/>
      <c r="E669" s="118">
        <v>3</v>
      </c>
      <c r="F669" s="386"/>
      <c r="G669" s="387"/>
    </row>
    <row r="670" spans="1:7" x14ac:dyDescent="0.45">
      <c r="A670" s="117">
        <v>2</v>
      </c>
      <c r="B670" s="390"/>
      <c r="C670" s="391"/>
      <c r="E670" s="117">
        <v>4</v>
      </c>
      <c r="F670" s="392"/>
      <c r="G670" s="393"/>
    </row>
    <row r="671" spans="1:7" ht="14.65" thickBot="1" x14ac:dyDescent="0.5">
      <c r="A671" s="145">
        <v>3</v>
      </c>
      <c r="B671" s="394"/>
      <c r="C671" s="395"/>
      <c r="E671" s="119">
        <v>5</v>
      </c>
      <c r="F671" s="380"/>
      <c r="G671" s="381"/>
    </row>
    <row r="672" spans="1:7" ht="14.65" thickBot="1" x14ac:dyDescent="0.5"/>
    <row r="673" spans="1:7" x14ac:dyDescent="0.45">
      <c r="A673" s="357" t="s">
        <v>136</v>
      </c>
      <c r="B673" s="358"/>
      <c r="C673" s="358"/>
      <c r="D673" s="358"/>
      <c r="E673" s="358"/>
      <c r="F673" s="358"/>
      <c r="G673" s="359"/>
    </row>
    <row r="674" spans="1:7" ht="14.45" customHeight="1" x14ac:dyDescent="0.45">
      <c r="A674" s="360" t="s">
        <v>137</v>
      </c>
      <c r="B674" s="361"/>
      <c r="C674" s="361"/>
      <c r="D674" s="361"/>
      <c r="E674" s="361"/>
      <c r="F674" s="361"/>
      <c r="G674" s="362"/>
    </row>
    <row r="675" spans="1:7" ht="14.45" customHeight="1" x14ac:dyDescent="0.45">
      <c r="A675" s="360" t="s">
        <v>164</v>
      </c>
      <c r="B675" s="361"/>
      <c r="C675" s="361"/>
      <c r="D675" s="361"/>
      <c r="E675" s="361"/>
      <c r="F675" s="361"/>
      <c r="G675" s="362"/>
    </row>
    <row r="676" spans="1:7" ht="14.45" customHeight="1" x14ac:dyDescent="0.45">
      <c r="A676" s="363" t="s">
        <v>136</v>
      </c>
      <c r="B676" s="364"/>
      <c r="C676" s="365"/>
      <c r="D676" s="366" t="s">
        <v>203</v>
      </c>
      <c r="E676" s="365"/>
      <c r="F676" s="366" t="s">
        <v>165</v>
      </c>
      <c r="G676" s="365"/>
    </row>
    <row r="677" spans="1:7" ht="42.6" customHeight="1" x14ac:dyDescent="0.45">
      <c r="A677" s="367" t="s">
        <v>206</v>
      </c>
      <c r="B677" s="368"/>
      <c r="C677" s="369"/>
      <c r="D677" s="376" t="s">
        <v>204</v>
      </c>
      <c r="E677" s="369"/>
      <c r="F677" s="379" t="s">
        <v>205</v>
      </c>
      <c r="G677" s="369"/>
    </row>
    <row r="678" spans="1:7" ht="42.6" customHeight="1" x14ac:dyDescent="0.45">
      <c r="A678" s="370"/>
      <c r="B678" s="371"/>
      <c r="C678" s="372"/>
      <c r="D678" s="377"/>
      <c r="E678" s="372"/>
      <c r="F678" s="377"/>
      <c r="G678" s="372"/>
    </row>
    <row r="679" spans="1:7" ht="42.6" customHeight="1" x14ac:dyDescent="0.45">
      <c r="A679" s="373"/>
      <c r="B679" s="374"/>
      <c r="C679" s="375"/>
      <c r="D679" s="378"/>
      <c r="E679" s="375"/>
      <c r="F679" s="378"/>
      <c r="G679" s="375"/>
    </row>
    <row r="680" spans="1:7" ht="28.25" customHeight="1" x14ac:dyDescent="0.45">
      <c r="A680" s="327"/>
      <c r="B680" s="328"/>
      <c r="C680" s="329"/>
      <c r="D680" s="336"/>
      <c r="E680" s="329"/>
      <c r="F680" s="336"/>
      <c r="G680" s="339"/>
    </row>
    <row r="681" spans="1:7" ht="28.25" customHeight="1" x14ac:dyDescent="0.45">
      <c r="A681" s="330"/>
      <c r="B681" s="331"/>
      <c r="C681" s="332"/>
      <c r="D681" s="337"/>
      <c r="E681" s="332"/>
      <c r="F681" s="337"/>
      <c r="G681" s="340"/>
    </row>
    <row r="682" spans="1:7" ht="28.25" customHeight="1" x14ac:dyDescent="0.45">
      <c r="A682" s="333"/>
      <c r="B682" s="334"/>
      <c r="C682" s="335"/>
      <c r="D682" s="338"/>
      <c r="E682" s="335"/>
      <c r="F682" s="338"/>
      <c r="G682" s="341"/>
    </row>
    <row r="683" spans="1:7" ht="28.25" customHeight="1" x14ac:dyDescent="0.45">
      <c r="A683" s="327"/>
      <c r="B683" s="328"/>
      <c r="C683" s="329"/>
      <c r="D683" s="336"/>
      <c r="E683" s="329"/>
      <c r="F683" s="336"/>
      <c r="G683" s="339"/>
    </row>
    <row r="684" spans="1:7" ht="28.25" customHeight="1" x14ac:dyDescent="0.45">
      <c r="A684" s="330"/>
      <c r="B684" s="331"/>
      <c r="C684" s="332"/>
      <c r="D684" s="337"/>
      <c r="E684" s="332"/>
      <c r="F684" s="337"/>
      <c r="G684" s="340"/>
    </row>
    <row r="685" spans="1:7" s="90" customFormat="1" ht="28.25" customHeight="1" x14ac:dyDescent="0.45">
      <c r="A685" s="333"/>
      <c r="B685" s="334"/>
      <c r="C685" s="335"/>
      <c r="D685" s="338"/>
      <c r="E685" s="335"/>
      <c r="F685" s="338"/>
      <c r="G685" s="341"/>
    </row>
    <row r="686" spans="1:7" ht="28.25" customHeight="1" x14ac:dyDescent="0.45">
      <c r="A686" s="342"/>
      <c r="B686" s="343"/>
      <c r="C686" s="344"/>
      <c r="D686" s="351"/>
      <c r="E686" s="344"/>
      <c r="F686" s="351"/>
      <c r="G686" s="354"/>
    </row>
    <row r="687" spans="1:7" ht="28.25" customHeight="1" x14ac:dyDescent="0.45">
      <c r="A687" s="345"/>
      <c r="B687" s="346"/>
      <c r="C687" s="347"/>
      <c r="D687" s="352"/>
      <c r="E687" s="347"/>
      <c r="F687" s="352"/>
      <c r="G687" s="355"/>
    </row>
    <row r="688" spans="1:7" ht="28.25" customHeight="1" thickBot="1" x14ac:dyDescent="0.5">
      <c r="A688" s="348"/>
      <c r="B688" s="349"/>
      <c r="C688" s="350"/>
      <c r="D688" s="353"/>
      <c r="E688" s="350"/>
      <c r="F688" s="353"/>
      <c r="G688" s="356"/>
    </row>
    <row r="690" spans="1:8" s="91" customFormat="1" x14ac:dyDescent="0.45"/>
    <row r="691" spans="1:8" ht="14.65" thickBot="1" x14ac:dyDescent="0.5"/>
    <row r="692" spans="1:8" ht="14.65" thickBot="1" x14ac:dyDescent="0.5">
      <c r="A692" s="84" t="s">
        <v>76</v>
      </c>
      <c r="B692" s="126">
        <v>15</v>
      </c>
      <c r="C692" s="108"/>
      <c r="D692" s="109"/>
      <c r="E692" s="109"/>
      <c r="F692" s="109"/>
      <c r="G692" s="109"/>
    </row>
    <row r="693" spans="1:8" ht="12.6" customHeight="1" x14ac:dyDescent="0.45">
      <c r="A693" s="409" t="s">
        <v>89</v>
      </c>
      <c r="B693" s="411"/>
      <c r="C693" s="401"/>
      <c r="D693" s="401"/>
      <c r="E693" s="401"/>
      <c r="F693" s="401"/>
      <c r="G693" s="401"/>
      <c r="H693" s="112"/>
    </row>
    <row r="694" spans="1:8" ht="12.6" customHeight="1" x14ac:dyDescent="0.45">
      <c r="A694" s="409"/>
      <c r="B694" s="411"/>
      <c r="C694" s="401"/>
      <c r="D694" s="401"/>
      <c r="E694" s="401"/>
      <c r="F694" s="401"/>
      <c r="G694" s="401"/>
      <c r="H694" s="112"/>
    </row>
    <row r="695" spans="1:8" s="83" customFormat="1" ht="12.6" customHeight="1" x14ac:dyDescent="0.45">
      <c r="A695" s="410"/>
      <c r="B695" s="411"/>
      <c r="C695" s="401"/>
      <c r="D695" s="401"/>
      <c r="E695" s="401"/>
      <c r="F695" s="401"/>
      <c r="G695" s="401"/>
      <c r="H695" s="113"/>
    </row>
    <row r="696" spans="1:8" ht="31.8" customHeight="1" x14ac:dyDescent="0.45">
      <c r="A696" s="412" t="s">
        <v>160</v>
      </c>
      <c r="B696" s="413"/>
      <c r="C696" s="399"/>
      <c r="D696" s="399"/>
      <c r="E696" s="399"/>
      <c r="F696" s="399"/>
      <c r="G696" s="399"/>
      <c r="H696" s="112"/>
    </row>
    <row r="697" spans="1:8" ht="31.8" customHeight="1" x14ac:dyDescent="0.45">
      <c r="A697" s="409"/>
      <c r="B697" s="411"/>
      <c r="C697" s="401"/>
      <c r="D697" s="401"/>
      <c r="E697" s="401"/>
      <c r="F697" s="401"/>
      <c r="G697" s="401"/>
      <c r="H697" s="112"/>
    </row>
    <row r="698" spans="1:8" ht="31.8" customHeight="1" x14ac:dyDescent="0.45">
      <c r="A698" s="409"/>
      <c r="B698" s="411"/>
      <c r="C698" s="401"/>
      <c r="D698" s="401"/>
      <c r="E698" s="401"/>
      <c r="F698" s="401"/>
      <c r="G698" s="401"/>
      <c r="H698" s="112"/>
    </row>
    <row r="699" spans="1:8" x14ac:dyDescent="0.45">
      <c r="A699" s="412" t="s">
        <v>155</v>
      </c>
      <c r="B699" s="414"/>
      <c r="C699" s="415"/>
      <c r="D699" s="415"/>
      <c r="E699" s="415"/>
      <c r="F699" s="417" t="s">
        <v>167</v>
      </c>
      <c r="G699" s="413"/>
      <c r="H699" s="112"/>
    </row>
    <row r="700" spans="1:8" x14ac:dyDescent="0.45">
      <c r="A700" s="409"/>
      <c r="B700" s="411"/>
      <c r="C700" s="401"/>
      <c r="D700" s="401"/>
      <c r="E700" s="401"/>
      <c r="F700" s="418"/>
      <c r="G700" s="411"/>
      <c r="H700" s="112"/>
    </row>
    <row r="701" spans="1:8" x14ac:dyDescent="0.45">
      <c r="A701" s="409"/>
      <c r="B701" s="416"/>
      <c r="C701" s="403"/>
      <c r="D701" s="403"/>
      <c r="E701" s="403"/>
      <c r="F701" s="418"/>
      <c r="G701" s="416"/>
      <c r="H701" s="112"/>
    </row>
    <row r="702" spans="1:8" x14ac:dyDescent="0.45">
      <c r="A702" s="412" t="s">
        <v>159</v>
      </c>
      <c r="B702" s="411"/>
      <c r="C702" s="401"/>
      <c r="D702" s="401"/>
      <c r="E702" s="401"/>
      <c r="F702" s="401"/>
      <c r="G702" s="401"/>
      <c r="H702" s="112"/>
    </row>
    <row r="703" spans="1:8" x14ac:dyDescent="0.45">
      <c r="A703" s="409"/>
      <c r="B703" s="411"/>
      <c r="C703" s="401"/>
      <c r="D703" s="401"/>
      <c r="E703" s="401"/>
      <c r="F703" s="401"/>
      <c r="G703" s="401"/>
      <c r="H703" s="112"/>
    </row>
    <row r="704" spans="1:8" x14ac:dyDescent="0.45">
      <c r="A704" s="410"/>
      <c r="B704" s="411"/>
      <c r="C704" s="401"/>
      <c r="D704" s="401"/>
      <c r="E704" s="401"/>
      <c r="F704" s="401"/>
      <c r="G704" s="401"/>
      <c r="H704" s="112"/>
    </row>
    <row r="705" spans="1:8" x14ac:dyDescent="0.45">
      <c r="A705" s="396" t="s">
        <v>161</v>
      </c>
      <c r="B705" s="399"/>
      <c r="C705" s="399"/>
      <c r="D705" s="399"/>
      <c r="E705" s="399"/>
      <c r="F705" s="399"/>
      <c r="G705" s="399"/>
      <c r="H705" s="112"/>
    </row>
    <row r="706" spans="1:8" x14ac:dyDescent="0.45">
      <c r="A706" s="397"/>
      <c r="B706" s="401"/>
      <c r="C706" s="401"/>
      <c r="D706" s="401"/>
      <c r="E706" s="401"/>
      <c r="F706" s="401"/>
      <c r="G706" s="401"/>
      <c r="H706" s="112"/>
    </row>
    <row r="707" spans="1:8" x14ac:dyDescent="0.45">
      <c r="A707" s="398"/>
      <c r="B707" s="403"/>
      <c r="C707" s="403"/>
      <c r="D707" s="403"/>
      <c r="E707" s="403"/>
      <c r="F707" s="403"/>
      <c r="G707" s="403"/>
      <c r="H707" s="112"/>
    </row>
    <row r="708" spans="1:8" ht="14.65" thickBot="1" x14ac:dyDescent="0.5">
      <c r="A708" s="85" t="s">
        <v>166</v>
      </c>
      <c r="B708" s="405"/>
      <c r="C708" s="405"/>
      <c r="D708" s="405"/>
      <c r="E708" s="405"/>
      <c r="F708" s="405"/>
      <c r="G708" s="405"/>
      <c r="H708" s="112"/>
    </row>
    <row r="709" spans="1:8" ht="14.65" thickBot="1" x14ac:dyDescent="0.5"/>
    <row r="710" spans="1:8" ht="15" customHeight="1" thickBot="1" x14ac:dyDescent="0.5">
      <c r="A710" s="407" t="s">
        <v>77</v>
      </c>
      <c r="B710" s="408"/>
      <c r="C710" s="69"/>
      <c r="E710" s="86" t="s">
        <v>22</v>
      </c>
      <c r="F710" s="62"/>
      <c r="G710" s="62"/>
    </row>
    <row r="711" spans="1:8" ht="14.65" thickBot="1" x14ac:dyDescent="0.5">
      <c r="A711" s="106"/>
      <c r="B711" s="106"/>
      <c r="E711" s="88" t="s">
        <v>32</v>
      </c>
      <c r="F711" s="382"/>
      <c r="G711" s="383"/>
    </row>
    <row r="712" spans="1:8" ht="14.65" thickBot="1" x14ac:dyDescent="0.5">
      <c r="A712" s="107" t="s">
        <v>103</v>
      </c>
      <c r="B712" s="106"/>
      <c r="E712" s="88" t="s">
        <v>34</v>
      </c>
      <c r="F712" s="386"/>
      <c r="G712" s="387"/>
    </row>
    <row r="713" spans="1:8" ht="14.65" thickBot="1" x14ac:dyDescent="0.5">
      <c r="A713" s="88" t="s">
        <v>32</v>
      </c>
      <c r="B713" s="382"/>
      <c r="C713" s="383"/>
      <c r="E713" s="89" t="s">
        <v>35</v>
      </c>
      <c r="F713" s="380"/>
      <c r="G713" s="381"/>
    </row>
    <row r="714" spans="1:8" ht="14.65" thickBot="1" x14ac:dyDescent="0.5">
      <c r="A714" s="88" t="s">
        <v>34</v>
      </c>
      <c r="B714" s="386"/>
      <c r="C714" s="387"/>
      <c r="F714" s="62"/>
    </row>
    <row r="715" spans="1:8" ht="15" customHeight="1" thickBot="1" x14ac:dyDescent="0.5">
      <c r="A715" s="89" t="s">
        <v>35</v>
      </c>
      <c r="B715" s="380"/>
      <c r="C715" s="381"/>
      <c r="E715" s="86" t="s">
        <v>31</v>
      </c>
      <c r="F715" s="62"/>
    </row>
    <row r="716" spans="1:8" ht="14.65" thickBot="1" x14ac:dyDescent="0.5">
      <c r="A716" s="87"/>
      <c r="B716" s="62"/>
      <c r="C716" s="62"/>
      <c r="E716" s="117">
        <v>1</v>
      </c>
      <c r="F716" s="382"/>
      <c r="G716" s="383"/>
    </row>
    <row r="717" spans="1:8" ht="15" customHeight="1" thickBot="1" x14ac:dyDescent="0.5">
      <c r="A717" s="384" t="s">
        <v>262</v>
      </c>
      <c r="B717" s="385"/>
      <c r="E717" s="117">
        <v>2</v>
      </c>
      <c r="F717" s="386"/>
      <c r="G717" s="387"/>
    </row>
    <row r="718" spans="1:8" x14ac:dyDescent="0.45">
      <c r="A718" s="117">
        <v>1</v>
      </c>
      <c r="B718" s="388"/>
      <c r="C718" s="389"/>
      <c r="E718" s="118">
        <v>3</v>
      </c>
      <c r="F718" s="386"/>
      <c r="G718" s="387"/>
    </row>
    <row r="719" spans="1:8" x14ac:dyDescent="0.45">
      <c r="A719" s="117">
        <v>2</v>
      </c>
      <c r="B719" s="390"/>
      <c r="C719" s="391"/>
      <c r="E719" s="117">
        <v>4</v>
      </c>
      <c r="F719" s="392"/>
      <c r="G719" s="393"/>
    </row>
    <row r="720" spans="1:8" ht="14.65" thickBot="1" x14ac:dyDescent="0.5">
      <c r="A720" s="145">
        <v>3</v>
      </c>
      <c r="B720" s="394"/>
      <c r="C720" s="395"/>
      <c r="E720" s="119">
        <v>5</v>
      </c>
      <c r="F720" s="380"/>
      <c r="G720" s="381"/>
    </row>
    <row r="721" spans="1:7" ht="14.65" thickBot="1" x14ac:dyDescent="0.5"/>
    <row r="722" spans="1:7" ht="15" customHeight="1" x14ac:dyDescent="0.45">
      <c r="A722" s="357" t="s">
        <v>136</v>
      </c>
      <c r="B722" s="358"/>
      <c r="C722" s="358"/>
      <c r="D722" s="358"/>
      <c r="E722" s="358"/>
      <c r="F722" s="358"/>
      <c r="G722" s="359"/>
    </row>
    <row r="723" spans="1:7" ht="14.45" customHeight="1" x14ac:dyDescent="0.45">
      <c r="A723" s="360" t="s">
        <v>137</v>
      </c>
      <c r="B723" s="361"/>
      <c r="C723" s="361"/>
      <c r="D723" s="361"/>
      <c r="E723" s="361"/>
      <c r="F723" s="361"/>
      <c r="G723" s="362"/>
    </row>
    <row r="724" spans="1:7" ht="14.45" customHeight="1" x14ac:dyDescent="0.45">
      <c r="A724" s="360" t="s">
        <v>164</v>
      </c>
      <c r="B724" s="361"/>
      <c r="C724" s="361"/>
      <c r="D724" s="361"/>
      <c r="E724" s="361"/>
      <c r="F724" s="361"/>
      <c r="G724" s="362"/>
    </row>
    <row r="725" spans="1:7" s="90" customFormat="1" ht="14.45" customHeight="1" x14ac:dyDescent="0.45">
      <c r="A725" s="363" t="s">
        <v>136</v>
      </c>
      <c r="B725" s="364"/>
      <c r="C725" s="365"/>
      <c r="D725" s="366" t="s">
        <v>203</v>
      </c>
      <c r="E725" s="365"/>
      <c r="F725" s="366" t="s">
        <v>165</v>
      </c>
      <c r="G725" s="365"/>
    </row>
    <row r="726" spans="1:7" ht="46.25" customHeight="1" x14ac:dyDescent="0.45">
      <c r="A726" s="367" t="s">
        <v>206</v>
      </c>
      <c r="B726" s="368"/>
      <c r="C726" s="369"/>
      <c r="D726" s="376" t="s">
        <v>204</v>
      </c>
      <c r="E726" s="369"/>
      <c r="F726" s="379" t="s">
        <v>205</v>
      </c>
      <c r="G726" s="369"/>
    </row>
    <row r="727" spans="1:7" ht="46.25" customHeight="1" x14ac:dyDescent="0.45">
      <c r="A727" s="370"/>
      <c r="B727" s="371"/>
      <c r="C727" s="372"/>
      <c r="D727" s="377"/>
      <c r="E727" s="372"/>
      <c r="F727" s="377"/>
      <c r="G727" s="372"/>
    </row>
    <row r="728" spans="1:7" ht="46.25" customHeight="1" x14ac:dyDescent="0.45">
      <c r="A728" s="373"/>
      <c r="B728" s="374"/>
      <c r="C728" s="375"/>
      <c r="D728" s="378"/>
      <c r="E728" s="375"/>
      <c r="F728" s="378"/>
      <c r="G728" s="375"/>
    </row>
    <row r="729" spans="1:7" ht="28.25" customHeight="1" x14ac:dyDescent="0.45">
      <c r="A729" s="327"/>
      <c r="B729" s="328"/>
      <c r="C729" s="329"/>
      <c r="D729" s="336"/>
      <c r="E729" s="329"/>
      <c r="F729" s="336"/>
      <c r="G729" s="339"/>
    </row>
    <row r="730" spans="1:7" ht="28.25" customHeight="1" x14ac:dyDescent="0.45">
      <c r="A730" s="330"/>
      <c r="B730" s="331"/>
      <c r="C730" s="332"/>
      <c r="D730" s="337"/>
      <c r="E730" s="332"/>
      <c r="F730" s="337"/>
      <c r="G730" s="340"/>
    </row>
    <row r="731" spans="1:7" ht="28.25" customHeight="1" x14ac:dyDescent="0.45">
      <c r="A731" s="333"/>
      <c r="B731" s="334"/>
      <c r="C731" s="335"/>
      <c r="D731" s="338"/>
      <c r="E731" s="335"/>
      <c r="F731" s="338"/>
      <c r="G731" s="341"/>
    </row>
    <row r="732" spans="1:7" ht="28.25" customHeight="1" x14ac:dyDescent="0.45">
      <c r="A732" s="327"/>
      <c r="B732" s="328"/>
      <c r="C732" s="329"/>
      <c r="D732" s="336"/>
      <c r="E732" s="329"/>
      <c r="F732" s="336"/>
      <c r="G732" s="339"/>
    </row>
    <row r="733" spans="1:7" ht="28.25" customHeight="1" x14ac:dyDescent="0.45">
      <c r="A733" s="330"/>
      <c r="B733" s="331"/>
      <c r="C733" s="332"/>
      <c r="D733" s="337"/>
      <c r="E733" s="332"/>
      <c r="F733" s="337"/>
      <c r="G733" s="340"/>
    </row>
    <row r="734" spans="1:7" ht="28.25" customHeight="1" x14ac:dyDescent="0.45">
      <c r="A734" s="333"/>
      <c r="B734" s="334"/>
      <c r="C734" s="335"/>
      <c r="D734" s="338"/>
      <c r="E734" s="335"/>
      <c r="F734" s="338"/>
      <c r="G734" s="341"/>
    </row>
    <row r="735" spans="1:7" ht="28.25" customHeight="1" x14ac:dyDescent="0.45">
      <c r="A735" s="342"/>
      <c r="B735" s="343"/>
      <c r="C735" s="344"/>
      <c r="D735" s="351"/>
      <c r="E735" s="344"/>
      <c r="F735" s="351"/>
      <c r="G735" s="354"/>
    </row>
    <row r="736" spans="1:7" ht="28.25" customHeight="1" x14ac:dyDescent="0.45">
      <c r="A736" s="345"/>
      <c r="B736" s="346"/>
      <c r="C736" s="347"/>
      <c r="D736" s="352"/>
      <c r="E736" s="347"/>
      <c r="F736" s="352"/>
      <c r="G736" s="355"/>
    </row>
    <row r="737" spans="1:7" ht="28.25" customHeight="1" thickBot="1" x14ac:dyDescent="0.5">
      <c r="A737" s="348"/>
      <c r="B737" s="349"/>
      <c r="C737" s="350"/>
      <c r="D737" s="353"/>
      <c r="E737" s="350"/>
      <c r="F737" s="353"/>
      <c r="G737" s="356"/>
    </row>
    <row r="739" spans="1:7" s="91" customFormat="1" x14ac:dyDescent="0.45"/>
    <row r="740" spans="1:7" ht="14.65" thickBot="1" x14ac:dyDescent="0.5"/>
    <row r="741" spans="1:7" ht="14.65" thickBot="1" x14ac:dyDescent="0.5">
      <c r="A741" s="84" t="s">
        <v>76</v>
      </c>
      <c r="B741" s="126">
        <v>16</v>
      </c>
      <c r="C741" s="108"/>
      <c r="D741" s="109"/>
      <c r="E741" s="109"/>
      <c r="F741" s="109"/>
      <c r="G741" s="109"/>
    </row>
    <row r="742" spans="1:7" ht="12.6" customHeight="1" x14ac:dyDescent="0.45">
      <c r="A742" s="409" t="s">
        <v>89</v>
      </c>
      <c r="B742" s="411"/>
      <c r="C742" s="401"/>
      <c r="D742" s="401"/>
      <c r="E742" s="401"/>
      <c r="F742" s="401"/>
      <c r="G742" s="402"/>
    </row>
    <row r="743" spans="1:7" ht="12.6" customHeight="1" x14ac:dyDescent="0.45">
      <c r="A743" s="409"/>
      <c r="B743" s="411"/>
      <c r="C743" s="401"/>
      <c r="D743" s="401"/>
      <c r="E743" s="401"/>
      <c r="F743" s="401"/>
      <c r="G743" s="402"/>
    </row>
    <row r="744" spans="1:7" ht="12.6" customHeight="1" x14ac:dyDescent="0.45">
      <c r="A744" s="410"/>
      <c r="B744" s="411"/>
      <c r="C744" s="401"/>
      <c r="D744" s="401"/>
      <c r="E744" s="401"/>
      <c r="F744" s="401"/>
      <c r="G744" s="402"/>
    </row>
    <row r="745" spans="1:7" ht="31.8" customHeight="1" x14ac:dyDescent="0.45">
      <c r="A745" s="412" t="s">
        <v>158</v>
      </c>
      <c r="B745" s="413"/>
      <c r="C745" s="399"/>
      <c r="D745" s="399"/>
      <c r="E745" s="399"/>
      <c r="F745" s="399"/>
      <c r="G745" s="400"/>
    </row>
    <row r="746" spans="1:7" ht="31.8" customHeight="1" x14ac:dyDescent="0.45">
      <c r="A746" s="409"/>
      <c r="B746" s="411"/>
      <c r="C746" s="401"/>
      <c r="D746" s="401"/>
      <c r="E746" s="401"/>
      <c r="F746" s="401"/>
      <c r="G746" s="402"/>
    </row>
    <row r="747" spans="1:7" ht="31.8" customHeight="1" x14ac:dyDescent="0.45">
      <c r="A747" s="410"/>
      <c r="B747" s="411"/>
      <c r="C747" s="401"/>
      <c r="D747" s="401"/>
      <c r="E747" s="401"/>
      <c r="F747" s="401"/>
      <c r="G747" s="402"/>
    </row>
    <row r="748" spans="1:7" x14ac:dyDescent="0.45">
      <c r="A748" s="412" t="s">
        <v>155</v>
      </c>
      <c r="B748" s="414"/>
      <c r="C748" s="415"/>
      <c r="D748" s="415"/>
      <c r="E748" s="415"/>
      <c r="F748" s="417" t="s">
        <v>167</v>
      </c>
      <c r="G748" s="419"/>
    </row>
    <row r="749" spans="1:7" x14ac:dyDescent="0.45">
      <c r="A749" s="409"/>
      <c r="B749" s="411"/>
      <c r="C749" s="401"/>
      <c r="D749" s="401"/>
      <c r="E749" s="401"/>
      <c r="F749" s="418"/>
      <c r="G749" s="420"/>
    </row>
    <row r="750" spans="1:7" x14ac:dyDescent="0.45">
      <c r="A750" s="409"/>
      <c r="B750" s="416"/>
      <c r="C750" s="403"/>
      <c r="D750" s="403"/>
      <c r="E750" s="403"/>
      <c r="F750" s="418"/>
      <c r="G750" s="421"/>
    </row>
    <row r="751" spans="1:7" x14ac:dyDescent="0.45">
      <c r="A751" s="412" t="s">
        <v>159</v>
      </c>
      <c r="B751" s="411"/>
      <c r="C751" s="401"/>
      <c r="D751" s="401"/>
      <c r="E751" s="401"/>
      <c r="F751" s="401"/>
      <c r="G751" s="402"/>
    </row>
    <row r="752" spans="1:7" x14ac:dyDescent="0.45">
      <c r="A752" s="409"/>
      <c r="B752" s="411"/>
      <c r="C752" s="401"/>
      <c r="D752" s="401"/>
      <c r="E752" s="401"/>
      <c r="F752" s="401"/>
      <c r="G752" s="402"/>
    </row>
    <row r="753" spans="1:7" x14ac:dyDescent="0.45">
      <c r="A753" s="410"/>
      <c r="B753" s="416"/>
      <c r="C753" s="403"/>
      <c r="D753" s="403"/>
      <c r="E753" s="403"/>
      <c r="F753" s="403"/>
      <c r="G753" s="404"/>
    </row>
    <row r="754" spans="1:7" x14ac:dyDescent="0.45">
      <c r="A754" s="396" t="s">
        <v>161</v>
      </c>
      <c r="B754" s="399"/>
      <c r="C754" s="399"/>
      <c r="D754" s="399"/>
      <c r="E754" s="399"/>
      <c r="F754" s="399"/>
      <c r="G754" s="400"/>
    </row>
    <row r="755" spans="1:7" x14ac:dyDescent="0.45">
      <c r="A755" s="397"/>
      <c r="B755" s="401"/>
      <c r="C755" s="401"/>
      <c r="D755" s="401"/>
      <c r="E755" s="401"/>
      <c r="F755" s="401"/>
      <c r="G755" s="402"/>
    </row>
    <row r="756" spans="1:7" x14ac:dyDescent="0.45">
      <c r="A756" s="398"/>
      <c r="B756" s="403"/>
      <c r="C756" s="403"/>
      <c r="D756" s="403"/>
      <c r="E756" s="403"/>
      <c r="F756" s="403"/>
      <c r="G756" s="404"/>
    </row>
    <row r="757" spans="1:7" ht="14.65" thickBot="1" x14ac:dyDescent="0.5">
      <c r="A757" s="85" t="s">
        <v>166</v>
      </c>
      <c r="B757" s="405"/>
      <c r="C757" s="405"/>
      <c r="D757" s="405"/>
      <c r="E757" s="405"/>
      <c r="F757" s="405"/>
      <c r="G757" s="406"/>
    </row>
    <row r="758" spans="1:7" ht="14.65" thickBot="1" x14ac:dyDescent="0.5"/>
    <row r="759" spans="1:7" ht="15" customHeight="1" thickBot="1" x14ac:dyDescent="0.5">
      <c r="A759" s="407" t="s">
        <v>77</v>
      </c>
      <c r="B759" s="408"/>
      <c r="C759" s="69"/>
      <c r="E759" s="86" t="s">
        <v>22</v>
      </c>
      <c r="F759" s="62"/>
      <c r="G759" s="62"/>
    </row>
    <row r="760" spans="1:7" ht="15" customHeight="1" thickBot="1" x14ac:dyDescent="0.5">
      <c r="A760" s="106"/>
      <c r="B760" s="106"/>
      <c r="E760" s="88" t="s">
        <v>32</v>
      </c>
      <c r="F760" s="382"/>
      <c r="G760" s="383"/>
    </row>
    <row r="761" spans="1:7" ht="15" customHeight="1" thickBot="1" x14ac:dyDescent="0.5">
      <c r="A761" s="107" t="s">
        <v>103</v>
      </c>
      <c r="B761" s="106"/>
      <c r="E761" s="88" t="s">
        <v>34</v>
      </c>
      <c r="F761" s="386"/>
      <c r="G761" s="387"/>
    </row>
    <row r="762" spans="1:7" ht="15" customHeight="1" thickBot="1" x14ac:dyDescent="0.5">
      <c r="A762" s="88" t="s">
        <v>32</v>
      </c>
      <c r="B762" s="382"/>
      <c r="C762" s="383"/>
      <c r="E762" s="89" t="s">
        <v>35</v>
      </c>
      <c r="F762" s="380"/>
      <c r="G762" s="381"/>
    </row>
    <row r="763" spans="1:7" ht="14.65" thickBot="1" x14ac:dyDescent="0.5">
      <c r="A763" s="88" t="s">
        <v>34</v>
      </c>
      <c r="B763" s="386"/>
      <c r="C763" s="387"/>
      <c r="F763" s="62"/>
    </row>
    <row r="764" spans="1:7" ht="15" customHeight="1" thickBot="1" x14ac:dyDescent="0.5">
      <c r="A764" s="89" t="s">
        <v>35</v>
      </c>
      <c r="B764" s="380"/>
      <c r="C764" s="381"/>
      <c r="E764" s="86" t="s">
        <v>31</v>
      </c>
      <c r="F764" s="62"/>
    </row>
    <row r="765" spans="1:7" ht="14.65" thickBot="1" x14ac:dyDescent="0.5">
      <c r="A765" s="87"/>
      <c r="B765" s="62"/>
      <c r="C765" s="62"/>
      <c r="E765" s="117">
        <v>1</v>
      </c>
      <c r="F765" s="382"/>
      <c r="G765" s="383"/>
    </row>
    <row r="766" spans="1:7" ht="15" customHeight="1" thickBot="1" x14ac:dyDescent="0.5">
      <c r="A766" s="384" t="s">
        <v>262</v>
      </c>
      <c r="B766" s="385"/>
      <c r="E766" s="117">
        <v>2</v>
      </c>
      <c r="F766" s="386"/>
      <c r="G766" s="387"/>
    </row>
    <row r="767" spans="1:7" x14ac:dyDescent="0.45">
      <c r="A767" s="117">
        <v>1</v>
      </c>
      <c r="B767" s="388"/>
      <c r="C767" s="389"/>
      <c r="E767" s="118">
        <v>3</v>
      </c>
      <c r="F767" s="386"/>
      <c r="G767" s="387"/>
    </row>
    <row r="768" spans="1:7" x14ac:dyDescent="0.45">
      <c r="A768" s="117">
        <v>2</v>
      </c>
      <c r="B768" s="390"/>
      <c r="C768" s="391"/>
      <c r="E768" s="117">
        <v>4</v>
      </c>
      <c r="F768" s="392"/>
      <c r="G768" s="393"/>
    </row>
    <row r="769" spans="1:7" ht="14.65" thickBot="1" x14ac:dyDescent="0.5">
      <c r="A769" s="145">
        <v>3</v>
      </c>
      <c r="B769" s="394"/>
      <c r="C769" s="395"/>
      <c r="E769" s="119">
        <v>5</v>
      </c>
      <c r="F769" s="380"/>
      <c r="G769" s="381"/>
    </row>
    <row r="770" spans="1:7" ht="14.65" thickBot="1" x14ac:dyDescent="0.5"/>
    <row r="771" spans="1:7" x14ac:dyDescent="0.45">
      <c r="A771" s="357" t="s">
        <v>136</v>
      </c>
      <c r="B771" s="358"/>
      <c r="C771" s="358"/>
      <c r="D771" s="358"/>
      <c r="E771" s="358"/>
      <c r="F771" s="358"/>
      <c r="G771" s="359"/>
    </row>
    <row r="772" spans="1:7" ht="14.25" customHeight="1" x14ac:dyDescent="0.45">
      <c r="A772" s="360" t="s">
        <v>137</v>
      </c>
      <c r="B772" s="361"/>
      <c r="C772" s="361"/>
      <c r="D772" s="361"/>
      <c r="E772" s="361"/>
      <c r="F772" s="361"/>
      <c r="G772" s="362"/>
    </row>
    <row r="773" spans="1:7" ht="14.25" customHeight="1" x14ac:dyDescent="0.45">
      <c r="A773" s="360" t="s">
        <v>164</v>
      </c>
      <c r="B773" s="361"/>
      <c r="C773" s="361"/>
      <c r="D773" s="361"/>
      <c r="E773" s="361"/>
      <c r="F773" s="361"/>
      <c r="G773" s="362"/>
    </row>
    <row r="774" spans="1:7" ht="14.45" customHeight="1" x14ac:dyDescent="0.45">
      <c r="A774" s="363" t="s">
        <v>136</v>
      </c>
      <c r="B774" s="364"/>
      <c r="C774" s="365"/>
      <c r="D774" s="366" t="s">
        <v>203</v>
      </c>
      <c r="E774" s="365"/>
      <c r="F774" s="366" t="s">
        <v>165</v>
      </c>
      <c r="G774" s="365"/>
    </row>
    <row r="775" spans="1:7" ht="42.6" customHeight="1" x14ac:dyDescent="0.45">
      <c r="A775" s="367" t="s">
        <v>206</v>
      </c>
      <c r="B775" s="368"/>
      <c r="C775" s="369"/>
      <c r="D775" s="376" t="s">
        <v>204</v>
      </c>
      <c r="E775" s="369"/>
      <c r="F775" s="379" t="s">
        <v>205</v>
      </c>
      <c r="G775" s="369"/>
    </row>
    <row r="776" spans="1:7" ht="42.6" customHeight="1" x14ac:dyDescent="0.45">
      <c r="A776" s="370"/>
      <c r="B776" s="371"/>
      <c r="C776" s="372"/>
      <c r="D776" s="377"/>
      <c r="E776" s="372"/>
      <c r="F776" s="377"/>
      <c r="G776" s="372"/>
    </row>
    <row r="777" spans="1:7" ht="42.6" customHeight="1" x14ac:dyDescent="0.45">
      <c r="A777" s="373"/>
      <c r="B777" s="374"/>
      <c r="C777" s="375"/>
      <c r="D777" s="378"/>
      <c r="E777" s="375"/>
      <c r="F777" s="378"/>
      <c r="G777" s="375"/>
    </row>
    <row r="778" spans="1:7" s="83" customFormat="1" ht="28.25" customHeight="1" x14ac:dyDescent="0.45">
      <c r="A778" s="327"/>
      <c r="B778" s="328"/>
      <c r="C778" s="329"/>
      <c r="D778" s="336"/>
      <c r="E778" s="329"/>
      <c r="F778" s="336"/>
      <c r="G778" s="339"/>
    </row>
    <row r="779" spans="1:7" ht="28.25" customHeight="1" x14ac:dyDescent="0.45">
      <c r="A779" s="330"/>
      <c r="B779" s="331"/>
      <c r="C779" s="332"/>
      <c r="D779" s="337"/>
      <c r="E779" s="332"/>
      <c r="F779" s="337"/>
      <c r="G779" s="340"/>
    </row>
    <row r="780" spans="1:7" ht="28.25" customHeight="1" x14ac:dyDescent="0.45">
      <c r="A780" s="333"/>
      <c r="B780" s="334"/>
      <c r="C780" s="335"/>
      <c r="D780" s="338"/>
      <c r="E780" s="335"/>
      <c r="F780" s="338"/>
      <c r="G780" s="341"/>
    </row>
    <row r="781" spans="1:7" ht="28.25" customHeight="1" x14ac:dyDescent="0.45">
      <c r="A781" s="327"/>
      <c r="B781" s="328"/>
      <c r="C781" s="329"/>
      <c r="D781" s="336"/>
      <c r="E781" s="329"/>
      <c r="F781" s="336"/>
      <c r="G781" s="339"/>
    </row>
    <row r="782" spans="1:7" ht="28.25" customHeight="1" x14ac:dyDescent="0.45">
      <c r="A782" s="330"/>
      <c r="B782" s="331"/>
      <c r="C782" s="332"/>
      <c r="D782" s="337"/>
      <c r="E782" s="332"/>
      <c r="F782" s="337"/>
      <c r="G782" s="340"/>
    </row>
    <row r="783" spans="1:7" ht="28.25" customHeight="1" x14ac:dyDescent="0.45">
      <c r="A783" s="333"/>
      <c r="B783" s="334"/>
      <c r="C783" s="335"/>
      <c r="D783" s="338"/>
      <c r="E783" s="335"/>
      <c r="F783" s="338"/>
      <c r="G783" s="341"/>
    </row>
    <row r="784" spans="1:7" ht="28.25" customHeight="1" x14ac:dyDescent="0.45">
      <c r="A784" s="342"/>
      <c r="B784" s="343"/>
      <c r="C784" s="344"/>
      <c r="D784" s="351"/>
      <c r="E784" s="344"/>
      <c r="F784" s="351"/>
      <c r="G784" s="354"/>
    </row>
    <row r="785" spans="1:7" ht="28.25" customHeight="1" x14ac:dyDescent="0.45">
      <c r="A785" s="345"/>
      <c r="B785" s="346"/>
      <c r="C785" s="347"/>
      <c r="D785" s="352"/>
      <c r="E785" s="347"/>
      <c r="F785" s="352"/>
      <c r="G785" s="355"/>
    </row>
    <row r="786" spans="1:7" ht="28.25" customHeight="1" thickBot="1" x14ac:dyDescent="0.5">
      <c r="A786" s="348"/>
      <c r="B786" s="349"/>
      <c r="C786" s="350"/>
      <c r="D786" s="353"/>
      <c r="E786" s="350"/>
      <c r="F786" s="353"/>
      <c r="G786" s="356"/>
    </row>
    <row r="788" spans="1:7" s="91" customFormat="1" x14ac:dyDescent="0.45"/>
    <row r="789" spans="1:7" ht="14.65" thickBot="1" x14ac:dyDescent="0.5"/>
    <row r="790" spans="1:7" ht="14.65" thickBot="1" x14ac:dyDescent="0.5">
      <c r="A790" s="84" t="s">
        <v>76</v>
      </c>
      <c r="B790" s="126">
        <v>17</v>
      </c>
      <c r="C790" s="108"/>
      <c r="D790" s="109"/>
      <c r="E790" s="109"/>
      <c r="F790" s="109"/>
      <c r="G790" s="109"/>
    </row>
    <row r="791" spans="1:7" ht="12.6" customHeight="1" x14ac:dyDescent="0.45">
      <c r="A791" s="409" t="s">
        <v>89</v>
      </c>
      <c r="B791" s="411"/>
      <c r="C791" s="401"/>
      <c r="D791" s="401"/>
      <c r="E791" s="401"/>
      <c r="F791" s="401"/>
      <c r="G791" s="402"/>
    </row>
    <row r="792" spans="1:7" ht="12.6" customHeight="1" x14ac:dyDescent="0.45">
      <c r="A792" s="409"/>
      <c r="B792" s="411"/>
      <c r="C792" s="401"/>
      <c r="D792" s="401"/>
      <c r="E792" s="401"/>
      <c r="F792" s="401"/>
      <c r="G792" s="402"/>
    </row>
    <row r="793" spans="1:7" ht="12.6" customHeight="1" x14ac:dyDescent="0.45">
      <c r="A793" s="410"/>
      <c r="B793" s="411"/>
      <c r="C793" s="401"/>
      <c r="D793" s="401"/>
      <c r="E793" s="401"/>
      <c r="F793" s="401"/>
      <c r="G793" s="402"/>
    </row>
    <row r="794" spans="1:7" ht="31.8" customHeight="1" x14ac:dyDescent="0.45">
      <c r="A794" s="412" t="s">
        <v>160</v>
      </c>
      <c r="B794" s="413"/>
      <c r="C794" s="399"/>
      <c r="D794" s="399"/>
      <c r="E794" s="399"/>
      <c r="F794" s="399"/>
      <c r="G794" s="400"/>
    </row>
    <row r="795" spans="1:7" ht="31.8" customHeight="1" x14ac:dyDescent="0.45">
      <c r="A795" s="409"/>
      <c r="B795" s="411"/>
      <c r="C795" s="401"/>
      <c r="D795" s="401"/>
      <c r="E795" s="401"/>
      <c r="F795" s="401"/>
      <c r="G795" s="402"/>
    </row>
    <row r="796" spans="1:7" ht="31.8" customHeight="1" x14ac:dyDescent="0.45">
      <c r="A796" s="410"/>
      <c r="B796" s="411"/>
      <c r="C796" s="401"/>
      <c r="D796" s="401"/>
      <c r="E796" s="401"/>
      <c r="F796" s="401"/>
      <c r="G796" s="402"/>
    </row>
    <row r="797" spans="1:7" x14ac:dyDescent="0.45">
      <c r="A797" s="412" t="s">
        <v>155</v>
      </c>
      <c r="B797" s="414"/>
      <c r="C797" s="415"/>
      <c r="D797" s="415"/>
      <c r="E797" s="415"/>
      <c r="F797" s="417" t="s">
        <v>167</v>
      </c>
      <c r="G797" s="419"/>
    </row>
    <row r="798" spans="1:7" x14ac:dyDescent="0.45">
      <c r="A798" s="409"/>
      <c r="B798" s="411"/>
      <c r="C798" s="401"/>
      <c r="D798" s="401"/>
      <c r="E798" s="401"/>
      <c r="F798" s="418"/>
      <c r="G798" s="420"/>
    </row>
    <row r="799" spans="1:7" ht="15" customHeight="1" x14ac:dyDescent="0.45">
      <c r="A799" s="409"/>
      <c r="B799" s="416"/>
      <c r="C799" s="403"/>
      <c r="D799" s="403"/>
      <c r="E799" s="403"/>
      <c r="F799" s="418"/>
      <c r="G799" s="421"/>
    </row>
    <row r="800" spans="1:7" x14ac:dyDescent="0.45">
      <c r="A800" s="412" t="s">
        <v>159</v>
      </c>
      <c r="B800" s="411"/>
      <c r="C800" s="401"/>
      <c r="D800" s="401"/>
      <c r="E800" s="401"/>
      <c r="F800" s="401"/>
      <c r="G800" s="402"/>
    </row>
    <row r="801" spans="1:7" x14ac:dyDescent="0.45">
      <c r="A801" s="409"/>
      <c r="B801" s="411"/>
      <c r="C801" s="401"/>
      <c r="D801" s="401"/>
      <c r="E801" s="401"/>
      <c r="F801" s="401"/>
      <c r="G801" s="402"/>
    </row>
    <row r="802" spans="1:7" x14ac:dyDescent="0.45">
      <c r="A802" s="410"/>
      <c r="B802" s="416"/>
      <c r="C802" s="403"/>
      <c r="D802" s="403"/>
      <c r="E802" s="403"/>
      <c r="F802" s="403"/>
      <c r="G802" s="404"/>
    </row>
    <row r="803" spans="1:7" ht="15" customHeight="1" x14ac:dyDescent="0.45">
      <c r="A803" s="396" t="s">
        <v>161</v>
      </c>
      <c r="B803" s="399"/>
      <c r="C803" s="399"/>
      <c r="D803" s="399"/>
      <c r="E803" s="399"/>
      <c r="F803" s="399"/>
      <c r="G803" s="400"/>
    </row>
    <row r="804" spans="1:7" x14ac:dyDescent="0.45">
      <c r="A804" s="397"/>
      <c r="B804" s="401"/>
      <c r="C804" s="401"/>
      <c r="D804" s="401"/>
      <c r="E804" s="401"/>
      <c r="F804" s="401"/>
      <c r="G804" s="402"/>
    </row>
    <row r="805" spans="1:7" x14ac:dyDescent="0.45">
      <c r="A805" s="398"/>
      <c r="B805" s="403"/>
      <c r="C805" s="403"/>
      <c r="D805" s="403"/>
      <c r="E805" s="403"/>
      <c r="F805" s="403"/>
      <c r="G805" s="404"/>
    </row>
    <row r="806" spans="1:7" ht="14.65" thickBot="1" x14ac:dyDescent="0.5">
      <c r="A806" s="85" t="s">
        <v>166</v>
      </c>
      <c r="B806" s="405"/>
      <c r="C806" s="405"/>
      <c r="D806" s="405"/>
      <c r="E806" s="405"/>
      <c r="F806" s="405"/>
      <c r="G806" s="406"/>
    </row>
    <row r="807" spans="1:7" s="90" customFormat="1" ht="14.65" thickBot="1" x14ac:dyDescent="0.5">
      <c r="A807" s="61"/>
      <c r="B807" s="61"/>
      <c r="C807" s="61"/>
      <c r="D807" s="61"/>
      <c r="E807" s="61"/>
      <c r="F807" s="61"/>
    </row>
    <row r="808" spans="1:7" ht="15" customHeight="1" thickBot="1" x14ac:dyDescent="0.5">
      <c r="A808" s="407" t="s">
        <v>77</v>
      </c>
      <c r="B808" s="408"/>
      <c r="C808" s="69"/>
      <c r="E808" s="86" t="s">
        <v>22</v>
      </c>
      <c r="F808" s="62"/>
      <c r="G808" s="62"/>
    </row>
    <row r="809" spans="1:7" ht="14.65" thickBot="1" x14ac:dyDescent="0.5">
      <c r="A809" s="106"/>
      <c r="B809" s="106"/>
      <c r="E809" s="88" t="s">
        <v>32</v>
      </c>
      <c r="F809" s="382"/>
      <c r="G809" s="383"/>
    </row>
    <row r="810" spans="1:7" ht="14.65" thickBot="1" x14ac:dyDescent="0.5">
      <c r="A810" s="107" t="s">
        <v>103</v>
      </c>
      <c r="B810" s="106"/>
      <c r="E810" s="88" t="s">
        <v>34</v>
      </c>
      <c r="F810" s="386"/>
      <c r="G810" s="387"/>
    </row>
    <row r="811" spans="1:7" ht="14.65" thickBot="1" x14ac:dyDescent="0.5">
      <c r="A811" s="88" t="s">
        <v>32</v>
      </c>
      <c r="B811" s="382"/>
      <c r="C811" s="383"/>
      <c r="E811" s="89" t="s">
        <v>35</v>
      </c>
      <c r="F811" s="380"/>
      <c r="G811" s="381"/>
    </row>
    <row r="812" spans="1:7" ht="14.65" thickBot="1" x14ac:dyDescent="0.5">
      <c r="A812" s="88" t="s">
        <v>34</v>
      </c>
      <c r="B812" s="386"/>
      <c r="C812" s="387"/>
      <c r="F812" s="62"/>
    </row>
    <row r="813" spans="1:7" ht="15" customHeight="1" thickBot="1" x14ac:dyDescent="0.5">
      <c r="A813" s="89" t="s">
        <v>35</v>
      </c>
      <c r="B813" s="380"/>
      <c r="C813" s="381"/>
      <c r="E813" s="86" t="s">
        <v>31</v>
      </c>
      <c r="F813" s="62"/>
    </row>
    <row r="814" spans="1:7" ht="14.65" thickBot="1" x14ac:dyDescent="0.5">
      <c r="A814" s="87"/>
      <c r="B814" s="62"/>
      <c r="C814" s="62"/>
      <c r="E814" s="117">
        <v>1</v>
      </c>
      <c r="F814" s="382"/>
      <c r="G814" s="383"/>
    </row>
    <row r="815" spans="1:7" ht="15" customHeight="1" thickBot="1" x14ac:dyDescent="0.5">
      <c r="A815" s="384" t="s">
        <v>262</v>
      </c>
      <c r="B815" s="385"/>
      <c r="E815" s="117">
        <v>2</v>
      </c>
      <c r="F815" s="386"/>
      <c r="G815" s="387"/>
    </row>
    <row r="816" spans="1:7" x14ac:dyDescent="0.45">
      <c r="A816" s="117">
        <v>1</v>
      </c>
      <c r="B816" s="388"/>
      <c r="C816" s="389"/>
      <c r="E816" s="118">
        <v>3</v>
      </c>
      <c r="F816" s="386"/>
      <c r="G816" s="387"/>
    </row>
    <row r="817" spans="1:7" x14ac:dyDescent="0.45">
      <c r="A817" s="117">
        <v>2</v>
      </c>
      <c r="B817" s="390"/>
      <c r="C817" s="391"/>
      <c r="E817" s="117">
        <v>4</v>
      </c>
      <c r="F817" s="392"/>
      <c r="G817" s="393"/>
    </row>
    <row r="818" spans="1:7" s="83" customFormat="1" ht="14.65" thickBot="1" x14ac:dyDescent="0.5">
      <c r="A818" s="145">
        <v>3</v>
      </c>
      <c r="B818" s="394"/>
      <c r="C818" s="395"/>
      <c r="D818" s="61"/>
      <c r="E818" s="119">
        <v>5</v>
      </c>
      <c r="F818" s="380"/>
      <c r="G818" s="381"/>
    </row>
    <row r="819" spans="1:7" ht="12.6" customHeight="1" thickBot="1" x14ac:dyDescent="0.5"/>
    <row r="820" spans="1:7" ht="12.6" customHeight="1" x14ac:dyDescent="0.45">
      <c r="A820" s="357" t="s">
        <v>136</v>
      </c>
      <c r="B820" s="358"/>
      <c r="C820" s="358"/>
      <c r="D820" s="358"/>
      <c r="E820" s="358"/>
      <c r="F820" s="358"/>
      <c r="G820" s="359"/>
    </row>
    <row r="821" spans="1:7" ht="12.6" customHeight="1" x14ac:dyDescent="0.45">
      <c r="A821" s="360" t="s">
        <v>137</v>
      </c>
      <c r="B821" s="361"/>
      <c r="C821" s="361"/>
      <c r="D821" s="361"/>
      <c r="E821" s="361"/>
      <c r="F821" s="361"/>
      <c r="G821" s="362"/>
    </row>
    <row r="822" spans="1:7" ht="14.45" customHeight="1" x14ac:dyDescent="0.45">
      <c r="A822" s="360" t="s">
        <v>164</v>
      </c>
      <c r="B822" s="361"/>
      <c r="C822" s="361"/>
      <c r="D822" s="361"/>
      <c r="E822" s="361"/>
      <c r="F822" s="361"/>
      <c r="G822" s="362"/>
    </row>
    <row r="823" spans="1:7" ht="14.45" customHeight="1" x14ac:dyDescent="0.45">
      <c r="A823" s="363" t="s">
        <v>136</v>
      </c>
      <c r="B823" s="364"/>
      <c r="C823" s="365"/>
      <c r="D823" s="366" t="s">
        <v>203</v>
      </c>
      <c r="E823" s="365"/>
      <c r="F823" s="366" t="s">
        <v>165</v>
      </c>
      <c r="G823" s="365"/>
    </row>
    <row r="824" spans="1:7" ht="46.25" customHeight="1" x14ac:dyDescent="0.45">
      <c r="A824" s="367" t="s">
        <v>206</v>
      </c>
      <c r="B824" s="368"/>
      <c r="C824" s="369"/>
      <c r="D824" s="376" t="s">
        <v>204</v>
      </c>
      <c r="E824" s="369"/>
      <c r="F824" s="379" t="s">
        <v>205</v>
      </c>
      <c r="G824" s="369"/>
    </row>
    <row r="825" spans="1:7" ht="46.25" customHeight="1" x14ac:dyDescent="0.45">
      <c r="A825" s="370"/>
      <c r="B825" s="371"/>
      <c r="C825" s="372"/>
      <c r="D825" s="377"/>
      <c r="E825" s="372"/>
      <c r="F825" s="377"/>
      <c r="G825" s="372"/>
    </row>
    <row r="826" spans="1:7" ht="46.25" customHeight="1" x14ac:dyDescent="0.45">
      <c r="A826" s="373"/>
      <c r="B826" s="374"/>
      <c r="C826" s="375"/>
      <c r="D826" s="378"/>
      <c r="E826" s="375"/>
      <c r="F826" s="378"/>
      <c r="G826" s="375"/>
    </row>
    <row r="827" spans="1:7" ht="28.25" customHeight="1" x14ac:dyDescent="0.45">
      <c r="A827" s="327"/>
      <c r="B827" s="328"/>
      <c r="C827" s="329"/>
      <c r="D827" s="336"/>
      <c r="E827" s="329"/>
      <c r="F827" s="336"/>
      <c r="G827" s="339"/>
    </row>
    <row r="828" spans="1:7" ht="28.25" customHeight="1" x14ac:dyDescent="0.45">
      <c r="A828" s="330"/>
      <c r="B828" s="331"/>
      <c r="C828" s="332"/>
      <c r="D828" s="337"/>
      <c r="E828" s="332"/>
      <c r="F828" s="337"/>
      <c r="G828" s="340"/>
    </row>
    <row r="829" spans="1:7" ht="28.25" customHeight="1" x14ac:dyDescent="0.45">
      <c r="A829" s="333"/>
      <c r="B829" s="334"/>
      <c r="C829" s="335"/>
      <c r="D829" s="338"/>
      <c r="E829" s="335"/>
      <c r="F829" s="338"/>
      <c r="G829" s="341"/>
    </row>
    <row r="830" spans="1:7" ht="28.25" customHeight="1" x14ac:dyDescent="0.45">
      <c r="A830" s="327"/>
      <c r="B830" s="328"/>
      <c r="C830" s="329"/>
      <c r="D830" s="336"/>
      <c r="E830" s="329"/>
      <c r="F830" s="336"/>
      <c r="G830" s="339"/>
    </row>
    <row r="831" spans="1:7" ht="28.25" customHeight="1" x14ac:dyDescent="0.45">
      <c r="A831" s="330"/>
      <c r="B831" s="331"/>
      <c r="C831" s="332"/>
      <c r="D831" s="337"/>
      <c r="E831" s="332"/>
      <c r="F831" s="337"/>
      <c r="G831" s="340"/>
    </row>
    <row r="832" spans="1:7" ht="28.25" customHeight="1" x14ac:dyDescent="0.45">
      <c r="A832" s="333"/>
      <c r="B832" s="334"/>
      <c r="C832" s="335"/>
      <c r="D832" s="338"/>
      <c r="E832" s="335"/>
      <c r="F832" s="338"/>
      <c r="G832" s="341"/>
    </row>
    <row r="833" spans="1:7" ht="28.25" customHeight="1" x14ac:dyDescent="0.45">
      <c r="A833" s="342"/>
      <c r="B833" s="343"/>
      <c r="C833" s="344"/>
      <c r="D833" s="351"/>
      <c r="E833" s="344"/>
      <c r="F833" s="351"/>
      <c r="G833" s="354"/>
    </row>
    <row r="834" spans="1:7" ht="28.25" customHeight="1" x14ac:dyDescent="0.45">
      <c r="A834" s="345"/>
      <c r="B834" s="346"/>
      <c r="C834" s="347"/>
      <c r="D834" s="352"/>
      <c r="E834" s="347"/>
      <c r="F834" s="352"/>
      <c r="G834" s="355"/>
    </row>
    <row r="835" spans="1:7" ht="28.25" customHeight="1" thickBot="1" x14ac:dyDescent="0.5">
      <c r="A835" s="348"/>
      <c r="B835" s="349"/>
      <c r="C835" s="350"/>
      <c r="D835" s="353"/>
      <c r="E835" s="350"/>
      <c r="F835" s="353"/>
      <c r="G835" s="356"/>
    </row>
    <row r="837" spans="1:7" s="91" customFormat="1" x14ac:dyDescent="0.45"/>
    <row r="838" spans="1:7" ht="14.65" thickBot="1" x14ac:dyDescent="0.5"/>
    <row r="839" spans="1:7" ht="15" customHeight="1" thickBot="1" x14ac:dyDescent="0.5">
      <c r="A839" s="84" t="s">
        <v>76</v>
      </c>
      <c r="B839" s="126">
        <v>18</v>
      </c>
      <c r="C839" s="108"/>
      <c r="D839" s="109"/>
      <c r="E839" s="109"/>
      <c r="F839" s="109"/>
      <c r="G839" s="109"/>
    </row>
    <row r="840" spans="1:7" ht="12.6" customHeight="1" x14ac:dyDescent="0.45">
      <c r="A840" s="409" t="s">
        <v>89</v>
      </c>
      <c r="B840" s="411"/>
      <c r="C840" s="401"/>
      <c r="D840" s="401"/>
      <c r="E840" s="401"/>
      <c r="F840" s="401"/>
      <c r="G840" s="402"/>
    </row>
    <row r="841" spans="1:7" ht="12.6" customHeight="1" x14ac:dyDescent="0.45">
      <c r="A841" s="409"/>
      <c r="B841" s="411"/>
      <c r="C841" s="401"/>
      <c r="D841" s="401"/>
      <c r="E841" s="401"/>
      <c r="F841" s="401"/>
      <c r="G841" s="402"/>
    </row>
    <row r="842" spans="1:7" ht="12.6" customHeight="1" x14ac:dyDescent="0.45">
      <c r="A842" s="410"/>
      <c r="B842" s="411"/>
      <c r="C842" s="401"/>
      <c r="D842" s="401"/>
      <c r="E842" s="401"/>
      <c r="F842" s="401"/>
      <c r="G842" s="402"/>
    </row>
    <row r="843" spans="1:7" ht="31.8" customHeight="1" x14ac:dyDescent="0.45">
      <c r="A843" s="412" t="s">
        <v>160</v>
      </c>
      <c r="B843" s="413"/>
      <c r="C843" s="399"/>
      <c r="D843" s="399"/>
      <c r="E843" s="399"/>
      <c r="F843" s="399"/>
      <c r="G843" s="400"/>
    </row>
    <row r="844" spans="1:7" ht="31.8" customHeight="1" x14ac:dyDescent="0.45">
      <c r="A844" s="409"/>
      <c r="B844" s="411"/>
      <c r="C844" s="401"/>
      <c r="D844" s="401"/>
      <c r="E844" s="401"/>
      <c r="F844" s="401"/>
      <c r="G844" s="402"/>
    </row>
    <row r="845" spans="1:7" ht="31.8" customHeight="1" x14ac:dyDescent="0.45">
      <c r="A845" s="410"/>
      <c r="B845" s="411"/>
      <c r="C845" s="401"/>
      <c r="D845" s="401"/>
      <c r="E845" s="401"/>
      <c r="F845" s="401"/>
      <c r="G845" s="402"/>
    </row>
    <row r="846" spans="1:7" x14ac:dyDescent="0.45">
      <c r="A846" s="412" t="s">
        <v>155</v>
      </c>
      <c r="B846" s="414"/>
      <c r="C846" s="415"/>
      <c r="D846" s="415"/>
      <c r="E846" s="415"/>
      <c r="F846" s="417" t="s">
        <v>167</v>
      </c>
      <c r="G846" s="419"/>
    </row>
    <row r="847" spans="1:7" s="90" customFormat="1" x14ac:dyDescent="0.45">
      <c r="A847" s="409"/>
      <c r="B847" s="411"/>
      <c r="C847" s="401"/>
      <c r="D847" s="401"/>
      <c r="E847" s="401"/>
      <c r="F847" s="418"/>
      <c r="G847" s="420"/>
    </row>
    <row r="848" spans="1:7" x14ac:dyDescent="0.45">
      <c r="A848" s="409"/>
      <c r="B848" s="416"/>
      <c r="C848" s="403"/>
      <c r="D848" s="403"/>
      <c r="E848" s="403"/>
      <c r="F848" s="418"/>
      <c r="G848" s="421"/>
    </row>
    <row r="849" spans="1:7" x14ac:dyDescent="0.45">
      <c r="A849" s="412" t="s">
        <v>159</v>
      </c>
      <c r="B849" s="411"/>
      <c r="C849" s="401"/>
      <c r="D849" s="401"/>
      <c r="E849" s="401"/>
      <c r="F849" s="401"/>
      <c r="G849" s="402"/>
    </row>
    <row r="850" spans="1:7" x14ac:dyDescent="0.45">
      <c r="A850" s="409"/>
      <c r="B850" s="411"/>
      <c r="C850" s="401"/>
      <c r="D850" s="401"/>
      <c r="E850" s="401"/>
      <c r="F850" s="401"/>
      <c r="G850" s="402"/>
    </row>
    <row r="851" spans="1:7" x14ac:dyDescent="0.45">
      <c r="A851" s="410"/>
      <c r="B851" s="416"/>
      <c r="C851" s="403"/>
      <c r="D851" s="403"/>
      <c r="E851" s="403"/>
      <c r="F851" s="403"/>
      <c r="G851" s="404"/>
    </row>
    <row r="852" spans="1:7" x14ac:dyDescent="0.45">
      <c r="A852" s="396" t="s">
        <v>161</v>
      </c>
      <c r="B852" s="401"/>
      <c r="C852" s="401"/>
      <c r="D852" s="401"/>
      <c r="E852" s="401"/>
      <c r="F852" s="401"/>
      <c r="G852" s="402"/>
    </row>
    <row r="853" spans="1:7" x14ac:dyDescent="0.45">
      <c r="A853" s="397"/>
      <c r="B853" s="401"/>
      <c r="C853" s="401"/>
      <c r="D853" s="401"/>
      <c r="E853" s="401"/>
      <c r="F853" s="401"/>
      <c r="G853" s="402"/>
    </row>
    <row r="854" spans="1:7" x14ac:dyDescent="0.45">
      <c r="A854" s="398"/>
      <c r="B854" s="401"/>
      <c r="C854" s="401"/>
      <c r="D854" s="401"/>
      <c r="E854" s="401"/>
      <c r="F854" s="401"/>
      <c r="G854" s="402"/>
    </row>
    <row r="855" spans="1:7" ht="14.65" thickBot="1" x14ac:dyDescent="0.5">
      <c r="A855" s="85" t="s">
        <v>166</v>
      </c>
      <c r="B855" s="405"/>
      <c r="C855" s="405"/>
      <c r="D855" s="405"/>
      <c r="E855" s="405"/>
      <c r="F855" s="405"/>
      <c r="G855" s="406"/>
    </row>
    <row r="856" spans="1:7" ht="14.65" thickBot="1" x14ac:dyDescent="0.5"/>
    <row r="857" spans="1:7" ht="15" customHeight="1" thickBot="1" x14ac:dyDescent="0.5">
      <c r="A857" s="407" t="s">
        <v>77</v>
      </c>
      <c r="B857" s="408"/>
      <c r="C857" s="69"/>
      <c r="E857" s="86" t="s">
        <v>22</v>
      </c>
      <c r="F857" s="62"/>
      <c r="G857" s="62"/>
    </row>
    <row r="858" spans="1:7" ht="14.65" thickBot="1" x14ac:dyDescent="0.5">
      <c r="A858" s="106"/>
      <c r="B858" s="106"/>
      <c r="E858" s="88" t="s">
        <v>32</v>
      </c>
      <c r="F858" s="382"/>
      <c r="G858" s="383"/>
    </row>
    <row r="859" spans="1:7" ht="14.65" thickBot="1" x14ac:dyDescent="0.5">
      <c r="A859" s="107" t="s">
        <v>103</v>
      </c>
      <c r="B859" s="106"/>
      <c r="E859" s="88" t="s">
        <v>34</v>
      </c>
      <c r="F859" s="386"/>
      <c r="G859" s="387"/>
    </row>
    <row r="860" spans="1:7" ht="14.65" thickBot="1" x14ac:dyDescent="0.5">
      <c r="A860" s="88" t="s">
        <v>32</v>
      </c>
      <c r="B860" s="382"/>
      <c r="C860" s="383"/>
      <c r="E860" s="89" t="s">
        <v>35</v>
      </c>
      <c r="F860" s="380"/>
      <c r="G860" s="381"/>
    </row>
    <row r="861" spans="1:7" ht="14.65" thickBot="1" x14ac:dyDescent="0.5">
      <c r="A861" s="88" t="s">
        <v>34</v>
      </c>
      <c r="B861" s="386"/>
      <c r="C861" s="387"/>
      <c r="F861" s="62"/>
    </row>
    <row r="862" spans="1:7" ht="15" customHeight="1" thickBot="1" x14ac:dyDescent="0.5">
      <c r="A862" s="89" t="s">
        <v>35</v>
      </c>
      <c r="B862" s="380"/>
      <c r="C862" s="381"/>
      <c r="E862" s="86" t="s">
        <v>31</v>
      </c>
      <c r="F862" s="62"/>
    </row>
    <row r="863" spans="1:7" ht="14.65" thickBot="1" x14ac:dyDescent="0.5">
      <c r="A863" s="87"/>
      <c r="B863" s="62"/>
      <c r="C863" s="62"/>
      <c r="E863" s="117">
        <v>1</v>
      </c>
      <c r="F863" s="382"/>
      <c r="G863" s="383"/>
    </row>
    <row r="864" spans="1:7" ht="15" customHeight="1" thickBot="1" x14ac:dyDescent="0.5">
      <c r="A864" s="384" t="s">
        <v>262</v>
      </c>
      <c r="B864" s="385"/>
      <c r="E864" s="117">
        <v>2</v>
      </c>
      <c r="F864" s="386"/>
      <c r="G864" s="387"/>
    </row>
    <row r="865" spans="1:7" x14ac:dyDescent="0.45">
      <c r="A865" s="117">
        <v>1</v>
      </c>
      <c r="B865" s="388"/>
      <c r="C865" s="389"/>
      <c r="E865" s="118">
        <v>3</v>
      </c>
      <c r="F865" s="386"/>
      <c r="G865" s="387"/>
    </row>
    <row r="866" spans="1:7" x14ac:dyDescent="0.45">
      <c r="A866" s="117">
        <v>2</v>
      </c>
      <c r="B866" s="390"/>
      <c r="C866" s="391"/>
      <c r="E866" s="117">
        <v>4</v>
      </c>
      <c r="F866" s="392"/>
      <c r="G866" s="393"/>
    </row>
    <row r="867" spans="1:7" ht="14.65" thickBot="1" x14ac:dyDescent="0.5">
      <c r="A867" s="145">
        <v>3</v>
      </c>
      <c r="B867" s="394"/>
      <c r="C867" s="395"/>
      <c r="E867" s="119">
        <v>5</v>
      </c>
      <c r="F867" s="380"/>
      <c r="G867" s="381"/>
    </row>
    <row r="868" spans="1:7" ht="14.65" thickBot="1" x14ac:dyDescent="0.5"/>
    <row r="869" spans="1:7" x14ac:dyDescent="0.45">
      <c r="A869" s="357" t="s">
        <v>136</v>
      </c>
      <c r="B869" s="358"/>
      <c r="C869" s="358"/>
      <c r="D869" s="358"/>
      <c r="E869" s="358"/>
      <c r="F869" s="358"/>
      <c r="G869" s="359"/>
    </row>
    <row r="870" spans="1:7" ht="14.45" customHeight="1" x14ac:dyDescent="0.45">
      <c r="A870" s="360" t="s">
        <v>137</v>
      </c>
      <c r="B870" s="361"/>
      <c r="C870" s="361"/>
      <c r="D870" s="361"/>
      <c r="E870" s="361"/>
      <c r="F870" s="361"/>
      <c r="G870" s="362"/>
    </row>
    <row r="871" spans="1:7" ht="14.45" customHeight="1" x14ac:dyDescent="0.45">
      <c r="A871" s="360" t="s">
        <v>164</v>
      </c>
      <c r="B871" s="361"/>
      <c r="C871" s="361"/>
      <c r="D871" s="361"/>
      <c r="E871" s="361"/>
      <c r="F871" s="361"/>
      <c r="G871" s="362"/>
    </row>
    <row r="872" spans="1:7" ht="14.45" customHeight="1" x14ac:dyDescent="0.45">
      <c r="A872" s="363" t="s">
        <v>136</v>
      </c>
      <c r="B872" s="364"/>
      <c r="C872" s="365"/>
      <c r="D872" s="366" t="s">
        <v>203</v>
      </c>
      <c r="E872" s="365"/>
      <c r="F872" s="366" t="s">
        <v>165</v>
      </c>
      <c r="G872" s="365"/>
    </row>
    <row r="873" spans="1:7" ht="46.25" customHeight="1" x14ac:dyDescent="0.45">
      <c r="A873" s="367" t="s">
        <v>206</v>
      </c>
      <c r="B873" s="368"/>
      <c r="C873" s="369"/>
      <c r="D873" s="376" t="s">
        <v>204</v>
      </c>
      <c r="E873" s="369"/>
      <c r="F873" s="379" t="s">
        <v>205</v>
      </c>
      <c r="G873" s="369"/>
    </row>
    <row r="874" spans="1:7" ht="46.25" customHeight="1" x14ac:dyDescent="0.45">
      <c r="A874" s="370"/>
      <c r="B874" s="371"/>
      <c r="C874" s="372"/>
      <c r="D874" s="377"/>
      <c r="E874" s="372"/>
      <c r="F874" s="377"/>
      <c r="G874" s="372"/>
    </row>
    <row r="875" spans="1:7" ht="46.25" customHeight="1" x14ac:dyDescent="0.45">
      <c r="A875" s="373"/>
      <c r="B875" s="374"/>
      <c r="C875" s="375"/>
      <c r="D875" s="378"/>
      <c r="E875" s="375"/>
      <c r="F875" s="378"/>
      <c r="G875" s="375"/>
    </row>
    <row r="876" spans="1:7" ht="28.25" customHeight="1" x14ac:dyDescent="0.45">
      <c r="A876" s="327"/>
      <c r="B876" s="328"/>
      <c r="C876" s="329"/>
      <c r="D876" s="336"/>
      <c r="E876" s="329"/>
      <c r="F876" s="336"/>
      <c r="G876" s="339"/>
    </row>
    <row r="877" spans="1:7" ht="28.25" customHeight="1" x14ac:dyDescent="0.45">
      <c r="A877" s="330"/>
      <c r="B877" s="331"/>
      <c r="C877" s="332"/>
      <c r="D877" s="337"/>
      <c r="E877" s="332"/>
      <c r="F877" s="337"/>
      <c r="G877" s="340"/>
    </row>
    <row r="878" spans="1:7" ht="28.25" customHeight="1" x14ac:dyDescent="0.45">
      <c r="A878" s="333"/>
      <c r="B878" s="334"/>
      <c r="C878" s="335"/>
      <c r="D878" s="338"/>
      <c r="E878" s="335"/>
      <c r="F878" s="338"/>
      <c r="G878" s="341"/>
    </row>
    <row r="879" spans="1:7" ht="28.25" customHeight="1" x14ac:dyDescent="0.45">
      <c r="A879" s="327"/>
      <c r="B879" s="328"/>
      <c r="C879" s="329"/>
      <c r="D879" s="336"/>
      <c r="E879" s="329"/>
      <c r="F879" s="336"/>
      <c r="G879" s="339"/>
    </row>
    <row r="880" spans="1:7" ht="28.25" customHeight="1" x14ac:dyDescent="0.45">
      <c r="A880" s="330"/>
      <c r="B880" s="331"/>
      <c r="C880" s="332"/>
      <c r="D880" s="337"/>
      <c r="E880" s="332"/>
      <c r="F880" s="337"/>
      <c r="G880" s="340"/>
    </row>
    <row r="881" spans="1:7" ht="28.25" customHeight="1" x14ac:dyDescent="0.45">
      <c r="A881" s="333"/>
      <c r="B881" s="334"/>
      <c r="C881" s="335"/>
      <c r="D881" s="338"/>
      <c r="E881" s="335"/>
      <c r="F881" s="338"/>
      <c r="G881" s="341"/>
    </row>
    <row r="882" spans="1:7" ht="28.25" customHeight="1" x14ac:dyDescent="0.45">
      <c r="A882" s="342"/>
      <c r="B882" s="343"/>
      <c r="C882" s="344"/>
      <c r="D882" s="351"/>
      <c r="E882" s="344"/>
      <c r="F882" s="351"/>
      <c r="G882" s="354"/>
    </row>
    <row r="883" spans="1:7" ht="28.25" customHeight="1" x14ac:dyDescent="0.45">
      <c r="A883" s="345"/>
      <c r="B883" s="346"/>
      <c r="C883" s="347"/>
      <c r="D883" s="352"/>
      <c r="E883" s="347"/>
      <c r="F883" s="352"/>
      <c r="G883" s="355"/>
    </row>
    <row r="884" spans="1:7" ht="28.25" customHeight="1" thickBot="1" x14ac:dyDescent="0.5">
      <c r="A884" s="348"/>
      <c r="B884" s="349"/>
      <c r="C884" s="350"/>
      <c r="D884" s="353"/>
      <c r="E884" s="350"/>
      <c r="F884" s="353"/>
      <c r="G884" s="356"/>
    </row>
    <row r="886" spans="1:7" s="91" customFormat="1" x14ac:dyDescent="0.45"/>
    <row r="887" spans="1:7" s="90" customFormat="1" ht="14.65" thickBot="1" x14ac:dyDescent="0.5">
      <c r="A887" s="61"/>
      <c r="B887" s="61"/>
      <c r="C887" s="61"/>
      <c r="D887" s="61"/>
      <c r="E887" s="61"/>
      <c r="F887" s="61"/>
    </row>
    <row r="888" spans="1:7" ht="14.65" thickBot="1" x14ac:dyDescent="0.5">
      <c r="A888" s="84" t="s">
        <v>76</v>
      </c>
      <c r="B888" s="126">
        <v>19</v>
      </c>
      <c r="C888" s="108"/>
      <c r="D888" s="109"/>
      <c r="E888" s="109"/>
      <c r="F888" s="109"/>
      <c r="G888" s="109"/>
    </row>
    <row r="889" spans="1:7" ht="12.6" customHeight="1" x14ac:dyDescent="0.45">
      <c r="A889" s="409" t="s">
        <v>89</v>
      </c>
      <c r="B889" s="411"/>
      <c r="C889" s="401"/>
      <c r="D889" s="401"/>
      <c r="E889" s="401"/>
      <c r="F889" s="401"/>
      <c r="G889" s="402"/>
    </row>
    <row r="890" spans="1:7" ht="12.6" customHeight="1" x14ac:dyDescent="0.45">
      <c r="A890" s="409"/>
      <c r="B890" s="411"/>
      <c r="C890" s="401"/>
      <c r="D890" s="401"/>
      <c r="E890" s="401"/>
      <c r="F890" s="401"/>
      <c r="G890" s="402"/>
    </row>
    <row r="891" spans="1:7" ht="12.6" customHeight="1" x14ac:dyDescent="0.45">
      <c r="A891" s="410"/>
      <c r="B891" s="411"/>
      <c r="C891" s="401"/>
      <c r="D891" s="401"/>
      <c r="E891" s="401"/>
      <c r="F891" s="401"/>
      <c r="G891" s="402"/>
    </row>
    <row r="892" spans="1:7" ht="31.8" customHeight="1" x14ac:dyDescent="0.45">
      <c r="A892" s="412" t="s">
        <v>158</v>
      </c>
      <c r="B892" s="413"/>
      <c r="C892" s="399"/>
      <c r="D892" s="399"/>
      <c r="E892" s="399"/>
      <c r="F892" s="399"/>
      <c r="G892" s="400"/>
    </row>
    <row r="893" spans="1:7" ht="31.8" customHeight="1" x14ac:dyDescent="0.45">
      <c r="A893" s="409"/>
      <c r="B893" s="411"/>
      <c r="C893" s="401"/>
      <c r="D893" s="401"/>
      <c r="E893" s="401"/>
      <c r="F893" s="401"/>
      <c r="G893" s="402"/>
    </row>
    <row r="894" spans="1:7" ht="31.8" customHeight="1" x14ac:dyDescent="0.45">
      <c r="A894" s="410"/>
      <c r="B894" s="411"/>
      <c r="C894" s="401"/>
      <c r="D894" s="401"/>
      <c r="E894" s="401"/>
      <c r="F894" s="401"/>
      <c r="G894" s="402"/>
    </row>
    <row r="895" spans="1:7" x14ac:dyDescent="0.45">
      <c r="A895" s="412" t="s">
        <v>155</v>
      </c>
      <c r="B895" s="414"/>
      <c r="C895" s="415"/>
      <c r="D895" s="415"/>
      <c r="E895" s="415"/>
      <c r="F895" s="417" t="s">
        <v>167</v>
      </c>
      <c r="G895" s="419"/>
    </row>
    <row r="896" spans="1:7" x14ac:dyDescent="0.45">
      <c r="A896" s="409"/>
      <c r="B896" s="411"/>
      <c r="C896" s="401"/>
      <c r="D896" s="401"/>
      <c r="E896" s="401"/>
      <c r="F896" s="418"/>
      <c r="G896" s="420"/>
    </row>
    <row r="897" spans="1:7" x14ac:dyDescent="0.45">
      <c r="A897" s="409"/>
      <c r="B897" s="416"/>
      <c r="C897" s="403"/>
      <c r="D897" s="403"/>
      <c r="E897" s="403"/>
      <c r="F897" s="418"/>
      <c r="G897" s="421"/>
    </row>
    <row r="898" spans="1:7" x14ac:dyDescent="0.45">
      <c r="A898" s="412" t="s">
        <v>159</v>
      </c>
      <c r="B898" s="411"/>
      <c r="C898" s="401"/>
      <c r="D898" s="401"/>
      <c r="E898" s="401"/>
      <c r="F898" s="401"/>
      <c r="G898" s="402"/>
    </row>
    <row r="899" spans="1:7" x14ac:dyDescent="0.45">
      <c r="A899" s="409"/>
      <c r="B899" s="411"/>
      <c r="C899" s="401"/>
      <c r="D899" s="401"/>
      <c r="E899" s="401"/>
      <c r="F899" s="401"/>
      <c r="G899" s="402"/>
    </row>
    <row r="900" spans="1:7" s="83" customFormat="1" x14ac:dyDescent="0.45">
      <c r="A900" s="410"/>
      <c r="B900" s="416"/>
      <c r="C900" s="403"/>
      <c r="D900" s="403"/>
      <c r="E900" s="403"/>
      <c r="F900" s="403"/>
      <c r="G900" s="404"/>
    </row>
    <row r="901" spans="1:7" x14ac:dyDescent="0.45">
      <c r="A901" s="396" t="s">
        <v>161</v>
      </c>
      <c r="B901" s="401"/>
      <c r="C901" s="401"/>
      <c r="D901" s="401"/>
      <c r="E901" s="401"/>
      <c r="F901" s="401"/>
      <c r="G901" s="402"/>
    </row>
    <row r="902" spans="1:7" x14ac:dyDescent="0.45">
      <c r="A902" s="397"/>
      <c r="B902" s="401"/>
      <c r="C902" s="401"/>
      <c r="D902" s="401"/>
      <c r="E902" s="401"/>
      <c r="F902" s="401"/>
      <c r="G902" s="402"/>
    </row>
    <row r="903" spans="1:7" x14ac:dyDescent="0.45">
      <c r="A903" s="398"/>
      <c r="B903" s="401"/>
      <c r="C903" s="401"/>
      <c r="D903" s="401"/>
      <c r="E903" s="401"/>
      <c r="F903" s="401"/>
      <c r="G903" s="402"/>
    </row>
    <row r="904" spans="1:7" ht="14.65" thickBot="1" x14ac:dyDescent="0.5">
      <c r="A904" s="85" t="s">
        <v>166</v>
      </c>
      <c r="B904" s="405"/>
      <c r="C904" s="405"/>
      <c r="D904" s="405"/>
      <c r="E904" s="405"/>
      <c r="F904" s="405"/>
      <c r="G904" s="406"/>
    </row>
    <row r="905" spans="1:7" ht="14.65" thickBot="1" x14ac:dyDescent="0.5"/>
    <row r="906" spans="1:7" ht="15" customHeight="1" thickBot="1" x14ac:dyDescent="0.5">
      <c r="A906" s="407" t="s">
        <v>77</v>
      </c>
      <c r="B906" s="408"/>
      <c r="C906" s="69"/>
      <c r="E906" s="86" t="s">
        <v>22</v>
      </c>
      <c r="F906" s="62"/>
      <c r="G906" s="62"/>
    </row>
    <row r="907" spans="1:7" ht="14.65" thickBot="1" x14ac:dyDescent="0.5">
      <c r="A907" s="106"/>
      <c r="B907" s="106"/>
      <c r="E907" s="88" t="s">
        <v>32</v>
      </c>
      <c r="F907" s="382"/>
      <c r="G907" s="383"/>
    </row>
    <row r="908" spans="1:7" ht="14.65" thickBot="1" x14ac:dyDescent="0.5">
      <c r="A908" s="107" t="s">
        <v>103</v>
      </c>
      <c r="B908" s="106"/>
      <c r="E908" s="88" t="s">
        <v>34</v>
      </c>
      <c r="F908" s="386"/>
      <c r="G908" s="387"/>
    </row>
    <row r="909" spans="1:7" ht="14.65" thickBot="1" x14ac:dyDescent="0.5">
      <c r="A909" s="88" t="s">
        <v>32</v>
      </c>
      <c r="B909" s="382"/>
      <c r="C909" s="383"/>
      <c r="E909" s="89" t="s">
        <v>35</v>
      </c>
      <c r="F909" s="380"/>
      <c r="G909" s="381"/>
    </row>
    <row r="910" spans="1:7" ht="14.65" thickBot="1" x14ac:dyDescent="0.5">
      <c r="A910" s="88" t="s">
        <v>34</v>
      </c>
      <c r="B910" s="386"/>
      <c r="C910" s="387"/>
      <c r="F910" s="62"/>
    </row>
    <row r="911" spans="1:7" ht="15" customHeight="1" thickBot="1" x14ac:dyDescent="0.5">
      <c r="A911" s="89" t="s">
        <v>35</v>
      </c>
      <c r="B911" s="380"/>
      <c r="C911" s="381"/>
      <c r="E911" s="86" t="s">
        <v>31</v>
      </c>
      <c r="F911" s="62"/>
    </row>
    <row r="912" spans="1:7" ht="14.65" thickBot="1" x14ac:dyDescent="0.5">
      <c r="A912" s="87"/>
      <c r="B912" s="62"/>
      <c r="C912" s="62"/>
      <c r="E912" s="117">
        <v>1</v>
      </c>
      <c r="F912" s="382"/>
      <c r="G912" s="383"/>
    </row>
    <row r="913" spans="1:7" ht="12.6" customHeight="1" thickBot="1" x14ac:dyDescent="0.5">
      <c r="A913" s="384" t="s">
        <v>262</v>
      </c>
      <c r="B913" s="385"/>
      <c r="E913" s="117">
        <v>2</v>
      </c>
      <c r="F913" s="386"/>
      <c r="G913" s="387"/>
    </row>
    <row r="914" spans="1:7" x14ac:dyDescent="0.45">
      <c r="A914" s="117">
        <v>1</v>
      </c>
      <c r="B914" s="388"/>
      <c r="C914" s="389"/>
      <c r="E914" s="118">
        <v>3</v>
      </c>
      <c r="F914" s="386"/>
      <c r="G914" s="387"/>
    </row>
    <row r="915" spans="1:7" x14ac:dyDescent="0.45">
      <c r="A915" s="117">
        <v>2</v>
      </c>
      <c r="B915" s="390"/>
      <c r="C915" s="391"/>
      <c r="E915" s="117">
        <v>4</v>
      </c>
      <c r="F915" s="392"/>
      <c r="G915" s="393"/>
    </row>
    <row r="916" spans="1:7" ht="14.65" thickBot="1" x14ac:dyDescent="0.5">
      <c r="A916" s="145">
        <v>3</v>
      </c>
      <c r="B916" s="394"/>
      <c r="C916" s="395"/>
      <c r="E916" s="119">
        <v>5</v>
      </c>
      <c r="F916" s="380"/>
      <c r="G916" s="381"/>
    </row>
    <row r="917" spans="1:7" ht="14.65" thickBot="1" x14ac:dyDescent="0.5"/>
    <row r="918" spans="1:7" x14ac:dyDescent="0.45">
      <c r="A918" s="357" t="s">
        <v>136</v>
      </c>
      <c r="B918" s="358"/>
      <c r="C918" s="358"/>
      <c r="D918" s="358"/>
      <c r="E918" s="358"/>
      <c r="F918" s="358"/>
      <c r="G918" s="359"/>
    </row>
    <row r="919" spans="1:7" ht="14.45" customHeight="1" x14ac:dyDescent="0.45">
      <c r="A919" s="360" t="s">
        <v>137</v>
      </c>
      <c r="B919" s="361"/>
      <c r="C919" s="361"/>
      <c r="D919" s="361"/>
      <c r="E919" s="361"/>
      <c r="F919" s="361"/>
      <c r="G919" s="362"/>
    </row>
    <row r="920" spans="1:7" ht="14.45" customHeight="1" x14ac:dyDescent="0.45">
      <c r="A920" s="360" t="s">
        <v>164</v>
      </c>
      <c r="B920" s="361"/>
      <c r="C920" s="361"/>
      <c r="D920" s="361"/>
      <c r="E920" s="361"/>
      <c r="F920" s="361"/>
      <c r="G920" s="362"/>
    </row>
    <row r="921" spans="1:7" ht="14.45" customHeight="1" x14ac:dyDescent="0.45">
      <c r="A921" s="363" t="s">
        <v>136</v>
      </c>
      <c r="B921" s="364"/>
      <c r="C921" s="365"/>
      <c r="D921" s="366" t="s">
        <v>203</v>
      </c>
      <c r="E921" s="365"/>
      <c r="F921" s="366" t="s">
        <v>165</v>
      </c>
      <c r="G921" s="365"/>
    </row>
    <row r="922" spans="1:7" ht="46.25" customHeight="1" x14ac:dyDescent="0.45">
      <c r="A922" s="367" t="s">
        <v>206</v>
      </c>
      <c r="B922" s="368"/>
      <c r="C922" s="369"/>
      <c r="D922" s="376" t="s">
        <v>204</v>
      </c>
      <c r="E922" s="369"/>
      <c r="F922" s="379" t="s">
        <v>205</v>
      </c>
      <c r="G922" s="369"/>
    </row>
    <row r="923" spans="1:7" ht="46.25" customHeight="1" x14ac:dyDescent="0.45">
      <c r="A923" s="370"/>
      <c r="B923" s="371"/>
      <c r="C923" s="372"/>
      <c r="D923" s="377"/>
      <c r="E923" s="372"/>
      <c r="F923" s="377"/>
      <c r="G923" s="372"/>
    </row>
    <row r="924" spans="1:7" ht="46.25" customHeight="1" x14ac:dyDescent="0.45">
      <c r="A924" s="373"/>
      <c r="B924" s="374"/>
      <c r="C924" s="375"/>
      <c r="D924" s="378"/>
      <c r="E924" s="375"/>
      <c r="F924" s="378"/>
      <c r="G924" s="375"/>
    </row>
    <row r="925" spans="1:7" ht="28.25" customHeight="1" x14ac:dyDescent="0.45">
      <c r="A925" s="327"/>
      <c r="B925" s="328"/>
      <c r="C925" s="329"/>
      <c r="D925" s="336"/>
      <c r="E925" s="329"/>
      <c r="F925" s="336"/>
      <c r="G925" s="339"/>
    </row>
    <row r="926" spans="1:7" ht="28.25" customHeight="1" x14ac:dyDescent="0.45">
      <c r="A926" s="330"/>
      <c r="B926" s="331"/>
      <c r="C926" s="332"/>
      <c r="D926" s="337"/>
      <c r="E926" s="332"/>
      <c r="F926" s="337"/>
      <c r="G926" s="340"/>
    </row>
    <row r="927" spans="1:7" ht="28.25" customHeight="1" x14ac:dyDescent="0.45">
      <c r="A927" s="333"/>
      <c r="B927" s="334"/>
      <c r="C927" s="335"/>
      <c r="D927" s="338"/>
      <c r="E927" s="335"/>
      <c r="F927" s="338"/>
      <c r="G927" s="341"/>
    </row>
    <row r="928" spans="1:7" ht="28.25" customHeight="1" x14ac:dyDescent="0.45">
      <c r="A928" s="327"/>
      <c r="B928" s="328"/>
      <c r="C928" s="329"/>
      <c r="D928" s="336"/>
      <c r="E928" s="329"/>
      <c r="F928" s="336"/>
      <c r="G928" s="339"/>
    </row>
    <row r="929" spans="1:7" ht="28.25" customHeight="1" x14ac:dyDescent="0.45">
      <c r="A929" s="330"/>
      <c r="B929" s="331"/>
      <c r="C929" s="332"/>
      <c r="D929" s="337"/>
      <c r="E929" s="332"/>
      <c r="F929" s="337"/>
      <c r="G929" s="340"/>
    </row>
    <row r="930" spans="1:7" ht="28.25" customHeight="1" x14ac:dyDescent="0.45">
      <c r="A930" s="333"/>
      <c r="B930" s="334"/>
      <c r="C930" s="335"/>
      <c r="D930" s="338"/>
      <c r="E930" s="335"/>
      <c r="F930" s="338"/>
      <c r="G930" s="341"/>
    </row>
    <row r="931" spans="1:7" ht="28.25" customHeight="1" x14ac:dyDescent="0.45">
      <c r="A931" s="342"/>
      <c r="B931" s="343"/>
      <c r="C931" s="344"/>
      <c r="D931" s="351"/>
      <c r="E931" s="344"/>
      <c r="F931" s="351"/>
      <c r="G931" s="354"/>
    </row>
    <row r="932" spans="1:7" ht="28.25" customHeight="1" x14ac:dyDescent="0.45">
      <c r="A932" s="345"/>
      <c r="B932" s="346"/>
      <c r="C932" s="347"/>
      <c r="D932" s="352"/>
      <c r="E932" s="347"/>
      <c r="F932" s="352"/>
      <c r="G932" s="355"/>
    </row>
    <row r="933" spans="1:7" ht="28.25" customHeight="1" thickBot="1" x14ac:dyDescent="0.5">
      <c r="A933" s="348"/>
      <c r="B933" s="349"/>
      <c r="C933" s="350"/>
      <c r="D933" s="353"/>
      <c r="E933" s="350"/>
      <c r="F933" s="353"/>
      <c r="G933" s="356"/>
    </row>
    <row r="935" spans="1:7" s="91" customFormat="1" x14ac:dyDescent="0.45"/>
    <row r="936" spans="1:7" ht="14.65" thickBot="1" x14ac:dyDescent="0.5"/>
    <row r="937" spans="1:7" ht="14.65" thickBot="1" x14ac:dyDescent="0.5">
      <c r="A937" s="84" t="s">
        <v>76</v>
      </c>
      <c r="B937" s="126">
        <v>20</v>
      </c>
      <c r="C937" s="108"/>
      <c r="D937" s="109"/>
      <c r="E937" s="109"/>
      <c r="F937" s="109"/>
      <c r="G937" s="109"/>
    </row>
    <row r="938" spans="1:7" ht="12.6" customHeight="1" x14ac:dyDescent="0.45">
      <c r="A938" s="409" t="s">
        <v>89</v>
      </c>
      <c r="B938" s="411"/>
      <c r="C938" s="401"/>
      <c r="D938" s="401"/>
      <c r="E938" s="401"/>
      <c r="F938" s="401"/>
      <c r="G938" s="402"/>
    </row>
    <row r="939" spans="1:7" ht="12.6" customHeight="1" x14ac:dyDescent="0.45">
      <c r="A939" s="409"/>
      <c r="B939" s="411"/>
      <c r="C939" s="401"/>
      <c r="D939" s="401"/>
      <c r="E939" s="401"/>
      <c r="F939" s="401"/>
      <c r="G939" s="402"/>
    </row>
    <row r="940" spans="1:7" ht="12.6" customHeight="1" x14ac:dyDescent="0.45">
      <c r="A940" s="410"/>
      <c r="B940" s="411"/>
      <c r="C940" s="401"/>
      <c r="D940" s="401"/>
      <c r="E940" s="401"/>
      <c r="F940" s="401"/>
      <c r="G940" s="402"/>
    </row>
    <row r="941" spans="1:7" ht="31.8" customHeight="1" x14ac:dyDescent="0.45">
      <c r="A941" s="412" t="s">
        <v>160</v>
      </c>
      <c r="B941" s="413"/>
      <c r="C941" s="399"/>
      <c r="D941" s="399"/>
      <c r="E941" s="399"/>
      <c r="F941" s="399"/>
      <c r="G941" s="400"/>
    </row>
    <row r="942" spans="1:7" ht="31.8" customHeight="1" x14ac:dyDescent="0.45">
      <c r="A942" s="409"/>
      <c r="B942" s="411"/>
      <c r="C942" s="401"/>
      <c r="D942" s="401"/>
      <c r="E942" s="401"/>
      <c r="F942" s="401"/>
      <c r="G942" s="402"/>
    </row>
    <row r="943" spans="1:7" ht="31.8" customHeight="1" x14ac:dyDescent="0.45">
      <c r="A943" s="410"/>
      <c r="B943" s="411"/>
      <c r="C943" s="401"/>
      <c r="D943" s="401"/>
      <c r="E943" s="401"/>
      <c r="F943" s="401"/>
      <c r="G943" s="402"/>
    </row>
    <row r="944" spans="1:7" x14ac:dyDescent="0.45">
      <c r="A944" s="412" t="s">
        <v>155</v>
      </c>
      <c r="B944" s="414"/>
      <c r="C944" s="415"/>
      <c r="D944" s="415"/>
      <c r="E944" s="415"/>
      <c r="F944" s="417" t="s">
        <v>167</v>
      </c>
      <c r="G944" s="419"/>
    </row>
    <row r="945" spans="1:7" x14ac:dyDescent="0.45">
      <c r="A945" s="409"/>
      <c r="B945" s="411"/>
      <c r="C945" s="401"/>
      <c r="D945" s="401"/>
      <c r="E945" s="401"/>
      <c r="F945" s="418"/>
      <c r="G945" s="420"/>
    </row>
    <row r="946" spans="1:7" x14ac:dyDescent="0.45">
      <c r="A946" s="409"/>
      <c r="B946" s="416"/>
      <c r="C946" s="403"/>
      <c r="D946" s="403"/>
      <c r="E946" s="403"/>
      <c r="F946" s="418"/>
      <c r="G946" s="421"/>
    </row>
    <row r="947" spans="1:7" x14ac:dyDescent="0.45">
      <c r="A947" s="412" t="s">
        <v>159</v>
      </c>
      <c r="B947" s="411"/>
      <c r="C947" s="401"/>
      <c r="D947" s="401"/>
      <c r="E947" s="401"/>
      <c r="F947" s="401"/>
      <c r="G947" s="402"/>
    </row>
    <row r="948" spans="1:7" x14ac:dyDescent="0.45">
      <c r="A948" s="409"/>
      <c r="B948" s="411"/>
      <c r="C948" s="401"/>
      <c r="D948" s="401"/>
      <c r="E948" s="401"/>
      <c r="F948" s="401"/>
      <c r="G948" s="402"/>
    </row>
    <row r="949" spans="1:7" x14ac:dyDescent="0.45">
      <c r="A949" s="410"/>
      <c r="B949" s="416"/>
      <c r="C949" s="403"/>
      <c r="D949" s="403"/>
      <c r="E949" s="403"/>
      <c r="F949" s="403"/>
      <c r="G949" s="404"/>
    </row>
    <row r="950" spans="1:7" x14ac:dyDescent="0.45">
      <c r="A950" s="396" t="s">
        <v>161</v>
      </c>
      <c r="B950" s="399"/>
      <c r="C950" s="399"/>
      <c r="D950" s="399"/>
      <c r="E950" s="399"/>
      <c r="F950" s="399"/>
      <c r="G950" s="400"/>
    </row>
    <row r="951" spans="1:7" x14ac:dyDescent="0.45">
      <c r="A951" s="397"/>
      <c r="B951" s="401"/>
      <c r="C951" s="401"/>
      <c r="D951" s="401"/>
      <c r="E951" s="401"/>
      <c r="F951" s="401"/>
      <c r="G951" s="402"/>
    </row>
    <row r="952" spans="1:7" x14ac:dyDescent="0.45">
      <c r="A952" s="398"/>
      <c r="B952" s="403"/>
      <c r="C952" s="403"/>
      <c r="D952" s="403"/>
      <c r="E952" s="403"/>
      <c r="F952" s="403"/>
      <c r="G952" s="404"/>
    </row>
    <row r="953" spans="1:7" ht="14.65" thickBot="1" x14ac:dyDescent="0.5">
      <c r="A953" s="85" t="s">
        <v>166</v>
      </c>
      <c r="B953" s="405"/>
      <c r="C953" s="405"/>
      <c r="D953" s="405"/>
      <c r="E953" s="405"/>
      <c r="F953" s="405"/>
      <c r="G953" s="406"/>
    </row>
    <row r="954" spans="1:7" ht="14.65" thickBot="1" x14ac:dyDescent="0.5"/>
    <row r="955" spans="1:7" ht="15" customHeight="1" thickBot="1" x14ac:dyDescent="0.5">
      <c r="A955" s="407" t="s">
        <v>77</v>
      </c>
      <c r="B955" s="408"/>
      <c r="C955" s="69"/>
      <c r="E955" s="86" t="s">
        <v>22</v>
      </c>
      <c r="F955" s="62"/>
      <c r="G955" s="62"/>
    </row>
    <row r="956" spans="1:7" ht="14.65" thickBot="1" x14ac:dyDescent="0.5">
      <c r="A956" s="106"/>
      <c r="B956" s="106"/>
      <c r="E956" s="88" t="s">
        <v>32</v>
      </c>
      <c r="F956" s="382"/>
      <c r="G956" s="383"/>
    </row>
    <row r="957" spans="1:7" ht="14.65" thickBot="1" x14ac:dyDescent="0.5">
      <c r="A957" s="107" t="s">
        <v>103</v>
      </c>
      <c r="B957" s="106"/>
      <c r="E957" s="88" t="s">
        <v>34</v>
      </c>
      <c r="F957" s="386"/>
      <c r="G957" s="387"/>
    </row>
    <row r="958" spans="1:7" ht="14.65" thickBot="1" x14ac:dyDescent="0.5">
      <c r="A958" s="88" t="s">
        <v>32</v>
      </c>
      <c r="B958" s="382"/>
      <c r="C958" s="383"/>
      <c r="E958" s="89" t="s">
        <v>35</v>
      </c>
      <c r="F958" s="380"/>
      <c r="G958" s="381"/>
    </row>
    <row r="959" spans="1:7" ht="14.65" thickBot="1" x14ac:dyDescent="0.5">
      <c r="A959" s="88" t="s">
        <v>34</v>
      </c>
      <c r="B959" s="386"/>
      <c r="C959" s="387"/>
      <c r="F959" s="62"/>
    </row>
    <row r="960" spans="1:7" ht="15" customHeight="1" thickBot="1" x14ac:dyDescent="0.5">
      <c r="A960" s="89" t="s">
        <v>35</v>
      </c>
      <c r="B960" s="380"/>
      <c r="C960" s="381"/>
      <c r="E960" s="86" t="s">
        <v>31</v>
      </c>
      <c r="F960" s="62"/>
    </row>
    <row r="961" spans="1:7" ht="14.65" thickBot="1" x14ac:dyDescent="0.5">
      <c r="A961" s="87"/>
      <c r="B961" s="62"/>
      <c r="C961" s="62"/>
      <c r="E961" s="117">
        <v>1</v>
      </c>
      <c r="F961" s="382"/>
      <c r="G961" s="383"/>
    </row>
    <row r="962" spans="1:7" ht="15" customHeight="1" thickBot="1" x14ac:dyDescent="0.5">
      <c r="A962" s="384" t="s">
        <v>262</v>
      </c>
      <c r="B962" s="385"/>
      <c r="E962" s="117">
        <v>2</v>
      </c>
      <c r="F962" s="386"/>
      <c r="G962" s="387"/>
    </row>
    <row r="963" spans="1:7" x14ac:dyDescent="0.45">
      <c r="A963" s="117">
        <v>1</v>
      </c>
      <c r="B963" s="388"/>
      <c r="C963" s="389"/>
      <c r="E963" s="118">
        <v>3</v>
      </c>
      <c r="F963" s="386"/>
      <c r="G963" s="387"/>
    </row>
    <row r="964" spans="1:7" x14ac:dyDescent="0.45">
      <c r="A964" s="117">
        <v>2</v>
      </c>
      <c r="B964" s="390"/>
      <c r="C964" s="391"/>
      <c r="E964" s="117">
        <v>4</v>
      </c>
      <c r="F964" s="392"/>
      <c r="G964" s="393"/>
    </row>
    <row r="965" spans="1:7" ht="14.65" thickBot="1" x14ac:dyDescent="0.5">
      <c r="A965" s="145">
        <v>3</v>
      </c>
      <c r="B965" s="394"/>
      <c r="C965" s="395"/>
      <c r="E965" s="119">
        <v>5</v>
      </c>
      <c r="F965" s="380"/>
      <c r="G965" s="381"/>
    </row>
    <row r="966" spans="1:7" ht="14.65" thickBot="1" x14ac:dyDescent="0.5"/>
    <row r="967" spans="1:7" x14ac:dyDescent="0.45">
      <c r="A967" s="357" t="s">
        <v>136</v>
      </c>
      <c r="B967" s="358"/>
      <c r="C967" s="358"/>
      <c r="D967" s="358"/>
      <c r="E967" s="358"/>
      <c r="F967" s="358"/>
      <c r="G967" s="359"/>
    </row>
    <row r="968" spans="1:7" ht="14.45" customHeight="1" x14ac:dyDescent="0.45">
      <c r="A968" s="360" t="s">
        <v>137</v>
      </c>
      <c r="B968" s="361"/>
      <c r="C968" s="361"/>
      <c r="D968" s="361"/>
      <c r="E968" s="361"/>
      <c r="F968" s="361"/>
      <c r="G968" s="362"/>
    </row>
    <row r="969" spans="1:7" ht="14.45" customHeight="1" x14ac:dyDescent="0.45">
      <c r="A969" s="360" t="s">
        <v>164</v>
      </c>
      <c r="B969" s="361"/>
      <c r="C969" s="361"/>
      <c r="D969" s="361"/>
      <c r="E969" s="361"/>
      <c r="F969" s="361"/>
      <c r="G969" s="362"/>
    </row>
    <row r="970" spans="1:7" ht="14.45" customHeight="1" x14ac:dyDescent="0.45">
      <c r="A970" s="363" t="s">
        <v>136</v>
      </c>
      <c r="B970" s="364"/>
      <c r="C970" s="365"/>
      <c r="D970" s="366" t="s">
        <v>203</v>
      </c>
      <c r="E970" s="365"/>
      <c r="F970" s="366" t="s">
        <v>165</v>
      </c>
      <c r="G970" s="365"/>
    </row>
    <row r="971" spans="1:7" ht="46.25" customHeight="1" x14ac:dyDescent="0.45">
      <c r="A971" s="367" t="s">
        <v>206</v>
      </c>
      <c r="B971" s="368"/>
      <c r="C971" s="369"/>
      <c r="D971" s="376" t="s">
        <v>204</v>
      </c>
      <c r="E971" s="369"/>
      <c r="F971" s="379" t="s">
        <v>205</v>
      </c>
      <c r="G971" s="369"/>
    </row>
    <row r="972" spans="1:7" ht="46.25" customHeight="1" x14ac:dyDescent="0.45">
      <c r="A972" s="370"/>
      <c r="B972" s="371"/>
      <c r="C972" s="372"/>
      <c r="D972" s="377"/>
      <c r="E972" s="372"/>
      <c r="F972" s="377"/>
      <c r="G972" s="372"/>
    </row>
    <row r="973" spans="1:7" ht="46.25" customHeight="1" x14ac:dyDescent="0.45">
      <c r="A973" s="373"/>
      <c r="B973" s="374"/>
      <c r="C973" s="375"/>
      <c r="D973" s="378"/>
      <c r="E973" s="375"/>
      <c r="F973" s="378"/>
      <c r="G973" s="375"/>
    </row>
    <row r="974" spans="1:7" ht="28.25" customHeight="1" x14ac:dyDescent="0.45">
      <c r="A974" s="327"/>
      <c r="B974" s="328"/>
      <c r="C974" s="329"/>
      <c r="D974" s="336"/>
      <c r="E974" s="329"/>
      <c r="F974" s="336"/>
      <c r="G974" s="339"/>
    </row>
    <row r="975" spans="1:7" ht="28.25" customHeight="1" x14ac:dyDescent="0.45">
      <c r="A975" s="330"/>
      <c r="B975" s="331"/>
      <c r="C975" s="332"/>
      <c r="D975" s="337"/>
      <c r="E975" s="332"/>
      <c r="F975" s="337"/>
      <c r="G975" s="340"/>
    </row>
    <row r="976" spans="1:7" ht="28.25" customHeight="1" x14ac:dyDescent="0.45">
      <c r="A976" s="333"/>
      <c r="B976" s="334"/>
      <c r="C976" s="335"/>
      <c r="D976" s="338"/>
      <c r="E976" s="335"/>
      <c r="F976" s="338"/>
      <c r="G976" s="341"/>
    </row>
    <row r="977" spans="1:7" ht="28.25" customHeight="1" x14ac:dyDescent="0.45">
      <c r="A977" s="327"/>
      <c r="B977" s="328"/>
      <c r="C977" s="329"/>
      <c r="D977" s="336"/>
      <c r="E977" s="329"/>
      <c r="F977" s="336"/>
      <c r="G977" s="339"/>
    </row>
    <row r="978" spans="1:7" ht="28.25" customHeight="1" x14ac:dyDescent="0.45">
      <c r="A978" s="330"/>
      <c r="B978" s="331"/>
      <c r="C978" s="332"/>
      <c r="D978" s="337"/>
      <c r="E978" s="332"/>
      <c r="F978" s="337"/>
      <c r="G978" s="340"/>
    </row>
    <row r="979" spans="1:7" ht="28.25" customHeight="1" x14ac:dyDescent="0.45">
      <c r="A979" s="333"/>
      <c r="B979" s="334"/>
      <c r="C979" s="335"/>
      <c r="D979" s="338"/>
      <c r="E979" s="335"/>
      <c r="F979" s="338"/>
      <c r="G979" s="341"/>
    </row>
    <row r="980" spans="1:7" ht="28.25" customHeight="1" x14ac:dyDescent="0.45">
      <c r="A980" s="342"/>
      <c r="B980" s="343"/>
      <c r="C980" s="344"/>
      <c r="D980" s="351"/>
      <c r="E980" s="344"/>
      <c r="F980" s="351"/>
      <c r="G980" s="354"/>
    </row>
    <row r="981" spans="1:7" ht="28.25" customHeight="1" x14ac:dyDescent="0.45">
      <c r="A981" s="345"/>
      <c r="B981" s="346"/>
      <c r="C981" s="347"/>
      <c r="D981" s="352"/>
      <c r="E981" s="347"/>
      <c r="F981" s="352"/>
      <c r="G981" s="355"/>
    </row>
    <row r="982" spans="1:7" ht="28.25" customHeight="1" thickBot="1" x14ac:dyDescent="0.5">
      <c r="A982" s="348"/>
      <c r="B982" s="349"/>
      <c r="C982" s="350"/>
      <c r="D982" s="353"/>
      <c r="E982" s="350"/>
      <c r="F982" s="353"/>
      <c r="G982" s="356"/>
    </row>
    <row r="984" spans="1:7" s="91" customFormat="1" x14ac:dyDescent="0.45">
      <c r="A984" s="92"/>
      <c r="B984" s="92"/>
      <c r="C984" s="92"/>
      <c r="D984" s="92"/>
      <c r="E984" s="92"/>
      <c r="F984" s="92"/>
    </row>
    <row r="985" spans="1:7" ht="14.65" thickBot="1" x14ac:dyDescent="0.5"/>
    <row r="986" spans="1:7" ht="14.65" thickBot="1" x14ac:dyDescent="0.5">
      <c r="A986" s="84" t="s">
        <v>76</v>
      </c>
      <c r="B986" s="126">
        <v>21</v>
      </c>
      <c r="C986" s="108"/>
      <c r="D986" s="109"/>
      <c r="E986" s="109"/>
      <c r="F986" s="109"/>
      <c r="G986" s="109"/>
    </row>
    <row r="987" spans="1:7" ht="12.6" customHeight="1" x14ac:dyDescent="0.45">
      <c r="A987" s="409" t="s">
        <v>89</v>
      </c>
      <c r="B987" s="411"/>
      <c r="C987" s="401"/>
      <c r="D987" s="401"/>
      <c r="E987" s="401"/>
      <c r="F987" s="401"/>
      <c r="G987" s="402"/>
    </row>
    <row r="988" spans="1:7" ht="12.6" customHeight="1" x14ac:dyDescent="0.45">
      <c r="A988" s="409"/>
      <c r="B988" s="411"/>
      <c r="C988" s="401"/>
      <c r="D988" s="401"/>
      <c r="E988" s="401"/>
      <c r="F988" s="401"/>
      <c r="G988" s="402"/>
    </row>
    <row r="989" spans="1:7" ht="12.6" customHeight="1" x14ac:dyDescent="0.45">
      <c r="A989" s="410"/>
      <c r="B989" s="411"/>
      <c r="C989" s="401"/>
      <c r="D989" s="401"/>
      <c r="E989" s="401"/>
      <c r="F989" s="401"/>
      <c r="G989" s="402"/>
    </row>
    <row r="990" spans="1:7" ht="31.8" customHeight="1" x14ac:dyDescent="0.45">
      <c r="A990" s="412" t="s">
        <v>158</v>
      </c>
      <c r="B990" s="413"/>
      <c r="C990" s="399"/>
      <c r="D990" s="399"/>
      <c r="E990" s="399"/>
      <c r="F990" s="399"/>
      <c r="G990" s="400"/>
    </row>
    <row r="991" spans="1:7" ht="31.8" customHeight="1" x14ac:dyDescent="0.45">
      <c r="A991" s="409"/>
      <c r="B991" s="411"/>
      <c r="C991" s="401"/>
      <c r="D991" s="401"/>
      <c r="E991" s="401"/>
      <c r="F991" s="401"/>
      <c r="G991" s="402"/>
    </row>
    <row r="992" spans="1:7" ht="31.8" customHeight="1" x14ac:dyDescent="0.45">
      <c r="A992" s="410"/>
      <c r="B992" s="411"/>
      <c r="C992" s="401"/>
      <c r="D992" s="401"/>
      <c r="E992" s="401"/>
      <c r="F992" s="401"/>
      <c r="G992" s="402"/>
    </row>
    <row r="993" spans="1:7" x14ac:dyDescent="0.45">
      <c r="A993" s="412" t="s">
        <v>155</v>
      </c>
      <c r="B993" s="414"/>
      <c r="C993" s="415"/>
      <c r="D993" s="415"/>
      <c r="E993" s="415"/>
      <c r="F993" s="417" t="s">
        <v>167</v>
      </c>
      <c r="G993" s="419"/>
    </row>
    <row r="994" spans="1:7" x14ac:dyDescent="0.45">
      <c r="A994" s="409"/>
      <c r="B994" s="411"/>
      <c r="C994" s="401"/>
      <c r="D994" s="401"/>
      <c r="E994" s="401"/>
      <c r="F994" s="418"/>
      <c r="G994" s="420"/>
    </row>
    <row r="995" spans="1:7" x14ac:dyDescent="0.45">
      <c r="A995" s="409"/>
      <c r="B995" s="416"/>
      <c r="C995" s="403"/>
      <c r="D995" s="403"/>
      <c r="E995" s="403"/>
      <c r="F995" s="418"/>
      <c r="G995" s="421"/>
    </row>
    <row r="996" spans="1:7" x14ac:dyDescent="0.45">
      <c r="A996" s="412" t="s">
        <v>159</v>
      </c>
      <c r="B996" s="411"/>
      <c r="C996" s="401"/>
      <c r="D996" s="401"/>
      <c r="E996" s="401"/>
      <c r="F996" s="401"/>
      <c r="G996" s="402"/>
    </row>
    <row r="997" spans="1:7" x14ac:dyDescent="0.45">
      <c r="A997" s="409"/>
      <c r="B997" s="411"/>
      <c r="C997" s="401"/>
      <c r="D997" s="401"/>
      <c r="E997" s="401"/>
      <c r="F997" s="401"/>
      <c r="G997" s="402"/>
    </row>
    <row r="998" spans="1:7" x14ac:dyDescent="0.45">
      <c r="A998" s="410"/>
      <c r="B998" s="416"/>
      <c r="C998" s="403"/>
      <c r="D998" s="403"/>
      <c r="E998" s="403"/>
      <c r="F998" s="403"/>
      <c r="G998" s="404"/>
    </row>
    <row r="999" spans="1:7" x14ac:dyDescent="0.45">
      <c r="A999" s="396" t="s">
        <v>161</v>
      </c>
      <c r="B999" s="399"/>
      <c r="C999" s="399"/>
      <c r="D999" s="399"/>
      <c r="E999" s="399"/>
      <c r="F999" s="399"/>
      <c r="G999" s="400"/>
    </row>
    <row r="1000" spans="1:7" x14ac:dyDescent="0.45">
      <c r="A1000" s="397"/>
      <c r="B1000" s="401"/>
      <c r="C1000" s="401"/>
      <c r="D1000" s="401"/>
      <c r="E1000" s="401"/>
      <c r="F1000" s="401"/>
      <c r="G1000" s="402"/>
    </row>
    <row r="1001" spans="1:7" x14ac:dyDescent="0.45">
      <c r="A1001" s="398"/>
      <c r="B1001" s="403"/>
      <c r="C1001" s="403"/>
      <c r="D1001" s="403"/>
      <c r="E1001" s="403"/>
      <c r="F1001" s="403"/>
      <c r="G1001" s="404"/>
    </row>
    <row r="1002" spans="1:7" ht="14.65" thickBot="1" x14ac:dyDescent="0.5">
      <c r="A1002" s="85" t="s">
        <v>166</v>
      </c>
      <c r="B1002" s="405"/>
      <c r="C1002" s="405"/>
      <c r="D1002" s="405"/>
      <c r="E1002" s="405"/>
      <c r="F1002" s="405"/>
      <c r="G1002" s="406"/>
    </row>
    <row r="1003" spans="1:7" ht="14.65" thickBot="1" x14ac:dyDescent="0.5"/>
    <row r="1004" spans="1:7" ht="15" customHeight="1" thickBot="1" x14ac:dyDescent="0.5">
      <c r="A1004" s="407" t="s">
        <v>77</v>
      </c>
      <c r="B1004" s="408"/>
      <c r="C1004" s="69"/>
      <c r="E1004" s="86" t="s">
        <v>22</v>
      </c>
      <c r="F1004" s="62"/>
      <c r="G1004" s="62"/>
    </row>
    <row r="1005" spans="1:7" ht="15" customHeight="1" thickBot="1" x14ac:dyDescent="0.5">
      <c r="A1005" s="106"/>
      <c r="B1005" s="106"/>
      <c r="E1005" s="88" t="s">
        <v>32</v>
      </c>
      <c r="F1005" s="382"/>
      <c r="G1005" s="383"/>
    </row>
    <row r="1006" spans="1:7" ht="15" customHeight="1" thickBot="1" x14ac:dyDescent="0.5">
      <c r="A1006" s="107" t="s">
        <v>103</v>
      </c>
      <c r="B1006" s="106"/>
      <c r="E1006" s="88" t="s">
        <v>34</v>
      </c>
      <c r="F1006" s="386"/>
      <c r="G1006" s="387"/>
    </row>
    <row r="1007" spans="1:7" ht="15" customHeight="1" thickBot="1" x14ac:dyDescent="0.5">
      <c r="A1007" s="88" t="s">
        <v>32</v>
      </c>
      <c r="B1007" s="382"/>
      <c r="C1007" s="383"/>
      <c r="E1007" s="89" t="s">
        <v>35</v>
      </c>
      <c r="F1007" s="380"/>
      <c r="G1007" s="381"/>
    </row>
    <row r="1008" spans="1:7" ht="14.65" thickBot="1" x14ac:dyDescent="0.5">
      <c r="A1008" s="88" t="s">
        <v>34</v>
      </c>
      <c r="B1008" s="386"/>
      <c r="C1008" s="387"/>
      <c r="F1008" s="62"/>
    </row>
    <row r="1009" spans="1:7" ht="15" customHeight="1" thickBot="1" x14ac:dyDescent="0.5">
      <c r="A1009" s="89" t="s">
        <v>35</v>
      </c>
      <c r="B1009" s="380"/>
      <c r="C1009" s="381"/>
      <c r="E1009" s="86" t="s">
        <v>31</v>
      </c>
      <c r="F1009" s="62"/>
    </row>
    <row r="1010" spans="1:7" ht="14.65" thickBot="1" x14ac:dyDescent="0.5">
      <c r="A1010" s="87"/>
      <c r="B1010" s="62"/>
      <c r="C1010" s="62"/>
      <c r="E1010" s="117">
        <v>1</v>
      </c>
      <c r="F1010" s="382"/>
      <c r="G1010" s="383"/>
    </row>
    <row r="1011" spans="1:7" ht="15" customHeight="1" thickBot="1" x14ac:dyDescent="0.5">
      <c r="A1011" s="384" t="s">
        <v>262</v>
      </c>
      <c r="B1011" s="385"/>
      <c r="E1011" s="117">
        <v>2</v>
      </c>
      <c r="F1011" s="386"/>
      <c r="G1011" s="387"/>
    </row>
    <row r="1012" spans="1:7" x14ac:dyDescent="0.45">
      <c r="A1012" s="117">
        <v>1</v>
      </c>
      <c r="B1012" s="388"/>
      <c r="C1012" s="389"/>
      <c r="E1012" s="118">
        <v>3</v>
      </c>
      <c r="F1012" s="386"/>
      <c r="G1012" s="387"/>
    </row>
    <row r="1013" spans="1:7" x14ac:dyDescent="0.45">
      <c r="A1013" s="117">
        <v>2</v>
      </c>
      <c r="B1013" s="390"/>
      <c r="C1013" s="391"/>
      <c r="E1013" s="117">
        <v>4</v>
      </c>
      <c r="F1013" s="392"/>
      <c r="G1013" s="393"/>
    </row>
    <row r="1014" spans="1:7" ht="14.65" thickBot="1" x14ac:dyDescent="0.5">
      <c r="A1014" s="145">
        <v>3</v>
      </c>
      <c r="B1014" s="394"/>
      <c r="C1014" s="395"/>
      <c r="E1014" s="119">
        <v>5</v>
      </c>
      <c r="F1014" s="380"/>
      <c r="G1014" s="381"/>
    </row>
    <row r="1015" spans="1:7" ht="14.65" thickBot="1" x14ac:dyDescent="0.5"/>
    <row r="1016" spans="1:7" x14ac:dyDescent="0.45">
      <c r="A1016" s="357" t="s">
        <v>136</v>
      </c>
      <c r="B1016" s="358"/>
      <c r="C1016" s="358"/>
      <c r="D1016" s="358"/>
      <c r="E1016" s="358"/>
      <c r="F1016" s="358"/>
      <c r="G1016" s="359"/>
    </row>
    <row r="1017" spans="1:7" ht="14.25" customHeight="1" x14ac:dyDescent="0.45">
      <c r="A1017" s="360" t="s">
        <v>137</v>
      </c>
      <c r="B1017" s="361"/>
      <c r="C1017" s="361"/>
      <c r="D1017" s="361"/>
      <c r="E1017" s="361"/>
      <c r="F1017" s="361"/>
      <c r="G1017" s="362"/>
    </row>
    <row r="1018" spans="1:7" ht="14.25" customHeight="1" x14ac:dyDescent="0.45">
      <c r="A1018" s="360" t="s">
        <v>164</v>
      </c>
      <c r="B1018" s="361"/>
      <c r="C1018" s="361"/>
      <c r="D1018" s="361"/>
      <c r="E1018" s="361"/>
      <c r="F1018" s="361"/>
      <c r="G1018" s="362"/>
    </row>
    <row r="1019" spans="1:7" ht="14.45" customHeight="1" x14ac:dyDescent="0.45">
      <c r="A1019" s="363" t="s">
        <v>136</v>
      </c>
      <c r="B1019" s="364"/>
      <c r="C1019" s="365"/>
      <c r="D1019" s="366" t="s">
        <v>203</v>
      </c>
      <c r="E1019" s="365"/>
      <c r="F1019" s="366" t="s">
        <v>165</v>
      </c>
      <c r="G1019" s="365"/>
    </row>
    <row r="1020" spans="1:7" ht="42.6" customHeight="1" x14ac:dyDescent="0.45">
      <c r="A1020" s="367" t="s">
        <v>206</v>
      </c>
      <c r="B1020" s="368"/>
      <c r="C1020" s="369"/>
      <c r="D1020" s="376" t="s">
        <v>204</v>
      </c>
      <c r="E1020" s="369"/>
      <c r="F1020" s="379" t="s">
        <v>205</v>
      </c>
      <c r="G1020" s="369"/>
    </row>
    <row r="1021" spans="1:7" ht="42.6" customHeight="1" x14ac:dyDescent="0.45">
      <c r="A1021" s="370"/>
      <c r="B1021" s="371"/>
      <c r="C1021" s="372"/>
      <c r="D1021" s="377"/>
      <c r="E1021" s="372"/>
      <c r="F1021" s="377"/>
      <c r="G1021" s="372"/>
    </row>
    <row r="1022" spans="1:7" ht="42.6" customHeight="1" x14ac:dyDescent="0.45">
      <c r="A1022" s="373"/>
      <c r="B1022" s="374"/>
      <c r="C1022" s="375"/>
      <c r="D1022" s="378"/>
      <c r="E1022" s="375"/>
      <c r="F1022" s="378"/>
      <c r="G1022" s="375"/>
    </row>
    <row r="1023" spans="1:7" s="83" customFormat="1" ht="28.25" customHeight="1" x14ac:dyDescent="0.45">
      <c r="A1023" s="327"/>
      <c r="B1023" s="328"/>
      <c r="C1023" s="329"/>
      <c r="D1023" s="336"/>
      <c r="E1023" s="329"/>
      <c r="F1023" s="336"/>
      <c r="G1023" s="339"/>
    </row>
    <row r="1024" spans="1:7" ht="28.25" customHeight="1" x14ac:dyDescent="0.45">
      <c r="A1024" s="330"/>
      <c r="B1024" s="331"/>
      <c r="C1024" s="332"/>
      <c r="D1024" s="337"/>
      <c r="E1024" s="332"/>
      <c r="F1024" s="337"/>
      <c r="G1024" s="340"/>
    </row>
    <row r="1025" spans="1:7" ht="28.25" customHeight="1" x14ac:dyDescent="0.45">
      <c r="A1025" s="333"/>
      <c r="B1025" s="334"/>
      <c r="C1025" s="335"/>
      <c r="D1025" s="338"/>
      <c r="E1025" s="335"/>
      <c r="F1025" s="338"/>
      <c r="G1025" s="341"/>
    </row>
    <row r="1026" spans="1:7" ht="28.25" customHeight="1" x14ac:dyDescent="0.45">
      <c r="A1026" s="327"/>
      <c r="B1026" s="328"/>
      <c r="C1026" s="329"/>
      <c r="D1026" s="336"/>
      <c r="E1026" s="329"/>
      <c r="F1026" s="336"/>
      <c r="G1026" s="339"/>
    </row>
    <row r="1027" spans="1:7" ht="28.25" customHeight="1" x14ac:dyDescent="0.45">
      <c r="A1027" s="330"/>
      <c r="B1027" s="331"/>
      <c r="C1027" s="332"/>
      <c r="D1027" s="337"/>
      <c r="E1027" s="332"/>
      <c r="F1027" s="337"/>
      <c r="G1027" s="340"/>
    </row>
    <row r="1028" spans="1:7" ht="28.25" customHeight="1" x14ac:dyDescent="0.45">
      <c r="A1028" s="333"/>
      <c r="B1028" s="334"/>
      <c r="C1028" s="335"/>
      <c r="D1028" s="338"/>
      <c r="E1028" s="335"/>
      <c r="F1028" s="338"/>
      <c r="G1028" s="341"/>
    </row>
    <row r="1029" spans="1:7" ht="28.25" customHeight="1" x14ac:dyDescent="0.45">
      <c r="A1029" s="342"/>
      <c r="B1029" s="343"/>
      <c r="C1029" s="344"/>
      <c r="D1029" s="351"/>
      <c r="E1029" s="344"/>
      <c r="F1029" s="351"/>
      <c r="G1029" s="354"/>
    </row>
    <row r="1030" spans="1:7" ht="28.25" customHeight="1" x14ac:dyDescent="0.45">
      <c r="A1030" s="345"/>
      <c r="B1030" s="346"/>
      <c r="C1030" s="347"/>
      <c r="D1030" s="352"/>
      <c r="E1030" s="347"/>
      <c r="F1030" s="352"/>
      <c r="G1030" s="355"/>
    </row>
    <row r="1031" spans="1:7" ht="28.25" customHeight="1" thickBot="1" x14ac:dyDescent="0.5">
      <c r="A1031" s="348"/>
      <c r="B1031" s="349"/>
      <c r="C1031" s="350"/>
      <c r="D1031" s="353"/>
      <c r="E1031" s="350"/>
      <c r="F1031" s="353"/>
      <c r="G1031" s="356"/>
    </row>
    <row r="1033" spans="1:7" s="91" customFormat="1" x14ac:dyDescent="0.45"/>
    <row r="1034" spans="1:7" ht="14.65" thickBot="1" x14ac:dyDescent="0.5"/>
    <row r="1035" spans="1:7" ht="14.65" thickBot="1" x14ac:dyDescent="0.5">
      <c r="A1035" s="84" t="s">
        <v>76</v>
      </c>
      <c r="B1035" s="126">
        <v>22</v>
      </c>
      <c r="C1035" s="108"/>
      <c r="D1035" s="109"/>
      <c r="E1035" s="109"/>
      <c r="F1035" s="109"/>
      <c r="G1035" s="109"/>
    </row>
    <row r="1036" spans="1:7" ht="12.6" customHeight="1" x14ac:dyDescent="0.45">
      <c r="A1036" s="409" t="s">
        <v>89</v>
      </c>
      <c r="B1036" s="411"/>
      <c r="C1036" s="401"/>
      <c r="D1036" s="401"/>
      <c r="E1036" s="401"/>
      <c r="F1036" s="401"/>
      <c r="G1036" s="402"/>
    </row>
    <row r="1037" spans="1:7" ht="12.6" customHeight="1" x14ac:dyDescent="0.45">
      <c r="A1037" s="409"/>
      <c r="B1037" s="411"/>
      <c r="C1037" s="401"/>
      <c r="D1037" s="401"/>
      <c r="E1037" s="401"/>
      <c r="F1037" s="401"/>
      <c r="G1037" s="402"/>
    </row>
    <row r="1038" spans="1:7" ht="12.6" customHeight="1" x14ac:dyDescent="0.45">
      <c r="A1038" s="410"/>
      <c r="B1038" s="411"/>
      <c r="C1038" s="401"/>
      <c r="D1038" s="401"/>
      <c r="E1038" s="401"/>
      <c r="F1038" s="401"/>
      <c r="G1038" s="402"/>
    </row>
    <row r="1039" spans="1:7" ht="31.8" customHeight="1" x14ac:dyDescent="0.45">
      <c r="A1039" s="412" t="s">
        <v>160</v>
      </c>
      <c r="B1039" s="413"/>
      <c r="C1039" s="399"/>
      <c r="D1039" s="399"/>
      <c r="E1039" s="399"/>
      <c r="F1039" s="399"/>
      <c r="G1039" s="400"/>
    </row>
    <row r="1040" spans="1:7" ht="31.8" customHeight="1" x14ac:dyDescent="0.45">
      <c r="A1040" s="409"/>
      <c r="B1040" s="411"/>
      <c r="C1040" s="401"/>
      <c r="D1040" s="401"/>
      <c r="E1040" s="401"/>
      <c r="F1040" s="401"/>
      <c r="G1040" s="402"/>
    </row>
    <row r="1041" spans="1:7" ht="31.8" customHeight="1" x14ac:dyDescent="0.45">
      <c r="A1041" s="410"/>
      <c r="B1041" s="411"/>
      <c r="C1041" s="401"/>
      <c r="D1041" s="401"/>
      <c r="E1041" s="401"/>
      <c r="F1041" s="401"/>
      <c r="G1041" s="402"/>
    </row>
    <row r="1042" spans="1:7" x14ac:dyDescent="0.45">
      <c r="A1042" s="412" t="s">
        <v>155</v>
      </c>
      <c r="B1042" s="414"/>
      <c r="C1042" s="415"/>
      <c r="D1042" s="415"/>
      <c r="E1042" s="415"/>
      <c r="F1042" s="417" t="s">
        <v>167</v>
      </c>
      <c r="G1042" s="419"/>
    </row>
    <row r="1043" spans="1:7" x14ac:dyDescent="0.45">
      <c r="A1043" s="409"/>
      <c r="B1043" s="411"/>
      <c r="C1043" s="401"/>
      <c r="D1043" s="401"/>
      <c r="E1043" s="401"/>
      <c r="F1043" s="418"/>
      <c r="G1043" s="420"/>
    </row>
    <row r="1044" spans="1:7" ht="15" customHeight="1" x14ac:dyDescent="0.45">
      <c r="A1044" s="409"/>
      <c r="B1044" s="416"/>
      <c r="C1044" s="403"/>
      <c r="D1044" s="403"/>
      <c r="E1044" s="403"/>
      <c r="F1044" s="418"/>
      <c r="G1044" s="421"/>
    </row>
    <row r="1045" spans="1:7" x14ac:dyDescent="0.45">
      <c r="A1045" s="412" t="s">
        <v>159</v>
      </c>
      <c r="B1045" s="411"/>
      <c r="C1045" s="401"/>
      <c r="D1045" s="401"/>
      <c r="E1045" s="401"/>
      <c r="F1045" s="401"/>
      <c r="G1045" s="402"/>
    </row>
    <row r="1046" spans="1:7" x14ac:dyDescent="0.45">
      <c r="A1046" s="409"/>
      <c r="B1046" s="411"/>
      <c r="C1046" s="401"/>
      <c r="D1046" s="401"/>
      <c r="E1046" s="401"/>
      <c r="F1046" s="401"/>
      <c r="G1046" s="402"/>
    </row>
    <row r="1047" spans="1:7" x14ac:dyDescent="0.45">
      <c r="A1047" s="410"/>
      <c r="B1047" s="416"/>
      <c r="C1047" s="403"/>
      <c r="D1047" s="403"/>
      <c r="E1047" s="403"/>
      <c r="F1047" s="403"/>
      <c r="G1047" s="404"/>
    </row>
    <row r="1048" spans="1:7" ht="15" customHeight="1" x14ac:dyDescent="0.45">
      <c r="A1048" s="396" t="s">
        <v>161</v>
      </c>
      <c r="B1048" s="399"/>
      <c r="C1048" s="399"/>
      <c r="D1048" s="399"/>
      <c r="E1048" s="399"/>
      <c r="F1048" s="399"/>
      <c r="G1048" s="400"/>
    </row>
    <row r="1049" spans="1:7" x14ac:dyDescent="0.45">
      <c r="A1049" s="397"/>
      <c r="B1049" s="401"/>
      <c r="C1049" s="401"/>
      <c r="D1049" s="401"/>
      <c r="E1049" s="401"/>
      <c r="F1049" s="401"/>
      <c r="G1049" s="402"/>
    </row>
    <row r="1050" spans="1:7" x14ac:dyDescent="0.45">
      <c r="A1050" s="398"/>
      <c r="B1050" s="403"/>
      <c r="C1050" s="403"/>
      <c r="D1050" s="403"/>
      <c r="E1050" s="403"/>
      <c r="F1050" s="403"/>
      <c r="G1050" s="404"/>
    </row>
    <row r="1051" spans="1:7" ht="14.65" thickBot="1" x14ac:dyDescent="0.5">
      <c r="A1051" s="85" t="s">
        <v>166</v>
      </c>
      <c r="B1051" s="405"/>
      <c r="C1051" s="405"/>
      <c r="D1051" s="405"/>
      <c r="E1051" s="405"/>
      <c r="F1051" s="405"/>
      <c r="G1051" s="406"/>
    </row>
    <row r="1052" spans="1:7" s="90" customFormat="1" ht="14.65" thickBot="1" x14ac:dyDescent="0.5">
      <c r="A1052" s="61"/>
      <c r="B1052" s="61"/>
      <c r="C1052" s="61"/>
      <c r="D1052" s="61"/>
      <c r="E1052" s="61"/>
      <c r="F1052" s="61"/>
    </row>
    <row r="1053" spans="1:7" ht="15" customHeight="1" thickBot="1" x14ac:dyDescent="0.5">
      <c r="A1053" s="407" t="s">
        <v>77</v>
      </c>
      <c r="B1053" s="408"/>
      <c r="C1053" s="69"/>
      <c r="E1053" s="86" t="s">
        <v>22</v>
      </c>
      <c r="F1053" s="62"/>
      <c r="G1053" s="62"/>
    </row>
    <row r="1054" spans="1:7" ht="14.65" thickBot="1" x14ac:dyDescent="0.5">
      <c r="A1054" s="106"/>
      <c r="B1054" s="106"/>
      <c r="E1054" s="88" t="s">
        <v>32</v>
      </c>
      <c r="F1054" s="382"/>
      <c r="G1054" s="383"/>
    </row>
    <row r="1055" spans="1:7" ht="14.65" thickBot="1" x14ac:dyDescent="0.5">
      <c r="A1055" s="107" t="s">
        <v>103</v>
      </c>
      <c r="B1055" s="106"/>
      <c r="E1055" s="88" t="s">
        <v>34</v>
      </c>
      <c r="F1055" s="386"/>
      <c r="G1055" s="387"/>
    </row>
    <row r="1056" spans="1:7" ht="14.65" thickBot="1" x14ac:dyDescent="0.5">
      <c r="A1056" s="88" t="s">
        <v>32</v>
      </c>
      <c r="B1056" s="382"/>
      <c r="C1056" s="383"/>
      <c r="E1056" s="89" t="s">
        <v>35</v>
      </c>
      <c r="F1056" s="380"/>
      <c r="G1056" s="381"/>
    </row>
    <row r="1057" spans="1:7" ht="14.65" thickBot="1" x14ac:dyDescent="0.5">
      <c r="A1057" s="88" t="s">
        <v>34</v>
      </c>
      <c r="B1057" s="386"/>
      <c r="C1057" s="387"/>
      <c r="F1057" s="62"/>
    </row>
    <row r="1058" spans="1:7" ht="15" customHeight="1" thickBot="1" x14ac:dyDescent="0.5">
      <c r="A1058" s="89" t="s">
        <v>35</v>
      </c>
      <c r="B1058" s="380"/>
      <c r="C1058" s="381"/>
      <c r="E1058" s="86" t="s">
        <v>31</v>
      </c>
      <c r="F1058" s="62"/>
    </row>
    <row r="1059" spans="1:7" ht="14.65" thickBot="1" x14ac:dyDescent="0.5">
      <c r="A1059" s="87"/>
      <c r="B1059" s="62"/>
      <c r="C1059" s="62"/>
      <c r="E1059" s="117">
        <v>1</v>
      </c>
      <c r="F1059" s="382"/>
      <c r="G1059" s="383"/>
    </row>
    <row r="1060" spans="1:7" ht="15" customHeight="1" thickBot="1" x14ac:dyDescent="0.5">
      <c r="A1060" s="384" t="s">
        <v>262</v>
      </c>
      <c r="B1060" s="385"/>
      <c r="E1060" s="117">
        <v>2</v>
      </c>
      <c r="F1060" s="386"/>
      <c r="G1060" s="387"/>
    </row>
    <row r="1061" spans="1:7" x14ac:dyDescent="0.45">
      <c r="A1061" s="117">
        <v>1</v>
      </c>
      <c r="B1061" s="388"/>
      <c r="C1061" s="389"/>
      <c r="E1061" s="118">
        <v>3</v>
      </c>
      <c r="F1061" s="386"/>
      <c r="G1061" s="387"/>
    </row>
    <row r="1062" spans="1:7" x14ac:dyDescent="0.45">
      <c r="A1062" s="117">
        <v>2</v>
      </c>
      <c r="B1062" s="390"/>
      <c r="C1062" s="391"/>
      <c r="E1062" s="117">
        <v>4</v>
      </c>
      <c r="F1062" s="392"/>
      <c r="G1062" s="393"/>
    </row>
    <row r="1063" spans="1:7" s="83" customFormat="1" ht="14.65" thickBot="1" x14ac:dyDescent="0.5">
      <c r="A1063" s="145">
        <v>3</v>
      </c>
      <c r="B1063" s="394"/>
      <c r="C1063" s="395"/>
      <c r="D1063" s="61"/>
      <c r="E1063" s="119">
        <v>5</v>
      </c>
      <c r="F1063" s="380"/>
      <c r="G1063" s="381"/>
    </row>
    <row r="1064" spans="1:7" ht="12.6" customHeight="1" thickBot="1" x14ac:dyDescent="0.5"/>
    <row r="1065" spans="1:7" ht="12.6" customHeight="1" x14ac:dyDescent="0.45">
      <c r="A1065" s="357" t="s">
        <v>136</v>
      </c>
      <c r="B1065" s="358"/>
      <c r="C1065" s="358"/>
      <c r="D1065" s="358"/>
      <c r="E1065" s="358"/>
      <c r="F1065" s="358"/>
      <c r="G1065" s="359"/>
    </row>
    <row r="1066" spans="1:7" ht="12.6" customHeight="1" x14ac:dyDescent="0.45">
      <c r="A1066" s="360" t="s">
        <v>137</v>
      </c>
      <c r="B1066" s="361"/>
      <c r="C1066" s="361"/>
      <c r="D1066" s="361"/>
      <c r="E1066" s="361"/>
      <c r="F1066" s="361"/>
      <c r="G1066" s="362"/>
    </row>
    <row r="1067" spans="1:7" ht="14.45" customHeight="1" x14ac:dyDescent="0.45">
      <c r="A1067" s="360" t="s">
        <v>164</v>
      </c>
      <c r="B1067" s="361"/>
      <c r="C1067" s="361"/>
      <c r="D1067" s="361"/>
      <c r="E1067" s="361"/>
      <c r="F1067" s="361"/>
      <c r="G1067" s="362"/>
    </row>
    <row r="1068" spans="1:7" ht="14.45" customHeight="1" x14ac:dyDescent="0.45">
      <c r="A1068" s="363" t="s">
        <v>136</v>
      </c>
      <c r="B1068" s="364"/>
      <c r="C1068" s="365"/>
      <c r="D1068" s="366" t="s">
        <v>203</v>
      </c>
      <c r="E1068" s="365"/>
      <c r="F1068" s="366" t="s">
        <v>165</v>
      </c>
      <c r="G1068" s="365"/>
    </row>
    <row r="1069" spans="1:7" ht="46.25" customHeight="1" x14ac:dyDescent="0.45">
      <c r="A1069" s="367" t="s">
        <v>206</v>
      </c>
      <c r="B1069" s="368"/>
      <c r="C1069" s="369"/>
      <c r="D1069" s="376" t="s">
        <v>204</v>
      </c>
      <c r="E1069" s="369"/>
      <c r="F1069" s="379" t="s">
        <v>205</v>
      </c>
      <c r="G1069" s="369"/>
    </row>
    <row r="1070" spans="1:7" ht="46.25" customHeight="1" x14ac:dyDescent="0.45">
      <c r="A1070" s="370"/>
      <c r="B1070" s="371"/>
      <c r="C1070" s="372"/>
      <c r="D1070" s="377"/>
      <c r="E1070" s="372"/>
      <c r="F1070" s="377"/>
      <c r="G1070" s="372"/>
    </row>
    <row r="1071" spans="1:7" ht="46.25" customHeight="1" x14ac:dyDescent="0.45">
      <c r="A1071" s="373"/>
      <c r="B1071" s="374"/>
      <c r="C1071" s="375"/>
      <c r="D1071" s="378"/>
      <c r="E1071" s="375"/>
      <c r="F1071" s="378"/>
      <c r="G1071" s="375"/>
    </row>
    <row r="1072" spans="1:7" ht="28.25" customHeight="1" x14ac:dyDescent="0.45">
      <c r="A1072" s="327"/>
      <c r="B1072" s="328"/>
      <c r="C1072" s="329"/>
      <c r="D1072" s="336"/>
      <c r="E1072" s="329"/>
      <c r="F1072" s="336"/>
      <c r="G1072" s="339"/>
    </row>
    <row r="1073" spans="1:7" ht="28.25" customHeight="1" x14ac:dyDescent="0.45">
      <c r="A1073" s="330"/>
      <c r="B1073" s="331"/>
      <c r="C1073" s="332"/>
      <c r="D1073" s="337"/>
      <c r="E1073" s="332"/>
      <c r="F1073" s="337"/>
      <c r="G1073" s="340"/>
    </row>
    <row r="1074" spans="1:7" ht="28.25" customHeight="1" x14ac:dyDescent="0.45">
      <c r="A1074" s="333"/>
      <c r="B1074" s="334"/>
      <c r="C1074" s="335"/>
      <c r="D1074" s="338"/>
      <c r="E1074" s="335"/>
      <c r="F1074" s="338"/>
      <c r="G1074" s="341"/>
    </row>
    <row r="1075" spans="1:7" ht="28.25" customHeight="1" x14ac:dyDescent="0.45">
      <c r="A1075" s="327"/>
      <c r="B1075" s="328"/>
      <c r="C1075" s="329"/>
      <c r="D1075" s="336"/>
      <c r="E1075" s="329"/>
      <c r="F1075" s="336"/>
      <c r="G1075" s="339"/>
    </row>
    <row r="1076" spans="1:7" ht="28.25" customHeight="1" x14ac:dyDescent="0.45">
      <c r="A1076" s="330"/>
      <c r="B1076" s="331"/>
      <c r="C1076" s="332"/>
      <c r="D1076" s="337"/>
      <c r="E1076" s="332"/>
      <c r="F1076" s="337"/>
      <c r="G1076" s="340"/>
    </row>
    <row r="1077" spans="1:7" ht="28.25" customHeight="1" x14ac:dyDescent="0.45">
      <c r="A1077" s="333"/>
      <c r="B1077" s="334"/>
      <c r="C1077" s="335"/>
      <c r="D1077" s="338"/>
      <c r="E1077" s="335"/>
      <c r="F1077" s="338"/>
      <c r="G1077" s="341"/>
    </row>
    <row r="1078" spans="1:7" ht="28.25" customHeight="1" x14ac:dyDescent="0.45">
      <c r="A1078" s="342"/>
      <c r="B1078" s="343"/>
      <c r="C1078" s="344"/>
      <c r="D1078" s="351"/>
      <c r="E1078" s="344"/>
      <c r="F1078" s="351"/>
      <c r="G1078" s="354"/>
    </row>
    <row r="1079" spans="1:7" ht="28.25" customHeight="1" x14ac:dyDescent="0.45">
      <c r="A1079" s="345"/>
      <c r="B1079" s="346"/>
      <c r="C1079" s="347"/>
      <c r="D1079" s="352"/>
      <c r="E1079" s="347"/>
      <c r="F1079" s="352"/>
      <c r="G1079" s="355"/>
    </row>
    <row r="1080" spans="1:7" ht="28.25" customHeight="1" thickBot="1" x14ac:dyDescent="0.5">
      <c r="A1080" s="348"/>
      <c r="B1080" s="349"/>
      <c r="C1080" s="350"/>
      <c r="D1080" s="353"/>
      <c r="E1080" s="350"/>
      <c r="F1080" s="353"/>
      <c r="G1080" s="356"/>
    </row>
    <row r="1082" spans="1:7" s="91" customFormat="1" x14ac:dyDescent="0.45"/>
    <row r="1083" spans="1:7" ht="14.65" thickBot="1" x14ac:dyDescent="0.5"/>
    <row r="1084" spans="1:7" ht="15" customHeight="1" thickBot="1" x14ac:dyDescent="0.5">
      <c r="A1084" s="84" t="s">
        <v>76</v>
      </c>
      <c r="B1084" s="126">
        <v>23</v>
      </c>
      <c r="C1084" s="108"/>
      <c r="D1084" s="109"/>
      <c r="E1084" s="109"/>
      <c r="F1084" s="109"/>
      <c r="G1084" s="109"/>
    </row>
    <row r="1085" spans="1:7" ht="12.6" customHeight="1" x14ac:dyDescent="0.45">
      <c r="A1085" s="409" t="s">
        <v>89</v>
      </c>
      <c r="B1085" s="411"/>
      <c r="C1085" s="401"/>
      <c r="D1085" s="401"/>
      <c r="E1085" s="401"/>
      <c r="F1085" s="401"/>
      <c r="G1085" s="402"/>
    </row>
    <row r="1086" spans="1:7" ht="12.6" customHeight="1" x14ac:dyDescent="0.45">
      <c r="A1086" s="409"/>
      <c r="B1086" s="411"/>
      <c r="C1086" s="401"/>
      <c r="D1086" s="401"/>
      <c r="E1086" s="401"/>
      <c r="F1086" s="401"/>
      <c r="G1086" s="402"/>
    </row>
    <row r="1087" spans="1:7" ht="12.6" customHeight="1" x14ac:dyDescent="0.45">
      <c r="A1087" s="410"/>
      <c r="B1087" s="411"/>
      <c r="C1087" s="401"/>
      <c r="D1087" s="401"/>
      <c r="E1087" s="401"/>
      <c r="F1087" s="401"/>
      <c r="G1087" s="402"/>
    </row>
    <row r="1088" spans="1:7" ht="31.8" customHeight="1" x14ac:dyDescent="0.45">
      <c r="A1088" s="412" t="s">
        <v>160</v>
      </c>
      <c r="B1088" s="413"/>
      <c r="C1088" s="399"/>
      <c r="D1088" s="399"/>
      <c r="E1088" s="399"/>
      <c r="F1088" s="399"/>
      <c r="G1088" s="400"/>
    </row>
    <row r="1089" spans="1:7" ht="31.8" customHeight="1" x14ac:dyDescent="0.45">
      <c r="A1089" s="409"/>
      <c r="B1089" s="411"/>
      <c r="C1089" s="401"/>
      <c r="D1089" s="401"/>
      <c r="E1089" s="401"/>
      <c r="F1089" s="401"/>
      <c r="G1089" s="402"/>
    </row>
    <row r="1090" spans="1:7" ht="31.8" customHeight="1" x14ac:dyDescent="0.45">
      <c r="A1090" s="410"/>
      <c r="B1090" s="411"/>
      <c r="C1090" s="401"/>
      <c r="D1090" s="401"/>
      <c r="E1090" s="401"/>
      <c r="F1090" s="401"/>
      <c r="G1090" s="402"/>
    </row>
    <row r="1091" spans="1:7" x14ac:dyDescent="0.45">
      <c r="A1091" s="412" t="s">
        <v>155</v>
      </c>
      <c r="B1091" s="414"/>
      <c r="C1091" s="415"/>
      <c r="D1091" s="415"/>
      <c r="E1091" s="415"/>
      <c r="F1091" s="417" t="s">
        <v>167</v>
      </c>
      <c r="G1091" s="419"/>
    </row>
    <row r="1092" spans="1:7" s="90" customFormat="1" x14ac:dyDescent="0.45">
      <c r="A1092" s="409"/>
      <c r="B1092" s="411"/>
      <c r="C1092" s="401"/>
      <c r="D1092" s="401"/>
      <c r="E1092" s="401"/>
      <c r="F1092" s="418"/>
      <c r="G1092" s="420"/>
    </row>
    <row r="1093" spans="1:7" x14ac:dyDescent="0.45">
      <c r="A1093" s="409"/>
      <c r="B1093" s="416"/>
      <c r="C1093" s="403"/>
      <c r="D1093" s="403"/>
      <c r="E1093" s="403"/>
      <c r="F1093" s="418"/>
      <c r="G1093" s="421"/>
    </row>
    <row r="1094" spans="1:7" x14ac:dyDescent="0.45">
      <c r="A1094" s="412" t="s">
        <v>159</v>
      </c>
      <c r="B1094" s="411"/>
      <c r="C1094" s="401"/>
      <c r="D1094" s="401"/>
      <c r="E1094" s="401"/>
      <c r="F1094" s="401"/>
      <c r="G1094" s="402"/>
    </row>
    <row r="1095" spans="1:7" x14ac:dyDescent="0.45">
      <c r="A1095" s="409"/>
      <c r="B1095" s="411"/>
      <c r="C1095" s="401"/>
      <c r="D1095" s="401"/>
      <c r="E1095" s="401"/>
      <c r="F1095" s="401"/>
      <c r="G1095" s="402"/>
    </row>
    <row r="1096" spans="1:7" x14ac:dyDescent="0.45">
      <c r="A1096" s="410"/>
      <c r="B1096" s="416"/>
      <c r="C1096" s="403"/>
      <c r="D1096" s="403"/>
      <c r="E1096" s="403"/>
      <c r="F1096" s="403"/>
      <c r="G1096" s="404"/>
    </row>
    <row r="1097" spans="1:7" x14ac:dyDescent="0.45">
      <c r="A1097" s="396" t="s">
        <v>161</v>
      </c>
      <c r="B1097" s="401"/>
      <c r="C1097" s="401"/>
      <c r="D1097" s="401"/>
      <c r="E1097" s="401"/>
      <c r="F1097" s="401"/>
      <c r="G1097" s="402"/>
    </row>
    <row r="1098" spans="1:7" x14ac:dyDescent="0.45">
      <c r="A1098" s="397"/>
      <c r="B1098" s="401"/>
      <c r="C1098" s="401"/>
      <c r="D1098" s="401"/>
      <c r="E1098" s="401"/>
      <c r="F1098" s="401"/>
      <c r="G1098" s="402"/>
    </row>
    <row r="1099" spans="1:7" x14ac:dyDescent="0.45">
      <c r="A1099" s="398"/>
      <c r="B1099" s="401"/>
      <c r="C1099" s="401"/>
      <c r="D1099" s="401"/>
      <c r="E1099" s="401"/>
      <c r="F1099" s="401"/>
      <c r="G1099" s="402"/>
    </row>
    <row r="1100" spans="1:7" ht="14.65" thickBot="1" x14ac:dyDescent="0.5">
      <c r="A1100" s="85" t="s">
        <v>166</v>
      </c>
      <c r="B1100" s="405"/>
      <c r="C1100" s="405"/>
      <c r="D1100" s="405"/>
      <c r="E1100" s="405"/>
      <c r="F1100" s="405"/>
      <c r="G1100" s="406"/>
    </row>
    <row r="1101" spans="1:7" ht="14.65" thickBot="1" x14ac:dyDescent="0.5"/>
    <row r="1102" spans="1:7" ht="15" customHeight="1" thickBot="1" x14ac:dyDescent="0.5">
      <c r="A1102" s="407" t="s">
        <v>77</v>
      </c>
      <c r="B1102" s="408"/>
      <c r="C1102" s="69"/>
      <c r="E1102" s="86" t="s">
        <v>22</v>
      </c>
      <c r="F1102" s="62"/>
      <c r="G1102" s="62"/>
    </row>
    <row r="1103" spans="1:7" ht="14.65" thickBot="1" x14ac:dyDescent="0.5">
      <c r="A1103" s="106"/>
      <c r="B1103" s="106"/>
      <c r="E1103" s="88" t="s">
        <v>32</v>
      </c>
      <c r="F1103" s="382"/>
      <c r="G1103" s="383"/>
    </row>
    <row r="1104" spans="1:7" ht="14.65" thickBot="1" x14ac:dyDescent="0.5">
      <c r="A1104" s="107" t="s">
        <v>103</v>
      </c>
      <c r="B1104" s="106"/>
      <c r="E1104" s="88" t="s">
        <v>34</v>
      </c>
      <c r="F1104" s="386"/>
      <c r="G1104" s="387"/>
    </row>
    <row r="1105" spans="1:7" ht="14.65" thickBot="1" x14ac:dyDescent="0.5">
      <c r="A1105" s="88" t="s">
        <v>32</v>
      </c>
      <c r="B1105" s="382"/>
      <c r="C1105" s="383"/>
      <c r="E1105" s="89" t="s">
        <v>35</v>
      </c>
      <c r="F1105" s="380"/>
      <c r="G1105" s="381"/>
    </row>
    <row r="1106" spans="1:7" ht="14.65" thickBot="1" x14ac:dyDescent="0.5">
      <c r="A1106" s="88" t="s">
        <v>34</v>
      </c>
      <c r="B1106" s="386"/>
      <c r="C1106" s="387"/>
      <c r="F1106" s="62"/>
    </row>
    <row r="1107" spans="1:7" ht="15" customHeight="1" thickBot="1" x14ac:dyDescent="0.5">
      <c r="A1107" s="89" t="s">
        <v>35</v>
      </c>
      <c r="B1107" s="380"/>
      <c r="C1107" s="381"/>
      <c r="E1107" s="86" t="s">
        <v>31</v>
      </c>
      <c r="F1107" s="62"/>
    </row>
    <row r="1108" spans="1:7" ht="14.65" thickBot="1" x14ac:dyDescent="0.5">
      <c r="A1108" s="87"/>
      <c r="B1108" s="62"/>
      <c r="C1108" s="62"/>
      <c r="E1108" s="117">
        <v>1</v>
      </c>
      <c r="F1108" s="382"/>
      <c r="G1108" s="383"/>
    </row>
    <row r="1109" spans="1:7" ht="15" customHeight="1" thickBot="1" x14ac:dyDescent="0.5">
      <c r="A1109" s="384" t="s">
        <v>262</v>
      </c>
      <c r="B1109" s="385"/>
      <c r="E1109" s="117">
        <v>2</v>
      </c>
      <c r="F1109" s="386"/>
      <c r="G1109" s="387"/>
    </row>
    <row r="1110" spans="1:7" x14ac:dyDescent="0.45">
      <c r="A1110" s="117">
        <v>1</v>
      </c>
      <c r="B1110" s="388"/>
      <c r="C1110" s="389"/>
      <c r="E1110" s="118">
        <v>3</v>
      </c>
      <c r="F1110" s="386"/>
      <c r="G1110" s="387"/>
    </row>
    <row r="1111" spans="1:7" x14ac:dyDescent="0.45">
      <c r="A1111" s="117">
        <v>2</v>
      </c>
      <c r="B1111" s="390"/>
      <c r="C1111" s="391"/>
      <c r="E1111" s="117">
        <v>4</v>
      </c>
      <c r="F1111" s="392"/>
      <c r="G1111" s="393"/>
    </row>
    <row r="1112" spans="1:7" ht="14.65" thickBot="1" x14ac:dyDescent="0.5">
      <c r="A1112" s="145">
        <v>3</v>
      </c>
      <c r="B1112" s="394"/>
      <c r="C1112" s="395"/>
      <c r="E1112" s="119">
        <v>5</v>
      </c>
      <c r="F1112" s="380"/>
      <c r="G1112" s="381"/>
    </row>
    <row r="1113" spans="1:7" ht="14.65" thickBot="1" x14ac:dyDescent="0.5"/>
    <row r="1114" spans="1:7" x14ac:dyDescent="0.45">
      <c r="A1114" s="357" t="s">
        <v>136</v>
      </c>
      <c r="B1114" s="358"/>
      <c r="C1114" s="358"/>
      <c r="D1114" s="358"/>
      <c r="E1114" s="358"/>
      <c r="F1114" s="358"/>
      <c r="G1114" s="359"/>
    </row>
    <row r="1115" spans="1:7" ht="14.45" customHeight="1" x14ac:dyDescent="0.45">
      <c r="A1115" s="360" t="s">
        <v>137</v>
      </c>
      <c r="B1115" s="361"/>
      <c r="C1115" s="361"/>
      <c r="D1115" s="361"/>
      <c r="E1115" s="361"/>
      <c r="F1115" s="361"/>
      <c r="G1115" s="362"/>
    </row>
    <row r="1116" spans="1:7" ht="14.45" customHeight="1" x14ac:dyDescent="0.45">
      <c r="A1116" s="360" t="s">
        <v>164</v>
      </c>
      <c r="B1116" s="361"/>
      <c r="C1116" s="361"/>
      <c r="D1116" s="361"/>
      <c r="E1116" s="361"/>
      <c r="F1116" s="361"/>
      <c r="G1116" s="362"/>
    </row>
    <row r="1117" spans="1:7" ht="14.45" customHeight="1" x14ac:dyDescent="0.45">
      <c r="A1117" s="363" t="s">
        <v>136</v>
      </c>
      <c r="B1117" s="364"/>
      <c r="C1117" s="365"/>
      <c r="D1117" s="366" t="s">
        <v>203</v>
      </c>
      <c r="E1117" s="365"/>
      <c r="F1117" s="366" t="s">
        <v>165</v>
      </c>
      <c r="G1117" s="365"/>
    </row>
    <row r="1118" spans="1:7" ht="46.25" customHeight="1" x14ac:dyDescent="0.45">
      <c r="A1118" s="367" t="s">
        <v>206</v>
      </c>
      <c r="B1118" s="368"/>
      <c r="C1118" s="369"/>
      <c r="D1118" s="376" t="s">
        <v>204</v>
      </c>
      <c r="E1118" s="369"/>
      <c r="F1118" s="379" t="s">
        <v>205</v>
      </c>
      <c r="G1118" s="369"/>
    </row>
    <row r="1119" spans="1:7" ht="46.25" customHeight="1" x14ac:dyDescent="0.45">
      <c r="A1119" s="370"/>
      <c r="B1119" s="371"/>
      <c r="C1119" s="372"/>
      <c r="D1119" s="377"/>
      <c r="E1119" s="372"/>
      <c r="F1119" s="377"/>
      <c r="G1119" s="372"/>
    </row>
    <row r="1120" spans="1:7" ht="46.25" customHeight="1" x14ac:dyDescent="0.45">
      <c r="A1120" s="373"/>
      <c r="B1120" s="374"/>
      <c r="C1120" s="375"/>
      <c r="D1120" s="378"/>
      <c r="E1120" s="375"/>
      <c r="F1120" s="378"/>
      <c r="G1120" s="375"/>
    </row>
    <row r="1121" spans="1:7" ht="28.25" customHeight="1" x14ac:dyDescent="0.45">
      <c r="A1121" s="327"/>
      <c r="B1121" s="328"/>
      <c r="C1121" s="329"/>
      <c r="D1121" s="336"/>
      <c r="E1121" s="329"/>
      <c r="F1121" s="336"/>
      <c r="G1121" s="339"/>
    </row>
    <row r="1122" spans="1:7" ht="28.25" customHeight="1" x14ac:dyDescent="0.45">
      <c r="A1122" s="330"/>
      <c r="B1122" s="331"/>
      <c r="C1122" s="332"/>
      <c r="D1122" s="337"/>
      <c r="E1122" s="332"/>
      <c r="F1122" s="337"/>
      <c r="G1122" s="340"/>
    </row>
    <row r="1123" spans="1:7" ht="28.25" customHeight="1" x14ac:dyDescent="0.45">
      <c r="A1123" s="333"/>
      <c r="B1123" s="334"/>
      <c r="C1123" s="335"/>
      <c r="D1123" s="338"/>
      <c r="E1123" s="335"/>
      <c r="F1123" s="338"/>
      <c r="G1123" s="341"/>
    </row>
    <row r="1124" spans="1:7" ht="28.25" customHeight="1" x14ac:dyDescent="0.45">
      <c r="A1124" s="327"/>
      <c r="B1124" s="328"/>
      <c r="C1124" s="329"/>
      <c r="D1124" s="336"/>
      <c r="E1124" s="329"/>
      <c r="F1124" s="336"/>
      <c r="G1124" s="339"/>
    </row>
    <row r="1125" spans="1:7" ht="28.25" customHeight="1" x14ac:dyDescent="0.45">
      <c r="A1125" s="330"/>
      <c r="B1125" s="331"/>
      <c r="C1125" s="332"/>
      <c r="D1125" s="337"/>
      <c r="E1125" s="332"/>
      <c r="F1125" s="337"/>
      <c r="G1125" s="340"/>
    </row>
    <row r="1126" spans="1:7" ht="28.25" customHeight="1" x14ac:dyDescent="0.45">
      <c r="A1126" s="333"/>
      <c r="B1126" s="334"/>
      <c r="C1126" s="335"/>
      <c r="D1126" s="338"/>
      <c r="E1126" s="335"/>
      <c r="F1126" s="338"/>
      <c r="G1126" s="341"/>
    </row>
    <row r="1127" spans="1:7" ht="28.25" customHeight="1" x14ac:dyDescent="0.45">
      <c r="A1127" s="342"/>
      <c r="B1127" s="343"/>
      <c r="C1127" s="344"/>
      <c r="D1127" s="351"/>
      <c r="E1127" s="344"/>
      <c r="F1127" s="351"/>
      <c r="G1127" s="354"/>
    </row>
    <row r="1128" spans="1:7" ht="28.25" customHeight="1" x14ac:dyDescent="0.45">
      <c r="A1128" s="345"/>
      <c r="B1128" s="346"/>
      <c r="C1128" s="347"/>
      <c r="D1128" s="352"/>
      <c r="E1128" s="347"/>
      <c r="F1128" s="352"/>
      <c r="G1128" s="355"/>
    </row>
    <row r="1129" spans="1:7" ht="28.25" customHeight="1" thickBot="1" x14ac:dyDescent="0.5">
      <c r="A1129" s="348"/>
      <c r="B1129" s="349"/>
      <c r="C1129" s="350"/>
      <c r="D1129" s="353"/>
      <c r="E1129" s="350"/>
      <c r="F1129" s="353"/>
      <c r="G1129" s="356"/>
    </row>
    <row r="1131" spans="1:7" s="91" customFormat="1" x14ac:dyDescent="0.45"/>
    <row r="1132" spans="1:7" s="90" customFormat="1" ht="14.65" thickBot="1" x14ac:dyDescent="0.5">
      <c r="A1132" s="61"/>
      <c r="B1132" s="61"/>
      <c r="C1132" s="61"/>
      <c r="D1132" s="61"/>
      <c r="E1132" s="61"/>
      <c r="F1132" s="61"/>
    </row>
    <row r="1133" spans="1:7" ht="14.65" thickBot="1" x14ac:dyDescent="0.5">
      <c r="A1133" s="84" t="s">
        <v>76</v>
      </c>
      <c r="B1133" s="126">
        <v>24</v>
      </c>
      <c r="C1133" s="108"/>
      <c r="D1133" s="109"/>
      <c r="E1133" s="109"/>
      <c r="F1133" s="109"/>
      <c r="G1133" s="109"/>
    </row>
    <row r="1134" spans="1:7" ht="12.6" customHeight="1" x14ac:dyDescent="0.45">
      <c r="A1134" s="409" t="s">
        <v>89</v>
      </c>
      <c r="B1134" s="411"/>
      <c r="C1134" s="401"/>
      <c r="D1134" s="401"/>
      <c r="E1134" s="401"/>
      <c r="F1134" s="401"/>
      <c r="G1134" s="402"/>
    </row>
    <row r="1135" spans="1:7" ht="12.6" customHeight="1" x14ac:dyDescent="0.45">
      <c r="A1135" s="409"/>
      <c r="B1135" s="411"/>
      <c r="C1135" s="401"/>
      <c r="D1135" s="401"/>
      <c r="E1135" s="401"/>
      <c r="F1135" s="401"/>
      <c r="G1135" s="402"/>
    </row>
    <row r="1136" spans="1:7" ht="12.6" customHeight="1" x14ac:dyDescent="0.45">
      <c r="A1136" s="410"/>
      <c r="B1136" s="411"/>
      <c r="C1136" s="401"/>
      <c r="D1136" s="401"/>
      <c r="E1136" s="401"/>
      <c r="F1136" s="401"/>
      <c r="G1136" s="402"/>
    </row>
    <row r="1137" spans="1:7" ht="31.8" customHeight="1" x14ac:dyDescent="0.45">
      <c r="A1137" s="412" t="s">
        <v>158</v>
      </c>
      <c r="B1137" s="413"/>
      <c r="C1137" s="399"/>
      <c r="D1137" s="399"/>
      <c r="E1137" s="399"/>
      <c r="F1137" s="399"/>
      <c r="G1137" s="400"/>
    </row>
    <row r="1138" spans="1:7" ht="31.8" customHeight="1" x14ac:dyDescent="0.45">
      <c r="A1138" s="409"/>
      <c r="B1138" s="411"/>
      <c r="C1138" s="401"/>
      <c r="D1138" s="401"/>
      <c r="E1138" s="401"/>
      <c r="F1138" s="401"/>
      <c r="G1138" s="402"/>
    </row>
    <row r="1139" spans="1:7" ht="31.8" customHeight="1" x14ac:dyDescent="0.45">
      <c r="A1139" s="410"/>
      <c r="B1139" s="411"/>
      <c r="C1139" s="401"/>
      <c r="D1139" s="401"/>
      <c r="E1139" s="401"/>
      <c r="F1139" s="401"/>
      <c r="G1139" s="402"/>
    </row>
    <row r="1140" spans="1:7" x14ac:dyDescent="0.45">
      <c r="A1140" s="412" t="s">
        <v>155</v>
      </c>
      <c r="B1140" s="414"/>
      <c r="C1140" s="415"/>
      <c r="D1140" s="415"/>
      <c r="E1140" s="415"/>
      <c r="F1140" s="417" t="s">
        <v>167</v>
      </c>
      <c r="G1140" s="419"/>
    </row>
    <row r="1141" spans="1:7" x14ac:dyDescent="0.45">
      <c r="A1141" s="409"/>
      <c r="B1141" s="411"/>
      <c r="C1141" s="401"/>
      <c r="D1141" s="401"/>
      <c r="E1141" s="401"/>
      <c r="F1141" s="418"/>
      <c r="G1141" s="420"/>
    </row>
    <row r="1142" spans="1:7" x14ac:dyDescent="0.45">
      <c r="A1142" s="409"/>
      <c r="B1142" s="416"/>
      <c r="C1142" s="403"/>
      <c r="D1142" s="403"/>
      <c r="E1142" s="403"/>
      <c r="F1142" s="418"/>
      <c r="G1142" s="421"/>
    </row>
    <row r="1143" spans="1:7" x14ac:dyDescent="0.45">
      <c r="A1143" s="412" t="s">
        <v>159</v>
      </c>
      <c r="B1143" s="411"/>
      <c r="C1143" s="401"/>
      <c r="D1143" s="401"/>
      <c r="E1143" s="401"/>
      <c r="F1143" s="401"/>
      <c r="G1143" s="402"/>
    </row>
    <row r="1144" spans="1:7" x14ac:dyDescent="0.45">
      <c r="A1144" s="409"/>
      <c r="B1144" s="411"/>
      <c r="C1144" s="401"/>
      <c r="D1144" s="401"/>
      <c r="E1144" s="401"/>
      <c r="F1144" s="401"/>
      <c r="G1144" s="402"/>
    </row>
    <row r="1145" spans="1:7" s="83" customFormat="1" x14ac:dyDescent="0.45">
      <c r="A1145" s="410"/>
      <c r="B1145" s="416"/>
      <c r="C1145" s="403"/>
      <c r="D1145" s="403"/>
      <c r="E1145" s="403"/>
      <c r="F1145" s="403"/>
      <c r="G1145" s="404"/>
    </row>
    <row r="1146" spans="1:7" x14ac:dyDescent="0.45">
      <c r="A1146" s="396" t="s">
        <v>161</v>
      </c>
      <c r="B1146" s="401"/>
      <c r="C1146" s="401"/>
      <c r="D1146" s="401"/>
      <c r="E1146" s="401"/>
      <c r="F1146" s="401"/>
      <c r="G1146" s="402"/>
    </row>
    <row r="1147" spans="1:7" x14ac:dyDescent="0.45">
      <c r="A1147" s="397"/>
      <c r="B1147" s="401"/>
      <c r="C1147" s="401"/>
      <c r="D1147" s="401"/>
      <c r="E1147" s="401"/>
      <c r="F1147" s="401"/>
      <c r="G1147" s="402"/>
    </row>
    <row r="1148" spans="1:7" x14ac:dyDescent="0.45">
      <c r="A1148" s="398"/>
      <c r="B1148" s="401"/>
      <c r="C1148" s="401"/>
      <c r="D1148" s="401"/>
      <c r="E1148" s="401"/>
      <c r="F1148" s="401"/>
      <c r="G1148" s="402"/>
    </row>
    <row r="1149" spans="1:7" ht="14.65" thickBot="1" x14ac:dyDescent="0.5">
      <c r="A1149" s="85" t="s">
        <v>166</v>
      </c>
      <c r="B1149" s="405"/>
      <c r="C1149" s="405"/>
      <c r="D1149" s="405"/>
      <c r="E1149" s="405"/>
      <c r="F1149" s="405"/>
      <c r="G1149" s="406"/>
    </row>
    <row r="1150" spans="1:7" ht="14.65" thickBot="1" x14ac:dyDescent="0.5"/>
    <row r="1151" spans="1:7" ht="15" customHeight="1" thickBot="1" x14ac:dyDescent="0.5">
      <c r="A1151" s="407" t="s">
        <v>77</v>
      </c>
      <c r="B1151" s="408"/>
      <c r="C1151" s="69"/>
      <c r="E1151" s="86" t="s">
        <v>22</v>
      </c>
      <c r="F1151" s="62"/>
      <c r="G1151" s="62"/>
    </row>
    <row r="1152" spans="1:7" ht="14.65" thickBot="1" x14ac:dyDescent="0.5">
      <c r="A1152" s="106"/>
      <c r="B1152" s="106"/>
      <c r="E1152" s="88" t="s">
        <v>32</v>
      </c>
      <c r="F1152" s="382"/>
      <c r="G1152" s="383"/>
    </row>
    <row r="1153" spans="1:7" ht="14.65" thickBot="1" x14ac:dyDescent="0.5">
      <c r="A1153" s="107" t="s">
        <v>103</v>
      </c>
      <c r="B1153" s="106"/>
      <c r="E1153" s="88" t="s">
        <v>34</v>
      </c>
      <c r="F1153" s="386"/>
      <c r="G1153" s="387"/>
    </row>
    <row r="1154" spans="1:7" ht="14.65" thickBot="1" x14ac:dyDescent="0.5">
      <c r="A1154" s="88" t="s">
        <v>32</v>
      </c>
      <c r="B1154" s="382"/>
      <c r="C1154" s="383"/>
      <c r="E1154" s="89" t="s">
        <v>35</v>
      </c>
      <c r="F1154" s="380"/>
      <c r="G1154" s="381"/>
    </row>
    <row r="1155" spans="1:7" ht="14.65" thickBot="1" x14ac:dyDescent="0.5">
      <c r="A1155" s="88" t="s">
        <v>34</v>
      </c>
      <c r="B1155" s="386"/>
      <c r="C1155" s="387"/>
      <c r="F1155" s="62"/>
    </row>
    <row r="1156" spans="1:7" ht="15" customHeight="1" thickBot="1" x14ac:dyDescent="0.5">
      <c r="A1156" s="89" t="s">
        <v>35</v>
      </c>
      <c r="B1156" s="380"/>
      <c r="C1156" s="381"/>
      <c r="E1156" s="86" t="s">
        <v>31</v>
      </c>
      <c r="F1156" s="62"/>
    </row>
    <row r="1157" spans="1:7" ht="14.65" thickBot="1" x14ac:dyDescent="0.5">
      <c r="A1157" s="87"/>
      <c r="B1157" s="62"/>
      <c r="C1157" s="62"/>
      <c r="E1157" s="117">
        <v>1</v>
      </c>
      <c r="F1157" s="382"/>
      <c r="G1157" s="383"/>
    </row>
    <row r="1158" spans="1:7" ht="12.6" customHeight="1" thickBot="1" x14ac:dyDescent="0.5">
      <c r="A1158" s="384" t="s">
        <v>262</v>
      </c>
      <c r="B1158" s="385"/>
      <c r="E1158" s="117">
        <v>2</v>
      </c>
      <c r="F1158" s="386"/>
      <c r="G1158" s="387"/>
    </row>
    <row r="1159" spans="1:7" x14ac:dyDescent="0.45">
      <c r="A1159" s="117">
        <v>1</v>
      </c>
      <c r="B1159" s="388"/>
      <c r="C1159" s="389"/>
      <c r="E1159" s="118">
        <v>3</v>
      </c>
      <c r="F1159" s="386"/>
      <c r="G1159" s="387"/>
    </row>
    <row r="1160" spans="1:7" x14ac:dyDescent="0.45">
      <c r="A1160" s="117">
        <v>2</v>
      </c>
      <c r="B1160" s="390"/>
      <c r="C1160" s="391"/>
      <c r="E1160" s="117">
        <v>4</v>
      </c>
      <c r="F1160" s="392"/>
      <c r="G1160" s="393"/>
    </row>
    <row r="1161" spans="1:7" ht="14.65" thickBot="1" x14ac:dyDescent="0.5">
      <c r="A1161" s="145">
        <v>3</v>
      </c>
      <c r="B1161" s="394"/>
      <c r="C1161" s="395"/>
      <c r="E1161" s="119">
        <v>5</v>
      </c>
      <c r="F1161" s="380"/>
      <c r="G1161" s="381"/>
    </row>
    <row r="1162" spans="1:7" ht="14.65" thickBot="1" x14ac:dyDescent="0.5"/>
    <row r="1163" spans="1:7" x14ac:dyDescent="0.45">
      <c r="A1163" s="357" t="s">
        <v>136</v>
      </c>
      <c r="B1163" s="358"/>
      <c r="C1163" s="358"/>
      <c r="D1163" s="358"/>
      <c r="E1163" s="358"/>
      <c r="F1163" s="358"/>
      <c r="G1163" s="359"/>
    </row>
    <row r="1164" spans="1:7" ht="14.45" customHeight="1" x14ac:dyDescent="0.45">
      <c r="A1164" s="360" t="s">
        <v>137</v>
      </c>
      <c r="B1164" s="361"/>
      <c r="C1164" s="361"/>
      <c r="D1164" s="361"/>
      <c r="E1164" s="361"/>
      <c r="F1164" s="361"/>
      <c r="G1164" s="362"/>
    </row>
    <row r="1165" spans="1:7" ht="14.45" customHeight="1" x14ac:dyDescent="0.45">
      <c r="A1165" s="360" t="s">
        <v>164</v>
      </c>
      <c r="B1165" s="361"/>
      <c r="C1165" s="361"/>
      <c r="D1165" s="361"/>
      <c r="E1165" s="361"/>
      <c r="F1165" s="361"/>
      <c r="G1165" s="362"/>
    </row>
    <row r="1166" spans="1:7" ht="14.45" customHeight="1" x14ac:dyDescent="0.45">
      <c r="A1166" s="363" t="s">
        <v>136</v>
      </c>
      <c r="B1166" s="364"/>
      <c r="C1166" s="365"/>
      <c r="D1166" s="366" t="s">
        <v>203</v>
      </c>
      <c r="E1166" s="365"/>
      <c r="F1166" s="366" t="s">
        <v>165</v>
      </c>
      <c r="G1166" s="365"/>
    </row>
    <row r="1167" spans="1:7" ht="46.25" customHeight="1" x14ac:dyDescent="0.45">
      <c r="A1167" s="367" t="s">
        <v>206</v>
      </c>
      <c r="B1167" s="368"/>
      <c r="C1167" s="369"/>
      <c r="D1167" s="376" t="s">
        <v>204</v>
      </c>
      <c r="E1167" s="369"/>
      <c r="F1167" s="379" t="s">
        <v>205</v>
      </c>
      <c r="G1167" s="369"/>
    </row>
    <row r="1168" spans="1:7" ht="46.25" customHeight="1" x14ac:dyDescent="0.45">
      <c r="A1168" s="370"/>
      <c r="B1168" s="371"/>
      <c r="C1168" s="372"/>
      <c r="D1168" s="377"/>
      <c r="E1168" s="372"/>
      <c r="F1168" s="377"/>
      <c r="G1168" s="372"/>
    </row>
    <row r="1169" spans="1:7" ht="46.25" customHeight="1" x14ac:dyDescent="0.45">
      <c r="A1169" s="373"/>
      <c r="B1169" s="374"/>
      <c r="C1169" s="375"/>
      <c r="D1169" s="378"/>
      <c r="E1169" s="375"/>
      <c r="F1169" s="378"/>
      <c r="G1169" s="375"/>
    </row>
    <row r="1170" spans="1:7" ht="28.25" customHeight="1" x14ac:dyDescent="0.45">
      <c r="A1170" s="327"/>
      <c r="B1170" s="328"/>
      <c r="C1170" s="329"/>
      <c r="D1170" s="336"/>
      <c r="E1170" s="329"/>
      <c r="F1170" s="336"/>
      <c r="G1170" s="339"/>
    </row>
    <row r="1171" spans="1:7" ht="28.25" customHeight="1" x14ac:dyDescent="0.45">
      <c r="A1171" s="330"/>
      <c r="B1171" s="331"/>
      <c r="C1171" s="332"/>
      <c r="D1171" s="337"/>
      <c r="E1171" s="332"/>
      <c r="F1171" s="337"/>
      <c r="G1171" s="340"/>
    </row>
    <row r="1172" spans="1:7" ht="28.25" customHeight="1" x14ac:dyDescent="0.45">
      <c r="A1172" s="333"/>
      <c r="B1172" s="334"/>
      <c r="C1172" s="335"/>
      <c r="D1172" s="338"/>
      <c r="E1172" s="335"/>
      <c r="F1172" s="338"/>
      <c r="G1172" s="341"/>
    </row>
    <row r="1173" spans="1:7" ht="28.25" customHeight="1" x14ac:dyDescent="0.45">
      <c r="A1173" s="327"/>
      <c r="B1173" s="328"/>
      <c r="C1173" s="329"/>
      <c r="D1173" s="336"/>
      <c r="E1173" s="329"/>
      <c r="F1173" s="336"/>
      <c r="G1173" s="339"/>
    </row>
    <row r="1174" spans="1:7" ht="28.25" customHeight="1" x14ac:dyDescent="0.45">
      <c r="A1174" s="330"/>
      <c r="B1174" s="331"/>
      <c r="C1174" s="332"/>
      <c r="D1174" s="337"/>
      <c r="E1174" s="332"/>
      <c r="F1174" s="337"/>
      <c r="G1174" s="340"/>
    </row>
    <row r="1175" spans="1:7" ht="28.25" customHeight="1" x14ac:dyDescent="0.45">
      <c r="A1175" s="333"/>
      <c r="B1175" s="334"/>
      <c r="C1175" s="335"/>
      <c r="D1175" s="338"/>
      <c r="E1175" s="335"/>
      <c r="F1175" s="338"/>
      <c r="G1175" s="341"/>
    </row>
    <row r="1176" spans="1:7" ht="28.25" customHeight="1" x14ac:dyDescent="0.45">
      <c r="A1176" s="342"/>
      <c r="B1176" s="343"/>
      <c r="C1176" s="344"/>
      <c r="D1176" s="351"/>
      <c r="E1176" s="344"/>
      <c r="F1176" s="351"/>
      <c r="G1176" s="354"/>
    </row>
    <row r="1177" spans="1:7" ht="28.25" customHeight="1" x14ac:dyDescent="0.45">
      <c r="A1177" s="345"/>
      <c r="B1177" s="346"/>
      <c r="C1177" s="347"/>
      <c r="D1177" s="352"/>
      <c r="E1177" s="347"/>
      <c r="F1177" s="352"/>
      <c r="G1177" s="355"/>
    </row>
    <row r="1178" spans="1:7" ht="28.25" customHeight="1" thickBot="1" x14ac:dyDescent="0.5">
      <c r="A1178" s="348"/>
      <c r="B1178" s="349"/>
      <c r="C1178" s="350"/>
      <c r="D1178" s="353"/>
      <c r="E1178" s="350"/>
      <c r="F1178" s="353"/>
      <c r="G1178" s="356"/>
    </row>
    <row r="1180" spans="1:7" s="91" customFormat="1" x14ac:dyDescent="0.45"/>
    <row r="1181" spans="1:7" ht="14.65" thickBot="1" x14ac:dyDescent="0.5"/>
    <row r="1182" spans="1:7" ht="14.65" thickBot="1" x14ac:dyDescent="0.5">
      <c r="A1182" s="84" t="s">
        <v>76</v>
      </c>
      <c r="B1182" s="126">
        <v>25</v>
      </c>
      <c r="C1182" s="108"/>
      <c r="D1182" s="109"/>
      <c r="E1182" s="109"/>
      <c r="F1182" s="109"/>
      <c r="G1182" s="109"/>
    </row>
    <row r="1183" spans="1:7" ht="12.6" customHeight="1" x14ac:dyDescent="0.45">
      <c r="A1183" s="409" t="s">
        <v>89</v>
      </c>
      <c r="B1183" s="411"/>
      <c r="C1183" s="401"/>
      <c r="D1183" s="401"/>
      <c r="E1183" s="401"/>
      <c r="F1183" s="401"/>
      <c r="G1183" s="402"/>
    </row>
    <row r="1184" spans="1:7" ht="12.6" customHeight="1" x14ac:dyDescent="0.45">
      <c r="A1184" s="409"/>
      <c r="B1184" s="411"/>
      <c r="C1184" s="401"/>
      <c r="D1184" s="401"/>
      <c r="E1184" s="401"/>
      <c r="F1184" s="401"/>
      <c r="G1184" s="402"/>
    </row>
    <row r="1185" spans="1:7" ht="12.6" customHeight="1" x14ac:dyDescent="0.45">
      <c r="A1185" s="410"/>
      <c r="B1185" s="411"/>
      <c r="C1185" s="401"/>
      <c r="D1185" s="401"/>
      <c r="E1185" s="401"/>
      <c r="F1185" s="401"/>
      <c r="G1185" s="402"/>
    </row>
    <row r="1186" spans="1:7" ht="31.8" customHeight="1" x14ac:dyDescent="0.45">
      <c r="A1186" s="412" t="s">
        <v>160</v>
      </c>
      <c r="B1186" s="413"/>
      <c r="C1186" s="399"/>
      <c r="D1186" s="399"/>
      <c r="E1186" s="399"/>
      <c r="F1186" s="399"/>
      <c r="G1186" s="400"/>
    </row>
    <row r="1187" spans="1:7" ht="31.8" customHeight="1" x14ac:dyDescent="0.45">
      <c r="A1187" s="409"/>
      <c r="B1187" s="411"/>
      <c r="C1187" s="401"/>
      <c r="D1187" s="401"/>
      <c r="E1187" s="401"/>
      <c r="F1187" s="401"/>
      <c r="G1187" s="402"/>
    </row>
    <row r="1188" spans="1:7" ht="31.8" customHeight="1" x14ac:dyDescent="0.45">
      <c r="A1188" s="410"/>
      <c r="B1188" s="411"/>
      <c r="C1188" s="401"/>
      <c r="D1188" s="401"/>
      <c r="E1188" s="401"/>
      <c r="F1188" s="401"/>
      <c r="G1188" s="402"/>
    </row>
    <row r="1189" spans="1:7" x14ac:dyDescent="0.45">
      <c r="A1189" s="412" t="s">
        <v>155</v>
      </c>
      <c r="B1189" s="414"/>
      <c r="C1189" s="415"/>
      <c r="D1189" s="415"/>
      <c r="E1189" s="415"/>
      <c r="F1189" s="417" t="s">
        <v>167</v>
      </c>
      <c r="G1189" s="419"/>
    </row>
    <row r="1190" spans="1:7" x14ac:dyDescent="0.45">
      <c r="A1190" s="409"/>
      <c r="B1190" s="411"/>
      <c r="C1190" s="401"/>
      <c r="D1190" s="401"/>
      <c r="E1190" s="401"/>
      <c r="F1190" s="418"/>
      <c r="G1190" s="420"/>
    </row>
    <row r="1191" spans="1:7" x14ac:dyDescent="0.45">
      <c r="A1191" s="409"/>
      <c r="B1191" s="416"/>
      <c r="C1191" s="403"/>
      <c r="D1191" s="403"/>
      <c r="E1191" s="403"/>
      <c r="F1191" s="418"/>
      <c r="G1191" s="421"/>
    </row>
    <row r="1192" spans="1:7" x14ac:dyDescent="0.45">
      <c r="A1192" s="412" t="s">
        <v>159</v>
      </c>
      <c r="B1192" s="411"/>
      <c r="C1192" s="401"/>
      <c r="D1192" s="401"/>
      <c r="E1192" s="401"/>
      <c r="F1192" s="401"/>
      <c r="G1192" s="402"/>
    </row>
    <row r="1193" spans="1:7" x14ac:dyDescent="0.45">
      <c r="A1193" s="409"/>
      <c r="B1193" s="411"/>
      <c r="C1193" s="401"/>
      <c r="D1193" s="401"/>
      <c r="E1193" s="401"/>
      <c r="F1193" s="401"/>
      <c r="G1193" s="402"/>
    </row>
    <row r="1194" spans="1:7" x14ac:dyDescent="0.45">
      <c r="A1194" s="410"/>
      <c r="B1194" s="416"/>
      <c r="C1194" s="403"/>
      <c r="D1194" s="403"/>
      <c r="E1194" s="403"/>
      <c r="F1194" s="403"/>
      <c r="G1194" s="404"/>
    </row>
    <row r="1195" spans="1:7" x14ac:dyDescent="0.45">
      <c r="A1195" s="396" t="s">
        <v>161</v>
      </c>
      <c r="B1195" s="399"/>
      <c r="C1195" s="399"/>
      <c r="D1195" s="399"/>
      <c r="E1195" s="399"/>
      <c r="F1195" s="399"/>
      <c r="G1195" s="400"/>
    </row>
    <row r="1196" spans="1:7" x14ac:dyDescent="0.45">
      <c r="A1196" s="397"/>
      <c r="B1196" s="401"/>
      <c r="C1196" s="401"/>
      <c r="D1196" s="401"/>
      <c r="E1196" s="401"/>
      <c r="F1196" s="401"/>
      <c r="G1196" s="402"/>
    </row>
    <row r="1197" spans="1:7" x14ac:dyDescent="0.45">
      <c r="A1197" s="398"/>
      <c r="B1197" s="403"/>
      <c r="C1197" s="403"/>
      <c r="D1197" s="403"/>
      <c r="E1197" s="403"/>
      <c r="F1197" s="403"/>
      <c r="G1197" s="404"/>
    </row>
    <row r="1198" spans="1:7" ht="14.65" thickBot="1" x14ac:dyDescent="0.5">
      <c r="A1198" s="85" t="s">
        <v>166</v>
      </c>
      <c r="B1198" s="405"/>
      <c r="C1198" s="405"/>
      <c r="D1198" s="405"/>
      <c r="E1198" s="405"/>
      <c r="F1198" s="405"/>
      <c r="G1198" s="406"/>
    </row>
    <row r="1199" spans="1:7" ht="14.65" thickBot="1" x14ac:dyDescent="0.5"/>
    <row r="1200" spans="1:7" ht="15" customHeight="1" thickBot="1" x14ac:dyDescent="0.5">
      <c r="A1200" s="407" t="s">
        <v>77</v>
      </c>
      <c r="B1200" s="408"/>
      <c r="C1200" s="69"/>
      <c r="E1200" s="86" t="s">
        <v>22</v>
      </c>
      <c r="F1200" s="62"/>
      <c r="G1200" s="62"/>
    </row>
    <row r="1201" spans="1:7" ht="14.65" thickBot="1" x14ac:dyDescent="0.5">
      <c r="A1201" s="106"/>
      <c r="B1201" s="106"/>
      <c r="E1201" s="88" t="s">
        <v>32</v>
      </c>
      <c r="F1201" s="382"/>
      <c r="G1201" s="383"/>
    </row>
    <row r="1202" spans="1:7" ht="14.65" thickBot="1" x14ac:dyDescent="0.5">
      <c r="A1202" s="107" t="s">
        <v>103</v>
      </c>
      <c r="B1202" s="106"/>
      <c r="E1202" s="88" t="s">
        <v>34</v>
      </c>
      <c r="F1202" s="386"/>
      <c r="G1202" s="387"/>
    </row>
    <row r="1203" spans="1:7" ht="14.65" thickBot="1" x14ac:dyDescent="0.5">
      <c r="A1203" s="88" t="s">
        <v>32</v>
      </c>
      <c r="B1203" s="382"/>
      <c r="C1203" s="383"/>
      <c r="E1203" s="89" t="s">
        <v>35</v>
      </c>
      <c r="F1203" s="380"/>
      <c r="G1203" s="381"/>
    </row>
    <row r="1204" spans="1:7" ht="14.65" thickBot="1" x14ac:dyDescent="0.5">
      <c r="A1204" s="88" t="s">
        <v>34</v>
      </c>
      <c r="B1204" s="386"/>
      <c r="C1204" s="387"/>
      <c r="F1204" s="62"/>
    </row>
    <row r="1205" spans="1:7" ht="15" customHeight="1" thickBot="1" x14ac:dyDescent="0.5">
      <c r="A1205" s="89" t="s">
        <v>35</v>
      </c>
      <c r="B1205" s="380"/>
      <c r="C1205" s="381"/>
      <c r="E1205" s="86" t="s">
        <v>31</v>
      </c>
      <c r="F1205" s="62"/>
    </row>
    <row r="1206" spans="1:7" ht="14.65" thickBot="1" x14ac:dyDescent="0.5">
      <c r="A1206" s="87"/>
      <c r="B1206" s="62"/>
      <c r="C1206" s="62"/>
      <c r="E1206" s="117">
        <v>1</v>
      </c>
      <c r="F1206" s="382"/>
      <c r="G1206" s="383"/>
    </row>
    <row r="1207" spans="1:7" ht="15" customHeight="1" thickBot="1" x14ac:dyDescent="0.5">
      <c r="A1207" s="384" t="s">
        <v>262</v>
      </c>
      <c r="B1207" s="385"/>
      <c r="E1207" s="117">
        <v>2</v>
      </c>
      <c r="F1207" s="386"/>
      <c r="G1207" s="387"/>
    </row>
    <row r="1208" spans="1:7" x14ac:dyDescent="0.45">
      <c r="A1208" s="117">
        <v>1</v>
      </c>
      <c r="B1208" s="388"/>
      <c r="C1208" s="389"/>
      <c r="E1208" s="118">
        <v>3</v>
      </c>
      <c r="F1208" s="386"/>
      <c r="G1208" s="387"/>
    </row>
    <row r="1209" spans="1:7" x14ac:dyDescent="0.45">
      <c r="A1209" s="117">
        <v>2</v>
      </c>
      <c r="B1209" s="390"/>
      <c r="C1209" s="391"/>
      <c r="E1209" s="117">
        <v>4</v>
      </c>
      <c r="F1209" s="392"/>
      <c r="G1209" s="393"/>
    </row>
    <row r="1210" spans="1:7" ht="14.65" thickBot="1" x14ac:dyDescent="0.5">
      <c r="A1210" s="145">
        <v>3</v>
      </c>
      <c r="B1210" s="394"/>
      <c r="C1210" s="395"/>
      <c r="E1210" s="119">
        <v>5</v>
      </c>
      <c r="F1210" s="380"/>
      <c r="G1210" s="381"/>
    </row>
    <row r="1211" spans="1:7" ht="14.65" thickBot="1" x14ac:dyDescent="0.5"/>
    <row r="1212" spans="1:7" x14ac:dyDescent="0.45">
      <c r="A1212" s="357" t="s">
        <v>136</v>
      </c>
      <c r="B1212" s="358"/>
      <c r="C1212" s="358"/>
      <c r="D1212" s="358"/>
      <c r="E1212" s="358"/>
      <c r="F1212" s="358"/>
      <c r="G1212" s="359"/>
    </row>
    <row r="1213" spans="1:7" ht="14.45" customHeight="1" x14ac:dyDescent="0.45">
      <c r="A1213" s="360" t="s">
        <v>137</v>
      </c>
      <c r="B1213" s="361"/>
      <c r="C1213" s="361"/>
      <c r="D1213" s="361"/>
      <c r="E1213" s="361"/>
      <c r="F1213" s="361"/>
      <c r="G1213" s="362"/>
    </row>
    <row r="1214" spans="1:7" ht="14.45" customHeight="1" x14ac:dyDescent="0.45">
      <c r="A1214" s="360" t="s">
        <v>164</v>
      </c>
      <c r="B1214" s="361"/>
      <c r="C1214" s="361"/>
      <c r="D1214" s="361"/>
      <c r="E1214" s="361"/>
      <c r="F1214" s="361"/>
      <c r="G1214" s="362"/>
    </row>
    <row r="1215" spans="1:7" ht="14.45" customHeight="1" x14ac:dyDescent="0.45">
      <c r="A1215" s="363" t="s">
        <v>136</v>
      </c>
      <c r="B1215" s="364"/>
      <c r="C1215" s="365"/>
      <c r="D1215" s="366" t="s">
        <v>203</v>
      </c>
      <c r="E1215" s="365"/>
      <c r="F1215" s="366" t="s">
        <v>165</v>
      </c>
      <c r="G1215" s="365"/>
    </row>
    <row r="1216" spans="1:7" ht="46.25" customHeight="1" x14ac:dyDescent="0.45">
      <c r="A1216" s="367" t="s">
        <v>206</v>
      </c>
      <c r="B1216" s="368"/>
      <c r="C1216" s="369"/>
      <c r="D1216" s="376" t="s">
        <v>204</v>
      </c>
      <c r="E1216" s="369"/>
      <c r="F1216" s="379" t="s">
        <v>205</v>
      </c>
      <c r="G1216" s="369"/>
    </row>
    <row r="1217" spans="1:7" ht="46.25" customHeight="1" x14ac:dyDescent="0.45">
      <c r="A1217" s="370"/>
      <c r="B1217" s="371"/>
      <c r="C1217" s="372"/>
      <c r="D1217" s="377"/>
      <c r="E1217" s="372"/>
      <c r="F1217" s="377"/>
      <c r="G1217" s="372"/>
    </row>
    <row r="1218" spans="1:7" ht="46.25" customHeight="1" x14ac:dyDescent="0.45">
      <c r="A1218" s="373"/>
      <c r="B1218" s="374"/>
      <c r="C1218" s="375"/>
      <c r="D1218" s="378"/>
      <c r="E1218" s="375"/>
      <c r="F1218" s="378"/>
      <c r="G1218" s="375"/>
    </row>
    <row r="1219" spans="1:7" ht="28.25" customHeight="1" x14ac:dyDescent="0.45">
      <c r="A1219" s="327"/>
      <c r="B1219" s="328"/>
      <c r="C1219" s="329"/>
      <c r="D1219" s="336"/>
      <c r="E1219" s="329"/>
      <c r="F1219" s="336"/>
      <c r="G1219" s="339"/>
    </row>
    <row r="1220" spans="1:7" ht="28.25" customHeight="1" x14ac:dyDescent="0.45">
      <c r="A1220" s="330"/>
      <c r="B1220" s="331"/>
      <c r="C1220" s="332"/>
      <c r="D1220" s="337"/>
      <c r="E1220" s="332"/>
      <c r="F1220" s="337"/>
      <c r="G1220" s="340"/>
    </row>
    <row r="1221" spans="1:7" ht="28.25" customHeight="1" x14ac:dyDescent="0.45">
      <c r="A1221" s="333"/>
      <c r="B1221" s="334"/>
      <c r="C1221" s="335"/>
      <c r="D1221" s="338"/>
      <c r="E1221" s="335"/>
      <c r="F1221" s="338"/>
      <c r="G1221" s="341"/>
    </row>
    <row r="1222" spans="1:7" ht="28.25" customHeight="1" x14ac:dyDescent="0.45">
      <c r="A1222" s="327"/>
      <c r="B1222" s="328"/>
      <c r="C1222" s="329"/>
      <c r="D1222" s="336"/>
      <c r="E1222" s="329"/>
      <c r="F1222" s="336"/>
      <c r="G1222" s="339"/>
    </row>
    <row r="1223" spans="1:7" ht="28.25" customHeight="1" x14ac:dyDescent="0.45">
      <c r="A1223" s="330"/>
      <c r="B1223" s="331"/>
      <c r="C1223" s="332"/>
      <c r="D1223" s="337"/>
      <c r="E1223" s="332"/>
      <c r="F1223" s="337"/>
      <c r="G1223" s="340"/>
    </row>
    <row r="1224" spans="1:7" ht="28.25" customHeight="1" x14ac:dyDescent="0.45">
      <c r="A1224" s="333"/>
      <c r="B1224" s="334"/>
      <c r="C1224" s="335"/>
      <c r="D1224" s="338"/>
      <c r="E1224" s="335"/>
      <c r="F1224" s="338"/>
      <c r="G1224" s="341"/>
    </row>
    <row r="1225" spans="1:7" ht="28.25" customHeight="1" x14ac:dyDescent="0.45">
      <c r="A1225" s="342"/>
      <c r="B1225" s="343"/>
      <c r="C1225" s="344"/>
      <c r="D1225" s="351"/>
      <c r="E1225" s="344"/>
      <c r="F1225" s="351"/>
      <c r="G1225" s="354"/>
    </row>
    <row r="1226" spans="1:7" ht="28.25" customHeight="1" x14ac:dyDescent="0.45">
      <c r="A1226" s="345"/>
      <c r="B1226" s="346"/>
      <c r="C1226" s="347"/>
      <c r="D1226" s="352"/>
      <c r="E1226" s="347"/>
      <c r="F1226" s="352"/>
      <c r="G1226" s="355"/>
    </row>
    <row r="1227" spans="1:7" ht="28.25" customHeight="1" thickBot="1" x14ac:dyDescent="0.5">
      <c r="A1227" s="348"/>
      <c r="B1227" s="349"/>
      <c r="C1227" s="350"/>
      <c r="D1227" s="353"/>
      <c r="E1227" s="350"/>
      <c r="F1227" s="353"/>
      <c r="G1227" s="356"/>
    </row>
    <row r="1229" spans="1:7" s="91" customFormat="1" x14ac:dyDescent="0.45">
      <c r="A1229" s="92"/>
      <c r="B1229" s="92"/>
      <c r="C1229" s="92"/>
      <c r="D1229" s="92"/>
      <c r="E1229" s="92"/>
      <c r="F1229" s="92"/>
    </row>
    <row r="1230" spans="1:7" ht="14.65" thickBot="1" x14ac:dyDescent="0.5">
      <c r="A1230" s="103"/>
      <c r="B1230" s="83"/>
    </row>
    <row r="1231" spans="1:7" ht="14.65" thickBot="1" x14ac:dyDescent="0.5">
      <c r="A1231" s="104" t="s">
        <v>76</v>
      </c>
      <c r="B1231" s="126">
        <v>26</v>
      </c>
    </row>
    <row r="1232" spans="1:7" ht="12.6" customHeight="1" x14ac:dyDescent="0.45">
      <c r="A1232" s="418" t="s">
        <v>89</v>
      </c>
      <c r="B1232" s="437"/>
      <c r="C1232" s="438"/>
      <c r="D1232" s="438"/>
      <c r="E1232" s="438"/>
      <c r="F1232" s="438"/>
      <c r="G1232" s="439"/>
    </row>
    <row r="1233" spans="1:7" ht="12.6" customHeight="1" x14ac:dyDescent="0.45">
      <c r="A1233" s="418"/>
      <c r="B1233" s="428"/>
      <c r="C1233" s="230"/>
      <c r="D1233" s="230"/>
      <c r="E1233" s="230"/>
      <c r="F1233" s="230"/>
      <c r="G1233" s="429"/>
    </row>
    <row r="1234" spans="1:7" ht="12.6" customHeight="1" x14ac:dyDescent="0.45">
      <c r="A1234" s="436"/>
      <c r="B1234" s="428"/>
      <c r="C1234" s="230"/>
      <c r="D1234" s="230"/>
      <c r="E1234" s="230"/>
      <c r="F1234" s="230"/>
      <c r="G1234" s="429"/>
    </row>
    <row r="1235" spans="1:7" ht="23.45" customHeight="1" x14ac:dyDescent="0.45">
      <c r="A1235" s="417" t="s">
        <v>158</v>
      </c>
      <c r="B1235" s="428"/>
      <c r="C1235" s="230"/>
      <c r="D1235" s="230"/>
      <c r="E1235" s="230"/>
      <c r="F1235" s="230"/>
      <c r="G1235" s="429"/>
    </row>
    <row r="1236" spans="1:7" ht="23.45" customHeight="1" x14ac:dyDescent="0.45">
      <c r="A1236" s="418"/>
      <c r="B1236" s="428"/>
      <c r="C1236" s="230"/>
      <c r="D1236" s="230"/>
      <c r="E1236" s="230"/>
      <c r="F1236" s="230"/>
      <c r="G1236" s="429"/>
    </row>
    <row r="1237" spans="1:7" ht="23.45" customHeight="1" x14ac:dyDescent="0.45">
      <c r="A1237" s="436"/>
      <c r="B1237" s="428"/>
      <c r="C1237" s="230"/>
      <c r="D1237" s="230"/>
      <c r="E1237" s="230"/>
      <c r="F1237" s="230"/>
      <c r="G1237" s="429"/>
    </row>
    <row r="1238" spans="1:7" x14ac:dyDescent="0.45">
      <c r="A1238" s="417" t="s">
        <v>155</v>
      </c>
      <c r="B1238" s="428"/>
      <c r="C1238" s="230"/>
      <c r="D1238" s="230"/>
      <c r="E1238" s="230"/>
      <c r="F1238" s="417" t="s">
        <v>167</v>
      </c>
      <c r="G1238" s="433"/>
    </row>
    <row r="1239" spans="1:7" x14ac:dyDescent="0.45">
      <c r="A1239" s="418"/>
      <c r="B1239" s="428"/>
      <c r="C1239" s="230"/>
      <c r="D1239" s="230"/>
      <c r="E1239" s="230"/>
      <c r="F1239" s="418"/>
      <c r="G1239" s="434"/>
    </row>
    <row r="1240" spans="1:7" x14ac:dyDescent="0.45">
      <c r="A1240" s="418"/>
      <c r="B1240" s="428"/>
      <c r="C1240" s="230"/>
      <c r="D1240" s="230"/>
      <c r="E1240" s="230"/>
      <c r="F1240" s="418"/>
      <c r="G1240" s="435"/>
    </row>
    <row r="1241" spans="1:7" x14ac:dyDescent="0.45">
      <c r="A1241" s="417" t="s">
        <v>159</v>
      </c>
      <c r="B1241" s="428"/>
      <c r="C1241" s="230"/>
      <c r="D1241" s="230"/>
      <c r="E1241" s="230"/>
      <c r="F1241" s="230"/>
      <c r="G1241" s="429"/>
    </row>
    <row r="1242" spans="1:7" x14ac:dyDescent="0.45">
      <c r="A1242" s="418"/>
      <c r="B1242" s="428"/>
      <c r="C1242" s="230"/>
      <c r="D1242" s="230"/>
      <c r="E1242" s="230"/>
      <c r="F1242" s="230"/>
      <c r="G1242" s="429"/>
    </row>
    <row r="1243" spans="1:7" x14ac:dyDescent="0.45">
      <c r="A1243" s="436"/>
      <c r="B1243" s="428"/>
      <c r="C1243" s="230"/>
      <c r="D1243" s="230"/>
      <c r="E1243" s="230"/>
      <c r="F1243" s="230"/>
      <c r="G1243" s="429"/>
    </row>
    <row r="1244" spans="1:7" x14ac:dyDescent="0.45">
      <c r="A1244" s="425" t="s">
        <v>161</v>
      </c>
      <c r="B1244" s="428"/>
      <c r="C1244" s="230"/>
      <c r="D1244" s="230"/>
      <c r="E1244" s="230"/>
      <c r="F1244" s="230"/>
      <c r="G1244" s="429"/>
    </row>
    <row r="1245" spans="1:7" x14ac:dyDescent="0.45">
      <c r="A1245" s="426"/>
      <c r="B1245" s="428"/>
      <c r="C1245" s="230"/>
      <c r="D1245" s="230"/>
      <c r="E1245" s="230"/>
      <c r="F1245" s="230"/>
      <c r="G1245" s="429"/>
    </row>
    <row r="1246" spans="1:7" x14ac:dyDescent="0.45">
      <c r="A1246" s="427"/>
      <c r="B1246" s="428"/>
      <c r="C1246" s="230"/>
      <c r="D1246" s="230"/>
      <c r="E1246" s="230"/>
      <c r="F1246" s="230"/>
      <c r="G1246" s="429"/>
    </row>
    <row r="1247" spans="1:7" ht="14.65" thickBot="1" x14ac:dyDescent="0.5">
      <c r="A1247" s="105" t="s">
        <v>166</v>
      </c>
      <c r="B1247" s="430"/>
      <c r="C1247" s="431"/>
      <c r="D1247" s="431"/>
      <c r="E1247" s="431"/>
      <c r="F1247" s="431"/>
      <c r="G1247" s="432"/>
    </row>
    <row r="1248" spans="1:7" ht="14.65" thickBot="1" x14ac:dyDescent="0.5"/>
    <row r="1249" spans="1:7" ht="14.65" thickBot="1" x14ac:dyDescent="0.5">
      <c r="A1249" s="407" t="s">
        <v>77</v>
      </c>
      <c r="B1249" s="408"/>
      <c r="C1249" s="69"/>
      <c r="E1249" s="86" t="s">
        <v>22</v>
      </c>
      <c r="F1249" s="62"/>
      <c r="G1249" s="62"/>
    </row>
    <row r="1250" spans="1:7" ht="14.65" thickBot="1" x14ac:dyDescent="0.5">
      <c r="A1250" s="106"/>
      <c r="B1250" s="106"/>
      <c r="E1250" s="88" t="s">
        <v>32</v>
      </c>
      <c r="F1250" s="382"/>
      <c r="G1250" s="383"/>
    </row>
    <row r="1251" spans="1:7" ht="14.65" thickBot="1" x14ac:dyDescent="0.5">
      <c r="A1251" s="107" t="s">
        <v>103</v>
      </c>
      <c r="B1251" s="106"/>
      <c r="E1251" s="88" t="s">
        <v>34</v>
      </c>
      <c r="F1251" s="386"/>
      <c r="G1251" s="387"/>
    </row>
    <row r="1252" spans="1:7" ht="14.65" thickBot="1" x14ac:dyDescent="0.5">
      <c r="A1252" s="88" t="s">
        <v>32</v>
      </c>
      <c r="B1252" s="382"/>
      <c r="C1252" s="383"/>
      <c r="E1252" s="89" t="s">
        <v>35</v>
      </c>
      <c r="F1252" s="380"/>
      <c r="G1252" s="381"/>
    </row>
    <row r="1253" spans="1:7" ht="15" customHeight="1" thickBot="1" x14ac:dyDescent="0.5">
      <c r="A1253" s="88" t="s">
        <v>34</v>
      </c>
      <c r="B1253" s="386"/>
      <c r="C1253" s="387"/>
      <c r="F1253" s="62"/>
    </row>
    <row r="1254" spans="1:7" ht="14.65" thickBot="1" x14ac:dyDescent="0.5">
      <c r="A1254" s="89" t="s">
        <v>35</v>
      </c>
      <c r="B1254" s="380"/>
      <c r="C1254" s="381"/>
      <c r="E1254" s="86" t="s">
        <v>31</v>
      </c>
      <c r="F1254" s="62"/>
    </row>
    <row r="1255" spans="1:7" ht="14.65" thickBot="1" x14ac:dyDescent="0.5">
      <c r="A1255" s="87"/>
      <c r="B1255" s="62"/>
      <c r="C1255" s="62"/>
      <c r="E1255" s="117">
        <v>1</v>
      </c>
      <c r="F1255" s="382"/>
      <c r="G1255" s="383"/>
    </row>
    <row r="1256" spans="1:7" ht="14.65" thickBot="1" x14ac:dyDescent="0.5">
      <c r="A1256" s="384" t="s">
        <v>262</v>
      </c>
      <c r="B1256" s="385"/>
      <c r="E1256" s="117">
        <v>2</v>
      </c>
      <c r="F1256" s="386"/>
      <c r="G1256" s="387"/>
    </row>
    <row r="1257" spans="1:7" x14ac:dyDescent="0.45">
      <c r="A1257" s="117">
        <v>1</v>
      </c>
      <c r="B1257" s="388"/>
      <c r="C1257" s="389"/>
      <c r="E1257" s="118">
        <v>3</v>
      </c>
      <c r="F1257" s="386"/>
      <c r="G1257" s="387"/>
    </row>
    <row r="1258" spans="1:7" x14ac:dyDescent="0.45">
      <c r="A1258" s="117">
        <v>2</v>
      </c>
      <c r="B1258" s="390"/>
      <c r="C1258" s="391"/>
      <c r="E1258" s="117">
        <v>4</v>
      </c>
      <c r="F1258" s="392"/>
      <c r="G1258" s="393"/>
    </row>
    <row r="1259" spans="1:7" ht="14.65" thickBot="1" x14ac:dyDescent="0.5">
      <c r="A1259" s="145">
        <v>3</v>
      </c>
      <c r="B1259" s="394"/>
      <c r="C1259" s="395"/>
      <c r="E1259" s="119">
        <v>5</v>
      </c>
      <c r="F1259" s="380"/>
      <c r="G1259" s="381"/>
    </row>
    <row r="1260" spans="1:7" ht="14.65" thickBot="1" x14ac:dyDescent="0.5"/>
    <row r="1261" spans="1:7" s="90" customFormat="1" x14ac:dyDescent="0.45">
      <c r="A1261" s="357" t="s">
        <v>136</v>
      </c>
      <c r="B1261" s="358"/>
      <c r="C1261" s="358"/>
      <c r="D1261" s="358"/>
      <c r="E1261" s="358"/>
      <c r="F1261" s="358"/>
      <c r="G1261" s="359"/>
    </row>
    <row r="1262" spans="1:7" ht="14.25" customHeight="1" x14ac:dyDescent="0.45">
      <c r="A1262" s="360" t="s">
        <v>137</v>
      </c>
      <c r="B1262" s="361"/>
      <c r="C1262" s="361"/>
      <c r="D1262" s="361"/>
      <c r="E1262" s="361"/>
      <c r="F1262" s="361"/>
      <c r="G1262" s="362"/>
    </row>
    <row r="1263" spans="1:7" ht="14.25" customHeight="1" x14ac:dyDescent="0.45">
      <c r="A1263" s="360" t="s">
        <v>164</v>
      </c>
      <c r="B1263" s="361"/>
      <c r="C1263" s="361"/>
      <c r="D1263" s="361"/>
      <c r="E1263" s="361"/>
      <c r="F1263" s="361"/>
      <c r="G1263" s="362"/>
    </row>
    <row r="1264" spans="1:7" ht="30.5" customHeight="1" x14ac:dyDescent="0.45">
      <c r="A1264" s="363" t="s">
        <v>136</v>
      </c>
      <c r="B1264" s="364"/>
      <c r="C1264" s="365"/>
      <c r="D1264" s="366" t="s">
        <v>203</v>
      </c>
      <c r="E1264" s="365"/>
      <c r="F1264" s="366" t="s">
        <v>165</v>
      </c>
      <c r="G1264" s="365"/>
    </row>
    <row r="1265" spans="1:7" ht="46.25" customHeight="1" x14ac:dyDescent="0.45">
      <c r="A1265" s="367" t="s">
        <v>206</v>
      </c>
      <c r="B1265" s="368"/>
      <c r="C1265" s="369"/>
      <c r="D1265" s="376" t="s">
        <v>204</v>
      </c>
      <c r="E1265" s="369"/>
      <c r="F1265" s="379" t="s">
        <v>205</v>
      </c>
      <c r="G1265" s="369"/>
    </row>
    <row r="1266" spans="1:7" ht="46.25" customHeight="1" x14ac:dyDescent="0.45">
      <c r="A1266" s="370"/>
      <c r="B1266" s="371"/>
      <c r="C1266" s="372"/>
      <c r="D1266" s="377"/>
      <c r="E1266" s="372"/>
      <c r="F1266" s="377"/>
      <c r="G1266" s="372"/>
    </row>
    <row r="1267" spans="1:7" ht="39" customHeight="1" x14ac:dyDescent="0.45">
      <c r="A1267" s="373"/>
      <c r="B1267" s="374"/>
      <c r="C1267" s="375"/>
      <c r="D1267" s="378"/>
      <c r="E1267" s="375"/>
      <c r="F1267" s="378"/>
      <c r="G1267" s="375"/>
    </row>
    <row r="1268" spans="1:7" ht="28.25" customHeight="1" x14ac:dyDescent="0.45">
      <c r="A1268" s="327"/>
      <c r="B1268" s="328"/>
      <c r="C1268" s="329"/>
      <c r="D1268" s="336"/>
      <c r="E1268" s="329"/>
      <c r="F1268" s="336"/>
      <c r="G1268" s="339"/>
    </row>
    <row r="1269" spans="1:7" ht="28.25" customHeight="1" x14ac:dyDescent="0.45">
      <c r="A1269" s="330"/>
      <c r="B1269" s="331"/>
      <c r="C1269" s="332"/>
      <c r="D1269" s="337"/>
      <c r="E1269" s="332"/>
      <c r="F1269" s="337"/>
      <c r="G1269" s="340"/>
    </row>
    <row r="1270" spans="1:7" ht="28.25" customHeight="1" x14ac:dyDescent="0.45">
      <c r="A1270" s="333"/>
      <c r="B1270" s="334"/>
      <c r="C1270" s="335"/>
      <c r="D1270" s="338"/>
      <c r="E1270" s="335"/>
      <c r="F1270" s="338"/>
      <c r="G1270" s="341"/>
    </row>
    <row r="1271" spans="1:7" ht="28.25" customHeight="1" x14ac:dyDescent="0.45">
      <c r="A1271" s="327"/>
      <c r="B1271" s="328"/>
      <c r="C1271" s="329"/>
      <c r="D1271" s="336"/>
      <c r="E1271" s="329"/>
      <c r="F1271" s="336"/>
      <c r="G1271" s="339"/>
    </row>
    <row r="1272" spans="1:7" ht="28.25" customHeight="1" x14ac:dyDescent="0.45">
      <c r="A1272" s="330"/>
      <c r="B1272" s="331"/>
      <c r="C1272" s="332"/>
      <c r="D1272" s="337"/>
      <c r="E1272" s="332"/>
      <c r="F1272" s="337"/>
      <c r="G1272" s="340"/>
    </row>
    <row r="1273" spans="1:7" ht="28.25" customHeight="1" x14ac:dyDescent="0.45">
      <c r="A1273" s="333"/>
      <c r="B1273" s="334"/>
      <c r="C1273" s="335"/>
      <c r="D1273" s="338"/>
      <c r="E1273" s="335"/>
      <c r="F1273" s="338"/>
      <c r="G1273" s="341"/>
    </row>
    <row r="1274" spans="1:7" ht="28.25" customHeight="1" x14ac:dyDescent="0.45">
      <c r="A1274" s="342"/>
      <c r="B1274" s="343"/>
      <c r="C1274" s="344"/>
      <c r="D1274" s="351"/>
      <c r="E1274" s="344"/>
      <c r="F1274" s="351"/>
      <c r="G1274" s="354"/>
    </row>
    <row r="1275" spans="1:7" ht="28.25" customHeight="1" x14ac:dyDescent="0.45">
      <c r="A1275" s="345"/>
      <c r="B1275" s="346"/>
      <c r="C1275" s="347"/>
      <c r="D1275" s="352"/>
      <c r="E1275" s="347"/>
      <c r="F1275" s="352"/>
      <c r="G1275" s="355"/>
    </row>
    <row r="1276" spans="1:7" ht="28.25" customHeight="1" thickBot="1" x14ac:dyDescent="0.5">
      <c r="A1276" s="348"/>
      <c r="B1276" s="349"/>
      <c r="C1276" s="350"/>
      <c r="D1276" s="353"/>
      <c r="E1276" s="350"/>
      <c r="F1276" s="353"/>
      <c r="G1276" s="356"/>
    </row>
    <row r="1278" spans="1:7" s="91" customFormat="1" x14ac:dyDescent="0.45"/>
    <row r="1279" spans="1:7" ht="14.65" thickBot="1" x14ac:dyDescent="0.5"/>
    <row r="1280" spans="1:7" ht="14.65" thickBot="1" x14ac:dyDescent="0.5">
      <c r="A1280" s="84" t="s">
        <v>76</v>
      </c>
      <c r="B1280" s="126">
        <v>27</v>
      </c>
      <c r="C1280" s="108"/>
      <c r="D1280" s="109"/>
      <c r="E1280" s="109"/>
      <c r="F1280" s="109"/>
      <c r="G1280" s="109"/>
    </row>
    <row r="1281" spans="1:7" ht="12.6" customHeight="1" x14ac:dyDescent="0.45">
      <c r="A1281" s="409" t="s">
        <v>89</v>
      </c>
      <c r="B1281" s="411"/>
      <c r="C1281" s="401"/>
      <c r="D1281" s="401"/>
      <c r="E1281" s="401"/>
      <c r="F1281" s="401"/>
      <c r="G1281" s="402"/>
    </row>
    <row r="1282" spans="1:7" ht="12.6" customHeight="1" x14ac:dyDescent="0.45">
      <c r="A1282" s="409"/>
      <c r="B1282" s="411"/>
      <c r="C1282" s="401"/>
      <c r="D1282" s="401"/>
      <c r="E1282" s="401"/>
      <c r="F1282" s="401"/>
      <c r="G1282" s="402"/>
    </row>
    <row r="1283" spans="1:7" ht="12.6" customHeight="1" x14ac:dyDescent="0.45">
      <c r="A1283" s="410"/>
      <c r="B1283" s="416"/>
      <c r="C1283" s="403"/>
      <c r="D1283" s="403"/>
      <c r="E1283" s="403"/>
      <c r="F1283" s="403"/>
      <c r="G1283" s="404"/>
    </row>
    <row r="1284" spans="1:7" ht="31.8" customHeight="1" x14ac:dyDescent="0.45">
      <c r="A1284" s="412" t="s">
        <v>160</v>
      </c>
      <c r="B1284" s="411"/>
      <c r="C1284" s="401"/>
      <c r="D1284" s="401"/>
      <c r="E1284" s="401"/>
      <c r="F1284" s="401"/>
      <c r="G1284" s="402"/>
    </row>
    <row r="1285" spans="1:7" ht="31.8" customHeight="1" x14ac:dyDescent="0.45">
      <c r="A1285" s="409"/>
      <c r="B1285" s="411"/>
      <c r="C1285" s="401"/>
      <c r="D1285" s="401"/>
      <c r="E1285" s="401"/>
      <c r="F1285" s="401"/>
      <c r="G1285" s="402"/>
    </row>
    <row r="1286" spans="1:7" ht="31.8" customHeight="1" x14ac:dyDescent="0.45">
      <c r="A1286" s="410"/>
      <c r="B1286" s="411"/>
      <c r="C1286" s="401"/>
      <c r="D1286" s="401"/>
      <c r="E1286" s="401"/>
      <c r="F1286" s="401"/>
      <c r="G1286" s="402"/>
    </row>
    <row r="1287" spans="1:7" ht="14.45" customHeight="1" x14ac:dyDescent="0.45">
      <c r="A1287" s="412" t="s">
        <v>155</v>
      </c>
      <c r="B1287" s="414"/>
      <c r="C1287" s="415"/>
      <c r="D1287" s="415"/>
      <c r="E1287" s="422"/>
      <c r="F1287" s="417" t="s">
        <v>167</v>
      </c>
      <c r="G1287" s="419"/>
    </row>
    <row r="1288" spans="1:7" x14ac:dyDescent="0.45">
      <c r="A1288" s="409"/>
      <c r="B1288" s="411"/>
      <c r="C1288" s="401"/>
      <c r="D1288" s="401"/>
      <c r="E1288" s="423"/>
      <c r="F1288" s="418"/>
      <c r="G1288" s="420"/>
    </row>
    <row r="1289" spans="1:7" x14ac:dyDescent="0.45">
      <c r="A1289" s="409"/>
      <c r="B1289" s="416"/>
      <c r="C1289" s="403"/>
      <c r="D1289" s="403"/>
      <c r="E1289" s="424"/>
      <c r="F1289" s="418"/>
      <c r="G1289" s="421"/>
    </row>
    <row r="1290" spans="1:7" x14ac:dyDescent="0.45">
      <c r="A1290" s="412" t="s">
        <v>159</v>
      </c>
      <c r="B1290" s="413"/>
      <c r="C1290" s="399"/>
      <c r="D1290" s="399"/>
      <c r="E1290" s="399"/>
      <c r="F1290" s="399"/>
      <c r="G1290" s="400"/>
    </row>
    <row r="1291" spans="1:7" x14ac:dyDescent="0.45">
      <c r="A1291" s="409"/>
      <c r="B1291" s="411"/>
      <c r="C1291" s="401"/>
      <c r="D1291" s="401"/>
      <c r="E1291" s="401"/>
      <c r="F1291" s="401"/>
      <c r="G1291" s="402"/>
    </row>
    <row r="1292" spans="1:7" x14ac:dyDescent="0.45">
      <c r="A1292" s="410"/>
      <c r="B1292" s="416"/>
      <c r="C1292" s="403"/>
      <c r="D1292" s="403"/>
      <c r="E1292" s="403"/>
      <c r="F1292" s="403"/>
      <c r="G1292" s="404"/>
    </row>
    <row r="1293" spans="1:7" ht="15" customHeight="1" x14ac:dyDescent="0.45">
      <c r="A1293" s="396" t="s">
        <v>161</v>
      </c>
      <c r="B1293" s="401"/>
      <c r="C1293" s="401"/>
      <c r="D1293" s="401"/>
      <c r="E1293" s="401"/>
      <c r="F1293" s="401"/>
      <c r="G1293" s="402"/>
    </row>
    <row r="1294" spans="1:7" x14ac:dyDescent="0.45">
      <c r="A1294" s="397"/>
      <c r="B1294" s="401"/>
      <c r="C1294" s="401"/>
      <c r="D1294" s="401"/>
      <c r="E1294" s="401"/>
      <c r="F1294" s="401"/>
      <c r="G1294" s="402"/>
    </row>
    <row r="1295" spans="1:7" x14ac:dyDescent="0.45">
      <c r="A1295" s="398"/>
      <c r="B1295" s="401"/>
      <c r="C1295" s="401"/>
      <c r="D1295" s="401"/>
      <c r="E1295" s="401"/>
      <c r="F1295" s="401"/>
      <c r="G1295" s="402"/>
    </row>
    <row r="1296" spans="1:7" ht="14.65" thickBot="1" x14ac:dyDescent="0.5">
      <c r="A1296" s="85" t="s">
        <v>166</v>
      </c>
      <c r="B1296" s="405"/>
      <c r="C1296" s="405"/>
      <c r="D1296" s="405"/>
      <c r="E1296" s="405"/>
      <c r="F1296" s="405"/>
      <c r="G1296" s="406"/>
    </row>
    <row r="1297" spans="1:7" s="90" customFormat="1" ht="14.65" thickBot="1" x14ac:dyDescent="0.5">
      <c r="A1297" s="61"/>
      <c r="B1297" s="61"/>
      <c r="C1297" s="61"/>
      <c r="D1297" s="61"/>
      <c r="E1297" s="61"/>
      <c r="F1297" s="61"/>
    </row>
    <row r="1298" spans="1:7" ht="15" customHeight="1" thickBot="1" x14ac:dyDescent="0.5">
      <c r="A1298" s="407" t="s">
        <v>77</v>
      </c>
      <c r="B1298" s="408"/>
      <c r="C1298" s="69"/>
      <c r="E1298" s="86" t="s">
        <v>22</v>
      </c>
      <c r="F1298" s="62"/>
      <c r="G1298" s="62"/>
    </row>
    <row r="1299" spans="1:7" ht="15" customHeight="1" thickBot="1" x14ac:dyDescent="0.5">
      <c r="A1299" s="106"/>
      <c r="B1299" s="106"/>
      <c r="E1299" s="88" t="s">
        <v>32</v>
      </c>
      <c r="F1299" s="382"/>
      <c r="G1299" s="383"/>
    </row>
    <row r="1300" spans="1:7" ht="15" customHeight="1" thickBot="1" x14ac:dyDescent="0.5">
      <c r="A1300" s="107" t="s">
        <v>103</v>
      </c>
      <c r="B1300" s="106"/>
      <c r="E1300" s="88" t="s">
        <v>34</v>
      </c>
      <c r="F1300" s="386"/>
      <c r="G1300" s="387"/>
    </row>
    <row r="1301" spans="1:7" ht="15" customHeight="1" thickBot="1" x14ac:dyDescent="0.5">
      <c r="A1301" s="88" t="s">
        <v>32</v>
      </c>
      <c r="B1301" s="382"/>
      <c r="C1301" s="383"/>
      <c r="E1301" s="89" t="s">
        <v>35</v>
      </c>
      <c r="F1301" s="380"/>
      <c r="G1301" s="381"/>
    </row>
    <row r="1302" spans="1:7" ht="14.65" thickBot="1" x14ac:dyDescent="0.5">
      <c r="A1302" s="88" t="s">
        <v>34</v>
      </c>
      <c r="B1302" s="386"/>
      <c r="C1302" s="387"/>
      <c r="F1302" s="62"/>
    </row>
    <row r="1303" spans="1:7" ht="15" customHeight="1" thickBot="1" x14ac:dyDescent="0.5">
      <c r="A1303" s="89" t="s">
        <v>35</v>
      </c>
      <c r="B1303" s="380"/>
      <c r="C1303" s="381"/>
      <c r="E1303" s="86" t="s">
        <v>31</v>
      </c>
      <c r="F1303" s="62"/>
    </row>
    <row r="1304" spans="1:7" ht="14.65" thickBot="1" x14ac:dyDescent="0.5">
      <c r="A1304" s="87"/>
      <c r="B1304" s="62"/>
      <c r="C1304" s="62"/>
      <c r="E1304" s="117">
        <v>1</v>
      </c>
      <c r="F1304" s="382"/>
      <c r="G1304" s="383"/>
    </row>
    <row r="1305" spans="1:7" ht="15" customHeight="1" thickBot="1" x14ac:dyDescent="0.5">
      <c r="A1305" s="384" t="s">
        <v>262</v>
      </c>
      <c r="B1305" s="385"/>
      <c r="E1305" s="117">
        <v>2</v>
      </c>
      <c r="F1305" s="386"/>
      <c r="G1305" s="387"/>
    </row>
    <row r="1306" spans="1:7" ht="15" customHeight="1" x14ac:dyDescent="0.45">
      <c r="A1306" s="117">
        <v>1</v>
      </c>
      <c r="B1306" s="388"/>
      <c r="C1306" s="389"/>
      <c r="E1306" s="118">
        <v>3</v>
      </c>
      <c r="F1306" s="386"/>
      <c r="G1306" s="387"/>
    </row>
    <row r="1307" spans="1:7" x14ac:dyDescent="0.45">
      <c r="A1307" s="117">
        <v>2</v>
      </c>
      <c r="B1307" s="390"/>
      <c r="C1307" s="391"/>
      <c r="E1307" s="117">
        <v>4</v>
      </c>
      <c r="F1307" s="392"/>
      <c r="G1307" s="393"/>
    </row>
    <row r="1308" spans="1:7" ht="15" customHeight="1" thickBot="1" x14ac:dyDescent="0.5">
      <c r="A1308" s="145">
        <v>3</v>
      </c>
      <c r="B1308" s="394"/>
      <c r="C1308" s="395"/>
      <c r="E1308" s="119">
        <v>5</v>
      </c>
      <c r="F1308" s="380"/>
      <c r="G1308" s="381"/>
    </row>
    <row r="1309" spans="1:7" ht="14.65" thickBot="1" x14ac:dyDescent="0.5"/>
    <row r="1310" spans="1:7" x14ac:dyDescent="0.45">
      <c r="A1310" s="357" t="s">
        <v>136</v>
      </c>
      <c r="B1310" s="358"/>
      <c r="C1310" s="358"/>
      <c r="D1310" s="358"/>
      <c r="E1310" s="358"/>
      <c r="F1310" s="358"/>
      <c r="G1310" s="359"/>
    </row>
    <row r="1311" spans="1:7" ht="14.45" customHeight="1" x14ac:dyDescent="0.45">
      <c r="A1311" s="360" t="s">
        <v>137</v>
      </c>
      <c r="B1311" s="361"/>
      <c r="C1311" s="361"/>
      <c r="D1311" s="361"/>
      <c r="E1311" s="361"/>
      <c r="F1311" s="361"/>
      <c r="G1311" s="362"/>
    </row>
    <row r="1312" spans="1:7" ht="14.45" customHeight="1" x14ac:dyDescent="0.45">
      <c r="A1312" s="360" t="s">
        <v>164</v>
      </c>
      <c r="B1312" s="361"/>
      <c r="C1312" s="361"/>
      <c r="D1312" s="361"/>
      <c r="E1312" s="361"/>
      <c r="F1312" s="361"/>
      <c r="G1312" s="362"/>
    </row>
    <row r="1313" spans="1:7" s="83" customFormat="1" ht="14.45" customHeight="1" x14ac:dyDescent="0.45">
      <c r="A1313" s="363" t="s">
        <v>136</v>
      </c>
      <c r="B1313" s="364"/>
      <c r="C1313" s="365"/>
      <c r="D1313" s="366" t="s">
        <v>203</v>
      </c>
      <c r="E1313" s="365"/>
      <c r="F1313" s="366" t="s">
        <v>165</v>
      </c>
      <c r="G1313" s="365"/>
    </row>
    <row r="1314" spans="1:7" ht="46.25" customHeight="1" x14ac:dyDescent="0.45">
      <c r="A1314" s="367" t="s">
        <v>206</v>
      </c>
      <c r="B1314" s="368"/>
      <c r="C1314" s="369"/>
      <c r="D1314" s="376" t="s">
        <v>204</v>
      </c>
      <c r="E1314" s="369"/>
      <c r="F1314" s="379" t="s">
        <v>205</v>
      </c>
      <c r="G1314" s="369"/>
    </row>
    <row r="1315" spans="1:7" ht="46.25" customHeight="1" x14ac:dyDescent="0.45">
      <c r="A1315" s="370"/>
      <c r="B1315" s="371"/>
      <c r="C1315" s="372"/>
      <c r="D1315" s="377"/>
      <c r="E1315" s="372"/>
      <c r="F1315" s="377"/>
      <c r="G1315" s="372"/>
    </row>
    <row r="1316" spans="1:7" ht="46.25" customHeight="1" x14ac:dyDescent="0.45">
      <c r="A1316" s="373"/>
      <c r="B1316" s="374"/>
      <c r="C1316" s="375"/>
      <c r="D1316" s="378"/>
      <c r="E1316" s="375"/>
      <c r="F1316" s="378"/>
      <c r="G1316" s="375"/>
    </row>
    <row r="1317" spans="1:7" ht="28.25" customHeight="1" x14ac:dyDescent="0.45">
      <c r="A1317" s="327"/>
      <c r="B1317" s="328"/>
      <c r="C1317" s="329"/>
      <c r="D1317" s="336"/>
      <c r="E1317" s="329"/>
      <c r="F1317" s="336"/>
      <c r="G1317" s="339"/>
    </row>
    <row r="1318" spans="1:7" ht="28.25" customHeight="1" x14ac:dyDescent="0.45">
      <c r="A1318" s="330"/>
      <c r="B1318" s="331"/>
      <c r="C1318" s="332"/>
      <c r="D1318" s="337"/>
      <c r="E1318" s="332"/>
      <c r="F1318" s="337"/>
      <c r="G1318" s="340"/>
    </row>
    <row r="1319" spans="1:7" ht="28.25" customHeight="1" x14ac:dyDescent="0.45">
      <c r="A1319" s="333"/>
      <c r="B1319" s="334"/>
      <c r="C1319" s="335"/>
      <c r="D1319" s="338"/>
      <c r="E1319" s="335"/>
      <c r="F1319" s="338"/>
      <c r="G1319" s="341"/>
    </row>
    <row r="1320" spans="1:7" ht="28.25" customHeight="1" x14ac:dyDescent="0.45">
      <c r="A1320" s="327"/>
      <c r="B1320" s="328"/>
      <c r="C1320" s="329"/>
      <c r="D1320" s="336"/>
      <c r="E1320" s="329"/>
      <c r="F1320" s="336"/>
      <c r="G1320" s="339"/>
    </row>
    <row r="1321" spans="1:7" ht="28.25" customHeight="1" x14ac:dyDescent="0.45">
      <c r="A1321" s="330"/>
      <c r="B1321" s="331"/>
      <c r="C1321" s="332"/>
      <c r="D1321" s="337"/>
      <c r="E1321" s="332"/>
      <c r="F1321" s="337"/>
      <c r="G1321" s="340"/>
    </row>
    <row r="1322" spans="1:7" ht="28.25" customHeight="1" x14ac:dyDescent="0.45">
      <c r="A1322" s="333"/>
      <c r="B1322" s="334"/>
      <c r="C1322" s="335"/>
      <c r="D1322" s="338"/>
      <c r="E1322" s="335"/>
      <c r="F1322" s="338"/>
      <c r="G1322" s="341"/>
    </row>
    <row r="1323" spans="1:7" ht="28.25" customHeight="1" x14ac:dyDescent="0.45">
      <c r="A1323" s="342"/>
      <c r="B1323" s="343"/>
      <c r="C1323" s="344"/>
      <c r="D1323" s="351"/>
      <c r="E1323" s="344"/>
      <c r="F1323" s="351"/>
      <c r="G1323" s="354"/>
    </row>
    <row r="1324" spans="1:7" ht="28.25" customHeight="1" x14ac:dyDescent="0.45">
      <c r="A1324" s="345"/>
      <c r="B1324" s="346"/>
      <c r="C1324" s="347"/>
      <c r="D1324" s="352"/>
      <c r="E1324" s="347"/>
      <c r="F1324" s="352"/>
      <c r="G1324" s="355"/>
    </row>
    <row r="1325" spans="1:7" ht="28.25" customHeight="1" thickBot="1" x14ac:dyDescent="0.5">
      <c r="A1325" s="348"/>
      <c r="B1325" s="349"/>
      <c r="C1325" s="350"/>
      <c r="D1325" s="353"/>
      <c r="E1325" s="350"/>
      <c r="F1325" s="353"/>
      <c r="G1325" s="356"/>
    </row>
    <row r="1326" spans="1:7" ht="12.6" customHeight="1" x14ac:dyDescent="0.45"/>
    <row r="1327" spans="1:7" s="91" customFormat="1" x14ac:dyDescent="0.45"/>
    <row r="1328" spans="1:7" ht="14.65" thickBot="1" x14ac:dyDescent="0.5"/>
    <row r="1329" spans="1:7" ht="14.65" thickBot="1" x14ac:dyDescent="0.5">
      <c r="A1329" s="84" t="s">
        <v>76</v>
      </c>
      <c r="B1329" s="126">
        <v>28</v>
      </c>
      <c r="C1329" s="108"/>
      <c r="D1329" s="109"/>
      <c r="E1329" s="109"/>
      <c r="F1329" s="109"/>
      <c r="G1329" s="109"/>
    </row>
    <row r="1330" spans="1:7" ht="12.6" customHeight="1" x14ac:dyDescent="0.45">
      <c r="A1330" s="409" t="s">
        <v>89</v>
      </c>
      <c r="B1330" s="411"/>
      <c r="C1330" s="401"/>
      <c r="D1330" s="401"/>
      <c r="E1330" s="401"/>
      <c r="F1330" s="401"/>
      <c r="G1330" s="402"/>
    </row>
    <row r="1331" spans="1:7" ht="12.6" customHeight="1" x14ac:dyDescent="0.45">
      <c r="A1331" s="409"/>
      <c r="B1331" s="411"/>
      <c r="C1331" s="401"/>
      <c r="D1331" s="401"/>
      <c r="E1331" s="401"/>
      <c r="F1331" s="401"/>
      <c r="G1331" s="402"/>
    </row>
    <row r="1332" spans="1:7" ht="12.6" customHeight="1" x14ac:dyDescent="0.45">
      <c r="A1332" s="410"/>
      <c r="B1332" s="411"/>
      <c r="C1332" s="401"/>
      <c r="D1332" s="401"/>
      <c r="E1332" s="401"/>
      <c r="F1332" s="401"/>
      <c r="G1332" s="402"/>
    </row>
    <row r="1333" spans="1:7" ht="31.8" customHeight="1" x14ac:dyDescent="0.45">
      <c r="A1333" s="412" t="s">
        <v>158</v>
      </c>
      <c r="B1333" s="413"/>
      <c r="C1333" s="399"/>
      <c r="D1333" s="399"/>
      <c r="E1333" s="399"/>
      <c r="F1333" s="399"/>
      <c r="G1333" s="400"/>
    </row>
    <row r="1334" spans="1:7" ht="31.8" customHeight="1" x14ac:dyDescent="0.45">
      <c r="A1334" s="409"/>
      <c r="B1334" s="411"/>
      <c r="C1334" s="401"/>
      <c r="D1334" s="401"/>
      <c r="E1334" s="401"/>
      <c r="F1334" s="401"/>
      <c r="G1334" s="402"/>
    </row>
    <row r="1335" spans="1:7" ht="31.8" customHeight="1" x14ac:dyDescent="0.45">
      <c r="A1335" s="409"/>
      <c r="B1335" s="411"/>
      <c r="C1335" s="401"/>
      <c r="D1335" s="401"/>
      <c r="E1335" s="401"/>
      <c r="F1335" s="401"/>
      <c r="G1335" s="402"/>
    </row>
    <row r="1336" spans="1:7" x14ac:dyDescent="0.45">
      <c r="A1336" s="412" t="s">
        <v>155</v>
      </c>
      <c r="B1336" s="414"/>
      <c r="C1336" s="415"/>
      <c r="D1336" s="415"/>
      <c r="E1336" s="415"/>
      <c r="F1336" s="417" t="s">
        <v>167</v>
      </c>
      <c r="G1336" s="419"/>
    </row>
    <row r="1337" spans="1:7" s="90" customFormat="1" x14ac:dyDescent="0.45">
      <c r="A1337" s="409"/>
      <c r="B1337" s="411"/>
      <c r="C1337" s="401"/>
      <c r="D1337" s="401"/>
      <c r="E1337" s="401"/>
      <c r="F1337" s="418"/>
      <c r="G1337" s="420"/>
    </row>
    <row r="1338" spans="1:7" x14ac:dyDescent="0.45">
      <c r="A1338" s="409"/>
      <c r="B1338" s="416"/>
      <c r="C1338" s="403"/>
      <c r="D1338" s="403"/>
      <c r="E1338" s="403"/>
      <c r="F1338" s="418"/>
      <c r="G1338" s="421"/>
    </row>
    <row r="1339" spans="1:7" x14ac:dyDescent="0.45">
      <c r="A1339" s="412" t="s">
        <v>159</v>
      </c>
      <c r="B1339" s="411"/>
      <c r="C1339" s="401"/>
      <c r="D1339" s="401"/>
      <c r="E1339" s="401"/>
      <c r="F1339" s="401"/>
      <c r="G1339" s="402"/>
    </row>
    <row r="1340" spans="1:7" x14ac:dyDescent="0.45">
      <c r="A1340" s="409"/>
      <c r="B1340" s="411"/>
      <c r="C1340" s="401"/>
      <c r="D1340" s="401"/>
      <c r="E1340" s="401"/>
      <c r="F1340" s="401"/>
      <c r="G1340" s="402"/>
    </row>
    <row r="1341" spans="1:7" x14ac:dyDescent="0.45">
      <c r="A1341" s="410"/>
      <c r="B1341" s="411"/>
      <c r="C1341" s="401"/>
      <c r="D1341" s="401"/>
      <c r="E1341" s="401"/>
      <c r="F1341" s="401"/>
      <c r="G1341" s="402"/>
    </row>
    <row r="1342" spans="1:7" x14ac:dyDescent="0.45">
      <c r="A1342" s="396" t="s">
        <v>161</v>
      </c>
      <c r="B1342" s="399"/>
      <c r="C1342" s="399"/>
      <c r="D1342" s="399"/>
      <c r="E1342" s="399"/>
      <c r="F1342" s="399"/>
      <c r="G1342" s="400"/>
    </row>
    <row r="1343" spans="1:7" x14ac:dyDescent="0.45">
      <c r="A1343" s="397"/>
      <c r="B1343" s="401"/>
      <c r="C1343" s="401"/>
      <c r="D1343" s="401"/>
      <c r="E1343" s="401"/>
      <c r="F1343" s="401"/>
      <c r="G1343" s="402"/>
    </row>
    <row r="1344" spans="1:7" x14ac:dyDescent="0.45">
      <c r="A1344" s="398"/>
      <c r="B1344" s="403"/>
      <c r="C1344" s="403"/>
      <c r="D1344" s="403"/>
      <c r="E1344" s="403"/>
      <c r="F1344" s="403"/>
      <c r="G1344" s="404"/>
    </row>
    <row r="1345" spans="1:7" ht="14.65" thickBot="1" x14ac:dyDescent="0.5">
      <c r="A1345" s="85" t="s">
        <v>166</v>
      </c>
      <c r="B1345" s="405"/>
      <c r="C1345" s="405"/>
      <c r="D1345" s="405"/>
      <c r="E1345" s="405"/>
      <c r="F1345" s="405"/>
      <c r="G1345" s="406"/>
    </row>
    <row r="1346" spans="1:7" ht="14.65" thickBot="1" x14ac:dyDescent="0.5"/>
    <row r="1347" spans="1:7" ht="15" customHeight="1" thickBot="1" x14ac:dyDescent="0.5">
      <c r="A1347" s="407" t="s">
        <v>77</v>
      </c>
      <c r="B1347" s="408"/>
      <c r="C1347" s="69"/>
      <c r="E1347" s="86" t="s">
        <v>22</v>
      </c>
      <c r="F1347" s="62"/>
      <c r="G1347" s="62"/>
    </row>
    <row r="1348" spans="1:7" ht="14.65" thickBot="1" x14ac:dyDescent="0.5">
      <c r="A1348" s="106"/>
      <c r="B1348" s="106"/>
      <c r="E1348" s="88" t="s">
        <v>32</v>
      </c>
      <c r="F1348" s="382"/>
      <c r="G1348" s="383"/>
    </row>
    <row r="1349" spans="1:7" ht="14.65" thickBot="1" x14ac:dyDescent="0.5">
      <c r="A1349" s="107" t="s">
        <v>103</v>
      </c>
      <c r="B1349" s="106"/>
      <c r="E1349" s="88" t="s">
        <v>34</v>
      </c>
      <c r="F1349" s="386"/>
      <c r="G1349" s="387"/>
    </row>
    <row r="1350" spans="1:7" ht="14.65" thickBot="1" x14ac:dyDescent="0.5">
      <c r="A1350" s="88" t="s">
        <v>32</v>
      </c>
      <c r="B1350" s="382"/>
      <c r="C1350" s="383"/>
      <c r="E1350" s="89" t="s">
        <v>35</v>
      </c>
      <c r="F1350" s="380"/>
      <c r="G1350" s="381"/>
    </row>
    <row r="1351" spans="1:7" ht="14.65" thickBot="1" x14ac:dyDescent="0.5">
      <c r="A1351" s="88" t="s">
        <v>34</v>
      </c>
      <c r="B1351" s="386"/>
      <c r="C1351" s="387"/>
      <c r="F1351" s="62"/>
    </row>
    <row r="1352" spans="1:7" ht="15" customHeight="1" thickBot="1" x14ac:dyDescent="0.5">
      <c r="A1352" s="89" t="s">
        <v>35</v>
      </c>
      <c r="B1352" s="380"/>
      <c r="C1352" s="381"/>
      <c r="E1352" s="86" t="s">
        <v>31</v>
      </c>
      <c r="F1352" s="62"/>
    </row>
    <row r="1353" spans="1:7" s="83" customFormat="1" ht="14.65" thickBot="1" x14ac:dyDescent="0.5">
      <c r="A1353" s="87"/>
      <c r="B1353" s="62"/>
      <c r="C1353" s="62"/>
      <c r="D1353" s="61"/>
      <c r="E1353" s="117">
        <v>1</v>
      </c>
      <c r="F1353" s="382"/>
      <c r="G1353" s="383"/>
    </row>
    <row r="1354" spans="1:7" ht="15" customHeight="1" thickBot="1" x14ac:dyDescent="0.5">
      <c r="A1354" s="384" t="s">
        <v>262</v>
      </c>
      <c r="B1354" s="385"/>
      <c r="E1354" s="117">
        <v>2</v>
      </c>
      <c r="F1354" s="386"/>
      <c r="G1354" s="387"/>
    </row>
    <row r="1355" spans="1:7" x14ac:dyDescent="0.45">
      <c r="A1355" s="117">
        <v>1</v>
      </c>
      <c r="B1355" s="388"/>
      <c r="C1355" s="389"/>
      <c r="E1355" s="118">
        <v>3</v>
      </c>
      <c r="F1355" s="386"/>
      <c r="G1355" s="387"/>
    </row>
    <row r="1356" spans="1:7" x14ac:dyDescent="0.45">
      <c r="A1356" s="117">
        <v>2</v>
      </c>
      <c r="B1356" s="390"/>
      <c r="C1356" s="391"/>
      <c r="E1356" s="117">
        <v>4</v>
      </c>
      <c r="F1356" s="392"/>
      <c r="G1356" s="393"/>
    </row>
    <row r="1357" spans="1:7" ht="14.65" thickBot="1" x14ac:dyDescent="0.5">
      <c r="A1357" s="145">
        <v>3</v>
      </c>
      <c r="B1357" s="394"/>
      <c r="C1357" s="395"/>
      <c r="E1357" s="119">
        <v>5</v>
      </c>
      <c r="F1357" s="380"/>
      <c r="G1357" s="381"/>
    </row>
    <row r="1358" spans="1:7" ht="14.65" thickBot="1" x14ac:dyDescent="0.5"/>
    <row r="1359" spans="1:7" x14ac:dyDescent="0.45">
      <c r="A1359" s="357" t="s">
        <v>136</v>
      </c>
      <c r="B1359" s="358"/>
      <c r="C1359" s="358"/>
      <c r="D1359" s="358"/>
      <c r="E1359" s="358"/>
      <c r="F1359" s="358"/>
      <c r="G1359" s="359"/>
    </row>
    <row r="1360" spans="1:7" ht="14.45" customHeight="1" x14ac:dyDescent="0.45">
      <c r="A1360" s="360" t="s">
        <v>137</v>
      </c>
      <c r="B1360" s="361"/>
      <c r="C1360" s="361"/>
      <c r="D1360" s="361"/>
      <c r="E1360" s="361"/>
      <c r="F1360" s="361"/>
      <c r="G1360" s="362"/>
    </row>
    <row r="1361" spans="1:7" ht="14.45" customHeight="1" x14ac:dyDescent="0.45">
      <c r="A1361" s="360" t="s">
        <v>164</v>
      </c>
      <c r="B1361" s="361"/>
      <c r="C1361" s="361"/>
      <c r="D1361" s="361"/>
      <c r="E1361" s="361"/>
      <c r="F1361" s="361"/>
      <c r="G1361" s="362"/>
    </row>
    <row r="1362" spans="1:7" ht="14.45" customHeight="1" x14ac:dyDescent="0.45">
      <c r="A1362" s="363" t="s">
        <v>136</v>
      </c>
      <c r="B1362" s="364"/>
      <c r="C1362" s="365"/>
      <c r="D1362" s="366" t="s">
        <v>203</v>
      </c>
      <c r="E1362" s="365"/>
      <c r="F1362" s="366" t="s">
        <v>165</v>
      </c>
      <c r="G1362" s="365"/>
    </row>
    <row r="1363" spans="1:7" ht="46.25" customHeight="1" x14ac:dyDescent="0.45">
      <c r="A1363" s="367" t="s">
        <v>206</v>
      </c>
      <c r="B1363" s="368"/>
      <c r="C1363" s="369"/>
      <c r="D1363" s="376" t="s">
        <v>204</v>
      </c>
      <c r="E1363" s="369"/>
      <c r="F1363" s="379" t="s">
        <v>205</v>
      </c>
      <c r="G1363" s="369"/>
    </row>
    <row r="1364" spans="1:7" ht="46.25" customHeight="1" x14ac:dyDescent="0.45">
      <c r="A1364" s="370"/>
      <c r="B1364" s="371"/>
      <c r="C1364" s="372"/>
      <c r="D1364" s="377"/>
      <c r="E1364" s="372"/>
      <c r="F1364" s="377"/>
      <c r="G1364" s="372"/>
    </row>
    <row r="1365" spans="1:7" ht="46.25" customHeight="1" x14ac:dyDescent="0.45">
      <c r="A1365" s="373"/>
      <c r="B1365" s="374"/>
      <c r="C1365" s="375"/>
      <c r="D1365" s="378"/>
      <c r="E1365" s="375"/>
      <c r="F1365" s="378"/>
      <c r="G1365" s="375"/>
    </row>
    <row r="1366" spans="1:7" ht="28.25" customHeight="1" x14ac:dyDescent="0.45">
      <c r="A1366" s="327"/>
      <c r="B1366" s="328"/>
      <c r="C1366" s="329"/>
      <c r="D1366" s="336"/>
      <c r="E1366" s="329"/>
      <c r="F1366" s="336"/>
      <c r="G1366" s="339"/>
    </row>
    <row r="1367" spans="1:7" ht="28.25" customHeight="1" x14ac:dyDescent="0.45">
      <c r="A1367" s="330"/>
      <c r="B1367" s="331"/>
      <c r="C1367" s="332"/>
      <c r="D1367" s="337"/>
      <c r="E1367" s="332"/>
      <c r="F1367" s="337"/>
      <c r="G1367" s="340"/>
    </row>
    <row r="1368" spans="1:7" ht="28.25" customHeight="1" x14ac:dyDescent="0.45">
      <c r="A1368" s="333"/>
      <c r="B1368" s="334"/>
      <c r="C1368" s="335"/>
      <c r="D1368" s="338"/>
      <c r="E1368" s="335"/>
      <c r="F1368" s="338"/>
      <c r="G1368" s="341"/>
    </row>
    <row r="1369" spans="1:7" ht="28.25" customHeight="1" x14ac:dyDescent="0.45">
      <c r="A1369" s="327"/>
      <c r="B1369" s="328"/>
      <c r="C1369" s="329"/>
      <c r="D1369" s="336"/>
      <c r="E1369" s="329"/>
      <c r="F1369" s="336"/>
      <c r="G1369" s="339"/>
    </row>
    <row r="1370" spans="1:7" ht="28.25" customHeight="1" x14ac:dyDescent="0.45">
      <c r="A1370" s="330"/>
      <c r="B1370" s="331"/>
      <c r="C1370" s="332"/>
      <c r="D1370" s="337"/>
      <c r="E1370" s="332"/>
      <c r="F1370" s="337"/>
      <c r="G1370" s="340"/>
    </row>
    <row r="1371" spans="1:7" ht="28.25" customHeight="1" x14ac:dyDescent="0.45">
      <c r="A1371" s="333"/>
      <c r="B1371" s="334"/>
      <c r="C1371" s="335"/>
      <c r="D1371" s="338"/>
      <c r="E1371" s="335"/>
      <c r="F1371" s="338"/>
      <c r="G1371" s="341"/>
    </row>
    <row r="1372" spans="1:7" ht="28.25" customHeight="1" x14ac:dyDescent="0.45">
      <c r="A1372" s="342"/>
      <c r="B1372" s="343"/>
      <c r="C1372" s="344"/>
      <c r="D1372" s="351"/>
      <c r="E1372" s="344"/>
      <c r="F1372" s="351"/>
      <c r="G1372" s="354"/>
    </row>
    <row r="1373" spans="1:7" ht="28.25" customHeight="1" x14ac:dyDescent="0.45">
      <c r="A1373" s="345"/>
      <c r="B1373" s="346"/>
      <c r="C1373" s="347"/>
      <c r="D1373" s="352"/>
      <c r="E1373" s="347"/>
      <c r="F1373" s="352"/>
      <c r="G1373" s="355"/>
    </row>
    <row r="1374" spans="1:7" ht="28.25" customHeight="1" thickBot="1" x14ac:dyDescent="0.5">
      <c r="A1374" s="348"/>
      <c r="B1374" s="349"/>
      <c r="C1374" s="350"/>
      <c r="D1374" s="353"/>
      <c r="E1374" s="350"/>
      <c r="F1374" s="353"/>
      <c r="G1374" s="356"/>
    </row>
    <row r="1376" spans="1:7" s="91" customFormat="1" ht="15" customHeight="1" x14ac:dyDescent="0.45"/>
    <row r="1377" spans="1:7" ht="14.65" thickBot="1" x14ac:dyDescent="0.5"/>
    <row r="1378" spans="1:7" ht="14.65" thickBot="1" x14ac:dyDescent="0.5">
      <c r="A1378" s="84" t="s">
        <v>76</v>
      </c>
      <c r="B1378" s="126">
        <v>29</v>
      </c>
      <c r="C1378" s="108"/>
      <c r="D1378" s="109"/>
      <c r="E1378" s="109"/>
      <c r="F1378" s="109"/>
      <c r="G1378" s="109"/>
    </row>
    <row r="1379" spans="1:7" ht="12.6" customHeight="1" x14ac:dyDescent="0.45">
      <c r="A1379" s="409" t="s">
        <v>89</v>
      </c>
      <c r="B1379" s="411"/>
      <c r="C1379" s="401"/>
      <c r="D1379" s="401"/>
      <c r="E1379" s="401"/>
      <c r="F1379" s="401"/>
      <c r="G1379" s="402"/>
    </row>
    <row r="1380" spans="1:7" s="90" customFormat="1" ht="12.6" customHeight="1" x14ac:dyDescent="0.45">
      <c r="A1380" s="409"/>
      <c r="B1380" s="411"/>
      <c r="C1380" s="401"/>
      <c r="D1380" s="401"/>
      <c r="E1380" s="401"/>
      <c r="F1380" s="401"/>
      <c r="G1380" s="402"/>
    </row>
    <row r="1381" spans="1:7" ht="12.6" customHeight="1" x14ac:dyDescent="0.45">
      <c r="A1381" s="410"/>
      <c r="B1381" s="411"/>
      <c r="C1381" s="401"/>
      <c r="D1381" s="401"/>
      <c r="E1381" s="401"/>
      <c r="F1381" s="401"/>
      <c r="G1381" s="402"/>
    </row>
    <row r="1382" spans="1:7" ht="31.8" customHeight="1" x14ac:dyDescent="0.45">
      <c r="A1382" s="412" t="s">
        <v>158</v>
      </c>
      <c r="B1382" s="413"/>
      <c r="C1382" s="399"/>
      <c r="D1382" s="399"/>
      <c r="E1382" s="399"/>
      <c r="F1382" s="399"/>
      <c r="G1382" s="400"/>
    </row>
    <row r="1383" spans="1:7" ht="31.8" customHeight="1" x14ac:dyDescent="0.45">
      <c r="A1383" s="409"/>
      <c r="B1383" s="411"/>
      <c r="C1383" s="401"/>
      <c r="D1383" s="401"/>
      <c r="E1383" s="401"/>
      <c r="F1383" s="401"/>
      <c r="G1383" s="402"/>
    </row>
    <row r="1384" spans="1:7" ht="31.8" customHeight="1" x14ac:dyDescent="0.45">
      <c r="A1384" s="409"/>
      <c r="B1384" s="411"/>
      <c r="C1384" s="401"/>
      <c r="D1384" s="401"/>
      <c r="E1384" s="401"/>
      <c r="F1384" s="401"/>
      <c r="G1384" s="402"/>
    </row>
    <row r="1385" spans="1:7" x14ac:dyDescent="0.45">
      <c r="A1385" s="412" t="s">
        <v>155</v>
      </c>
      <c r="B1385" s="414"/>
      <c r="C1385" s="415"/>
      <c r="D1385" s="415"/>
      <c r="E1385" s="415"/>
      <c r="F1385" s="417" t="s">
        <v>167</v>
      </c>
      <c r="G1385" s="419"/>
    </row>
    <row r="1386" spans="1:7" x14ac:dyDescent="0.45">
      <c r="A1386" s="409"/>
      <c r="B1386" s="411"/>
      <c r="C1386" s="401"/>
      <c r="D1386" s="401"/>
      <c r="E1386" s="401"/>
      <c r="F1386" s="418"/>
      <c r="G1386" s="420"/>
    </row>
    <row r="1387" spans="1:7" x14ac:dyDescent="0.45">
      <c r="A1387" s="409"/>
      <c r="B1387" s="416"/>
      <c r="C1387" s="403"/>
      <c r="D1387" s="403"/>
      <c r="E1387" s="403"/>
      <c r="F1387" s="418"/>
      <c r="G1387" s="421"/>
    </row>
    <row r="1388" spans="1:7" x14ac:dyDescent="0.45">
      <c r="A1388" s="412" t="s">
        <v>159</v>
      </c>
      <c r="B1388" s="411"/>
      <c r="C1388" s="401"/>
      <c r="D1388" s="401"/>
      <c r="E1388" s="401"/>
      <c r="F1388" s="401"/>
      <c r="G1388" s="402"/>
    </row>
    <row r="1389" spans="1:7" x14ac:dyDescent="0.45">
      <c r="A1389" s="409"/>
      <c r="B1389" s="411"/>
      <c r="C1389" s="401"/>
      <c r="D1389" s="401"/>
      <c r="E1389" s="401"/>
      <c r="F1389" s="401"/>
      <c r="G1389" s="402"/>
    </row>
    <row r="1390" spans="1:7" s="83" customFormat="1" x14ac:dyDescent="0.45">
      <c r="A1390" s="410"/>
      <c r="B1390" s="416"/>
      <c r="C1390" s="403"/>
      <c r="D1390" s="403"/>
      <c r="E1390" s="403"/>
      <c r="F1390" s="403"/>
      <c r="G1390" s="404"/>
    </row>
    <row r="1391" spans="1:7" x14ac:dyDescent="0.45">
      <c r="A1391" s="396" t="s">
        <v>161</v>
      </c>
      <c r="B1391" s="399"/>
      <c r="C1391" s="399"/>
      <c r="D1391" s="399"/>
      <c r="E1391" s="399"/>
      <c r="F1391" s="399"/>
      <c r="G1391" s="400"/>
    </row>
    <row r="1392" spans="1:7" x14ac:dyDescent="0.45">
      <c r="A1392" s="397"/>
      <c r="B1392" s="401"/>
      <c r="C1392" s="401"/>
      <c r="D1392" s="401"/>
      <c r="E1392" s="401"/>
      <c r="F1392" s="401"/>
      <c r="G1392" s="402"/>
    </row>
    <row r="1393" spans="1:7" x14ac:dyDescent="0.45">
      <c r="A1393" s="398"/>
      <c r="B1393" s="401"/>
      <c r="C1393" s="401"/>
      <c r="D1393" s="401"/>
      <c r="E1393" s="401"/>
      <c r="F1393" s="401"/>
      <c r="G1393" s="402"/>
    </row>
    <row r="1394" spans="1:7" ht="14.65" thickBot="1" x14ac:dyDescent="0.5">
      <c r="A1394" s="85" t="s">
        <v>166</v>
      </c>
      <c r="B1394" s="405"/>
      <c r="C1394" s="405"/>
      <c r="D1394" s="405"/>
      <c r="E1394" s="405"/>
      <c r="F1394" s="405"/>
      <c r="G1394" s="406"/>
    </row>
    <row r="1395" spans="1:7" ht="14.65" thickBot="1" x14ac:dyDescent="0.5"/>
    <row r="1396" spans="1:7" ht="15" customHeight="1" thickBot="1" x14ac:dyDescent="0.5">
      <c r="A1396" s="407" t="s">
        <v>77</v>
      </c>
      <c r="B1396" s="408"/>
      <c r="C1396" s="69"/>
      <c r="E1396" s="86" t="s">
        <v>22</v>
      </c>
      <c r="F1396" s="62"/>
      <c r="G1396" s="62"/>
    </row>
    <row r="1397" spans="1:7" ht="14.65" thickBot="1" x14ac:dyDescent="0.5">
      <c r="A1397" s="106"/>
      <c r="B1397" s="106"/>
      <c r="E1397" s="88" t="s">
        <v>32</v>
      </c>
      <c r="F1397" s="382"/>
      <c r="G1397" s="383"/>
    </row>
    <row r="1398" spans="1:7" ht="14.65" thickBot="1" x14ac:dyDescent="0.5">
      <c r="A1398" s="107" t="s">
        <v>103</v>
      </c>
      <c r="B1398" s="106"/>
      <c r="E1398" s="88" t="s">
        <v>34</v>
      </c>
      <c r="F1398" s="386"/>
      <c r="G1398" s="387"/>
    </row>
    <row r="1399" spans="1:7" ht="14.65" thickBot="1" x14ac:dyDescent="0.5">
      <c r="A1399" s="88" t="s">
        <v>32</v>
      </c>
      <c r="B1399" s="382"/>
      <c r="C1399" s="383"/>
      <c r="E1399" s="89" t="s">
        <v>35</v>
      </c>
      <c r="F1399" s="380"/>
      <c r="G1399" s="381"/>
    </row>
    <row r="1400" spans="1:7" ht="14.65" thickBot="1" x14ac:dyDescent="0.5">
      <c r="A1400" s="88" t="s">
        <v>34</v>
      </c>
      <c r="B1400" s="386"/>
      <c r="C1400" s="387"/>
      <c r="F1400" s="62"/>
    </row>
    <row r="1401" spans="1:7" ht="15" customHeight="1" thickBot="1" x14ac:dyDescent="0.5">
      <c r="A1401" s="89" t="s">
        <v>35</v>
      </c>
      <c r="B1401" s="380"/>
      <c r="C1401" s="381"/>
      <c r="E1401" s="86" t="s">
        <v>31</v>
      </c>
      <c r="F1401" s="62"/>
    </row>
    <row r="1402" spans="1:7" ht="14.65" thickBot="1" x14ac:dyDescent="0.5">
      <c r="A1402" s="87"/>
      <c r="B1402" s="62"/>
      <c r="C1402" s="62"/>
      <c r="E1402" s="117">
        <v>1</v>
      </c>
      <c r="F1402" s="382"/>
      <c r="G1402" s="383"/>
    </row>
    <row r="1403" spans="1:7" ht="15" customHeight="1" thickBot="1" x14ac:dyDescent="0.5">
      <c r="A1403" s="384" t="s">
        <v>262</v>
      </c>
      <c r="B1403" s="385"/>
      <c r="E1403" s="117">
        <v>2</v>
      </c>
      <c r="F1403" s="386"/>
      <c r="G1403" s="387"/>
    </row>
    <row r="1404" spans="1:7" x14ac:dyDescent="0.45">
      <c r="A1404" s="117">
        <v>1</v>
      </c>
      <c r="B1404" s="388"/>
      <c r="C1404" s="389"/>
      <c r="E1404" s="118">
        <v>3</v>
      </c>
      <c r="F1404" s="386"/>
      <c r="G1404" s="387"/>
    </row>
    <row r="1405" spans="1:7" x14ac:dyDescent="0.45">
      <c r="A1405" s="117">
        <v>2</v>
      </c>
      <c r="B1405" s="390"/>
      <c r="C1405" s="391"/>
      <c r="E1405" s="117">
        <v>4</v>
      </c>
      <c r="F1405" s="392"/>
      <c r="G1405" s="393"/>
    </row>
    <row r="1406" spans="1:7" ht="14.65" thickBot="1" x14ac:dyDescent="0.5">
      <c r="A1406" s="145">
        <v>3</v>
      </c>
      <c r="B1406" s="394"/>
      <c r="C1406" s="395"/>
      <c r="E1406" s="119">
        <v>5</v>
      </c>
      <c r="F1406" s="380"/>
      <c r="G1406" s="381"/>
    </row>
    <row r="1407" spans="1:7" ht="14.65" thickBot="1" x14ac:dyDescent="0.5"/>
    <row r="1408" spans="1:7" x14ac:dyDescent="0.45">
      <c r="A1408" s="357" t="s">
        <v>136</v>
      </c>
      <c r="B1408" s="358"/>
      <c r="C1408" s="358"/>
      <c r="D1408" s="358"/>
      <c r="E1408" s="358"/>
      <c r="F1408" s="358"/>
      <c r="G1408" s="359"/>
    </row>
    <row r="1409" spans="1:7" ht="14.45" customHeight="1" x14ac:dyDescent="0.45">
      <c r="A1409" s="360" t="s">
        <v>137</v>
      </c>
      <c r="B1409" s="361"/>
      <c r="C1409" s="361"/>
      <c r="D1409" s="361"/>
      <c r="E1409" s="361"/>
      <c r="F1409" s="361"/>
      <c r="G1409" s="362"/>
    </row>
    <row r="1410" spans="1:7" ht="14.45" customHeight="1" x14ac:dyDescent="0.45">
      <c r="A1410" s="360" t="s">
        <v>164</v>
      </c>
      <c r="B1410" s="361"/>
      <c r="C1410" s="361"/>
      <c r="D1410" s="361"/>
      <c r="E1410" s="361"/>
      <c r="F1410" s="361"/>
      <c r="G1410" s="362"/>
    </row>
    <row r="1411" spans="1:7" ht="14.45" customHeight="1" x14ac:dyDescent="0.45">
      <c r="A1411" s="363" t="s">
        <v>136</v>
      </c>
      <c r="B1411" s="364"/>
      <c r="C1411" s="365"/>
      <c r="D1411" s="366" t="s">
        <v>203</v>
      </c>
      <c r="E1411" s="365"/>
      <c r="F1411" s="366" t="s">
        <v>165</v>
      </c>
      <c r="G1411" s="365"/>
    </row>
    <row r="1412" spans="1:7" ht="42.6" customHeight="1" x14ac:dyDescent="0.45">
      <c r="A1412" s="367" t="s">
        <v>206</v>
      </c>
      <c r="B1412" s="368"/>
      <c r="C1412" s="369"/>
      <c r="D1412" s="376" t="s">
        <v>204</v>
      </c>
      <c r="E1412" s="369"/>
      <c r="F1412" s="379" t="s">
        <v>205</v>
      </c>
      <c r="G1412" s="369"/>
    </row>
    <row r="1413" spans="1:7" ht="42.6" customHeight="1" x14ac:dyDescent="0.45">
      <c r="A1413" s="370"/>
      <c r="B1413" s="371"/>
      <c r="C1413" s="372"/>
      <c r="D1413" s="377"/>
      <c r="E1413" s="372"/>
      <c r="F1413" s="377"/>
      <c r="G1413" s="372"/>
    </row>
    <row r="1414" spans="1:7" ht="42.6" customHeight="1" x14ac:dyDescent="0.45">
      <c r="A1414" s="373"/>
      <c r="B1414" s="374"/>
      <c r="C1414" s="375"/>
      <c r="D1414" s="378"/>
      <c r="E1414" s="375"/>
      <c r="F1414" s="378"/>
      <c r="G1414" s="375"/>
    </row>
    <row r="1415" spans="1:7" ht="28.25" customHeight="1" x14ac:dyDescent="0.45">
      <c r="A1415" s="327"/>
      <c r="B1415" s="328"/>
      <c r="C1415" s="329"/>
      <c r="D1415" s="336"/>
      <c r="E1415" s="329"/>
      <c r="F1415" s="336"/>
      <c r="G1415" s="339"/>
    </row>
    <row r="1416" spans="1:7" ht="28.25" customHeight="1" x14ac:dyDescent="0.45">
      <c r="A1416" s="330"/>
      <c r="B1416" s="331"/>
      <c r="C1416" s="332"/>
      <c r="D1416" s="337"/>
      <c r="E1416" s="332"/>
      <c r="F1416" s="337"/>
      <c r="G1416" s="340"/>
    </row>
    <row r="1417" spans="1:7" ht="28.25" customHeight="1" x14ac:dyDescent="0.45">
      <c r="A1417" s="333"/>
      <c r="B1417" s="334"/>
      <c r="C1417" s="335"/>
      <c r="D1417" s="338"/>
      <c r="E1417" s="335"/>
      <c r="F1417" s="338"/>
      <c r="G1417" s="341"/>
    </row>
    <row r="1418" spans="1:7" ht="28.25" customHeight="1" x14ac:dyDescent="0.45">
      <c r="A1418" s="327"/>
      <c r="B1418" s="328"/>
      <c r="C1418" s="329"/>
      <c r="D1418" s="336"/>
      <c r="E1418" s="329"/>
      <c r="F1418" s="336"/>
      <c r="G1418" s="339"/>
    </row>
    <row r="1419" spans="1:7" ht="28.25" customHeight="1" x14ac:dyDescent="0.45">
      <c r="A1419" s="330"/>
      <c r="B1419" s="331"/>
      <c r="C1419" s="332"/>
      <c r="D1419" s="337"/>
      <c r="E1419" s="332"/>
      <c r="F1419" s="337"/>
      <c r="G1419" s="340"/>
    </row>
    <row r="1420" spans="1:7" s="90" customFormat="1" ht="28.25" customHeight="1" x14ac:dyDescent="0.45">
      <c r="A1420" s="333"/>
      <c r="B1420" s="334"/>
      <c r="C1420" s="335"/>
      <c r="D1420" s="338"/>
      <c r="E1420" s="335"/>
      <c r="F1420" s="338"/>
      <c r="G1420" s="341"/>
    </row>
    <row r="1421" spans="1:7" ht="28.25" customHeight="1" x14ac:dyDescent="0.45">
      <c r="A1421" s="342"/>
      <c r="B1421" s="343"/>
      <c r="C1421" s="344"/>
      <c r="D1421" s="351"/>
      <c r="E1421" s="344"/>
      <c r="F1421" s="351"/>
      <c r="G1421" s="354"/>
    </row>
    <row r="1422" spans="1:7" ht="28.25" customHeight="1" x14ac:dyDescent="0.45">
      <c r="A1422" s="345"/>
      <c r="B1422" s="346"/>
      <c r="C1422" s="347"/>
      <c r="D1422" s="352"/>
      <c r="E1422" s="347"/>
      <c r="F1422" s="352"/>
      <c r="G1422" s="355"/>
    </row>
    <row r="1423" spans="1:7" ht="28.25" customHeight="1" thickBot="1" x14ac:dyDescent="0.5">
      <c r="A1423" s="348"/>
      <c r="B1423" s="349"/>
      <c r="C1423" s="350"/>
      <c r="D1423" s="353"/>
      <c r="E1423" s="350"/>
      <c r="F1423" s="353"/>
      <c r="G1423" s="356"/>
    </row>
    <row r="1425" spans="1:8" s="91" customFormat="1" x14ac:dyDescent="0.45"/>
    <row r="1426" spans="1:8" ht="14.65" thickBot="1" x14ac:dyDescent="0.5"/>
    <row r="1427" spans="1:8" ht="14.65" thickBot="1" x14ac:dyDescent="0.5">
      <c r="A1427" s="84" t="s">
        <v>76</v>
      </c>
      <c r="B1427" s="126">
        <v>30</v>
      </c>
      <c r="C1427" s="108"/>
      <c r="D1427" s="109"/>
      <c r="E1427" s="109"/>
      <c r="F1427" s="109"/>
      <c r="G1427" s="109"/>
    </row>
    <row r="1428" spans="1:8" ht="12.6" customHeight="1" x14ac:dyDescent="0.45">
      <c r="A1428" s="409" t="s">
        <v>89</v>
      </c>
      <c r="B1428" s="411"/>
      <c r="C1428" s="401"/>
      <c r="D1428" s="401"/>
      <c r="E1428" s="401"/>
      <c r="F1428" s="401"/>
      <c r="G1428" s="401"/>
      <c r="H1428" s="112"/>
    </row>
    <row r="1429" spans="1:8" ht="12.6" customHeight="1" x14ac:dyDescent="0.45">
      <c r="A1429" s="409"/>
      <c r="B1429" s="411"/>
      <c r="C1429" s="401"/>
      <c r="D1429" s="401"/>
      <c r="E1429" s="401"/>
      <c r="F1429" s="401"/>
      <c r="G1429" s="401"/>
      <c r="H1429" s="112"/>
    </row>
    <row r="1430" spans="1:8" s="83" customFormat="1" ht="12.6" customHeight="1" x14ac:dyDescent="0.45">
      <c r="A1430" s="410"/>
      <c r="B1430" s="411"/>
      <c r="C1430" s="401"/>
      <c r="D1430" s="401"/>
      <c r="E1430" s="401"/>
      <c r="F1430" s="401"/>
      <c r="G1430" s="401"/>
      <c r="H1430" s="113"/>
    </row>
    <row r="1431" spans="1:8" ht="31.8" customHeight="1" x14ac:dyDescent="0.45">
      <c r="A1431" s="412" t="s">
        <v>160</v>
      </c>
      <c r="B1431" s="413"/>
      <c r="C1431" s="399"/>
      <c r="D1431" s="399"/>
      <c r="E1431" s="399"/>
      <c r="F1431" s="399"/>
      <c r="G1431" s="399"/>
      <c r="H1431" s="112"/>
    </row>
    <row r="1432" spans="1:8" ht="31.8" customHeight="1" x14ac:dyDescent="0.45">
      <c r="A1432" s="409"/>
      <c r="B1432" s="411"/>
      <c r="C1432" s="401"/>
      <c r="D1432" s="401"/>
      <c r="E1432" s="401"/>
      <c r="F1432" s="401"/>
      <c r="G1432" s="401"/>
      <c r="H1432" s="112"/>
    </row>
    <row r="1433" spans="1:8" ht="31.8" customHeight="1" x14ac:dyDescent="0.45">
      <c r="A1433" s="409"/>
      <c r="B1433" s="411"/>
      <c r="C1433" s="401"/>
      <c r="D1433" s="401"/>
      <c r="E1433" s="401"/>
      <c r="F1433" s="401"/>
      <c r="G1433" s="401"/>
      <c r="H1433" s="112"/>
    </row>
    <row r="1434" spans="1:8" x14ac:dyDescent="0.45">
      <c r="A1434" s="412" t="s">
        <v>155</v>
      </c>
      <c r="B1434" s="414"/>
      <c r="C1434" s="415"/>
      <c r="D1434" s="415"/>
      <c r="E1434" s="415"/>
      <c r="F1434" s="417" t="s">
        <v>167</v>
      </c>
      <c r="G1434" s="413"/>
      <c r="H1434" s="112"/>
    </row>
    <row r="1435" spans="1:8" x14ac:dyDescent="0.45">
      <c r="A1435" s="409"/>
      <c r="B1435" s="411"/>
      <c r="C1435" s="401"/>
      <c r="D1435" s="401"/>
      <c r="E1435" s="401"/>
      <c r="F1435" s="418"/>
      <c r="G1435" s="411"/>
      <c r="H1435" s="112"/>
    </row>
    <row r="1436" spans="1:8" x14ac:dyDescent="0.45">
      <c r="A1436" s="409"/>
      <c r="B1436" s="416"/>
      <c r="C1436" s="403"/>
      <c r="D1436" s="403"/>
      <c r="E1436" s="403"/>
      <c r="F1436" s="418"/>
      <c r="G1436" s="416"/>
      <c r="H1436" s="112"/>
    </row>
    <row r="1437" spans="1:8" x14ac:dyDescent="0.45">
      <c r="A1437" s="412" t="s">
        <v>159</v>
      </c>
      <c r="B1437" s="411"/>
      <c r="C1437" s="401"/>
      <c r="D1437" s="401"/>
      <c r="E1437" s="401"/>
      <c r="F1437" s="401"/>
      <c r="G1437" s="401"/>
      <c r="H1437" s="112"/>
    </row>
    <row r="1438" spans="1:8" x14ac:dyDescent="0.45">
      <c r="A1438" s="409"/>
      <c r="B1438" s="411"/>
      <c r="C1438" s="401"/>
      <c r="D1438" s="401"/>
      <c r="E1438" s="401"/>
      <c r="F1438" s="401"/>
      <c r="G1438" s="401"/>
      <c r="H1438" s="112"/>
    </row>
    <row r="1439" spans="1:8" x14ac:dyDescent="0.45">
      <c r="A1439" s="410"/>
      <c r="B1439" s="411"/>
      <c r="C1439" s="401"/>
      <c r="D1439" s="401"/>
      <c r="E1439" s="401"/>
      <c r="F1439" s="401"/>
      <c r="G1439" s="401"/>
      <c r="H1439" s="112"/>
    </row>
    <row r="1440" spans="1:8" x14ac:dyDescent="0.45">
      <c r="A1440" s="396" t="s">
        <v>161</v>
      </c>
      <c r="B1440" s="399"/>
      <c r="C1440" s="399"/>
      <c r="D1440" s="399"/>
      <c r="E1440" s="399"/>
      <c r="F1440" s="399"/>
      <c r="G1440" s="399"/>
      <c r="H1440" s="112"/>
    </row>
    <row r="1441" spans="1:8" x14ac:dyDescent="0.45">
      <c r="A1441" s="397"/>
      <c r="B1441" s="401"/>
      <c r="C1441" s="401"/>
      <c r="D1441" s="401"/>
      <c r="E1441" s="401"/>
      <c r="F1441" s="401"/>
      <c r="G1441" s="401"/>
      <c r="H1441" s="112"/>
    </row>
    <row r="1442" spans="1:8" x14ac:dyDescent="0.45">
      <c r="A1442" s="398"/>
      <c r="B1442" s="403"/>
      <c r="C1442" s="403"/>
      <c r="D1442" s="403"/>
      <c r="E1442" s="403"/>
      <c r="F1442" s="403"/>
      <c r="G1442" s="403"/>
      <c r="H1442" s="112"/>
    </row>
    <row r="1443" spans="1:8" ht="14.65" thickBot="1" x14ac:dyDescent="0.5">
      <c r="A1443" s="85" t="s">
        <v>166</v>
      </c>
      <c r="B1443" s="405"/>
      <c r="C1443" s="405"/>
      <c r="D1443" s="405"/>
      <c r="E1443" s="405"/>
      <c r="F1443" s="405"/>
      <c r="G1443" s="405"/>
      <c r="H1443" s="112"/>
    </row>
    <row r="1444" spans="1:8" ht="14.65" thickBot="1" x14ac:dyDescent="0.5"/>
    <row r="1445" spans="1:8" ht="15" customHeight="1" thickBot="1" x14ac:dyDescent="0.5">
      <c r="A1445" s="407" t="s">
        <v>77</v>
      </c>
      <c r="B1445" s="408"/>
      <c r="C1445" s="69"/>
      <c r="E1445" s="86" t="s">
        <v>22</v>
      </c>
      <c r="F1445" s="62"/>
      <c r="G1445" s="62"/>
    </row>
    <row r="1446" spans="1:8" ht="14.65" thickBot="1" x14ac:dyDescent="0.5">
      <c r="A1446" s="106"/>
      <c r="B1446" s="106"/>
      <c r="E1446" s="88" t="s">
        <v>32</v>
      </c>
      <c r="F1446" s="382"/>
      <c r="G1446" s="383"/>
    </row>
    <row r="1447" spans="1:8" ht="14.65" thickBot="1" x14ac:dyDescent="0.5">
      <c r="A1447" s="107" t="s">
        <v>103</v>
      </c>
      <c r="B1447" s="106"/>
      <c r="E1447" s="88" t="s">
        <v>34</v>
      </c>
      <c r="F1447" s="386"/>
      <c r="G1447" s="387"/>
    </row>
    <row r="1448" spans="1:8" ht="14.65" thickBot="1" x14ac:dyDescent="0.5">
      <c r="A1448" s="88" t="s">
        <v>32</v>
      </c>
      <c r="B1448" s="382"/>
      <c r="C1448" s="383"/>
      <c r="E1448" s="89" t="s">
        <v>35</v>
      </c>
      <c r="F1448" s="380"/>
      <c r="G1448" s="381"/>
    </row>
    <row r="1449" spans="1:8" ht="14.65" thickBot="1" x14ac:dyDescent="0.5">
      <c r="A1449" s="88" t="s">
        <v>34</v>
      </c>
      <c r="B1449" s="386"/>
      <c r="C1449" s="387"/>
      <c r="F1449" s="62"/>
    </row>
    <row r="1450" spans="1:8" ht="15" customHeight="1" thickBot="1" x14ac:dyDescent="0.5">
      <c r="A1450" s="89" t="s">
        <v>35</v>
      </c>
      <c r="B1450" s="380"/>
      <c r="C1450" s="381"/>
      <c r="E1450" s="86" t="s">
        <v>31</v>
      </c>
      <c r="F1450" s="62"/>
    </row>
    <row r="1451" spans="1:8" ht="14.65" thickBot="1" x14ac:dyDescent="0.5">
      <c r="A1451" s="87"/>
      <c r="B1451" s="62"/>
      <c r="C1451" s="62"/>
      <c r="E1451" s="117">
        <v>1</v>
      </c>
      <c r="F1451" s="382"/>
      <c r="G1451" s="383"/>
    </row>
    <row r="1452" spans="1:8" ht="15" customHeight="1" thickBot="1" x14ac:dyDescent="0.5">
      <c r="A1452" s="384" t="s">
        <v>262</v>
      </c>
      <c r="B1452" s="385"/>
      <c r="E1452" s="117">
        <v>2</v>
      </c>
      <c r="F1452" s="386"/>
      <c r="G1452" s="387"/>
    </row>
    <row r="1453" spans="1:8" x14ac:dyDescent="0.45">
      <c r="A1453" s="117">
        <v>1</v>
      </c>
      <c r="B1453" s="388"/>
      <c r="C1453" s="389"/>
      <c r="E1453" s="118">
        <v>3</v>
      </c>
      <c r="F1453" s="386"/>
      <c r="G1453" s="387"/>
    </row>
    <row r="1454" spans="1:8" x14ac:dyDescent="0.45">
      <c r="A1454" s="117">
        <v>2</v>
      </c>
      <c r="B1454" s="390"/>
      <c r="C1454" s="391"/>
      <c r="E1454" s="117">
        <v>4</v>
      </c>
      <c r="F1454" s="392"/>
      <c r="G1454" s="393"/>
    </row>
    <row r="1455" spans="1:8" ht="14.65" thickBot="1" x14ac:dyDescent="0.5">
      <c r="A1455" s="145">
        <v>3</v>
      </c>
      <c r="B1455" s="394"/>
      <c r="C1455" s="395"/>
      <c r="E1455" s="119">
        <v>5</v>
      </c>
      <c r="F1455" s="380"/>
      <c r="G1455" s="381"/>
    </row>
    <row r="1456" spans="1:8" ht="14.65" thickBot="1" x14ac:dyDescent="0.5"/>
    <row r="1457" spans="1:7" ht="15" customHeight="1" x14ac:dyDescent="0.45">
      <c r="A1457" s="357" t="s">
        <v>136</v>
      </c>
      <c r="B1457" s="358"/>
      <c r="C1457" s="358"/>
      <c r="D1457" s="358"/>
      <c r="E1457" s="358"/>
      <c r="F1457" s="358"/>
      <c r="G1457" s="359"/>
    </row>
    <row r="1458" spans="1:7" ht="14.45" customHeight="1" x14ac:dyDescent="0.45">
      <c r="A1458" s="360" t="s">
        <v>137</v>
      </c>
      <c r="B1458" s="361"/>
      <c r="C1458" s="361"/>
      <c r="D1458" s="361"/>
      <c r="E1458" s="361"/>
      <c r="F1458" s="361"/>
      <c r="G1458" s="362"/>
    </row>
    <row r="1459" spans="1:7" ht="14.45" customHeight="1" x14ac:dyDescent="0.45">
      <c r="A1459" s="360" t="s">
        <v>164</v>
      </c>
      <c r="B1459" s="361"/>
      <c r="C1459" s="361"/>
      <c r="D1459" s="361"/>
      <c r="E1459" s="361"/>
      <c r="F1459" s="361"/>
      <c r="G1459" s="362"/>
    </row>
    <row r="1460" spans="1:7" s="90" customFormat="1" ht="14.45" customHeight="1" x14ac:dyDescent="0.45">
      <c r="A1460" s="363" t="s">
        <v>136</v>
      </c>
      <c r="B1460" s="364"/>
      <c r="C1460" s="365"/>
      <c r="D1460" s="366" t="s">
        <v>203</v>
      </c>
      <c r="E1460" s="365"/>
      <c r="F1460" s="366" t="s">
        <v>165</v>
      </c>
      <c r="G1460" s="365"/>
    </row>
    <row r="1461" spans="1:7" ht="46.25" customHeight="1" x14ac:dyDescent="0.45">
      <c r="A1461" s="367" t="s">
        <v>206</v>
      </c>
      <c r="B1461" s="368"/>
      <c r="C1461" s="369"/>
      <c r="D1461" s="376" t="s">
        <v>204</v>
      </c>
      <c r="E1461" s="369"/>
      <c r="F1461" s="379" t="s">
        <v>205</v>
      </c>
      <c r="G1461" s="369"/>
    </row>
    <row r="1462" spans="1:7" ht="46.25" customHeight="1" x14ac:dyDescent="0.45">
      <c r="A1462" s="370"/>
      <c r="B1462" s="371"/>
      <c r="C1462" s="372"/>
      <c r="D1462" s="377"/>
      <c r="E1462" s="372"/>
      <c r="F1462" s="377"/>
      <c r="G1462" s="372"/>
    </row>
    <row r="1463" spans="1:7" ht="46.25" customHeight="1" x14ac:dyDescent="0.45">
      <c r="A1463" s="373"/>
      <c r="B1463" s="374"/>
      <c r="C1463" s="375"/>
      <c r="D1463" s="378"/>
      <c r="E1463" s="375"/>
      <c r="F1463" s="378"/>
      <c r="G1463" s="375"/>
    </row>
    <row r="1464" spans="1:7" ht="28.25" customHeight="1" x14ac:dyDescent="0.45">
      <c r="A1464" s="327"/>
      <c r="B1464" s="328"/>
      <c r="C1464" s="329"/>
      <c r="D1464" s="336"/>
      <c r="E1464" s="329"/>
      <c r="F1464" s="336"/>
      <c r="G1464" s="339"/>
    </row>
    <row r="1465" spans="1:7" ht="28.25" customHeight="1" x14ac:dyDescent="0.45">
      <c r="A1465" s="330"/>
      <c r="B1465" s="331"/>
      <c r="C1465" s="332"/>
      <c r="D1465" s="337"/>
      <c r="E1465" s="332"/>
      <c r="F1465" s="337"/>
      <c r="G1465" s="340"/>
    </row>
    <row r="1466" spans="1:7" ht="28.25" customHeight="1" x14ac:dyDescent="0.45">
      <c r="A1466" s="333"/>
      <c r="B1466" s="334"/>
      <c r="C1466" s="335"/>
      <c r="D1466" s="338"/>
      <c r="E1466" s="335"/>
      <c r="F1466" s="338"/>
      <c r="G1466" s="341"/>
    </row>
    <row r="1467" spans="1:7" ht="28.25" customHeight="1" x14ac:dyDescent="0.45">
      <c r="A1467" s="327"/>
      <c r="B1467" s="328"/>
      <c r="C1467" s="329"/>
      <c r="D1467" s="336"/>
      <c r="E1467" s="329"/>
      <c r="F1467" s="336"/>
      <c r="G1467" s="339"/>
    </row>
    <row r="1468" spans="1:7" ht="28.25" customHeight="1" x14ac:dyDescent="0.45">
      <c r="A1468" s="330"/>
      <c r="B1468" s="331"/>
      <c r="C1468" s="332"/>
      <c r="D1468" s="337"/>
      <c r="E1468" s="332"/>
      <c r="F1468" s="337"/>
      <c r="G1468" s="340"/>
    </row>
    <row r="1469" spans="1:7" ht="28.25" customHeight="1" x14ac:dyDescent="0.45">
      <c r="A1469" s="333"/>
      <c r="B1469" s="334"/>
      <c r="C1469" s="335"/>
      <c r="D1469" s="338"/>
      <c r="E1469" s="335"/>
      <c r="F1469" s="338"/>
      <c r="G1469" s="341"/>
    </row>
    <row r="1470" spans="1:7" ht="28.25" customHeight="1" x14ac:dyDescent="0.45">
      <c r="A1470" s="342"/>
      <c r="B1470" s="343"/>
      <c r="C1470" s="344"/>
      <c r="D1470" s="351"/>
      <c r="E1470" s="344"/>
      <c r="F1470" s="351"/>
      <c r="G1470" s="354"/>
    </row>
    <row r="1471" spans="1:7" ht="28.25" customHeight="1" x14ac:dyDescent="0.45">
      <c r="A1471" s="345"/>
      <c r="B1471" s="346"/>
      <c r="C1471" s="347"/>
      <c r="D1471" s="352"/>
      <c r="E1471" s="347"/>
      <c r="F1471" s="352"/>
      <c r="G1471" s="355"/>
    </row>
    <row r="1472" spans="1:7" ht="28.25" customHeight="1" thickBot="1" x14ac:dyDescent="0.5">
      <c r="A1472" s="348"/>
      <c r="B1472" s="349"/>
      <c r="C1472" s="350"/>
      <c r="D1472" s="353"/>
      <c r="E1472" s="350"/>
      <c r="F1472" s="353"/>
      <c r="G1472" s="356"/>
    </row>
    <row r="1474" spans="1:7" s="91" customFormat="1" x14ac:dyDescent="0.45"/>
    <row r="1475" spans="1:7" ht="14.65" thickBot="1" x14ac:dyDescent="0.5"/>
    <row r="1476" spans="1:7" ht="14.65" thickBot="1" x14ac:dyDescent="0.5">
      <c r="A1476" s="84" t="s">
        <v>76</v>
      </c>
      <c r="B1476" s="126">
        <v>31</v>
      </c>
      <c r="C1476" s="108"/>
      <c r="D1476" s="109"/>
      <c r="E1476" s="109"/>
      <c r="F1476" s="109"/>
      <c r="G1476" s="109"/>
    </row>
    <row r="1477" spans="1:7" ht="12.6" customHeight="1" x14ac:dyDescent="0.45">
      <c r="A1477" s="409" t="s">
        <v>89</v>
      </c>
      <c r="B1477" s="411"/>
      <c r="C1477" s="401"/>
      <c r="D1477" s="401"/>
      <c r="E1477" s="401"/>
      <c r="F1477" s="401"/>
      <c r="G1477" s="402"/>
    </row>
    <row r="1478" spans="1:7" ht="12.6" customHeight="1" x14ac:dyDescent="0.45">
      <c r="A1478" s="409"/>
      <c r="B1478" s="411"/>
      <c r="C1478" s="401"/>
      <c r="D1478" s="401"/>
      <c r="E1478" s="401"/>
      <c r="F1478" s="401"/>
      <c r="G1478" s="402"/>
    </row>
    <row r="1479" spans="1:7" ht="12.6" customHeight="1" x14ac:dyDescent="0.45">
      <c r="A1479" s="410"/>
      <c r="B1479" s="411"/>
      <c r="C1479" s="401"/>
      <c r="D1479" s="401"/>
      <c r="E1479" s="401"/>
      <c r="F1479" s="401"/>
      <c r="G1479" s="402"/>
    </row>
    <row r="1480" spans="1:7" ht="31.8" customHeight="1" x14ac:dyDescent="0.45">
      <c r="A1480" s="412" t="s">
        <v>158</v>
      </c>
      <c r="B1480" s="413"/>
      <c r="C1480" s="399"/>
      <c r="D1480" s="399"/>
      <c r="E1480" s="399"/>
      <c r="F1480" s="399"/>
      <c r="G1480" s="400"/>
    </row>
    <row r="1481" spans="1:7" ht="31.8" customHeight="1" x14ac:dyDescent="0.45">
      <c r="A1481" s="409"/>
      <c r="B1481" s="411"/>
      <c r="C1481" s="401"/>
      <c r="D1481" s="401"/>
      <c r="E1481" s="401"/>
      <c r="F1481" s="401"/>
      <c r="G1481" s="402"/>
    </row>
    <row r="1482" spans="1:7" ht="31.8" customHeight="1" x14ac:dyDescent="0.45">
      <c r="A1482" s="410"/>
      <c r="B1482" s="411"/>
      <c r="C1482" s="401"/>
      <c r="D1482" s="401"/>
      <c r="E1482" s="401"/>
      <c r="F1482" s="401"/>
      <c r="G1482" s="402"/>
    </row>
    <row r="1483" spans="1:7" x14ac:dyDescent="0.45">
      <c r="A1483" s="412" t="s">
        <v>155</v>
      </c>
      <c r="B1483" s="414"/>
      <c r="C1483" s="415"/>
      <c r="D1483" s="415"/>
      <c r="E1483" s="415"/>
      <c r="F1483" s="417" t="s">
        <v>167</v>
      </c>
      <c r="G1483" s="419"/>
    </row>
    <row r="1484" spans="1:7" x14ac:dyDescent="0.45">
      <c r="A1484" s="409"/>
      <c r="B1484" s="411"/>
      <c r="C1484" s="401"/>
      <c r="D1484" s="401"/>
      <c r="E1484" s="401"/>
      <c r="F1484" s="418"/>
      <c r="G1484" s="420"/>
    </row>
    <row r="1485" spans="1:7" x14ac:dyDescent="0.45">
      <c r="A1485" s="409"/>
      <c r="B1485" s="416"/>
      <c r="C1485" s="403"/>
      <c r="D1485" s="403"/>
      <c r="E1485" s="403"/>
      <c r="F1485" s="418"/>
      <c r="G1485" s="421"/>
    </row>
    <row r="1486" spans="1:7" x14ac:dyDescent="0.45">
      <c r="A1486" s="412" t="s">
        <v>159</v>
      </c>
      <c r="B1486" s="411"/>
      <c r="C1486" s="401"/>
      <c r="D1486" s="401"/>
      <c r="E1486" s="401"/>
      <c r="F1486" s="401"/>
      <c r="G1486" s="402"/>
    </row>
    <row r="1487" spans="1:7" x14ac:dyDescent="0.45">
      <c r="A1487" s="409"/>
      <c r="B1487" s="411"/>
      <c r="C1487" s="401"/>
      <c r="D1487" s="401"/>
      <c r="E1487" s="401"/>
      <c r="F1487" s="401"/>
      <c r="G1487" s="402"/>
    </row>
    <row r="1488" spans="1:7" x14ac:dyDescent="0.45">
      <c r="A1488" s="410"/>
      <c r="B1488" s="416"/>
      <c r="C1488" s="403"/>
      <c r="D1488" s="403"/>
      <c r="E1488" s="403"/>
      <c r="F1488" s="403"/>
      <c r="G1488" s="404"/>
    </row>
    <row r="1489" spans="1:7" x14ac:dyDescent="0.45">
      <c r="A1489" s="396" t="s">
        <v>161</v>
      </c>
      <c r="B1489" s="399"/>
      <c r="C1489" s="399"/>
      <c r="D1489" s="399"/>
      <c r="E1489" s="399"/>
      <c r="F1489" s="399"/>
      <c r="G1489" s="400"/>
    </row>
    <row r="1490" spans="1:7" x14ac:dyDescent="0.45">
      <c r="A1490" s="397"/>
      <c r="B1490" s="401"/>
      <c r="C1490" s="401"/>
      <c r="D1490" s="401"/>
      <c r="E1490" s="401"/>
      <c r="F1490" s="401"/>
      <c r="G1490" s="402"/>
    </row>
    <row r="1491" spans="1:7" x14ac:dyDescent="0.45">
      <c r="A1491" s="398"/>
      <c r="B1491" s="403"/>
      <c r="C1491" s="403"/>
      <c r="D1491" s="403"/>
      <c r="E1491" s="403"/>
      <c r="F1491" s="403"/>
      <c r="G1491" s="404"/>
    </row>
    <row r="1492" spans="1:7" ht="14.65" thickBot="1" x14ac:dyDescent="0.5">
      <c r="A1492" s="85" t="s">
        <v>166</v>
      </c>
      <c r="B1492" s="405"/>
      <c r="C1492" s="405"/>
      <c r="D1492" s="405"/>
      <c r="E1492" s="405"/>
      <c r="F1492" s="405"/>
      <c r="G1492" s="406"/>
    </row>
    <row r="1493" spans="1:7" ht="14.65" thickBot="1" x14ac:dyDescent="0.5"/>
    <row r="1494" spans="1:7" ht="15" customHeight="1" thickBot="1" x14ac:dyDescent="0.5">
      <c r="A1494" s="407" t="s">
        <v>77</v>
      </c>
      <c r="B1494" s="408"/>
      <c r="C1494" s="69"/>
      <c r="E1494" s="86" t="s">
        <v>22</v>
      </c>
      <c r="F1494" s="62"/>
      <c r="G1494" s="62"/>
    </row>
    <row r="1495" spans="1:7" ht="15" customHeight="1" thickBot="1" x14ac:dyDescent="0.5">
      <c r="A1495" s="106"/>
      <c r="B1495" s="106"/>
      <c r="E1495" s="88" t="s">
        <v>32</v>
      </c>
      <c r="F1495" s="382"/>
      <c r="G1495" s="383"/>
    </row>
    <row r="1496" spans="1:7" ht="15" customHeight="1" thickBot="1" x14ac:dyDescent="0.5">
      <c r="A1496" s="107" t="s">
        <v>103</v>
      </c>
      <c r="B1496" s="106"/>
      <c r="E1496" s="88" t="s">
        <v>34</v>
      </c>
      <c r="F1496" s="386"/>
      <c r="G1496" s="387"/>
    </row>
    <row r="1497" spans="1:7" ht="15" customHeight="1" thickBot="1" x14ac:dyDescent="0.5">
      <c r="A1497" s="88" t="s">
        <v>32</v>
      </c>
      <c r="B1497" s="382"/>
      <c r="C1497" s="383"/>
      <c r="E1497" s="89" t="s">
        <v>35</v>
      </c>
      <c r="F1497" s="380"/>
      <c r="G1497" s="381"/>
    </row>
    <row r="1498" spans="1:7" ht="14.65" thickBot="1" x14ac:dyDescent="0.5">
      <c r="A1498" s="88" t="s">
        <v>34</v>
      </c>
      <c r="B1498" s="386"/>
      <c r="C1498" s="387"/>
      <c r="F1498" s="62"/>
    </row>
    <row r="1499" spans="1:7" ht="15" customHeight="1" thickBot="1" x14ac:dyDescent="0.5">
      <c r="A1499" s="89" t="s">
        <v>35</v>
      </c>
      <c r="B1499" s="380"/>
      <c r="C1499" s="381"/>
      <c r="E1499" s="86" t="s">
        <v>31</v>
      </c>
      <c r="F1499" s="62"/>
    </row>
    <row r="1500" spans="1:7" ht="14.65" thickBot="1" x14ac:dyDescent="0.5">
      <c r="A1500" s="87"/>
      <c r="B1500" s="62"/>
      <c r="C1500" s="62"/>
      <c r="E1500" s="117">
        <v>1</v>
      </c>
      <c r="F1500" s="382"/>
      <c r="G1500" s="383"/>
    </row>
    <row r="1501" spans="1:7" ht="15" customHeight="1" thickBot="1" x14ac:dyDescent="0.5">
      <c r="A1501" s="384" t="s">
        <v>262</v>
      </c>
      <c r="B1501" s="385"/>
      <c r="E1501" s="117">
        <v>2</v>
      </c>
      <c r="F1501" s="386"/>
      <c r="G1501" s="387"/>
    </row>
    <row r="1502" spans="1:7" x14ac:dyDescent="0.45">
      <c r="A1502" s="117">
        <v>1</v>
      </c>
      <c r="B1502" s="388"/>
      <c r="C1502" s="389"/>
      <c r="E1502" s="118">
        <v>3</v>
      </c>
      <c r="F1502" s="386"/>
      <c r="G1502" s="387"/>
    </row>
    <row r="1503" spans="1:7" x14ac:dyDescent="0.45">
      <c r="A1503" s="117">
        <v>2</v>
      </c>
      <c r="B1503" s="390"/>
      <c r="C1503" s="391"/>
      <c r="E1503" s="117">
        <v>4</v>
      </c>
      <c r="F1503" s="392"/>
      <c r="G1503" s="393"/>
    </row>
    <row r="1504" spans="1:7" ht="14.65" thickBot="1" x14ac:dyDescent="0.5">
      <c r="A1504" s="145">
        <v>3</v>
      </c>
      <c r="B1504" s="394"/>
      <c r="C1504" s="395"/>
      <c r="E1504" s="119">
        <v>5</v>
      </c>
      <c r="F1504" s="380"/>
      <c r="G1504" s="381"/>
    </row>
    <row r="1505" spans="1:7" ht="14.65" thickBot="1" x14ac:dyDescent="0.5"/>
    <row r="1506" spans="1:7" x14ac:dyDescent="0.45">
      <c r="A1506" s="357" t="s">
        <v>136</v>
      </c>
      <c r="B1506" s="358"/>
      <c r="C1506" s="358"/>
      <c r="D1506" s="358"/>
      <c r="E1506" s="358"/>
      <c r="F1506" s="358"/>
      <c r="G1506" s="359"/>
    </row>
    <row r="1507" spans="1:7" ht="14.25" customHeight="1" x14ac:dyDescent="0.45">
      <c r="A1507" s="360" t="s">
        <v>137</v>
      </c>
      <c r="B1507" s="361"/>
      <c r="C1507" s="361"/>
      <c r="D1507" s="361"/>
      <c r="E1507" s="361"/>
      <c r="F1507" s="361"/>
      <c r="G1507" s="362"/>
    </row>
    <row r="1508" spans="1:7" ht="14.25" customHeight="1" x14ac:dyDescent="0.45">
      <c r="A1508" s="360" t="s">
        <v>164</v>
      </c>
      <c r="B1508" s="361"/>
      <c r="C1508" s="361"/>
      <c r="D1508" s="361"/>
      <c r="E1508" s="361"/>
      <c r="F1508" s="361"/>
      <c r="G1508" s="362"/>
    </row>
    <row r="1509" spans="1:7" ht="14.45" customHeight="1" x14ac:dyDescent="0.45">
      <c r="A1509" s="363" t="s">
        <v>136</v>
      </c>
      <c r="B1509" s="364"/>
      <c r="C1509" s="365"/>
      <c r="D1509" s="366" t="s">
        <v>203</v>
      </c>
      <c r="E1509" s="365"/>
      <c r="F1509" s="366" t="s">
        <v>165</v>
      </c>
      <c r="G1509" s="365"/>
    </row>
    <row r="1510" spans="1:7" ht="42.6" customHeight="1" x14ac:dyDescent="0.45">
      <c r="A1510" s="367" t="s">
        <v>206</v>
      </c>
      <c r="B1510" s="368"/>
      <c r="C1510" s="369"/>
      <c r="D1510" s="376" t="s">
        <v>204</v>
      </c>
      <c r="E1510" s="369"/>
      <c r="F1510" s="379" t="s">
        <v>205</v>
      </c>
      <c r="G1510" s="369"/>
    </row>
    <row r="1511" spans="1:7" ht="42.6" customHeight="1" x14ac:dyDescent="0.45">
      <c r="A1511" s="370"/>
      <c r="B1511" s="371"/>
      <c r="C1511" s="372"/>
      <c r="D1511" s="377"/>
      <c r="E1511" s="372"/>
      <c r="F1511" s="377"/>
      <c r="G1511" s="372"/>
    </row>
    <row r="1512" spans="1:7" ht="42.6" customHeight="1" x14ac:dyDescent="0.45">
      <c r="A1512" s="373"/>
      <c r="B1512" s="374"/>
      <c r="C1512" s="375"/>
      <c r="D1512" s="378"/>
      <c r="E1512" s="375"/>
      <c r="F1512" s="378"/>
      <c r="G1512" s="375"/>
    </row>
    <row r="1513" spans="1:7" s="83" customFormat="1" ht="28.25" customHeight="1" x14ac:dyDescent="0.45">
      <c r="A1513" s="327"/>
      <c r="B1513" s="328"/>
      <c r="C1513" s="329"/>
      <c r="D1513" s="336"/>
      <c r="E1513" s="329"/>
      <c r="F1513" s="336"/>
      <c r="G1513" s="339"/>
    </row>
    <row r="1514" spans="1:7" ht="28.25" customHeight="1" x14ac:dyDescent="0.45">
      <c r="A1514" s="330"/>
      <c r="B1514" s="331"/>
      <c r="C1514" s="332"/>
      <c r="D1514" s="337"/>
      <c r="E1514" s="332"/>
      <c r="F1514" s="337"/>
      <c r="G1514" s="340"/>
    </row>
    <row r="1515" spans="1:7" ht="28.25" customHeight="1" x14ac:dyDescent="0.45">
      <c r="A1515" s="333"/>
      <c r="B1515" s="334"/>
      <c r="C1515" s="335"/>
      <c r="D1515" s="338"/>
      <c r="E1515" s="335"/>
      <c r="F1515" s="338"/>
      <c r="G1515" s="341"/>
    </row>
    <row r="1516" spans="1:7" ht="28.25" customHeight="1" x14ac:dyDescent="0.45">
      <c r="A1516" s="327"/>
      <c r="B1516" s="328"/>
      <c r="C1516" s="329"/>
      <c r="D1516" s="336"/>
      <c r="E1516" s="329"/>
      <c r="F1516" s="336"/>
      <c r="G1516" s="339"/>
    </row>
    <row r="1517" spans="1:7" ht="28.25" customHeight="1" x14ac:dyDescent="0.45">
      <c r="A1517" s="330"/>
      <c r="B1517" s="331"/>
      <c r="C1517" s="332"/>
      <c r="D1517" s="337"/>
      <c r="E1517" s="332"/>
      <c r="F1517" s="337"/>
      <c r="G1517" s="340"/>
    </row>
    <row r="1518" spans="1:7" ht="28.25" customHeight="1" x14ac:dyDescent="0.45">
      <c r="A1518" s="333"/>
      <c r="B1518" s="334"/>
      <c r="C1518" s="335"/>
      <c r="D1518" s="338"/>
      <c r="E1518" s="335"/>
      <c r="F1518" s="338"/>
      <c r="G1518" s="341"/>
    </row>
    <row r="1519" spans="1:7" ht="28.25" customHeight="1" x14ac:dyDescent="0.45">
      <c r="A1519" s="342"/>
      <c r="B1519" s="343"/>
      <c r="C1519" s="344"/>
      <c r="D1519" s="351"/>
      <c r="E1519" s="344"/>
      <c r="F1519" s="351"/>
      <c r="G1519" s="354"/>
    </row>
    <row r="1520" spans="1:7" ht="28.25" customHeight="1" x14ac:dyDescent="0.45">
      <c r="A1520" s="345"/>
      <c r="B1520" s="346"/>
      <c r="C1520" s="347"/>
      <c r="D1520" s="352"/>
      <c r="E1520" s="347"/>
      <c r="F1520" s="352"/>
      <c r="G1520" s="355"/>
    </row>
    <row r="1521" spans="1:7" ht="28.25" customHeight="1" thickBot="1" x14ac:dyDescent="0.5">
      <c r="A1521" s="348"/>
      <c r="B1521" s="349"/>
      <c r="C1521" s="350"/>
      <c r="D1521" s="353"/>
      <c r="E1521" s="350"/>
      <c r="F1521" s="353"/>
      <c r="G1521" s="356"/>
    </row>
    <row r="1523" spans="1:7" s="91" customFormat="1" x14ac:dyDescent="0.45"/>
    <row r="1524" spans="1:7" ht="14.65" thickBot="1" x14ac:dyDescent="0.5"/>
    <row r="1525" spans="1:7" ht="14.65" thickBot="1" x14ac:dyDescent="0.5">
      <c r="A1525" s="84" t="s">
        <v>76</v>
      </c>
      <c r="B1525" s="126">
        <v>32</v>
      </c>
      <c r="C1525" s="108"/>
      <c r="D1525" s="109"/>
      <c r="E1525" s="109"/>
      <c r="F1525" s="109"/>
      <c r="G1525" s="109"/>
    </row>
    <row r="1526" spans="1:7" ht="12.6" customHeight="1" x14ac:dyDescent="0.45">
      <c r="A1526" s="409" t="s">
        <v>89</v>
      </c>
      <c r="B1526" s="411"/>
      <c r="C1526" s="401"/>
      <c r="D1526" s="401"/>
      <c r="E1526" s="401"/>
      <c r="F1526" s="401"/>
      <c r="G1526" s="402"/>
    </row>
    <row r="1527" spans="1:7" ht="12.6" customHeight="1" x14ac:dyDescent="0.45">
      <c r="A1527" s="409"/>
      <c r="B1527" s="411"/>
      <c r="C1527" s="401"/>
      <c r="D1527" s="401"/>
      <c r="E1527" s="401"/>
      <c r="F1527" s="401"/>
      <c r="G1527" s="402"/>
    </row>
    <row r="1528" spans="1:7" ht="12.6" customHeight="1" x14ac:dyDescent="0.45">
      <c r="A1528" s="410"/>
      <c r="B1528" s="411"/>
      <c r="C1528" s="401"/>
      <c r="D1528" s="401"/>
      <c r="E1528" s="401"/>
      <c r="F1528" s="401"/>
      <c r="G1528" s="402"/>
    </row>
    <row r="1529" spans="1:7" ht="31.8" customHeight="1" x14ac:dyDescent="0.45">
      <c r="A1529" s="412" t="s">
        <v>160</v>
      </c>
      <c r="B1529" s="413"/>
      <c r="C1529" s="399"/>
      <c r="D1529" s="399"/>
      <c r="E1529" s="399"/>
      <c r="F1529" s="399"/>
      <c r="G1529" s="400"/>
    </row>
    <row r="1530" spans="1:7" ht="31.8" customHeight="1" x14ac:dyDescent="0.45">
      <c r="A1530" s="409"/>
      <c r="B1530" s="411"/>
      <c r="C1530" s="401"/>
      <c r="D1530" s="401"/>
      <c r="E1530" s="401"/>
      <c r="F1530" s="401"/>
      <c r="G1530" s="402"/>
    </row>
    <row r="1531" spans="1:7" ht="31.8" customHeight="1" x14ac:dyDescent="0.45">
      <c r="A1531" s="410"/>
      <c r="B1531" s="411"/>
      <c r="C1531" s="401"/>
      <c r="D1531" s="401"/>
      <c r="E1531" s="401"/>
      <c r="F1531" s="401"/>
      <c r="G1531" s="402"/>
    </row>
    <row r="1532" spans="1:7" x14ac:dyDescent="0.45">
      <c r="A1532" s="412" t="s">
        <v>155</v>
      </c>
      <c r="B1532" s="414"/>
      <c r="C1532" s="415"/>
      <c r="D1532" s="415"/>
      <c r="E1532" s="415"/>
      <c r="F1532" s="417" t="s">
        <v>167</v>
      </c>
      <c r="G1532" s="419"/>
    </row>
    <row r="1533" spans="1:7" x14ac:dyDescent="0.45">
      <c r="A1533" s="409"/>
      <c r="B1533" s="411"/>
      <c r="C1533" s="401"/>
      <c r="D1533" s="401"/>
      <c r="E1533" s="401"/>
      <c r="F1533" s="418"/>
      <c r="G1533" s="420"/>
    </row>
    <row r="1534" spans="1:7" ht="15" customHeight="1" x14ac:dyDescent="0.45">
      <c r="A1534" s="409"/>
      <c r="B1534" s="416"/>
      <c r="C1534" s="403"/>
      <c r="D1534" s="403"/>
      <c r="E1534" s="403"/>
      <c r="F1534" s="418"/>
      <c r="G1534" s="421"/>
    </row>
    <row r="1535" spans="1:7" x14ac:dyDescent="0.45">
      <c r="A1535" s="412" t="s">
        <v>159</v>
      </c>
      <c r="B1535" s="411"/>
      <c r="C1535" s="401"/>
      <c r="D1535" s="401"/>
      <c r="E1535" s="401"/>
      <c r="F1535" s="401"/>
      <c r="G1535" s="402"/>
    </row>
    <row r="1536" spans="1:7" x14ac:dyDescent="0.45">
      <c r="A1536" s="409"/>
      <c r="B1536" s="411"/>
      <c r="C1536" s="401"/>
      <c r="D1536" s="401"/>
      <c r="E1536" s="401"/>
      <c r="F1536" s="401"/>
      <c r="G1536" s="402"/>
    </row>
    <row r="1537" spans="1:7" x14ac:dyDescent="0.45">
      <c r="A1537" s="410"/>
      <c r="B1537" s="416"/>
      <c r="C1537" s="403"/>
      <c r="D1537" s="403"/>
      <c r="E1537" s="403"/>
      <c r="F1537" s="403"/>
      <c r="G1537" s="404"/>
    </row>
    <row r="1538" spans="1:7" ht="15" customHeight="1" x14ac:dyDescent="0.45">
      <c r="A1538" s="396" t="s">
        <v>161</v>
      </c>
      <c r="B1538" s="399"/>
      <c r="C1538" s="399"/>
      <c r="D1538" s="399"/>
      <c r="E1538" s="399"/>
      <c r="F1538" s="399"/>
      <c r="G1538" s="400"/>
    </row>
    <row r="1539" spans="1:7" x14ac:dyDescent="0.45">
      <c r="A1539" s="397"/>
      <c r="B1539" s="401"/>
      <c r="C1539" s="401"/>
      <c r="D1539" s="401"/>
      <c r="E1539" s="401"/>
      <c r="F1539" s="401"/>
      <c r="G1539" s="402"/>
    </row>
    <row r="1540" spans="1:7" x14ac:dyDescent="0.45">
      <c r="A1540" s="398"/>
      <c r="B1540" s="403"/>
      <c r="C1540" s="403"/>
      <c r="D1540" s="403"/>
      <c r="E1540" s="403"/>
      <c r="F1540" s="403"/>
      <c r="G1540" s="404"/>
    </row>
    <row r="1541" spans="1:7" ht="14.65" thickBot="1" x14ac:dyDescent="0.5">
      <c r="A1541" s="85" t="s">
        <v>166</v>
      </c>
      <c r="B1541" s="405"/>
      <c r="C1541" s="405"/>
      <c r="D1541" s="405"/>
      <c r="E1541" s="405"/>
      <c r="F1541" s="405"/>
      <c r="G1541" s="406"/>
    </row>
    <row r="1542" spans="1:7" s="90" customFormat="1" ht="14.65" thickBot="1" x14ac:dyDescent="0.5">
      <c r="A1542" s="61"/>
      <c r="B1542" s="61"/>
      <c r="C1542" s="61"/>
      <c r="D1542" s="61"/>
      <c r="E1542" s="61"/>
      <c r="F1542" s="61"/>
    </row>
    <row r="1543" spans="1:7" ht="15" customHeight="1" thickBot="1" x14ac:dyDescent="0.5">
      <c r="A1543" s="407" t="s">
        <v>77</v>
      </c>
      <c r="B1543" s="408"/>
      <c r="C1543" s="69"/>
      <c r="E1543" s="86" t="s">
        <v>22</v>
      </c>
      <c r="F1543" s="62"/>
      <c r="G1543" s="62"/>
    </row>
    <row r="1544" spans="1:7" ht="14.65" thickBot="1" x14ac:dyDescent="0.5">
      <c r="A1544" s="106"/>
      <c r="B1544" s="106"/>
      <c r="E1544" s="88" t="s">
        <v>32</v>
      </c>
      <c r="F1544" s="382"/>
      <c r="G1544" s="383"/>
    </row>
    <row r="1545" spans="1:7" ht="14.65" thickBot="1" x14ac:dyDescent="0.5">
      <c r="A1545" s="107" t="s">
        <v>103</v>
      </c>
      <c r="B1545" s="106"/>
      <c r="E1545" s="88" t="s">
        <v>34</v>
      </c>
      <c r="F1545" s="386"/>
      <c r="G1545" s="387"/>
    </row>
    <row r="1546" spans="1:7" ht="14.65" thickBot="1" x14ac:dyDescent="0.5">
      <c r="A1546" s="88" t="s">
        <v>32</v>
      </c>
      <c r="B1546" s="382"/>
      <c r="C1546" s="383"/>
      <c r="E1546" s="89" t="s">
        <v>35</v>
      </c>
      <c r="F1546" s="380"/>
      <c r="G1546" s="381"/>
    </row>
    <row r="1547" spans="1:7" ht="14.65" thickBot="1" x14ac:dyDescent="0.5">
      <c r="A1547" s="88" t="s">
        <v>34</v>
      </c>
      <c r="B1547" s="386"/>
      <c r="C1547" s="387"/>
      <c r="F1547" s="62"/>
    </row>
    <row r="1548" spans="1:7" ht="15" customHeight="1" thickBot="1" x14ac:dyDescent="0.5">
      <c r="A1548" s="89" t="s">
        <v>35</v>
      </c>
      <c r="B1548" s="380"/>
      <c r="C1548" s="381"/>
      <c r="E1548" s="86" t="s">
        <v>31</v>
      </c>
      <c r="F1548" s="62"/>
    </row>
    <row r="1549" spans="1:7" ht="14.65" thickBot="1" x14ac:dyDescent="0.5">
      <c r="A1549" s="87"/>
      <c r="B1549" s="62"/>
      <c r="C1549" s="62"/>
      <c r="E1549" s="117">
        <v>1</v>
      </c>
      <c r="F1549" s="382"/>
      <c r="G1549" s="383"/>
    </row>
    <row r="1550" spans="1:7" ht="15" customHeight="1" thickBot="1" x14ac:dyDescent="0.5">
      <c r="A1550" s="384" t="s">
        <v>262</v>
      </c>
      <c r="B1550" s="385"/>
      <c r="E1550" s="117">
        <v>2</v>
      </c>
      <c r="F1550" s="386"/>
      <c r="G1550" s="387"/>
    </row>
    <row r="1551" spans="1:7" x14ac:dyDescent="0.45">
      <c r="A1551" s="117">
        <v>1</v>
      </c>
      <c r="B1551" s="388"/>
      <c r="C1551" s="389"/>
      <c r="E1551" s="118">
        <v>3</v>
      </c>
      <c r="F1551" s="386"/>
      <c r="G1551" s="387"/>
    </row>
    <row r="1552" spans="1:7" x14ac:dyDescent="0.45">
      <c r="A1552" s="117">
        <v>2</v>
      </c>
      <c r="B1552" s="390"/>
      <c r="C1552" s="391"/>
      <c r="E1552" s="117">
        <v>4</v>
      </c>
      <c r="F1552" s="392"/>
      <c r="G1552" s="393"/>
    </row>
    <row r="1553" spans="1:7" s="83" customFormat="1" ht="14.65" thickBot="1" x14ac:dyDescent="0.5">
      <c r="A1553" s="145">
        <v>3</v>
      </c>
      <c r="B1553" s="394"/>
      <c r="C1553" s="395"/>
      <c r="D1553" s="61"/>
      <c r="E1553" s="119">
        <v>5</v>
      </c>
      <c r="F1553" s="380"/>
      <c r="G1553" s="381"/>
    </row>
    <row r="1554" spans="1:7" ht="12.6" customHeight="1" thickBot="1" x14ac:dyDescent="0.5"/>
    <row r="1555" spans="1:7" ht="12.6" customHeight="1" x14ac:dyDescent="0.45">
      <c r="A1555" s="357" t="s">
        <v>136</v>
      </c>
      <c r="B1555" s="358"/>
      <c r="C1555" s="358"/>
      <c r="D1555" s="358"/>
      <c r="E1555" s="358"/>
      <c r="F1555" s="358"/>
      <c r="G1555" s="359"/>
    </row>
    <row r="1556" spans="1:7" ht="12.6" customHeight="1" x14ac:dyDescent="0.45">
      <c r="A1556" s="360" t="s">
        <v>137</v>
      </c>
      <c r="B1556" s="361"/>
      <c r="C1556" s="361"/>
      <c r="D1556" s="361"/>
      <c r="E1556" s="361"/>
      <c r="F1556" s="361"/>
      <c r="G1556" s="362"/>
    </row>
    <row r="1557" spans="1:7" ht="14.45" customHeight="1" x14ac:dyDescent="0.45">
      <c r="A1557" s="360" t="s">
        <v>164</v>
      </c>
      <c r="B1557" s="361"/>
      <c r="C1557" s="361"/>
      <c r="D1557" s="361"/>
      <c r="E1557" s="361"/>
      <c r="F1557" s="361"/>
      <c r="G1557" s="362"/>
    </row>
    <row r="1558" spans="1:7" ht="14.45" customHeight="1" x14ac:dyDescent="0.45">
      <c r="A1558" s="363" t="s">
        <v>136</v>
      </c>
      <c r="B1558" s="364"/>
      <c r="C1558" s="365"/>
      <c r="D1558" s="366" t="s">
        <v>203</v>
      </c>
      <c r="E1558" s="365"/>
      <c r="F1558" s="366" t="s">
        <v>165</v>
      </c>
      <c r="G1558" s="365"/>
    </row>
    <row r="1559" spans="1:7" ht="46.25" customHeight="1" x14ac:dyDescent="0.45">
      <c r="A1559" s="367" t="s">
        <v>206</v>
      </c>
      <c r="B1559" s="368"/>
      <c r="C1559" s="369"/>
      <c r="D1559" s="376" t="s">
        <v>204</v>
      </c>
      <c r="E1559" s="369"/>
      <c r="F1559" s="379" t="s">
        <v>205</v>
      </c>
      <c r="G1559" s="369"/>
    </row>
    <row r="1560" spans="1:7" ht="46.25" customHeight="1" x14ac:dyDescent="0.45">
      <c r="A1560" s="370"/>
      <c r="B1560" s="371"/>
      <c r="C1560" s="372"/>
      <c r="D1560" s="377"/>
      <c r="E1560" s="372"/>
      <c r="F1560" s="377"/>
      <c r="G1560" s="372"/>
    </row>
    <row r="1561" spans="1:7" ht="46.25" customHeight="1" x14ac:dyDescent="0.45">
      <c r="A1561" s="373"/>
      <c r="B1561" s="374"/>
      <c r="C1561" s="375"/>
      <c r="D1561" s="378"/>
      <c r="E1561" s="375"/>
      <c r="F1561" s="378"/>
      <c r="G1561" s="375"/>
    </row>
    <row r="1562" spans="1:7" ht="28.25" customHeight="1" x14ac:dyDescent="0.45">
      <c r="A1562" s="327"/>
      <c r="B1562" s="328"/>
      <c r="C1562" s="329"/>
      <c r="D1562" s="336"/>
      <c r="E1562" s="329"/>
      <c r="F1562" s="336"/>
      <c r="G1562" s="339"/>
    </row>
    <row r="1563" spans="1:7" ht="28.25" customHeight="1" x14ac:dyDescent="0.45">
      <c r="A1563" s="330"/>
      <c r="B1563" s="331"/>
      <c r="C1563" s="332"/>
      <c r="D1563" s="337"/>
      <c r="E1563" s="332"/>
      <c r="F1563" s="337"/>
      <c r="G1563" s="340"/>
    </row>
    <row r="1564" spans="1:7" ht="28.25" customHeight="1" x14ac:dyDescent="0.45">
      <c r="A1564" s="333"/>
      <c r="B1564" s="334"/>
      <c r="C1564" s="335"/>
      <c r="D1564" s="338"/>
      <c r="E1564" s="335"/>
      <c r="F1564" s="338"/>
      <c r="G1564" s="341"/>
    </row>
    <row r="1565" spans="1:7" ht="28.25" customHeight="1" x14ac:dyDescent="0.45">
      <c r="A1565" s="327"/>
      <c r="B1565" s="328"/>
      <c r="C1565" s="329"/>
      <c r="D1565" s="336"/>
      <c r="E1565" s="329"/>
      <c r="F1565" s="336"/>
      <c r="G1565" s="339"/>
    </row>
    <row r="1566" spans="1:7" ht="28.25" customHeight="1" x14ac:dyDescent="0.45">
      <c r="A1566" s="330"/>
      <c r="B1566" s="331"/>
      <c r="C1566" s="332"/>
      <c r="D1566" s="337"/>
      <c r="E1566" s="332"/>
      <c r="F1566" s="337"/>
      <c r="G1566" s="340"/>
    </row>
    <row r="1567" spans="1:7" ht="28.25" customHeight="1" x14ac:dyDescent="0.45">
      <c r="A1567" s="333"/>
      <c r="B1567" s="334"/>
      <c r="C1567" s="335"/>
      <c r="D1567" s="338"/>
      <c r="E1567" s="335"/>
      <c r="F1567" s="338"/>
      <c r="G1567" s="341"/>
    </row>
    <row r="1568" spans="1:7" ht="28.25" customHeight="1" x14ac:dyDescent="0.45">
      <c r="A1568" s="342"/>
      <c r="B1568" s="343"/>
      <c r="C1568" s="344"/>
      <c r="D1568" s="351"/>
      <c r="E1568" s="344"/>
      <c r="F1568" s="351"/>
      <c r="G1568" s="354"/>
    </row>
    <row r="1569" spans="1:7" ht="28.25" customHeight="1" x14ac:dyDescent="0.45">
      <c r="A1569" s="345"/>
      <c r="B1569" s="346"/>
      <c r="C1569" s="347"/>
      <c r="D1569" s="352"/>
      <c r="E1569" s="347"/>
      <c r="F1569" s="352"/>
      <c r="G1569" s="355"/>
    </row>
    <row r="1570" spans="1:7" ht="28.25" customHeight="1" thickBot="1" x14ac:dyDescent="0.5">
      <c r="A1570" s="348"/>
      <c r="B1570" s="349"/>
      <c r="C1570" s="350"/>
      <c r="D1570" s="353"/>
      <c r="E1570" s="350"/>
      <c r="F1570" s="353"/>
      <c r="G1570" s="356"/>
    </row>
    <row r="1572" spans="1:7" s="91" customFormat="1" x14ac:dyDescent="0.45"/>
    <row r="1573" spans="1:7" ht="14.65" thickBot="1" x14ac:dyDescent="0.5"/>
    <row r="1574" spans="1:7" ht="15" customHeight="1" thickBot="1" x14ac:dyDescent="0.5">
      <c r="A1574" s="84" t="s">
        <v>76</v>
      </c>
      <c r="B1574" s="126">
        <v>33</v>
      </c>
      <c r="C1574" s="108"/>
      <c r="D1574" s="109"/>
      <c r="E1574" s="109"/>
      <c r="F1574" s="109"/>
      <c r="G1574" s="109"/>
    </row>
    <row r="1575" spans="1:7" ht="12.6" customHeight="1" x14ac:dyDescent="0.45">
      <c r="A1575" s="409" t="s">
        <v>89</v>
      </c>
      <c r="B1575" s="411"/>
      <c r="C1575" s="401"/>
      <c r="D1575" s="401"/>
      <c r="E1575" s="401"/>
      <c r="F1575" s="401"/>
      <c r="G1575" s="402"/>
    </row>
    <row r="1576" spans="1:7" ht="12.6" customHeight="1" x14ac:dyDescent="0.45">
      <c r="A1576" s="409"/>
      <c r="B1576" s="411"/>
      <c r="C1576" s="401"/>
      <c r="D1576" s="401"/>
      <c r="E1576" s="401"/>
      <c r="F1576" s="401"/>
      <c r="G1576" s="402"/>
    </row>
    <row r="1577" spans="1:7" ht="12.6" customHeight="1" x14ac:dyDescent="0.45">
      <c r="A1577" s="410"/>
      <c r="B1577" s="411"/>
      <c r="C1577" s="401"/>
      <c r="D1577" s="401"/>
      <c r="E1577" s="401"/>
      <c r="F1577" s="401"/>
      <c r="G1577" s="402"/>
    </row>
    <row r="1578" spans="1:7" ht="31.8" customHeight="1" x14ac:dyDescent="0.45">
      <c r="A1578" s="412" t="s">
        <v>160</v>
      </c>
      <c r="B1578" s="413"/>
      <c r="C1578" s="399"/>
      <c r="D1578" s="399"/>
      <c r="E1578" s="399"/>
      <c r="F1578" s="399"/>
      <c r="G1578" s="400"/>
    </row>
    <row r="1579" spans="1:7" ht="31.8" customHeight="1" x14ac:dyDescent="0.45">
      <c r="A1579" s="409"/>
      <c r="B1579" s="411"/>
      <c r="C1579" s="401"/>
      <c r="D1579" s="401"/>
      <c r="E1579" s="401"/>
      <c r="F1579" s="401"/>
      <c r="G1579" s="402"/>
    </row>
    <row r="1580" spans="1:7" ht="31.8" customHeight="1" x14ac:dyDescent="0.45">
      <c r="A1580" s="410"/>
      <c r="B1580" s="411"/>
      <c r="C1580" s="401"/>
      <c r="D1580" s="401"/>
      <c r="E1580" s="401"/>
      <c r="F1580" s="401"/>
      <c r="G1580" s="402"/>
    </row>
    <row r="1581" spans="1:7" x14ac:dyDescent="0.45">
      <c r="A1581" s="412" t="s">
        <v>155</v>
      </c>
      <c r="B1581" s="414"/>
      <c r="C1581" s="415"/>
      <c r="D1581" s="415"/>
      <c r="E1581" s="415"/>
      <c r="F1581" s="417" t="s">
        <v>167</v>
      </c>
      <c r="G1581" s="419"/>
    </row>
    <row r="1582" spans="1:7" s="90" customFormat="1" x14ac:dyDescent="0.45">
      <c r="A1582" s="409"/>
      <c r="B1582" s="411"/>
      <c r="C1582" s="401"/>
      <c r="D1582" s="401"/>
      <c r="E1582" s="401"/>
      <c r="F1582" s="418"/>
      <c r="G1582" s="420"/>
    </row>
    <row r="1583" spans="1:7" x14ac:dyDescent="0.45">
      <c r="A1583" s="409"/>
      <c r="B1583" s="416"/>
      <c r="C1583" s="403"/>
      <c r="D1583" s="403"/>
      <c r="E1583" s="403"/>
      <c r="F1583" s="418"/>
      <c r="G1583" s="421"/>
    </row>
    <row r="1584" spans="1:7" x14ac:dyDescent="0.45">
      <c r="A1584" s="412" t="s">
        <v>159</v>
      </c>
      <c r="B1584" s="411"/>
      <c r="C1584" s="401"/>
      <c r="D1584" s="401"/>
      <c r="E1584" s="401"/>
      <c r="F1584" s="401"/>
      <c r="G1584" s="402"/>
    </row>
    <row r="1585" spans="1:7" x14ac:dyDescent="0.45">
      <c r="A1585" s="409"/>
      <c r="B1585" s="411"/>
      <c r="C1585" s="401"/>
      <c r="D1585" s="401"/>
      <c r="E1585" s="401"/>
      <c r="F1585" s="401"/>
      <c r="G1585" s="402"/>
    </row>
    <row r="1586" spans="1:7" x14ac:dyDescent="0.45">
      <c r="A1586" s="410"/>
      <c r="B1586" s="416"/>
      <c r="C1586" s="403"/>
      <c r="D1586" s="403"/>
      <c r="E1586" s="403"/>
      <c r="F1586" s="403"/>
      <c r="G1586" s="404"/>
    </row>
    <row r="1587" spans="1:7" x14ac:dyDescent="0.45">
      <c r="A1587" s="396" t="s">
        <v>161</v>
      </c>
      <c r="B1587" s="401"/>
      <c r="C1587" s="401"/>
      <c r="D1587" s="401"/>
      <c r="E1587" s="401"/>
      <c r="F1587" s="401"/>
      <c r="G1587" s="402"/>
    </row>
    <row r="1588" spans="1:7" x14ac:dyDescent="0.45">
      <c r="A1588" s="397"/>
      <c r="B1588" s="401"/>
      <c r="C1588" s="401"/>
      <c r="D1588" s="401"/>
      <c r="E1588" s="401"/>
      <c r="F1588" s="401"/>
      <c r="G1588" s="402"/>
    </row>
    <row r="1589" spans="1:7" x14ac:dyDescent="0.45">
      <c r="A1589" s="398"/>
      <c r="B1589" s="401"/>
      <c r="C1589" s="401"/>
      <c r="D1589" s="401"/>
      <c r="E1589" s="401"/>
      <c r="F1589" s="401"/>
      <c r="G1589" s="402"/>
    </row>
    <row r="1590" spans="1:7" ht="14.65" thickBot="1" x14ac:dyDescent="0.5">
      <c r="A1590" s="85" t="s">
        <v>166</v>
      </c>
      <c r="B1590" s="405"/>
      <c r="C1590" s="405"/>
      <c r="D1590" s="405"/>
      <c r="E1590" s="405"/>
      <c r="F1590" s="405"/>
      <c r="G1590" s="406"/>
    </row>
    <row r="1591" spans="1:7" ht="14.65" thickBot="1" x14ac:dyDescent="0.5"/>
    <row r="1592" spans="1:7" ht="15" customHeight="1" thickBot="1" x14ac:dyDescent="0.5">
      <c r="A1592" s="407" t="s">
        <v>77</v>
      </c>
      <c r="B1592" s="408"/>
      <c r="C1592" s="69"/>
      <c r="E1592" s="86" t="s">
        <v>22</v>
      </c>
      <c r="F1592" s="62"/>
      <c r="G1592" s="62"/>
    </row>
    <row r="1593" spans="1:7" ht="14.65" thickBot="1" x14ac:dyDescent="0.5">
      <c r="A1593" s="106"/>
      <c r="B1593" s="106"/>
      <c r="E1593" s="88" t="s">
        <v>32</v>
      </c>
      <c r="F1593" s="382"/>
      <c r="G1593" s="383"/>
    </row>
    <row r="1594" spans="1:7" ht="14.65" thickBot="1" x14ac:dyDescent="0.5">
      <c r="A1594" s="107" t="s">
        <v>103</v>
      </c>
      <c r="B1594" s="106"/>
      <c r="E1594" s="88" t="s">
        <v>34</v>
      </c>
      <c r="F1594" s="386"/>
      <c r="G1594" s="387"/>
    </row>
    <row r="1595" spans="1:7" ht="14.65" thickBot="1" x14ac:dyDescent="0.5">
      <c r="A1595" s="88" t="s">
        <v>32</v>
      </c>
      <c r="B1595" s="382"/>
      <c r="C1595" s="383"/>
      <c r="E1595" s="89" t="s">
        <v>35</v>
      </c>
      <c r="F1595" s="380"/>
      <c r="G1595" s="381"/>
    </row>
    <row r="1596" spans="1:7" ht="14.65" thickBot="1" x14ac:dyDescent="0.5">
      <c r="A1596" s="88" t="s">
        <v>34</v>
      </c>
      <c r="B1596" s="386"/>
      <c r="C1596" s="387"/>
      <c r="F1596" s="62"/>
    </row>
    <row r="1597" spans="1:7" ht="15" customHeight="1" thickBot="1" x14ac:dyDescent="0.5">
      <c r="A1597" s="89" t="s">
        <v>35</v>
      </c>
      <c r="B1597" s="380"/>
      <c r="C1597" s="381"/>
      <c r="E1597" s="86" t="s">
        <v>31</v>
      </c>
      <c r="F1597" s="62"/>
    </row>
    <row r="1598" spans="1:7" ht="14.65" thickBot="1" x14ac:dyDescent="0.5">
      <c r="A1598" s="87"/>
      <c r="B1598" s="62"/>
      <c r="C1598" s="62"/>
      <c r="E1598" s="117">
        <v>1</v>
      </c>
      <c r="F1598" s="382"/>
      <c r="G1598" s="383"/>
    </row>
    <row r="1599" spans="1:7" ht="15" customHeight="1" thickBot="1" x14ac:dyDescent="0.5">
      <c r="A1599" s="384" t="s">
        <v>262</v>
      </c>
      <c r="B1599" s="385"/>
      <c r="E1599" s="117">
        <v>2</v>
      </c>
      <c r="F1599" s="386"/>
      <c r="G1599" s="387"/>
    </row>
    <row r="1600" spans="1:7" x14ac:dyDescent="0.45">
      <c r="A1600" s="117">
        <v>1</v>
      </c>
      <c r="B1600" s="388"/>
      <c r="C1600" s="389"/>
      <c r="E1600" s="118">
        <v>3</v>
      </c>
      <c r="F1600" s="386"/>
      <c r="G1600" s="387"/>
    </row>
    <row r="1601" spans="1:7" x14ac:dyDescent="0.45">
      <c r="A1601" s="117">
        <v>2</v>
      </c>
      <c r="B1601" s="390"/>
      <c r="C1601" s="391"/>
      <c r="E1601" s="117">
        <v>4</v>
      </c>
      <c r="F1601" s="392"/>
      <c r="G1601" s="393"/>
    </row>
    <row r="1602" spans="1:7" ht="14.65" thickBot="1" x14ac:dyDescent="0.5">
      <c r="A1602" s="145">
        <v>3</v>
      </c>
      <c r="B1602" s="394"/>
      <c r="C1602" s="395"/>
      <c r="E1602" s="119">
        <v>5</v>
      </c>
      <c r="F1602" s="380"/>
      <c r="G1602" s="381"/>
    </row>
    <row r="1603" spans="1:7" ht="14.65" thickBot="1" x14ac:dyDescent="0.5"/>
    <row r="1604" spans="1:7" x14ac:dyDescent="0.45">
      <c r="A1604" s="357" t="s">
        <v>136</v>
      </c>
      <c r="B1604" s="358"/>
      <c r="C1604" s="358"/>
      <c r="D1604" s="358"/>
      <c r="E1604" s="358"/>
      <c r="F1604" s="358"/>
      <c r="G1604" s="359"/>
    </row>
    <row r="1605" spans="1:7" ht="14.45" customHeight="1" x14ac:dyDescent="0.45">
      <c r="A1605" s="360" t="s">
        <v>137</v>
      </c>
      <c r="B1605" s="361"/>
      <c r="C1605" s="361"/>
      <c r="D1605" s="361"/>
      <c r="E1605" s="361"/>
      <c r="F1605" s="361"/>
      <c r="G1605" s="362"/>
    </row>
    <row r="1606" spans="1:7" ht="14.45" customHeight="1" x14ac:dyDescent="0.45">
      <c r="A1606" s="360" t="s">
        <v>164</v>
      </c>
      <c r="B1606" s="361"/>
      <c r="C1606" s="361"/>
      <c r="D1606" s="361"/>
      <c r="E1606" s="361"/>
      <c r="F1606" s="361"/>
      <c r="G1606" s="362"/>
    </row>
    <row r="1607" spans="1:7" ht="14.45" customHeight="1" x14ac:dyDescent="0.45">
      <c r="A1607" s="363" t="s">
        <v>136</v>
      </c>
      <c r="B1607" s="364"/>
      <c r="C1607" s="365"/>
      <c r="D1607" s="366" t="s">
        <v>203</v>
      </c>
      <c r="E1607" s="365"/>
      <c r="F1607" s="366" t="s">
        <v>165</v>
      </c>
      <c r="G1607" s="365"/>
    </row>
    <row r="1608" spans="1:7" ht="46.25" customHeight="1" x14ac:dyDescent="0.45">
      <c r="A1608" s="367" t="s">
        <v>206</v>
      </c>
      <c r="B1608" s="368"/>
      <c r="C1608" s="369"/>
      <c r="D1608" s="376" t="s">
        <v>204</v>
      </c>
      <c r="E1608" s="369"/>
      <c r="F1608" s="379" t="s">
        <v>205</v>
      </c>
      <c r="G1608" s="369"/>
    </row>
    <row r="1609" spans="1:7" ht="46.25" customHeight="1" x14ac:dyDescent="0.45">
      <c r="A1609" s="370"/>
      <c r="B1609" s="371"/>
      <c r="C1609" s="372"/>
      <c r="D1609" s="377"/>
      <c r="E1609" s="372"/>
      <c r="F1609" s="377"/>
      <c r="G1609" s="372"/>
    </row>
    <row r="1610" spans="1:7" ht="46.25" customHeight="1" x14ac:dyDescent="0.45">
      <c r="A1610" s="373"/>
      <c r="B1610" s="374"/>
      <c r="C1610" s="375"/>
      <c r="D1610" s="378"/>
      <c r="E1610" s="375"/>
      <c r="F1610" s="378"/>
      <c r="G1610" s="375"/>
    </row>
    <row r="1611" spans="1:7" ht="28.25" customHeight="1" x14ac:dyDescent="0.45">
      <c r="A1611" s="327"/>
      <c r="B1611" s="328"/>
      <c r="C1611" s="329"/>
      <c r="D1611" s="336"/>
      <c r="E1611" s="329"/>
      <c r="F1611" s="336"/>
      <c r="G1611" s="339"/>
    </row>
    <row r="1612" spans="1:7" ht="28.25" customHeight="1" x14ac:dyDescent="0.45">
      <c r="A1612" s="330"/>
      <c r="B1612" s="331"/>
      <c r="C1612" s="332"/>
      <c r="D1612" s="337"/>
      <c r="E1612" s="332"/>
      <c r="F1612" s="337"/>
      <c r="G1612" s="340"/>
    </row>
    <row r="1613" spans="1:7" ht="28.25" customHeight="1" x14ac:dyDescent="0.45">
      <c r="A1613" s="333"/>
      <c r="B1613" s="334"/>
      <c r="C1613" s="335"/>
      <c r="D1613" s="338"/>
      <c r="E1613" s="335"/>
      <c r="F1613" s="338"/>
      <c r="G1613" s="341"/>
    </row>
    <row r="1614" spans="1:7" ht="28.25" customHeight="1" x14ac:dyDescent="0.45">
      <c r="A1614" s="327"/>
      <c r="B1614" s="328"/>
      <c r="C1614" s="329"/>
      <c r="D1614" s="336"/>
      <c r="E1614" s="329"/>
      <c r="F1614" s="336"/>
      <c r="G1614" s="339"/>
    </row>
    <row r="1615" spans="1:7" ht="28.25" customHeight="1" x14ac:dyDescent="0.45">
      <c r="A1615" s="330"/>
      <c r="B1615" s="331"/>
      <c r="C1615" s="332"/>
      <c r="D1615" s="337"/>
      <c r="E1615" s="332"/>
      <c r="F1615" s="337"/>
      <c r="G1615" s="340"/>
    </row>
    <row r="1616" spans="1:7" ht="28.25" customHeight="1" x14ac:dyDescent="0.45">
      <c r="A1616" s="333"/>
      <c r="B1616" s="334"/>
      <c r="C1616" s="335"/>
      <c r="D1616" s="338"/>
      <c r="E1616" s="335"/>
      <c r="F1616" s="338"/>
      <c r="G1616" s="341"/>
    </row>
    <row r="1617" spans="1:7" ht="28.25" customHeight="1" x14ac:dyDescent="0.45">
      <c r="A1617" s="342"/>
      <c r="B1617" s="343"/>
      <c r="C1617" s="344"/>
      <c r="D1617" s="351"/>
      <c r="E1617" s="344"/>
      <c r="F1617" s="351"/>
      <c r="G1617" s="354"/>
    </row>
    <row r="1618" spans="1:7" ht="28.25" customHeight="1" x14ac:dyDescent="0.45">
      <c r="A1618" s="345"/>
      <c r="B1618" s="346"/>
      <c r="C1618" s="347"/>
      <c r="D1618" s="352"/>
      <c r="E1618" s="347"/>
      <c r="F1618" s="352"/>
      <c r="G1618" s="355"/>
    </row>
    <row r="1619" spans="1:7" ht="28.25" customHeight="1" thickBot="1" x14ac:dyDescent="0.5">
      <c r="A1619" s="348"/>
      <c r="B1619" s="349"/>
      <c r="C1619" s="350"/>
      <c r="D1619" s="353"/>
      <c r="E1619" s="350"/>
      <c r="F1619" s="353"/>
      <c r="G1619" s="356"/>
    </row>
    <row r="1621" spans="1:7" s="91" customFormat="1" x14ac:dyDescent="0.45"/>
    <row r="1622" spans="1:7" s="90" customFormat="1" ht="14.65" thickBot="1" x14ac:dyDescent="0.5">
      <c r="A1622" s="61"/>
      <c r="B1622" s="61"/>
      <c r="C1622" s="61"/>
      <c r="D1622" s="61"/>
      <c r="E1622" s="61"/>
      <c r="F1622" s="61"/>
    </row>
    <row r="1623" spans="1:7" ht="14.65" thickBot="1" x14ac:dyDescent="0.5">
      <c r="A1623" s="84" t="s">
        <v>76</v>
      </c>
      <c r="B1623" s="126">
        <v>34</v>
      </c>
      <c r="C1623" s="108"/>
      <c r="D1623" s="109"/>
      <c r="E1623" s="109"/>
      <c r="F1623" s="109"/>
      <c r="G1623" s="109"/>
    </row>
    <row r="1624" spans="1:7" ht="12.6" customHeight="1" x14ac:dyDescent="0.45">
      <c r="A1624" s="409" t="s">
        <v>89</v>
      </c>
      <c r="B1624" s="411"/>
      <c r="C1624" s="401"/>
      <c r="D1624" s="401"/>
      <c r="E1624" s="401"/>
      <c r="F1624" s="401"/>
      <c r="G1624" s="402"/>
    </row>
    <row r="1625" spans="1:7" ht="12.6" customHeight="1" x14ac:dyDescent="0.45">
      <c r="A1625" s="409"/>
      <c r="B1625" s="411"/>
      <c r="C1625" s="401"/>
      <c r="D1625" s="401"/>
      <c r="E1625" s="401"/>
      <c r="F1625" s="401"/>
      <c r="G1625" s="402"/>
    </row>
    <row r="1626" spans="1:7" ht="12.6" customHeight="1" x14ac:dyDescent="0.45">
      <c r="A1626" s="410"/>
      <c r="B1626" s="411"/>
      <c r="C1626" s="401"/>
      <c r="D1626" s="401"/>
      <c r="E1626" s="401"/>
      <c r="F1626" s="401"/>
      <c r="G1626" s="402"/>
    </row>
    <row r="1627" spans="1:7" ht="31.8" customHeight="1" x14ac:dyDescent="0.45">
      <c r="A1627" s="412" t="s">
        <v>158</v>
      </c>
      <c r="B1627" s="413"/>
      <c r="C1627" s="399"/>
      <c r="D1627" s="399"/>
      <c r="E1627" s="399"/>
      <c r="F1627" s="399"/>
      <c r="G1627" s="400"/>
    </row>
    <row r="1628" spans="1:7" ht="31.8" customHeight="1" x14ac:dyDescent="0.45">
      <c r="A1628" s="409"/>
      <c r="B1628" s="411"/>
      <c r="C1628" s="401"/>
      <c r="D1628" s="401"/>
      <c r="E1628" s="401"/>
      <c r="F1628" s="401"/>
      <c r="G1628" s="402"/>
    </row>
    <row r="1629" spans="1:7" ht="31.8" customHeight="1" x14ac:dyDescent="0.45">
      <c r="A1629" s="410"/>
      <c r="B1629" s="411"/>
      <c r="C1629" s="401"/>
      <c r="D1629" s="401"/>
      <c r="E1629" s="401"/>
      <c r="F1629" s="401"/>
      <c r="G1629" s="402"/>
    </row>
    <row r="1630" spans="1:7" x14ac:dyDescent="0.45">
      <c r="A1630" s="412" t="s">
        <v>155</v>
      </c>
      <c r="B1630" s="414"/>
      <c r="C1630" s="415"/>
      <c r="D1630" s="415"/>
      <c r="E1630" s="415"/>
      <c r="F1630" s="417" t="s">
        <v>167</v>
      </c>
      <c r="G1630" s="419"/>
    </row>
    <row r="1631" spans="1:7" x14ac:dyDescent="0.45">
      <c r="A1631" s="409"/>
      <c r="B1631" s="411"/>
      <c r="C1631" s="401"/>
      <c r="D1631" s="401"/>
      <c r="E1631" s="401"/>
      <c r="F1631" s="418"/>
      <c r="G1631" s="420"/>
    </row>
    <row r="1632" spans="1:7" x14ac:dyDescent="0.45">
      <c r="A1632" s="409"/>
      <c r="B1632" s="416"/>
      <c r="C1632" s="403"/>
      <c r="D1632" s="403"/>
      <c r="E1632" s="403"/>
      <c r="F1632" s="418"/>
      <c r="G1632" s="421"/>
    </row>
    <row r="1633" spans="1:7" x14ac:dyDescent="0.45">
      <c r="A1633" s="412" t="s">
        <v>159</v>
      </c>
      <c r="B1633" s="411"/>
      <c r="C1633" s="401"/>
      <c r="D1633" s="401"/>
      <c r="E1633" s="401"/>
      <c r="F1633" s="401"/>
      <c r="G1633" s="402"/>
    </row>
    <row r="1634" spans="1:7" x14ac:dyDescent="0.45">
      <c r="A1634" s="409"/>
      <c r="B1634" s="411"/>
      <c r="C1634" s="401"/>
      <c r="D1634" s="401"/>
      <c r="E1634" s="401"/>
      <c r="F1634" s="401"/>
      <c r="G1634" s="402"/>
    </row>
    <row r="1635" spans="1:7" s="83" customFormat="1" x14ac:dyDescent="0.45">
      <c r="A1635" s="410"/>
      <c r="B1635" s="416"/>
      <c r="C1635" s="403"/>
      <c r="D1635" s="403"/>
      <c r="E1635" s="403"/>
      <c r="F1635" s="403"/>
      <c r="G1635" s="404"/>
    </row>
    <row r="1636" spans="1:7" x14ac:dyDescent="0.45">
      <c r="A1636" s="396" t="s">
        <v>161</v>
      </c>
      <c r="B1636" s="401"/>
      <c r="C1636" s="401"/>
      <c r="D1636" s="401"/>
      <c r="E1636" s="401"/>
      <c r="F1636" s="401"/>
      <c r="G1636" s="402"/>
    </row>
    <row r="1637" spans="1:7" x14ac:dyDescent="0.45">
      <c r="A1637" s="397"/>
      <c r="B1637" s="401"/>
      <c r="C1637" s="401"/>
      <c r="D1637" s="401"/>
      <c r="E1637" s="401"/>
      <c r="F1637" s="401"/>
      <c r="G1637" s="402"/>
    </row>
    <row r="1638" spans="1:7" x14ac:dyDescent="0.45">
      <c r="A1638" s="398"/>
      <c r="B1638" s="401"/>
      <c r="C1638" s="401"/>
      <c r="D1638" s="401"/>
      <c r="E1638" s="401"/>
      <c r="F1638" s="401"/>
      <c r="G1638" s="402"/>
    </row>
    <row r="1639" spans="1:7" ht="14.65" thickBot="1" x14ac:dyDescent="0.5">
      <c r="A1639" s="85" t="s">
        <v>166</v>
      </c>
      <c r="B1639" s="405"/>
      <c r="C1639" s="405"/>
      <c r="D1639" s="405"/>
      <c r="E1639" s="405"/>
      <c r="F1639" s="405"/>
      <c r="G1639" s="406"/>
    </row>
    <row r="1640" spans="1:7" ht="14.65" thickBot="1" x14ac:dyDescent="0.5"/>
    <row r="1641" spans="1:7" ht="15" customHeight="1" thickBot="1" x14ac:dyDescent="0.5">
      <c r="A1641" s="407" t="s">
        <v>77</v>
      </c>
      <c r="B1641" s="408"/>
      <c r="C1641" s="69"/>
      <c r="E1641" s="86" t="s">
        <v>22</v>
      </c>
      <c r="F1641" s="62"/>
      <c r="G1641" s="62"/>
    </row>
    <row r="1642" spans="1:7" ht="14.65" thickBot="1" x14ac:dyDescent="0.5">
      <c r="A1642" s="106"/>
      <c r="B1642" s="106"/>
      <c r="E1642" s="88" t="s">
        <v>32</v>
      </c>
      <c r="F1642" s="382"/>
      <c r="G1642" s="383"/>
    </row>
    <row r="1643" spans="1:7" ht="14.65" thickBot="1" x14ac:dyDescent="0.5">
      <c r="A1643" s="107" t="s">
        <v>103</v>
      </c>
      <c r="B1643" s="106"/>
      <c r="E1643" s="88" t="s">
        <v>34</v>
      </c>
      <c r="F1643" s="386"/>
      <c r="G1643" s="387"/>
    </row>
    <row r="1644" spans="1:7" ht="14.65" thickBot="1" x14ac:dyDescent="0.5">
      <c r="A1644" s="88" t="s">
        <v>32</v>
      </c>
      <c r="B1644" s="382"/>
      <c r="C1644" s="383"/>
      <c r="E1644" s="89" t="s">
        <v>35</v>
      </c>
      <c r="F1644" s="380"/>
      <c r="G1644" s="381"/>
    </row>
    <row r="1645" spans="1:7" ht="14.65" thickBot="1" x14ac:dyDescent="0.5">
      <c r="A1645" s="88" t="s">
        <v>34</v>
      </c>
      <c r="B1645" s="386"/>
      <c r="C1645" s="387"/>
      <c r="F1645" s="62"/>
    </row>
    <row r="1646" spans="1:7" ht="15" customHeight="1" thickBot="1" x14ac:dyDescent="0.5">
      <c r="A1646" s="89" t="s">
        <v>35</v>
      </c>
      <c r="B1646" s="380"/>
      <c r="C1646" s="381"/>
      <c r="E1646" s="86" t="s">
        <v>31</v>
      </c>
      <c r="F1646" s="62"/>
    </row>
    <row r="1647" spans="1:7" ht="14.65" thickBot="1" x14ac:dyDescent="0.5">
      <c r="A1647" s="87"/>
      <c r="B1647" s="62"/>
      <c r="C1647" s="62"/>
      <c r="E1647" s="117">
        <v>1</v>
      </c>
      <c r="F1647" s="382"/>
      <c r="G1647" s="383"/>
    </row>
    <row r="1648" spans="1:7" ht="12.6" customHeight="1" thickBot="1" x14ac:dyDescent="0.5">
      <c r="A1648" s="384" t="s">
        <v>262</v>
      </c>
      <c r="B1648" s="385"/>
      <c r="E1648" s="117">
        <v>2</v>
      </c>
      <c r="F1648" s="386"/>
      <c r="G1648" s="387"/>
    </row>
    <row r="1649" spans="1:7" x14ac:dyDescent="0.45">
      <c r="A1649" s="117">
        <v>1</v>
      </c>
      <c r="B1649" s="388"/>
      <c r="C1649" s="389"/>
      <c r="E1649" s="118">
        <v>3</v>
      </c>
      <c r="F1649" s="386"/>
      <c r="G1649" s="387"/>
    </row>
    <row r="1650" spans="1:7" x14ac:dyDescent="0.45">
      <c r="A1650" s="117">
        <v>2</v>
      </c>
      <c r="B1650" s="390"/>
      <c r="C1650" s="391"/>
      <c r="E1650" s="117">
        <v>4</v>
      </c>
      <c r="F1650" s="392"/>
      <c r="G1650" s="393"/>
    </row>
    <row r="1651" spans="1:7" ht="14.65" thickBot="1" x14ac:dyDescent="0.5">
      <c r="A1651" s="145">
        <v>3</v>
      </c>
      <c r="B1651" s="394"/>
      <c r="C1651" s="395"/>
      <c r="E1651" s="119">
        <v>5</v>
      </c>
      <c r="F1651" s="380"/>
      <c r="G1651" s="381"/>
    </row>
    <row r="1652" spans="1:7" ht="14.65" thickBot="1" x14ac:dyDescent="0.5"/>
    <row r="1653" spans="1:7" x14ac:dyDescent="0.45">
      <c r="A1653" s="357" t="s">
        <v>136</v>
      </c>
      <c r="B1653" s="358"/>
      <c r="C1653" s="358"/>
      <c r="D1653" s="358"/>
      <c r="E1653" s="358"/>
      <c r="F1653" s="358"/>
      <c r="G1653" s="359"/>
    </row>
    <row r="1654" spans="1:7" ht="14.45" customHeight="1" x14ac:dyDescent="0.45">
      <c r="A1654" s="360" t="s">
        <v>137</v>
      </c>
      <c r="B1654" s="361"/>
      <c r="C1654" s="361"/>
      <c r="D1654" s="361"/>
      <c r="E1654" s="361"/>
      <c r="F1654" s="361"/>
      <c r="G1654" s="362"/>
    </row>
    <row r="1655" spans="1:7" ht="14.45" customHeight="1" x14ac:dyDescent="0.45">
      <c r="A1655" s="360" t="s">
        <v>164</v>
      </c>
      <c r="B1655" s="361"/>
      <c r="C1655" s="361"/>
      <c r="D1655" s="361"/>
      <c r="E1655" s="361"/>
      <c r="F1655" s="361"/>
      <c r="G1655" s="362"/>
    </row>
    <row r="1656" spans="1:7" ht="14.45" customHeight="1" x14ac:dyDescent="0.45">
      <c r="A1656" s="363" t="s">
        <v>136</v>
      </c>
      <c r="B1656" s="364"/>
      <c r="C1656" s="365"/>
      <c r="D1656" s="366" t="s">
        <v>203</v>
      </c>
      <c r="E1656" s="365"/>
      <c r="F1656" s="366" t="s">
        <v>165</v>
      </c>
      <c r="G1656" s="365"/>
    </row>
    <row r="1657" spans="1:7" ht="46.25" customHeight="1" x14ac:dyDescent="0.45">
      <c r="A1657" s="367" t="s">
        <v>206</v>
      </c>
      <c r="B1657" s="368"/>
      <c r="C1657" s="369"/>
      <c r="D1657" s="376" t="s">
        <v>204</v>
      </c>
      <c r="E1657" s="369"/>
      <c r="F1657" s="379" t="s">
        <v>205</v>
      </c>
      <c r="G1657" s="369"/>
    </row>
    <row r="1658" spans="1:7" ht="46.25" customHeight="1" x14ac:dyDescent="0.45">
      <c r="A1658" s="370"/>
      <c r="B1658" s="371"/>
      <c r="C1658" s="372"/>
      <c r="D1658" s="377"/>
      <c r="E1658" s="372"/>
      <c r="F1658" s="377"/>
      <c r="G1658" s="372"/>
    </row>
    <row r="1659" spans="1:7" ht="46.25" customHeight="1" x14ac:dyDescent="0.45">
      <c r="A1659" s="373"/>
      <c r="B1659" s="374"/>
      <c r="C1659" s="375"/>
      <c r="D1659" s="378"/>
      <c r="E1659" s="375"/>
      <c r="F1659" s="378"/>
      <c r="G1659" s="375"/>
    </row>
    <row r="1660" spans="1:7" ht="28.25" customHeight="1" x14ac:dyDescent="0.45">
      <c r="A1660" s="327"/>
      <c r="B1660" s="328"/>
      <c r="C1660" s="329"/>
      <c r="D1660" s="336"/>
      <c r="E1660" s="329"/>
      <c r="F1660" s="336"/>
      <c r="G1660" s="339"/>
    </row>
    <row r="1661" spans="1:7" ht="28.25" customHeight="1" x14ac:dyDescent="0.45">
      <c r="A1661" s="330"/>
      <c r="B1661" s="331"/>
      <c r="C1661" s="332"/>
      <c r="D1661" s="337"/>
      <c r="E1661" s="332"/>
      <c r="F1661" s="337"/>
      <c r="G1661" s="340"/>
    </row>
    <row r="1662" spans="1:7" ht="28.25" customHeight="1" x14ac:dyDescent="0.45">
      <c r="A1662" s="333"/>
      <c r="B1662" s="334"/>
      <c r="C1662" s="335"/>
      <c r="D1662" s="338"/>
      <c r="E1662" s="335"/>
      <c r="F1662" s="338"/>
      <c r="G1662" s="341"/>
    </row>
    <row r="1663" spans="1:7" ht="28.25" customHeight="1" x14ac:dyDescent="0.45">
      <c r="A1663" s="327"/>
      <c r="B1663" s="328"/>
      <c r="C1663" s="329"/>
      <c r="D1663" s="336"/>
      <c r="E1663" s="329"/>
      <c r="F1663" s="336"/>
      <c r="G1663" s="339"/>
    </row>
    <row r="1664" spans="1:7" ht="28.25" customHeight="1" x14ac:dyDescent="0.45">
      <c r="A1664" s="330"/>
      <c r="B1664" s="331"/>
      <c r="C1664" s="332"/>
      <c r="D1664" s="337"/>
      <c r="E1664" s="332"/>
      <c r="F1664" s="337"/>
      <c r="G1664" s="340"/>
    </row>
    <row r="1665" spans="1:7" ht="28.25" customHeight="1" x14ac:dyDescent="0.45">
      <c r="A1665" s="333"/>
      <c r="B1665" s="334"/>
      <c r="C1665" s="335"/>
      <c r="D1665" s="338"/>
      <c r="E1665" s="335"/>
      <c r="F1665" s="338"/>
      <c r="G1665" s="341"/>
    </row>
    <row r="1666" spans="1:7" ht="28.25" customHeight="1" x14ac:dyDescent="0.45">
      <c r="A1666" s="342"/>
      <c r="B1666" s="343"/>
      <c r="C1666" s="344"/>
      <c r="D1666" s="351"/>
      <c r="E1666" s="344"/>
      <c r="F1666" s="351"/>
      <c r="G1666" s="354"/>
    </row>
    <row r="1667" spans="1:7" ht="28.25" customHeight="1" x14ac:dyDescent="0.45">
      <c r="A1667" s="345"/>
      <c r="B1667" s="346"/>
      <c r="C1667" s="347"/>
      <c r="D1667" s="352"/>
      <c r="E1667" s="347"/>
      <c r="F1667" s="352"/>
      <c r="G1667" s="355"/>
    </row>
    <row r="1668" spans="1:7" ht="28.25" customHeight="1" thickBot="1" x14ac:dyDescent="0.5">
      <c r="A1668" s="348"/>
      <c r="B1668" s="349"/>
      <c r="C1668" s="350"/>
      <c r="D1668" s="353"/>
      <c r="E1668" s="350"/>
      <c r="F1668" s="353"/>
      <c r="G1668" s="356"/>
    </row>
    <row r="1670" spans="1:7" s="91" customFormat="1" x14ac:dyDescent="0.45"/>
    <row r="1671" spans="1:7" ht="14.65" thickBot="1" x14ac:dyDescent="0.5"/>
    <row r="1672" spans="1:7" ht="14.65" thickBot="1" x14ac:dyDescent="0.5">
      <c r="A1672" s="84" t="s">
        <v>76</v>
      </c>
      <c r="B1672" s="126">
        <v>35</v>
      </c>
      <c r="C1672" s="108"/>
      <c r="D1672" s="109"/>
      <c r="E1672" s="109"/>
      <c r="F1672" s="109"/>
      <c r="G1672" s="109"/>
    </row>
    <row r="1673" spans="1:7" ht="12.6" customHeight="1" x14ac:dyDescent="0.45">
      <c r="A1673" s="409" t="s">
        <v>89</v>
      </c>
      <c r="B1673" s="411"/>
      <c r="C1673" s="401"/>
      <c r="D1673" s="401"/>
      <c r="E1673" s="401"/>
      <c r="F1673" s="401"/>
      <c r="G1673" s="402"/>
    </row>
    <row r="1674" spans="1:7" ht="12.6" customHeight="1" x14ac:dyDescent="0.45">
      <c r="A1674" s="409"/>
      <c r="B1674" s="411"/>
      <c r="C1674" s="401"/>
      <c r="D1674" s="401"/>
      <c r="E1674" s="401"/>
      <c r="F1674" s="401"/>
      <c r="G1674" s="402"/>
    </row>
    <row r="1675" spans="1:7" ht="12.6" customHeight="1" x14ac:dyDescent="0.45">
      <c r="A1675" s="410"/>
      <c r="B1675" s="411"/>
      <c r="C1675" s="401"/>
      <c r="D1675" s="401"/>
      <c r="E1675" s="401"/>
      <c r="F1675" s="401"/>
      <c r="G1675" s="402"/>
    </row>
    <row r="1676" spans="1:7" ht="31.8" customHeight="1" x14ac:dyDescent="0.45">
      <c r="A1676" s="412" t="s">
        <v>160</v>
      </c>
      <c r="B1676" s="413"/>
      <c r="C1676" s="399"/>
      <c r="D1676" s="399"/>
      <c r="E1676" s="399"/>
      <c r="F1676" s="399"/>
      <c r="G1676" s="400"/>
    </row>
    <row r="1677" spans="1:7" ht="31.8" customHeight="1" x14ac:dyDescent="0.45">
      <c r="A1677" s="409"/>
      <c r="B1677" s="411"/>
      <c r="C1677" s="401"/>
      <c r="D1677" s="401"/>
      <c r="E1677" s="401"/>
      <c r="F1677" s="401"/>
      <c r="G1677" s="402"/>
    </row>
    <row r="1678" spans="1:7" ht="31.8" customHeight="1" x14ac:dyDescent="0.45">
      <c r="A1678" s="410"/>
      <c r="B1678" s="411"/>
      <c r="C1678" s="401"/>
      <c r="D1678" s="401"/>
      <c r="E1678" s="401"/>
      <c r="F1678" s="401"/>
      <c r="G1678" s="402"/>
    </row>
    <row r="1679" spans="1:7" x14ac:dyDescent="0.45">
      <c r="A1679" s="412" t="s">
        <v>155</v>
      </c>
      <c r="B1679" s="414"/>
      <c r="C1679" s="415"/>
      <c r="D1679" s="415"/>
      <c r="E1679" s="415"/>
      <c r="F1679" s="417" t="s">
        <v>167</v>
      </c>
      <c r="G1679" s="419"/>
    </row>
    <row r="1680" spans="1:7" x14ac:dyDescent="0.45">
      <c r="A1680" s="409"/>
      <c r="B1680" s="411"/>
      <c r="C1680" s="401"/>
      <c r="D1680" s="401"/>
      <c r="E1680" s="401"/>
      <c r="F1680" s="418"/>
      <c r="G1680" s="420"/>
    </row>
    <row r="1681" spans="1:7" x14ac:dyDescent="0.45">
      <c r="A1681" s="409"/>
      <c r="B1681" s="416"/>
      <c r="C1681" s="403"/>
      <c r="D1681" s="403"/>
      <c r="E1681" s="403"/>
      <c r="F1681" s="418"/>
      <c r="G1681" s="421"/>
    </row>
    <row r="1682" spans="1:7" x14ac:dyDescent="0.45">
      <c r="A1682" s="412" t="s">
        <v>159</v>
      </c>
      <c r="B1682" s="411"/>
      <c r="C1682" s="401"/>
      <c r="D1682" s="401"/>
      <c r="E1682" s="401"/>
      <c r="F1682" s="401"/>
      <c r="G1682" s="402"/>
    </row>
    <row r="1683" spans="1:7" x14ac:dyDescent="0.45">
      <c r="A1683" s="409"/>
      <c r="B1683" s="411"/>
      <c r="C1683" s="401"/>
      <c r="D1683" s="401"/>
      <c r="E1683" s="401"/>
      <c r="F1683" s="401"/>
      <c r="G1683" s="402"/>
    </row>
    <row r="1684" spans="1:7" x14ac:dyDescent="0.45">
      <c r="A1684" s="410"/>
      <c r="B1684" s="416"/>
      <c r="C1684" s="403"/>
      <c r="D1684" s="403"/>
      <c r="E1684" s="403"/>
      <c r="F1684" s="403"/>
      <c r="G1684" s="404"/>
    </row>
    <row r="1685" spans="1:7" x14ac:dyDescent="0.45">
      <c r="A1685" s="396" t="s">
        <v>161</v>
      </c>
      <c r="B1685" s="399"/>
      <c r="C1685" s="399"/>
      <c r="D1685" s="399"/>
      <c r="E1685" s="399"/>
      <c r="F1685" s="399"/>
      <c r="G1685" s="400"/>
    </row>
    <row r="1686" spans="1:7" x14ac:dyDescent="0.45">
      <c r="A1686" s="397"/>
      <c r="B1686" s="401"/>
      <c r="C1686" s="401"/>
      <c r="D1686" s="401"/>
      <c r="E1686" s="401"/>
      <c r="F1686" s="401"/>
      <c r="G1686" s="402"/>
    </row>
    <row r="1687" spans="1:7" x14ac:dyDescent="0.45">
      <c r="A1687" s="398"/>
      <c r="B1687" s="403"/>
      <c r="C1687" s="403"/>
      <c r="D1687" s="403"/>
      <c r="E1687" s="403"/>
      <c r="F1687" s="403"/>
      <c r="G1687" s="404"/>
    </row>
    <row r="1688" spans="1:7" ht="14.65" thickBot="1" x14ac:dyDescent="0.5">
      <c r="A1688" s="85" t="s">
        <v>166</v>
      </c>
      <c r="B1688" s="405"/>
      <c r="C1688" s="405"/>
      <c r="D1688" s="405"/>
      <c r="E1688" s="405"/>
      <c r="F1688" s="405"/>
      <c r="G1688" s="406"/>
    </row>
    <row r="1689" spans="1:7" ht="14.65" thickBot="1" x14ac:dyDescent="0.5"/>
    <row r="1690" spans="1:7" ht="15" customHeight="1" thickBot="1" x14ac:dyDescent="0.5">
      <c r="A1690" s="407" t="s">
        <v>77</v>
      </c>
      <c r="B1690" s="408"/>
      <c r="C1690" s="69"/>
      <c r="E1690" s="86" t="s">
        <v>22</v>
      </c>
      <c r="F1690" s="62"/>
      <c r="G1690" s="62"/>
    </row>
    <row r="1691" spans="1:7" ht="14.65" thickBot="1" x14ac:dyDescent="0.5">
      <c r="A1691" s="106"/>
      <c r="B1691" s="106"/>
      <c r="E1691" s="88" t="s">
        <v>32</v>
      </c>
      <c r="F1691" s="382"/>
      <c r="G1691" s="383"/>
    </row>
    <row r="1692" spans="1:7" ht="14.65" thickBot="1" x14ac:dyDescent="0.5">
      <c r="A1692" s="107" t="s">
        <v>103</v>
      </c>
      <c r="B1692" s="106"/>
      <c r="E1692" s="88" t="s">
        <v>34</v>
      </c>
      <c r="F1692" s="386"/>
      <c r="G1692" s="387"/>
    </row>
    <row r="1693" spans="1:7" ht="14.65" thickBot="1" x14ac:dyDescent="0.5">
      <c r="A1693" s="88" t="s">
        <v>32</v>
      </c>
      <c r="B1693" s="382"/>
      <c r="C1693" s="383"/>
      <c r="E1693" s="89" t="s">
        <v>35</v>
      </c>
      <c r="F1693" s="380"/>
      <c r="G1693" s="381"/>
    </row>
    <row r="1694" spans="1:7" ht="14.65" thickBot="1" x14ac:dyDescent="0.5">
      <c r="A1694" s="88" t="s">
        <v>34</v>
      </c>
      <c r="B1694" s="386"/>
      <c r="C1694" s="387"/>
      <c r="F1694" s="62"/>
    </row>
    <row r="1695" spans="1:7" ht="15" customHeight="1" thickBot="1" x14ac:dyDescent="0.5">
      <c r="A1695" s="89" t="s">
        <v>35</v>
      </c>
      <c r="B1695" s="380"/>
      <c r="C1695" s="381"/>
      <c r="E1695" s="86" t="s">
        <v>31</v>
      </c>
      <c r="F1695" s="62"/>
    </row>
    <row r="1696" spans="1:7" ht="14.65" thickBot="1" x14ac:dyDescent="0.5">
      <c r="A1696" s="87"/>
      <c r="B1696" s="62"/>
      <c r="C1696" s="62"/>
      <c r="E1696" s="117">
        <v>1</v>
      </c>
      <c r="F1696" s="382"/>
      <c r="G1696" s="383"/>
    </row>
    <row r="1697" spans="1:7" ht="15" customHeight="1" thickBot="1" x14ac:dyDescent="0.5">
      <c r="A1697" s="384" t="s">
        <v>262</v>
      </c>
      <c r="B1697" s="385"/>
      <c r="E1697" s="117">
        <v>2</v>
      </c>
      <c r="F1697" s="386"/>
      <c r="G1697" s="387"/>
    </row>
    <row r="1698" spans="1:7" x14ac:dyDescent="0.45">
      <c r="A1698" s="117">
        <v>1</v>
      </c>
      <c r="B1698" s="388"/>
      <c r="C1698" s="389"/>
      <c r="E1698" s="118">
        <v>3</v>
      </c>
      <c r="F1698" s="386"/>
      <c r="G1698" s="387"/>
    </row>
    <row r="1699" spans="1:7" x14ac:dyDescent="0.45">
      <c r="A1699" s="117">
        <v>2</v>
      </c>
      <c r="B1699" s="390"/>
      <c r="C1699" s="391"/>
      <c r="E1699" s="117">
        <v>4</v>
      </c>
      <c r="F1699" s="392"/>
      <c r="G1699" s="393"/>
    </row>
    <row r="1700" spans="1:7" ht="14.65" thickBot="1" x14ac:dyDescent="0.5">
      <c r="A1700" s="145">
        <v>3</v>
      </c>
      <c r="B1700" s="394"/>
      <c r="C1700" s="395"/>
      <c r="E1700" s="119">
        <v>5</v>
      </c>
      <c r="F1700" s="380"/>
      <c r="G1700" s="381"/>
    </row>
    <row r="1701" spans="1:7" ht="14.65" thickBot="1" x14ac:dyDescent="0.5"/>
    <row r="1702" spans="1:7" x14ac:dyDescent="0.45">
      <c r="A1702" s="357" t="s">
        <v>136</v>
      </c>
      <c r="B1702" s="358"/>
      <c r="C1702" s="358"/>
      <c r="D1702" s="358"/>
      <c r="E1702" s="358"/>
      <c r="F1702" s="358"/>
      <c r="G1702" s="359"/>
    </row>
    <row r="1703" spans="1:7" ht="14.45" customHeight="1" x14ac:dyDescent="0.45">
      <c r="A1703" s="360" t="s">
        <v>137</v>
      </c>
      <c r="B1703" s="361"/>
      <c r="C1703" s="361"/>
      <c r="D1703" s="361"/>
      <c r="E1703" s="361"/>
      <c r="F1703" s="361"/>
      <c r="G1703" s="362"/>
    </row>
    <row r="1704" spans="1:7" ht="14.45" customHeight="1" x14ac:dyDescent="0.45">
      <c r="A1704" s="360" t="s">
        <v>164</v>
      </c>
      <c r="B1704" s="361"/>
      <c r="C1704" s="361"/>
      <c r="D1704" s="361"/>
      <c r="E1704" s="361"/>
      <c r="F1704" s="361"/>
      <c r="G1704" s="362"/>
    </row>
    <row r="1705" spans="1:7" ht="14.45" customHeight="1" x14ac:dyDescent="0.45">
      <c r="A1705" s="363" t="s">
        <v>136</v>
      </c>
      <c r="B1705" s="364"/>
      <c r="C1705" s="365"/>
      <c r="D1705" s="366" t="s">
        <v>203</v>
      </c>
      <c r="E1705" s="365"/>
      <c r="F1705" s="366" t="s">
        <v>165</v>
      </c>
      <c r="G1705" s="365"/>
    </row>
    <row r="1706" spans="1:7" ht="46.25" customHeight="1" x14ac:dyDescent="0.45">
      <c r="A1706" s="367" t="s">
        <v>206</v>
      </c>
      <c r="B1706" s="368"/>
      <c r="C1706" s="369"/>
      <c r="D1706" s="376" t="s">
        <v>204</v>
      </c>
      <c r="E1706" s="369"/>
      <c r="F1706" s="379" t="s">
        <v>205</v>
      </c>
      <c r="G1706" s="369"/>
    </row>
    <row r="1707" spans="1:7" ht="46.25" customHeight="1" x14ac:dyDescent="0.45">
      <c r="A1707" s="370"/>
      <c r="B1707" s="371"/>
      <c r="C1707" s="372"/>
      <c r="D1707" s="377"/>
      <c r="E1707" s="372"/>
      <c r="F1707" s="377"/>
      <c r="G1707" s="372"/>
    </row>
    <row r="1708" spans="1:7" ht="46.25" customHeight="1" x14ac:dyDescent="0.45">
      <c r="A1708" s="373"/>
      <c r="B1708" s="374"/>
      <c r="C1708" s="375"/>
      <c r="D1708" s="378"/>
      <c r="E1708" s="375"/>
      <c r="F1708" s="378"/>
      <c r="G1708" s="375"/>
    </row>
    <row r="1709" spans="1:7" ht="28.25" customHeight="1" x14ac:dyDescent="0.45">
      <c r="A1709" s="327"/>
      <c r="B1709" s="328"/>
      <c r="C1709" s="329"/>
      <c r="D1709" s="336"/>
      <c r="E1709" s="329"/>
      <c r="F1709" s="336"/>
      <c r="G1709" s="339"/>
    </row>
    <row r="1710" spans="1:7" ht="28.25" customHeight="1" x14ac:dyDescent="0.45">
      <c r="A1710" s="330"/>
      <c r="B1710" s="331"/>
      <c r="C1710" s="332"/>
      <c r="D1710" s="337"/>
      <c r="E1710" s="332"/>
      <c r="F1710" s="337"/>
      <c r="G1710" s="340"/>
    </row>
    <row r="1711" spans="1:7" ht="28.25" customHeight="1" x14ac:dyDescent="0.45">
      <c r="A1711" s="333"/>
      <c r="B1711" s="334"/>
      <c r="C1711" s="335"/>
      <c r="D1711" s="338"/>
      <c r="E1711" s="335"/>
      <c r="F1711" s="338"/>
      <c r="G1711" s="341"/>
    </row>
    <row r="1712" spans="1:7" ht="28.25" customHeight="1" x14ac:dyDescent="0.45">
      <c r="A1712" s="327"/>
      <c r="B1712" s="328"/>
      <c r="C1712" s="329"/>
      <c r="D1712" s="336"/>
      <c r="E1712" s="329"/>
      <c r="F1712" s="336"/>
      <c r="G1712" s="339"/>
    </row>
    <row r="1713" spans="1:7" ht="28.25" customHeight="1" x14ac:dyDescent="0.45">
      <c r="A1713" s="330"/>
      <c r="B1713" s="331"/>
      <c r="C1713" s="332"/>
      <c r="D1713" s="337"/>
      <c r="E1713" s="332"/>
      <c r="F1713" s="337"/>
      <c r="G1713" s="340"/>
    </row>
    <row r="1714" spans="1:7" ht="28.25" customHeight="1" x14ac:dyDescent="0.45">
      <c r="A1714" s="333"/>
      <c r="B1714" s="334"/>
      <c r="C1714" s="335"/>
      <c r="D1714" s="338"/>
      <c r="E1714" s="335"/>
      <c r="F1714" s="338"/>
      <c r="G1714" s="341"/>
    </row>
    <row r="1715" spans="1:7" ht="28.25" customHeight="1" x14ac:dyDescent="0.45">
      <c r="A1715" s="342"/>
      <c r="B1715" s="343"/>
      <c r="C1715" s="344"/>
      <c r="D1715" s="351"/>
      <c r="E1715" s="344"/>
      <c r="F1715" s="351"/>
      <c r="G1715" s="354"/>
    </row>
    <row r="1716" spans="1:7" ht="28.25" customHeight="1" x14ac:dyDescent="0.45">
      <c r="A1716" s="345"/>
      <c r="B1716" s="346"/>
      <c r="C1716" s="347"/>
      <c r="D1716" s="352"/>
      <c r="E1716" s="347"/>
      <c r="F1716" s="352"/>
      <c r="G1716" s="355"/>
    </row>
    <row r="1717" spans="1:7" ht="28.25" customHeight="1" thickBot="1" x14ac:dyDescent="0.5">
      <c r="A1717" s="348"/>
      <c r="B1717" s="349"/>
      <c r="C1717" s="350"/>
      <c r="D1717" s="353"/>
      <c r="E1717" s="350"/>
      <c r="F1717" s="353"/>
      <c r="G1717" s="356"/>
    </row>
    <row r="1719" spans="1:7" s="91" customFormat="1" x14ac:dyDescent="0.45">
      <c r="A1719" s="92"/>
      <c r="B1719" s="92"/>
      <c r="C1719" s="92"/>
      <c r="D1719" s="92"/>
      <c r="E1719" s="92"/>
      <c r="F1719" s="92"/>
    </row>
    <row r="1720" spans="1:7" ht="14.65" thickBot="1" x14ac:dyDescent="0.5"/>
    <row r="1721" spans="1:7" ht="14.65" thickBot="1" x14ac:dyDescent="0.5">
      <c r="A1721" s="104" t="s">
        <v>76</v>
      </c>
      <c r="B1721" s="126">
        <v>36</v>
      </c>
    </row>
    <row r="1722" spans="1:7" ht="12.6" customHeight="1" x14ac:dyDescent="0.45">
      <c r="A1722" s="418" t="s">
        <v>89</v>
      </c>
      <c r="B1722" s="437"/>
      <c r="C1722" s="438"/>
      <c r="D1722" s="438"/>
      <c r="E1722" s="438"/>
      <c r="F1722" s="438"/>
      <c r="G1722" s="439"/>
    </row>
    <row r="1723" spans="1:7" ht="12.6" customHeight="1" x14ac:dyDescent="0.45">
      <c r="A1723" s="418"/>
      <c r="B1723" s="428"/>
      <c r="C1723" s="230"/>
      <c r="D1723" s="230"/>
      <c r="E1723" s="230"/>
      <c r="F1723" s="230"/>
      <c r="G1723" s="429"/>
    </row>
    <row r="1724" spans="1:7" ht="12.6" customHeight="1" x14ac:dyDescent="0.45">
      <c r="A1724" s="436"/>
      <c r="B1724" s="428"/>
      <c r="C1724" s="230"/>
      <c r="D1724" s="230"/>
      <c r="E1724" s="230"/>
      <c r="F1724" s="230"/>
      <c r="G1724" s="429"/>
    </row>
    <row r="1725" spans="1:7" ht="23.45" customHeight="1" x14ac:dyDescent="0.45">
      <c r="A1725" s="417" t="s">
        <v>158</v>
      </c>
      <c r="B1725" s="428"/>
      <c r="C1725" s="230"/>
      <c r="D1725" s="230"/>
      <c r="E1725" s="230"/>
      <c r="F1725" s="230"/>
      <c r="G1725" s="429"/>
    </row>
    <row r="1726" spans="1:7" ht="23.45" customHeight="1" x14ac:dyDescent="0.45">
      <c r="A1726" s="418"/>
      <c r="B1726" s="428"/>
      <c r="C1726" s="230"/>
      <c r="D1726" s="230"/>
      <c r="E1726" s="230"/>
      <c r="F1726" s="230"/>
      <c r="G1726" s="429"/>
    </row>
    <row r="1727" spans="1:7" ht="23.45" customHeight="1" x14ac:dyDescent="0.45">
      <c r="A1727" s="436"/>
      <c r="B1727" s="428"/>
      <c r="C1727" s="230"/>
      <c r="D1727" s="230"/>
      <c r="E1727" s="230"/>
      <c r="F1727" s="230"/>
      <c r="G1727" s="429"/>
    </row>
    <row r="1728" spans="1:7" x14ac:dyDescent="0.45">
      <c r="A1728" s="417" t="s">
        <v>155</v>
      </c>
      <c r="B1728" s="428"/>
      <c r="C1728" s="230"/>
      <c r="D1728" s="230"/>
      <c r="E1728" s="230"/>
      <c r="F1728" s="417" t="s">
        <v>167</v>
      </c>
      <c r="G1728" s="433"/>
    </row>
    <row r="1729" spans="1:7" x14ac:dyDescent="0.45">
      <c r="A1729" s="418"/>
      <c r="B1729" s="428"/>
      <c r="C1729" s="230"/>
      <c r="D1729" s="230"/>
      <c r="E1729" s="230"/>
      <c r="F1729" s="418"/>
      <c r="G1729" s="434"/>
    </row>
    <row r="1730" spans="1:7" x14ac:dyDescent="0.45">
      <c r="A1730" s="418"/>
      <c r="B1730" s="428"/>
      <c r="C1730" s="230"/>
      <c r="D1730" s="230"/>
      <c r="E1730" s="230"/>
      <c r="F1730" s="418"/>
      <c r="G1730" s="435"/>
    </row>
    <row r="1731" spans="1:7" x14ac:dyDescent="0.45">
      <c r="A1731" s="417" t="s">
        <v>159</v>
      </c>
      <c r="B1731" s="428"/>
      <c r="C1731" s="230"/>
      <c r="D1731" s="230"/>
      <c r="E1731" s="230"/>
      <c r="F1731" s="230"/>
      <c r="G1731" s="429"/>
    </row>
    <row r="1732" spans="1:7" x14ac:dyDescent="0.45">
      <c r="A1732" s="418"/>
      <c r="B1732" s="428"/>
      <c r="C1732" s="230"/>
      <c r="D1732" s="230"/>
      <c r="E1732" s="230"/>
      <c r="F1732" s="230"/>
      <c r="G1732" s="429"/>
    </row>
    <row r="1733" spans="1:7" x14ac:dyDescent="0.45">
      <c r="A1733" s="436"/>
      <c r="B1733" s="428"/>
      <c r="C1733" s="230"/>
      <c r="D1733" s="230"/>
      <c r="E1733" s="230"/>
      <c r="F1733" s="230"/>
      <c r="G1733" s="429"/>
    </row>
    <row r="1734" spans="1:7" x14ac:dyDescent="0.45">
      <c r="A1734" s="425" t="s">
        <v>161</v>
      </c>
      <c r="B1734" s="428"/>
      <c r="C1734" s="230"/>
      <c r="D1734" s="230"/>
      <c r="E1734" s="230"/>
      <c r="F1734" s="230"/>
      <c r="G1734" s="429"/>
    </row>
    <row r="1735" spans="1:7" x14ac:dyDescent="0.45">
      <c r="A1735" s="426"/>
      <c r="B1735" s="428"/>
      <c r="C1735" s="230"/>
      <c r="D1735" s="230"/>
      <c r="E1735" s="230"/>
      <c r="F1735" s="230"/>
      <c r="G1735" s="429"/>
    </row>
    <row r="1736" spans="1:7" x14ac:dyDescent="0.45">
      <c r="A1736" s="427"/>
      <c r="B1736" s="428"/>
      <c r="C1736" s="230"/>
      <c r="D1736" s="230"/>
      <c r="E1736" s="230"/>
      <c r="F1736" s="230"/>
      <c r="G1736" s="429"/>
    </row>
    <row r="1737" spans="1:7" ht="14.65" thickBot="1" x14ac:dyDescent="0.5">
      <c r="A1737" s="105" t="s">
        <v>166</v>
      </c>
      <c r="B1737" s="430"/>
      <c r="C1737" s="431"/>
      <c r="D1737" s="431"/>
      <c r="E1737" s="431"/>
      <c r="F1737" s="431"/>
      <c r="G1737" s="432"/>
    </row>
    <row r="1738" spans="1:7" ht="14.65" thickBot="1" x14ac:dyDescent="0.5"/>
    <row r="1739" spans="1:7" ht="14.65" thickBot="1" x14ac:dyDescent="0.5">
      <c r="A1739" s="407" t="s">
        <v>77</v>
      </c>
      <c r="B1739" s="408"/>
      <c r="C1739" s="69"/>
      <c r="E1739" s="86" t="s">
        <v>22</v>
      </c>
      <c r="F1739" s="62"/>
      <c r="G1739" s="62"/>
    </row>
    <row r="1740" spans="1:7" ht="14.65" thickBot="1" x14ac:dyDescent="0.5">
      <c r="A1740" s="106"/>
      <c r="B1740" s="106"/>
      <c r="E1740" s="88" t="s">
        <v>32</v>
      </c>
      <c r="F1740" s="382"/>
      <c r="G1740" s="383"/>
    </row>
    <row r="1741" spans="1:7" ht="14.65" thickBot="1" x14ac:dyDescent="0.5">
      <c r="A1741" s="107" t="s">
        <v>103</v>
      </c>
      <c r="B1741" s="106"/>
      <c r="E1741" s="88" t="s">
        <v>34</v>
      </c>
      <c r="F1741" s="386"/>
      <c r="G1741" s="387"/>
    </row>
    <row r="1742" spans="1:7" ht="14.65" thickBot="1" x14ac:dyDescent="0.5">
      <c r="A1742" s="88" t="s">
        <v>32</v>
      </c>
      <c r="B1742" s="382"/>
      <c r="C1742" s="383"/>
      <c r="E1742" s="89" t="s">
        <v>35</v>
      </c>
      <c r="F1742" s="380"/>
      <c r="G1742" s="381"/>
    </row>
    <row r="1743" spans="1:7" ht="15" customHeight="1" thickBot="1" x14ac:dyDescent="0.5">
      <c r="A1743" s="88" t="s">
        <v>34</v>
      </c>
      <c r="B1743" s="386"/>
      <c r="C1743" s="387"/>
      <c r="F1743" s="62"/>
    </row>
    <row r="1744" spans="1:7" ht="14.65" thickBot="1" x14ac:dyDescent="0.5">
      <c r="A1744" s="89" t="s">
        <v>35</v>
      </c>
      <c r="B1744" s="380"/>
      <c r="C1744" s="381"/>
      <c r="E1744" s="86" t="s">
        <v>31</v>
      </c>
      <c r="F1744" s="62"/>
    </row>
    <row r="1745" spans="1:7" ht="14.65" thickBot="1" x14ac:dyDescent="0.5">
      <c r="A1745" s="87"/>
      <c r="B1745" s="62"/>
      <c r="C1745" s="62"/>
      <c r="E1745" s="117">
        <v>1</v>
      </c>
      <c r="F1745" s="382"/>
      <c r="G1745" s="383"/>
    </row>
    <row r="1746" spans="1:7" ht="15" customHeight="1" thickBot="1" x14ac:dyDescent="0.5">
      <c r="A1746" s="384" t="s">
        <v>262</v>
      </c>
      <c r="B1746" s="385"/>
      <c r="E1746" s="117">
        <v>2</v>
      </c>
      <c r="F1746" s="386"/>
      <c r="G1746" s="387"/>
    </row>
    <row r="1747" spans="1:7" x14ac:dyDescent="0.45">
      <c r="A1747" s="117">
        <v>1</v>
      </c>
      <c r="B1747" s="388"/>
      <c r="C1747" s="389"/>
      <c r="E1747" s="118">
        <v>3</v>
      </c>
      <c r="F1747" s="386"/>
      <c r="G1747" s="387"/>
    </row>
    <row r="1748" spans="1:7" x14ac:dyDescent="0.45">
      <c r="A1748" s="117">
        <v>2</v>
      </c>
      <c r="B1748" s="390"/>
      <c r="C1748" s="391"/>
      <c r="E1748" s="117">
        <v>4</v>
      </c>
      <c r="F1748" s="392"/>
      <c r="G1748" s="393"/>
    </row>
    <row r="1749" spans="1:7" ht="14.65" thickBot="1" x14ac:dyDescent="0.5">
      <c r="A1749" s="145">
        <v>3</v>
      </c>
      <c r="B1749" s="394"/>
      <c r="C1749" s="395"/>
      <c r="E1749" s="119">
        <v>5</v>
      </c>
      <c r="F1749" s="380"/>
      <c r="G1749" s="381"/>
    </row>
    <row r="1750" spans="1:7" ht="14.65" thickBot="1" x14ac:dyDescent="0.5"/>
    <row r="1751" spans="1:7" s="90" customFormat="1" x14ac:dyDescent="0.45">
      <c r="A1751" s="357" t="s">
        <v>136</v>
      </c>
      <c r="B1751" s="358"/>
      <c r="C1751" s="358"/>
      <c r="D1751" s="358"/>
      <c r="E1751" s="358"/>
      <c r="F1751" s="358"/>
      <c r="G1751" s="359"/>
    </row>
    <row r="1752" spans="1:7" ht="14.25" customHeight="1" x14ac:dyDescent="0.45">
      <c r="A1752" s="360" t="s">
        <v>137</v>
      </c>
      <c r="B1752" s="361"/>
      <c r="C1752" s="361"/>
      <c r="D1752" s="361"/>
      <c r="E1752" s="361"/>
      <c r="F1752" s="361"/>
      <c r="G1752" s="362"/>
    </row>
    <row r="1753" spans="1:7" ht="14.25" customHeight="1" x14ac:dyDescent="0.45">
      <c r="A1753" s="360" t="s">
        <v>164</v>
      </c>
      <c r="B1753" s="361"/>
      <c r="C1753" s="361"/>
      <c r="D1753" s="361"/>
      <c r="E1753" s="361"/>
      <c r="F1753" s="361"/>
      <c r="G1753" s="362"/>
    </row>
    <row r="1754" spans="1:7" ht="30.5" customHeight="1" x14ac:dyDescent="0.45">
      <c r="A1754" s="363" t="s">
        <v>136</v>
      </c>
      <c r="B1754" s="364"/>
      <c r="C1754" s="365"/>
      <c r="D1754" s="366" t="s">
        <v>203</v>
      </c>
      <c r="E1754" s="365"/>
      <c r="F1754" s="366" t="s">
        <v>165</v>
      </c>
      <c r="G1754" s="365"/>
    </row>
    <row r="1755" spans="1:7" ht="46.25" customHeight="1" x14ac:dyDescent="0.45">
      <c r="A1755" s="367" t="s">
        <v>206</v>
      </c>
      <c r="B1755" s="368"/>
      <c r="C1755" s="369"/>
      <c r="D1755" s="376" t="s">
        <v>204</v>
      </c>
      <c r="E1755" s="369"/>
      <c r="F1755" s="379" t="s">
        <v>205</v>
      </c>
      <c r="G1755" s="369"/>
    </row>
    <row r="1756" spans="1:7" ht="46.25" customHeight="1" x14ac:dyDescent="0.45">
      <c r="A1756" s="370"/>
      <c r="B1756" s="371"/>
      <c r="C1756" s="372"/>
      <c r="D1756" s="377"/>
      <c r="E1756" s="372"/>
      <c r="F1756" s="377"/>
      <c r="G1756" s="372"/>
    </row>
    <row r="1757" spans="1:7" ht="39" customHeight="1" x14ac:dyDescent="0.45">
      <c r="A1757" s="373"/>
      <c r="B1757" s="374"/>
      <c r="C1757" s="375"/>
      <c r="D1757" s="378"/>
      <c r="E1757" s="375"/>
      <c r="F1757" s="378"/>
      <c r="G1757" s="375"/>
    </row>
    <row r="1758" spans="1:7" ht="28.25" customHeight="1" x14ac:dyDescent="0.45">
      <c r="A1758" s="327"/>
      <c r="B1758" s="328"/>
      <c r="C1758" s="329"/>
      <c r="D1758" s="336"/>
      <c r="E1758" s="329"/>
      <c r="F1758" s="336"/>
      <c r="G1758" s="339"/>
    </row>
    <row r="1759" spans="1:7" ht="28.25" customHeight="1" x14ac:dyDescent="0.45">
      <c r="A1759" s="330"/>
      <c r="B1759" s="331"/>
      <c r="C1759" s="332"/>
      <c r="D1759" s="337"/>
      <c r="E1759" s="332"/>
      <c r="F1759" s="337"/>
      <c r="G1759" s="340"/>
    </row>
    <row r="1760" spans="1:7" ht="28.25" customHeight="1" x14ac:dyDescent="0.45">
      <c r="A1760" s="333"/>
      <c r="B1760" s="334"/>
      <c r="C1760" s="335"/>
      <c r="D1760" s="338"/>
      <c r="E1760" s="335"/>
      <c r="F1760" s="338"/>
      <c r="G1760" s="341"/>
    </row>
    <row r="1761" spans="1:7" ht="28.25" customHeight="1" x14ac:dyDescent="0.45">
      <c r="A1761" s="327"/>
      <c r="B1761" s="328"/>
      <c r="C1761" s="329"/>
      <c r="D1761" s="336"/>
      <c r="E1761" s="329"/>
      <c r="F1761" s="336"/>
      <c r="G1761" s="339"/>
    </row>
    <row r="1762" spans="1:7" ht="28.25" customHeight="1" x14ac:dyDescent="0.45">
      <c r="A1762" s="330"/>
      <c r="B1762" s="331"/>
      <c r="C1762" s="332"/>
      <c r="D1762" s="337"/>
      <c r="E1762" s="332"/>
      <c r="F1762" s="337"/>
      <c r="G1762" s="340"/>
    </row>
    <row r="1763" spans="1:7" ht="28.25" customHeight="1" x14ac:dyDescent="0.45">
      <c r="A1763" s="333"/>
      <c r="B1763" s="334"/>
      <c r="C1763" s="335"/>
      <c r="D1763" s="338"/>
      <c r="E1763" s="335"/>
      <c r="F1763" s="338"/>
      <c r="G1763" s="341"/>
    </row>
    <row r="1764" spans="1:7" ht="28.25" customHeight="1" x14ac:dyDescent="0.45">
      <c r="A1764" s="342"/>
      <c r="B1764" s="343"/>
      <c r="C1764" s="344"/>
      <c r="D1764" s="351"/>
      <c r="E1764" s="344"/>
      <c r="F1764" s="351"/>
      <c r="G1764" s="354"/>
    </row>
    <row r="1765" spans="1:7" ht="28.25" customHeight="1" x14ac:dyDescent="0.45">
      <c r="A1765" s="345"/>
      <c r="B1765" s="346"/>
      <c r="C1765" s="347"/>
      <c r="D1765" s="352"/>
      <c r="E1765" s="347"/>
      <c r="F1765" s="352"/>
      <c r="G1765" s="355"/>
    </row>
    <row r="1766" spans="1:7" ht="28.25" customHeight="1" thickBot="1" x14ac:dyDescent="0.5">
      <c r="A1766" s="348"/>
      <c r="B1766" s="349"/>
      <c r="C1766" s="350"/>
      <c r="D1766" s="353"/>
      <c r="E1766" s="350"/>
      <c r="F1766" s="353"/>
      <c r="G1766" s="356"/>
    </row>
    <row r="1768" spans="1:7" s="91" customFormat="1" x14ac:dyDescent="0.45"/>
    <row r="1769" spans="1:7" ht="14.65" thickBot="1" x14ac:dyDescent="0.5"/>
    <row r="1770" spans="1:7" ht="14.65" thickBot="1" x14ac:dyDescent="0.5">
      <c r="A1770" s="84" t="s">
        <v>76</v>
      </c>
      <c r="B1770" s="126">
        <v>37</v>
      </c>
      <c r="C1770" s="108"/>
      <c r="D1770" s="109"/>
      <c r="E1770" s="109"/>
      <c r="F1770" s="109"/>
      <c r="G1770" s="109"/>
    </row>
    <row r="1771" spans="1:7" ht="12.6" customHeight="1" x14ac:dyDescent="0.45">
      <c r="A1771" s="409" t="s">
        <v>89</v>
      </c>
      <c r="B1771" s="411"/>
      <c r="C1771" s="401"/>
      <c r="D1771" s="401"/>
      <c r="E1771" s="401"/>
      <c r="F1771" s="401"/>
      <c r="G1771" s="402"/>
    </row>
    <row r="1772" spans="1:7" ht="12.6" customHeight="1" x14ac:dyDescent="0.45">
      <c r="A1772" s="409"/>
      <c r="B1772" s="411"/>
      <c r="C1772" s="401"/>
      <c r="D1772" s="401"/>
      <c r="E1772" s="401"/>
      <c r="F1772" s="401"/>
      <c r="G1772" s="402"/>
    </row>
    <row r="1773" spans="1:7" ht="12.6" customHeight="1" x14ac:dyDescent="0.45">
      <c r="A1773" s="410"/>
      <c r="B1773" s="416"/>
      <c r="C1773" s="403"/>
      <c r="D1773" s="403"/>
      <c r="E1773" s="403"/>
      <c r="F1773" s="403"/>
      <c r="G1773" s="404"/>
    </row>
    <row r="1774" spans="1:7" ht="31.8" customHeight="1" x14ac:dyDescent="0.45">
      <c r="A1774" s="412" t="s">
        <v>160</v>
      </c>
      <c r="B1774" s="411"/>
      <c r="C1774" s="401"/>
      <c r="D1774" s="401"/>
      <c r="E1774" s="401"/>
      <c r="F1774" s="401"/>
      <c r="G1774" s="402"/>
    </row>
    <row r="1775" spans="1:7" ht="31.8" customHeight="1" x14ac:dyDescent="0.45">
      <c r="A1775" s="409"/>
      <c r="B1775" s="411"/>
      <c r="C1775" s="401"/>
      <c r="D1775" s="401"/>
      <c r="E1775" s="401"/>
      <c r="F1775" s="401"/>
      <c r="G1775" s="402"/>
    </row>
    <row r="1776" spans="1:7" ht="31.8" customHeight="1" x14ac:dyDescent="0.45">
      <c r="A1776" s="410"/>
      <c r="B1776" s="411"/>
      <c r="C1776" s="401"/>
      <c r="D1776" s="401"/>
      <c r="E1776" s="401"/>
      <c r="F1776" s="401"/>
      <c r="G1776" s="402"/>
    </row>
    <row r="1777" spans="1:7" ht="14.45" customHeight="1" x14ac:dyDescent="0.45">
      <c r="A1777" s="412" t="s">
        <v>155</v>
      </c>
      <c r="B1777" s="414"/>
      <c r="C1777" s="415"/>
      <c r="D1777" s="415"/>
      <c r="E1777" s="422"/>
      <c r="F1777" s="417" t="s">
        <v>167</v>
      </c>
      <c r="G1777" s="419"/>
    </row>
    <row r="1778" spans="1:7" x14ac:dyDescent="0.45">
      <c r="A1778" s="409"/>
      <c r="B1778" s="411"/>
      <c r="C1778" s="401"/>
      <c r="D1778" s="401"/>
      <c r="E1778" s="423"/>
      <c r="F1778" s="418"/>
      <c r="G1778" s="420"/>
    </row>
    <row r="1779" spans="1:7" x14ac:dyDescent="0.45">
      <c r="A1779" s="409"/>
      <c r="B1779" s="416"/>
      <c r="C1779" s="403"/>
      <c r="D1779" s="403"/>
      <c r="E1779" s="424"/>
      <c r="F1779" s="418"/>
      <c r="G1779" s="421"/>
    </row>
    <row r="1780" spans="1:7" x14ac:dyDescent="0.45">
      <c r="A1780" s="412" t="s">
        <v>159</v>
      </c>
      <c r="B1780" s="413"/>
      <c r="C1780" s="399"/>
      <c r="D1780" s="399"/>
      <c r="E1780" s="399"/>
      <c r="F1780" s="399"/>
      <c r="G1780" s="400"/>
    </row>
    <row r="1781" spans="1:7" x14ac:dyDescent="0.45">
      <c r="A1781" s="409"/>
      <c r="B1781" s="411"/>
      <c r="C1781" s="401"/>
      <c r="D1781" s="401"/>
      <c r="E1781" s="401"/>
      <c r="F1781" s="401"/>
      <c r="G1781" s="402"/>
    </row>
    <row r="1782" spans="1:7" x14ac:dyDescent="0.45">
      <c r="A1782" s="410"/>
      <c r="B1782" s="416"/>
      <c r="C1782" s="403"/>
      <c r="D1782" s="403"/>
      <c r="E1782" s="403"/>
      <c r="F1782" s="403"/>
      <c r="G1782" s="404"/>
    </row>
    <row r="1783" spans="1:7" ht="15" customHeight="1" x14ac:dyDescent="0.45">
      <c r="A1783" s="396" t="s">
        <v>161</v>
      </c>
      <c r="B1783" s="401"/>
      <c r="C1783" s="401"/>
      <c r="D1783" s="401"/>
      <c r="E1783" s="401"/>
      <c r="F1783" s="401"/>
      <c r="G1783" s="402"/>
    </row>
    <row r="1784" spans="1:7" x14ac:dyDescent="0.45">
      <c r="A1784" s="397"/>
      <c r="B1784" s="401"/>
      <c r="C1784" s="401"/>
      <c r="D1784" s="401"/>
      <c r="E1784" s="401"/>
      <c r="F1784" s="401"/>
      <c r="G1784" s="402"/>
    </row>
    <row r="1785" spans="1:7" x14ac:dyDescent="0.45">
      <c r="A1785" s="398"/>
      <c r="B1785" s="401"/>
      <c r="C1785" s="401"/>
      <c r="D1785" s="401"/>
      <c r="E1785" s="401"/>
      <c r="F1785" s="401"/>
      <c r="G1785" s="402"/>
    </row>
    <row r="1786" spans="1:7" ht="14.65" thickBot="1" x14ac:dyDescent="0.5">
      <c r="A1786" s="85" t="s">
        <v>166</v>
      </c>
      <c r="B1786" s="405"/>
      <c r="C1786" s="405"/>
      <c r="D1786" s="405"/>
      <c r="E1786" s="405"/>
      <c r="F1786" s="405"/>
      <c r="G1786" s="406"/>
    </row>
    <row r="1787" spans="1:7" s="90" customFormat="1" ht="14.65" thickBot="1" x14ac:dyDescent="0.5">
      <c r="A1787" s="61"/>
      <c r="B1787" s="61"/>
      <c r="C1787" s="61"/>
      <c r="D1787" s="61"/>
      <c r="E1787" s="61"/>
      <c r="F1787" s="61"/>
    </row>
    <row r="1788" spans="1:7" ht="15" customHeight="1" thickBot="1" x14ac:dyDescent="0.5">
      <c r="A1788" s="407" t="s">
        <v>77</v>
      </c>
      <c r="B1788" s="408"/>
      <c r="C1788" s="69"/>
      <c r="E1788" s="86" t="s">
        <v>22</v>
      </c>
      <c r="F1788" s="62"/>
      <c r="G1788" s="62"/>
    </row>
    <row r="1789" spans="1:7" ht="15" customHeight="1" thickBot="1" x14ac:dyDescent="0.5">
      <c r="A1789" s="106"/>
      <c r="B1789" s="106"/>
      <c r="E1789" s="88" t="s">
        <v>32</v>
      </c>
      <c r="F1789" s="382"/>
      <c r="G1789" s="383"/>
    </row>
    <row r="1790" spans="1:7" ht="15" customHeight="1" thickBot="1" x14ac:dyDescent="0.5">
      <c r="A1790" s="107" t="s">
        <v>103</v>
      </c>
      <c r="B1790" s="106"/>
      <c r="E1790" s="88" t="s">
        <v>34</v>
      </c>
      <c r="F1790" s="386"/>
      <c r="G1790" s="387"/>
    </row>
    <row r="1791" spans="1:7" ht="15" customHeight="1" thickBot="1" x14ac:dyDescent="0.5">
      <c r="A1791" s="88" t="s">
        <v>32</v>
      </c>
      <c r="B1791" s="382"/>
      <c r="C1791" s="383"/>
      <c r="E1791" s="89" t="s">
        <v>35</v>
      </c>
      <c r="F1791" s="380"/>
      <c r="G1791" s="381"/>
    </row>
    <row r="1792" spans="1:7" ht="14.65" thickBot="1" x14ac:dyDescent="0.5">
      <c r="A1792" s="88" t="s">
        <v>34</v>
      </c>
      <c r="B1792" s="386"/>
      <c r="C1792" s="387"/>
      <c r="F1792" s="62"/>
    </row>
    <row r="1793" spans="1:7" ht="15" customHeight="1" thickBot="1" x14ac:dyDescent="0.5">
      <c r="A1793" s="89" t="s">
        <v>35</v>
      </c>
      <c r="B1793" s="380"/>
      <c r="C1793" s="381"/>
      <c r="E1793" s="86" t="s">
        <v>31</v>
      </c>
      <c r="F1793" s="62"/>
    </row>
    <row r="1794" spans="1:7" ht="14.65" thickBot="1" x14ac:dyDescent="0.5">
      <c r="A1794" s="87"/>
      <c r="B1794" s="62"/>
      <c r="C1794" s="62"/>
      <c r="E1794" s="117">
        <v>1</v>
      </c>
      <c r="F1794" s="382"/>
      <c r="G1794" s="383"/>
    </row>
    <row r="1795" spans="1:7" ht="15" customHeight="1" thickBot="1" x14ac:dyDescent="0.5">
      <c r="A1795" s="384" t="s">
        <v>262</v>
      </c>
      <c r="B1795" s="385"/>
      <c r="E1795" s="117">
        <v>2</v>
      </c>
      <c r="F1795" s="386"/>
      <c r="G1795" s="387"/>
    </row>
    <row r="1796" spans="1:7" ht="15" customHeight="1" x14ac:dyDescent="0.45">
      <c r="A1796" s="117">
        <v>1</v>
      </c>
      <c r="B1796" s="388"/>
      <c r="C1796" s="389"/>
      <c r="E1796" s="118">
        <v>3</v>
      </c>
      <c r="F1796" s="386"/>
      <c r="G1796" s="387"/>
    </row>
    <row r="1797" spans="1:7" x14ac:dyDescent="0.45">
      <c r="A1797" s="117">
        <v>2</v>
      </c>
      <c r="B1797" s="390"/>
      <c r="C1797" s="391"/>
      <c r="E1797" s="117">
        <v>4</v>
      </c>
      <c r="F1797" s="392"/>
      <c r="G1797" s="393"/>
    </row>
    <row r="1798" spans="1:7" ht="15" customHeight="1" thickBot="1" x14ac:dyDescent="0.5">
      <c r="A1798" s="145">
        <v>3</v>
      </c>
      <c r="B1798" s="394"/>
      <c r="C1798" s="395"/>
      <c r="E1798" s="119">
        <v>5</v>
      </c>
      <c r="F1798" s="380"/>
      <c r="G1798" s="381"/>
    </row>
    <row r="1799" spans="1:7" ht="14.65" thickBot="1" x14ac:dyDescent="0.5"/>
    <row r="1800" spans="1:7" x14ac:dyDescent="0.45">
      <c r="A1800" s="357" t="s">
        <v>136</v>
      </c>
      <c r="B1800" s="358"/>
      <c r="C1800" s="358"/>
      <c r="D1800" s="358"/>
      <c r="E1800" s="358"/>
      <c r="F1800" s="358"/>
      <c r="G1800" s="359"/>
    </row>
    <row r="1801" spans="1:7" ht="14.45" customHeight="1" x14ac:dyDescent="0.45">
      <c r="A1801" s="360" t="s">
        <v>137</v>
      </c>
      <c r="B1801" s="361"/>
      <c r="C1801" s="361"/>
      <c r="D1801" s="361"/>
      <c r="E1801" s="361"/>
      <c r="F1801" s="361"/>
      <c r="G1801" s="362"/>
    </row>
    <row r="1802" spans="1:7" ht="14.45" customHeight="1" x14ac:dyDescent="0.45">
      <c r="A1802" s="360" t="s">
        <v>164</v>
      </c>
      <c r="B1802" s="361"/>
      <c r="C1802" s="361"/>
      <c r="D1802" s="361"/>
      <c r="E1802" s="361"/>
      <c r="F1802" s="361"/>
      <c r="G1802" s="362"/>
    </row>
    <row r="1803" spans="1:7" s="83" customFormat="1" ht="14.45" customHeight="1" x14ac:dyDescent="0.45">
      <c r="A1803" s="363" t="s">
        <v>136</v>
      </c>
      <c r="B1803" s="364"/>
      <c r="C1803" s="365"/>
      <c r="D1803" s="366" t="s">
        <v>203</v>
      </c>
      <c r="E1803" s="365"/>
      <c r="F1803" s="366" t="s">
        <v>165</v>
      </c>
      <c r="G1803" s="365"/>
    </row>
    <row r="1804" spans="1:7" ht="46.25" customHeight="1" x14ac:dyDescent="0.45">
      <c r="A1804" s="367" t="s">
        <v>206</v>
      </c>
      <c r="B1804" s="368"/>
      <c r="C1804" s="369"/>
      <c r="D1804" s="376" t="s">
        <v>204</v>
      </c>
      <c r="E1804" s="369"/>
      <c r="F1804" s="379" t="s">
        <v>205</v>
      </c>
      <c r="G1804" s="369"/>
    </row>
    <row r="1805" spans="1:7" ht="46.25" customHeight="1" x14ac:dyDescent="0.45">
      <c r="A1805" s="370"/>
      <c r="B1805" s="371"/>
      <c r="C1805" s="372"/>
      <c r="D1805" s="377"/>
      <c r="E1805" s="372"/>
      <c r="F1805" s="377"/>
      <c r="G1805" s="372"/>
    </row>
    <row r="1806" spans="1:7" ht="46.25" customHeight="1" x14ac:dyDescent="0.45">
      <c r="A1806" s="373"/>
      <c r="B1806" s="374"/>
      <c r="C1806" s="375"/>
      <c r="D1806" s="378"/>
      <c r="E1806" s="375"/>
      <c r="F1806" s="378"/>
      <c r="G1806" s="375"/>
    </row>
    <row r="1807" spans="1:7" ht="28.25" customHeight="1" x14ac:dyDescent="0.45">
      <c r="A1807" s="327"/>
      <c r="B1807" s="328"/>
      <c r="C1807" s="329"/>
      <c r="D1807" s="336"/>
      <c r="E1807" s="329"/>
      <c r="F1807" s="336"/>
      <c r="G1807" s="339"/>
    </row>
    <row r="1808" spans="1:7" ht="28.25" customHeight="1" x14ac:dyDescent="0.45">
      <c r="A1808" s="330"/>
      <c r="B1808" s="331"/>
      <c r="C1808" s="332"/>
      <c r="D1808" s="337"/>
      <c r="E1808" s="332"/>
      <c r="F1808" s="337"/>
      <c r="G1808" s="340"/>
    </row>
    <row r="1809" spans="1:7" ht="28.25" customHeight="1" x14ac:dyDescent="0.45">
      <c r="A1809" s="333"/>
      <c r="B1809" s="334"/>
      <c r="C1809" s="335"/>
      <c r="D1809" s="338"/>
      <c r="E1809" s="335"/>
      <c r="F1809" s="338"/>
      <c r="G1809" s="341"/>
    </row>
    <row r="1810" spans="1:7" ht="28.25" customHeight="1" x14ac:dyDescent="0.45">
      <c r="A1810" s="327"/>
      <c r="B1810" s="328"/>
      <c r="C1810" s="329"/>
      <c r="D1810" s="336"/>
      <c r="E1810" s="329"/>
      <c r="F1810" s="336"/>
      <c r="G1810" s="339"/>
    </row>
    <row r="1811" spans="1:7" ht="28.25" customHeight="1" x14ac:dyDescent="0.45">
      <c r="A1811" s="330"/>
      <c r="B1811" s="331"/>
      <c r="C1811" s="332"/>
      <c r="D1811" s="337"/>
      <c r="E1811" s="332"/>
      <c r="F1811" s="337"/>
      <c r="G1811" s="340"/>
    </row>
    <row r="1812" spans="1:7" ht="28.25" customHeight="1" x14ac:dyDescent="0.45">
      <c r="A1812" s="333"/>
      <c r="B1812" s="334"/>
      <c r="C1812" s="335"/>
      <c r="D1812" s="338"/>
      <c r="E1812" s="335"/>
      <c r="F1812" s="338"/>
      <c r="G1812" s="341"/>
    </row>
    <row r="1813" spans="1:7" ht="28.25" customHeight="1" x14ac:dyDescent="0.45">
      <c r="A1813" s="342"/>
      <c r="B1813" s="343"/>
      <c r="C1813" s="344"/>
      <c r="D1813" s="351"/>
      <c r="E1813" s="344"/>
      <c r="F1813" s="351"/>
      <c r="G1813" s="354"/>
    </row>
    <row r="1814" spans="1:7" ht="28.25" customHeight="1" x14ac:dyDescent="0.45">
      <c r="A1814" s="345"/>
      <c r="B1814" s="346"/>
      <c r="C1814" s="347"/>
      <c r="D1814" s="352"/>
      <c r="E1814" s="347"/>
      <c r="F1814" s="352"/>
      <c r="G1814" s="355"/>
    </row>
    <row r="1815" spans="1:7" ht="28.25" customHeight="1" thickBot="1" x14ac:dyDescent="0.5">
      <c r="A1815" s="348"/>
      <c r="B1815" s="349"/>
      <c r="C1815" s="350"/>
      <c r="D1815" s="353"/>
      <c r="E1815" s="350"/>
      <c r="F1815" s="353"/>
      <c r="G1815" s="356"/>
    </row>
    <row r="1816" spans="1:7" ht="12.6" customHeight="1" x14ac:dyDescent="0.45"/>
    <row r="1817" spans="1:7" s="91" customFormat="1" x14ac:dyDescent="0.45"/>
    <row r="1818" spans="1:7" ht="14.65" thickBot="1" x14ac:dyDescent="0.5"/>
    <row r="1819" spans="1:7" ht="14.65" thickBot="1" x14ac:dyDescent="0.5">
      <c r="A1819" s="84" t="s">
        <v>76</v>
      </c>
      <c r="B1819" s="126">
        <v>38</v>
      </c>
      <c r="C1819" s="108"/>
      <c r="D1819" s="109"/>
      <c r="E1819" s="109"/>
      <c r="F1819" s="109"/>
      <c r="G1819" s="109"/>
    </row>
    <row r="1820" spans="1:7" ht="12.6" customHeight="1" x14ac:dyDescent="0.45">
      <c r="A1820" s="409" t="s">
        <v>89</v>
      </c>
      <c r="B1820" s="411"/>
      <c r="C1820" s="401"/>
      <c r="D1820" s="401"/>
      <c r="E1820" s="401"/>
      <c r="F1820" s="401"/>
      <c r="G1820" s="402"/>
    </row>
    <row r="1821" spans="1:7" ht="12.6" customHeight="1" x14ac:dyDescent="0.45">
      <c r="A1821" s="409"/>
      <c r="B1821" s="411"/>
      <c r="C1821" s="401"/>
      <c r="D1821" s="401"/>
      <c r="E1821" s="401"/>
      <c r="F1821" s="401"/>
      <c r="G1821" s="402"/>
    </row>
    <row r="1822" spans="1:7" ht="12.6" customHeight="1" x14ac:dyDescent="0.45">
      <c r="A1822" s="410"/>
      <c r="B1822" s="411"/>
      <c r="C1822" s="401"/>
      <c r="D1822" s="401"/>
      <c r="E1822" s="401"/>
      <c r="F1822" s="401"/>
      <c r="G1822" s="402"/>
    </row>
    <row r="1823" spans="1:7" ht="31.8" customHeight="1" x14ac:dyDescent="0.45">
      <c r="A1823" s="412" t="s">
        <v>158</v>
      </c>
      <c r="B1823" s="413"/>
      <c r="C1823" s="399"/>
      <c r="D1823" s="399"/>
      <c r="E1823" s="399"/>
      <c r="F1823" s="399"/>
      <c r="G1823" s="400"/>
    </row>
    <row r="1824" spans="1:7" ht="31.8" customHeight="1" x14ac:dyDescent="0.45">
      <c r="A1824" s="409"/>
      <c r="B1824" s="411"/>
      <c r="C1824" s="401"/>
      <c r="D1824" s="401"/>
      <c r="E1824" s="401"/>
      <c r="F1824" s="401"/>
      <c r="G1824" s="402"/>
    </row>
    <row r="1825" spans="1:7" ht="31.8" customHeight="1" x14ac:dyDescent="0.45">
      <c r="A1825" s="409"/>
      <c r="B1825" s="411"/>
      <c r="C1825" s="401"/>
      <c r="D1825" s="401"/>
      <c r="E1825" s="401"/>
      <c r="F1825" s="401"/>
      <c r="G1825" s="402"/>
    </row>
    <row r="1826" spans="1:7" x14ac:dyDescent="0.45">
      <c r="A1826" s="412" t="s">
        <v>155</v>
      </c>
      <c r="B1826" s="414"/>
      <c r="C1826" s="415"/>
      <c r="D1826" s="415"/>
      <c r="E1826" s="415"/>
      <c r="F1826" s="417" t="s">
        <v>167</v>
      </c>
      <c r="G1826" s="419"/>
    </row>
    <row r="1827" spans="1:7" s="90" customFormat="1" x14ac:dyDescent="0.45">
      <c r="A1827" s="409"/>
      <c r="B1827" s="411"/>
      <c r="C1827" s="401"/>
      <c r="D1827" s="401"/>
      <c r="E1827" s="401"/>
      <c r="F1827" s="418"/>
      <c r="G1827" s="420"/>
    </row>
    <row r="1828" spans="1:7" x14ac:dyDescent="0.45">
      <c r="A1828" s="409"/>
      <c r="B1828" s="416"/>
      <c r="C1828" s="403"/>
      <c r="D1828" s="403"/>
      <c r="E1828" s="403"/>
      <c r="F1828" s="418"/>
      <c r="G1828" s="421"/>
    </row>
    <row r="1829" spans="1:7" x14ac:dyDescent="0.45">
      <c r="A1829" s="412" t="s">
        <v>159</v>
      </c>
      <c r="B1829" s="411"/>
      <c r="C1829" s="401"/>
      <c r="D1829" s="401"/>
      <c r="E1829" s="401"/>
      <c r="F1829" s="401"/>
      <c r="G1829" s="402"/>
    </row>
    <row r="1830" spans="1:7" x14ac:dyDescent="0.45">
      <c r="A1830" s="409"/>
      <c r="B1830" s="411"/>
      <c r="C1830" s="401"/>
      <c r="D1830" s="401"/>
      <c r="E1830" s="401"/>
      <c r="F1830" s="401"/>
      <c r="G1830" s="402"/>
    </row>
    <row r="1831" spans="1:7" x14ac:dyDescent="0.45">
      <c r="A1831" s="410"/>
      <c r="B1831" s="411"/>
      <c r="C1831" s="401"/>
      <c r="D1831" s="401"/>
      <c r="E1831" s="401"/>
      <c r="F1831" s="401"/>
      <c r="G1831" s="402"/>
    </row>
    <row r="1832" spans="1:7" x14ac:dyDescent="0.45">
      <c r="A1832" s="396" t="s">
        <v>161</v>
      </c>
      <c r="B1832" s="399"/>
      <c r="C1832" s="399"/>
      <c r="D1832" s="399"/>
      <c r="E1832" s="399"/>
      <c r="F1832" s="399"/>
      <c r="G1832" s="400"/>
    </row>
    <row r="1833" spans="1:7" x14ac:dyDescent="0.45">
      <c r="A1833" s="397"/>
      <c r="B1833" s="401"/>
      <c r="C1833" s="401"/>
      <c r="D1833" s="401"/>
      <c r="E1833" s="401"/>
      <c r="F1833" s="401"/>
      <c r="G1833" s="402"/>
    </row>
    <row r="1834" spans="1:7" x14ac:dyDescent="0.45">
      <c r="A1834" s="398"/>
      <c r="B1834" s="403"/>
      <c r="C1834" s="403"/>
      <c r="D1834" s="403"/>
      <c r="E1834" s="403"/>
      <c r="F1834" s="403"/>
      <c r="G1834" s="404"/>
    </row>
    <row r="1835" spans="1:7" ht="14.65" thickBot="1" x14ac:dyDescent="0.5">
      <c r="A1835" s="85" t="s">
        <v>166</v>
      </c>
      <c r="B1835" s="405"/>
      <c r="C1835" s="405"/>
      <c r="D1835" s="405"/>
      <c r="E1835" s="405"/>
      <c r="F1835" s="405"/>
      <c r="G1835" s="406"/>
    </row>
    <row r="1836" spans="1:7" ht="14.65" thickBot="1" x14ac:dyDescent="0.5"/>
    <row r="1837" spans="1:7" ht="15" customHeight="1" thickBot="1" x14ac:dyDescent="0.5">
      <c r="A1837" s="407" t="s">
        <v>77</v>
      </c>
      <c r="B1837" s="408"/>
      <c r="C1837" s="69"/>
      <c r="E1837" s="86" t="s">
        <v>22</v>
      </c>
      <c r="F1837" s="62"/>
      <c r="G1837" s="62"/>
    </row>
    <row r="1838" spans="1:7" ht="14.65" thickBot="1" x14ac:dyDescent="0.5">
      <c r="A1838" s="106"/>
      <c r="B1838" s="106"/>
      <c r="E1838" s="88" t="s">
        <v>32</v>
      </c>
      <c r="F1838" s="382"/>
      <c r="G1838" s="383"/>
    </row>
    <row r="1839" spans="1:7" ht="14.65" thickBot="1" x14ac:dyDescent="0.5">
      <c r="A1839" s="107" t="s">
        <v>103</v>
      </c>
      <c r="B1839" s="106"/>
      <c r="E1839" s="88" t="s">
        <v>34</v>
      </c>
      <c r="F1839" s="386"/>
      <c r="G1839" s="387"/>
    </row>
    <row r="1840" spans="1:7" ht="14.65" thickBot="1" x14ac:dyDescent="0.5">
      <c r="A1840" s="88" t="s">
        <v>32</v>
      </c>
      <c r="B1840" s="382"/>
      <c r="C1840" s="383"/>
      <c r="E1840" s="89" t="s">
        <v>35</v>
      </c>
      <c r="F1840" s="380"/>
      <c r="G1840" s="381"/>
    </row>
    <row r="1841" spans="1:7" ht="14.65" thickBot="1" x14ac:dyDescent="0.5">
      <c r="A1841" s="88" t="s">
        <v>34</v>
      </c>
      <c r="B1841" s="386"/>
      <c r="C1841" s="387"/>
      <c r="F1841" s="62"/>
    </row>
    <row r="1842" spans="1:7" ht="15" customHeight="1" thickBot="1" x14ac:dyDescent="0.5">
      <c r="A1842" s="89" t="s">
        <v>35</v>
      </c>
      <c r="B1842" s="380"/>
      <c r="C1842" s="381"/>
      <c r="E1842" s="86" t="s">
        <v>31</v>
      </c>
      <c r="F1842" s="62"/>
    </row>
    <row r="1843" spans="1:7" s="83" customFormat="1" ht="14.65" thickBot="1" x14ac:dyDescent="0.5">
      <c r="A1843" s="87"/>
      <c r="B1843" s="62"/>
      <c r="C1843" s="62"/>
      <c r="D1843" s="61"/>
      <c r="E1843" s="117">
        <v>1</v>
      </c>
      <c r="F1843" s="382"/>
      <c r="G1843" s="383"/>
    </row>
    <row r="1844" spans="1:7" ht="15" customHeight="1" thickBot="1" x14ac:dyDescent="0.5">
      <c r="A1844" s="384" t="s">
        <v>262</v>
      </c>
      <c r="B1844" s="385"/>
      <c r="E1844" s="117">
        <v>2</v>
      </c>
      <c r="F1844" s="386"/>
      <c r="G1844" s="387"/>
    </row>
    <row r="1845" spans="1:7" x14ac:dyDescent="0.45">
      <c r="A1845" s="117">
        <v>1</v>
      </c>
      <c r="B1845" s="388"/>
      <c r="C1845" s="389"/>
      <c r="E1845" s="118">
        <v>3</v>
      </c>
      <c r="F1845" s="386"/>
      <c r="G1845" s="387"/>
    </row>
    <row r="1846" spans="1:7" x14ac:dyDescent="0.45">
      <c r="A1846" s="117">
        <v>2</v>
      </c>
      <c r="B1846" s="390"/>
      <c r="C1846" s="391"/>
      <c r="E1846" s="117">
        <v>4</v>
      </c>
      <c r="F1846" s="392"/>
      <c r="G1846" s="393"/>
    </row>
    <row r="1847" spans="1:7" ht="14.65" thickBot="1" x14ac:dyDescent="0.5">
      <c r="A1847" s="145">
        <v>3</v>
      </c>
      <c r="B1847" s="394"/>
      <c r="C1847" s="395"/>
      <c r="E1847" s="119">
        <v>5</v>
      </c>
      <c r="F1847" s="380"/>
      <c r="G1847" s="381"/>
    </row>
    <row r="1848" spans="1:7" ht="14.65" thickBot="1" x14ac:dyDescent="0.5"/>
    <row r="1849" spans="1:7" x14ac:dyDescent="0.45">
      <c r="A1849" s="357" t="s">
        <v>136</v>
      </c>
      <c r="B1849" s="358"/>
      <c r="C1849" s="358"/>
      <c r="D1849" s="358"/>
      <c r="E1849" s="358"/>
      <c r="F1849" s="358"/>
      <c r="G1849" s="359"/>
    </row>
    <row r="1850" spans="1:7" ht="14.45" customHeight="1" x14ac:dyDescent="0.45">
      <c r="A1850" s="360" t="s">
        <v>137</v>
      </c>
      <c r="B1850" s="361"/>
      <c r="C1850" s="361"/>
      <c r="D1850" s="361"/>
      <c r="E1850" s="361"/>
      <c r="F1850" s="361"/>
      <c r="G1850" s="362"/>
    </row>
    <row r="1851" spans="1:7" ht="14.45" customHeight="1" x14ac:dyDescent="0.45">
      <c r="A1851" s="360" t="s">
        <v>164</v>
      </c>
      <c r="B1851" s="361"/>
      <c r="C1851" s="361"/>
      <c r="D1851" s="361"/>
      <c r="E1851" s="361"/>
      <c r="F1851" s="361"/>
      <c r="G1851" s="362"/>
    </row>
    <row r="1852" spans="1:7" ht="14.45" customHeight="1" x14ac:dyDescent="0.45">
      <c r="A1852" s="363" t="s">
        <v>136</v>
      </c>
      <c r="B1852" s="364"/>
      <c r="C1852" s="365"/>
      <c r="D1852" s="366" t="s">
        <v>203</v>
      </c>
      <c r="E1852" s="365"/>
      <c r="F1852" s="366" t="s">
        <v>165</v>
      </c>
      <c r="G1852" s="365"/>
    </row>
    <row r="1853" spans="1:7" ht="46.25" customHeight="1" x14ac:dyDescent="0.45">
      <c r="A1853" s="367" t="s">
        <v>206</v>
      </c>
      <c r="B1853" s="368"/>
      <c r="C1853" s="369"/>
      <c r="D1853" s="376" t="s">
        <v>204</v>
      </c>
      <c r="E1853" s="369"/>
      <c r="F1853" s="379" t="s">
        <v>205</v>
      </c>
      <c r="G1853" s="369"/>
    </row>
    <row r="1854" spans="1:7" ht="46.25" customHeight="1" x14ac:dyDescent="0.45">
      <c r="A1854" s="370"/>
      <c r="B1854" s="371"/>
      <c r="C1854" s="372"/>
      <c r="D1854" s="377"/>
      <c r="E1854" s="372"/>
      <c r="F1854" s="377"/>
      <c r="G1854" s="372"/>
    </row>
    <row r="1855" spans="1:7" ht="46.25" customHeight="1" x14ac:dyDescent="0.45">
      <c r="A1855" s="373"/>
      <c r="B1855" s="374"/>
      <c r="C1855" s="375"/>
      <c r="D1855" s="378"/>
      <c r="E1855" s="375"/>
      <c r="F1855" s="378"/>
      <c r="G1855" s="375"/>
    </row>
    <row r="1856" spans="1:7" ht="28.25" customHeight="1" x14ac:dyDescent="0.45">
      <c r="A1856" s="327"/>
      <c r="B1856" s="328"/>
      <c r="C1856" s="329"/>
      <c r="D1856" s="336"/>
      <c r="E1856" s="329"/>
      <c r="F1856" s="336"/>
      <c r="G1856" s="339"/>
    </row>
    <row r="1857" spans="1:7" ht="28.25" customHeight="1" x14ac:dyDescent="0.45">
      <c r="A1857" s="330"/>
      <c r="B1857" s="331"/>
      <c r="C1857" s="332"/>
      <c r="D1857" s="337"/>
      <c r="E1857" s="332"/>
      <c r="F1857" s="337"/>
      <c r="G1857" s="340"/>
    </row>
    <row r="1858" spans="1:7" ht="28.25" customHeight="1" x14ac:dyDescent="0.45">
      <c r="A1858" s="333"/>
      <c r="B1858" s="334"/>
      <c r="C1858" s="335"/>
      <c r="D1858" s="338"/>
      <c r="E1858" s="335"/>
      <c r="F1858" s="338"/>
      <c r="G1858" s="341"/>
    </row>
    <row r="1859" spans="1:7" ht="28.25" customHeight="1" x14ac:dyDescent="0.45">
      <c r="A1859" s="327"/>
      <c r="B1859" s="328"/>
      <c r="C1859" s="329"/>
      <c r="D1859" s="336"/>
      <c r="E1859" s="329"/>
      <c r="F1859" s="336"/>
      <c r="G1859" s="339"/>
    </row>
    <row r="1860" spans="1:7" ht="28.25" customHeight="1" x14ac:dyDescent="0.45">
      <c r="A1860" s="330"/>
      <c r="B1860" s="331"/>
      <c r="C1860" s="332"/>
      <c r="D1860" s="337"/>
      <c r="E1860" s="332"/>
      <c r="F1860" s="337"/>
      <c r="G1860" s="340"/>
    </row>
    <row r="1861" spans="1:7" ht="28.25" customHeight="1" x14ac:dyDescent="0.45">
      <c r="A1861" s="333"/>
      <c r="B1861" s="334"/>
      <c r="C1861" s="335"/>
      <c r="D1861" s="338"/>
      <c r="E1861" s="335"/>
      <c r="F1861" s="338"/>
      <c r="G1861" s="341"/>
    </row>
    <row r="1862" spans="1:7" ht="28.25" customHeight="1" x14ac:dyDescent="0.45">
      <c r="A1862" s="342"/>
      <c r="B1862" s="343"/>
      <c r="C1862" s="344"/>
      <c r="D1862" s="351"/>
      <c r="E1862" s="344"/>
      <c r="F1862" s="351"/>
      <c r="G1862" s="354"/>
    </row>
    <row r="1863" spans="1:7" ht="28.25" customHeight="1" x14ac:dyDescent="0.45">
      <c r="A1863" s="345"/>
      <c r="B1863" s="346"/>
      <c r="C1863" s="347"/>
      <c r="D1863" s="352"/>
      <c r="E1863" s="347"/>
      <c r="F1863" s="352"/>
      <c r="G1863" s="355"/>
    </row>
    <row r="1864" spans="1:7" ht="28.25" customHeight="1" thickBot="1" x14ac:dyDescent="0.5">
      <c r="A1864" s="348"/>
      <c r="B1864" s="349"/>
      <c r="C1864" s="350"/>
      <c r="D1864" s="353"/>
      <c r="E1864" s="350"/>
      <c r="F1864" s="353"/>
      <c r="G1864" s="356"/>
    </row>
    <row r="1866" spans="1:7" s="91" customFormat="1" ht="15" customHeight="1" x14ac:dyDescent="0.45"/>
    <row r="1867" spans="1:7" ht="14.65" thickBot="1" x14ac:dyDescent="0.5"/>
    <row r="1868" spans="1:7" ht="14.65" thickBot="1" x14ac:dyDescent="0.5">
      <c r="A1868" s="84" t="s">
        <v>76</v>
      </c>
      <c r="B1868" s="126">
        <v>39</v>
      </c>
      <c r="C1868" s="108"/>
      <c r="D1868" s="109"/>
      <c r="E1868" s="109"/>
      <c r="F1868" s="109"/>
      <c r="G1868" s="109"/>
    </row>
    <row r="1869" spans="1:7" ht="12.6" customHeight="1" x14ac:dyDescent="0.45">
      <c r="A1869" s="409" t="s">
        <v>89</v>
      </c>
      <c r="B1869" s="411"/>
      <c r="C1869" s="401"/>
      <c r="D1869" s="401"/>
      <c r="E1869" s="401"/>
      <c r="F1869" s="401"/>
      <c r="G1869" s="402"/>
    </row>
    <row r="1870" spans="1:7" s="90" customFormat="1" ht="12.6" customHeight="1" x14ac:dyDescent="0.45">
      <c r="A1870" s="409"/>
      <c r="B1870" s="411"/>
      <c r="C1870" s="401"/>
      <c r="D1870" s="401"/>
      <c r="E1870" s="401"/>
      <c r="F1870" s="401"/>
      <c r="G1870" s="402"/>
    </row>
    <row r="1871" spans="1:7" ht="12.6" customHeight="1" x14ac:dyDescent="0.45">
      <c r="A1871" s="410"/>
      <c r="B1871" s="411"/>
      <c r="C1871" s="401"/>
      <c r="D1871" s="401"/>
      <c r="E1871" s="401"/>
      <c r="F1871" s="401"/>
      <c r="G1871" s="402"/>
    </row>
    <row r="1872" spans="1:7" ht="31.8" customHeight="1" x14ac:dyDescent="0.45">
      <c r="A1872" s="412" t="s">
        <v>158</v>
      </c>
      <c r="B1872" s="413"/>
      <c r="C1872" s="399"/>
      <c r="D1872" s="399"/>
      <c r="E1872" s="399"/>
      <c r="F1872" s="399"/>
      <c r="G1872" s="400"/>
    </row>
    <row r="1873" spans="1:7" ht="31.8" customHeight="1" x14ac:dyDescent="0.45">
      <c r="A1873" s="409"/>
      <c r="B1873" s="411"/>
      <c r="C1873" s="401"/>
      <c r="D1873" s="401"/>
      <c r="E1873" s="401"/>
      <c r="F1873" s="401"/>
      <c r="G1873" s="402"/>
    </row>
    <row r="1874" spans="1:7" ht="31.8" customHeight="1" x14ac:dyDescent="0.45">
      <c r="A1874" s="409"/>
      <c r="B1874" s="411"/>
      <c r="C1874" s="401"/>
      <c r="D1874" s="401"/>
      <c r="E1874" s="401"/>
      <c r="F1874" s="401"/>
      <c r="G1874" s="402"/>
    </row>
    <row r="1875" spans="1:7" x14ac:dyDescent="0.45">
      <c r="A1875" s="412" t="s">
        <v>155</v>
      </c>
      <c r="B1875" s="414"/>
      <c r="C1875" s="415"/>
      <c r="D1875" s="415"/>
      <c r="E1875" s="415"/>
      <c r="F1875" s="417" t="s">
        <v>167</v>
      </c>
      <c r="G1875" s="419"/>
    </row>
    <row r="1876" spans="1:7" x14ac:dyDescent="0.45">
      <c r="A1876" s="409"/>
      <c r="B1876" s="411"/>
      <c r="C1876" s="401"/>
      <c r="D1876" s="401"/>
      <c r="E1876" s="401"/>
      <c r="F1876" s="418"/>
      <c r="G1876" s="420"/>
    </row>
    <row r="1877" spans="1:7" x14ac:dyDescent="0.45">
      <c r="A1877" s="409"/>
      <c r="B1877" s="416"/>
      <c r="C1877" s="403"/>
      <c r="D1877" s="403"/>
      <c r="E1877" s="403"/>
      <c r="F1877" s="418"/>
      <c r="G1877" s="421"/>
    </row>
    <row r="1878" spans="1:7" x14ac:dyDescent="0.45">
      <c r="A1878" s="412" t="s">
        <v>159</v>
      </c>
      <c r="B1878" s="411"/>
      <c r="C1878" s="401"/>
      <c r="D1878" s="401"/>
      <c r="E1878" s="401"/>
      <c r="F1878" s="401"/>
      <c r="G1878" s="402"/>
    </row>
    <row r="1879" spans="1:7" x14ac:dyDescent="0.45">
      <c r="A1879" s="409"/>
      <c r="B1879" s="411"/>
      <c r="C1879" s="401"/>
      <c r="D1879" s="401"/>
      <c r="E1879" s="401"/>
      <c r="F1879" s="401"/>
      <c r="G1879" s="402"/>
    </row>
    <row r="1880" spans="1:7" s="83" customFormat="1" x14ac:dyDescent="0.45">
      <c r="A1880" s="410"/>
      <c r="B1880" s="416"/>
      <c r="C1880" s="403"/>
      <c r="D1880" s="403"/>
      <c r="E1880" s="403"/>
      <c r="F1880" s="403"/>
      <c r="G1880" s="404"/>
    </row>
    <row r="1881" spans="1:7" x14ac:dyDescent="0.45">
      <c r="A1881" s="396" t="s">
        <v>161</v>
      </c>
      <c r="B1881" s="399"/>
      <c r="C1881" s="399"/>
      <c r="D1881" s="399"/>
      <c r="E1881" s="399"/>
      <c r="F1881" s="399"/>
      <c r="G1881" s="400"/>
    </row>
    <row r="1882" spans="1:7" x14ac:dyDescent="0.45">
      <c r="A1882" s="397"/>
      <c r="B1882" s="401"/>
      <c r="C1882" s="401"/>
      <c r="D1882" s="401"/>
      <c r="E1882" s="401"/>
      <c r="F1882" s="401"/>
      <c r="G1882" s="402"/>
    </row>
    <row r="1883" spans="1:7" x14ac:dyDescent="0.45">
      <c r="A1883" s="398"/>
      <c r="B1883" s="401"/>
      <c r="C1883" s="401"/>
      <c r="D1883" s="401"/>
      <c r="E1883" s="401"/>
      <c r="F1883" s="401"/>
      <c r="G1883" s="402"/>
    </row>
    <row r="1884" spans="1:7" ht="14.65" thickBot="1" x14ac:dyDescent="0.5">
      <c r="A1884" s="85" t="s">
        <v>166</v>
      </c>
      <c r="B1884" s="405"/>
      <c r="C1884" s="405"/>
      <c r="D1884" s="405"/>
      <c r="E1884" s="405"/>
      <c r="F1884" s="405"/>
      <c r="G1884" s="406"/>
    </row>
    <row r="1885" spans="1:7" ht="14.65" thickBot="1" x14ac:dyDescent="0.5"/>
    <row r="1886" spans="1:7" ht="15" customHeight="1" thickBot="1" x14ac:dyDescent="0.5">
      <c r="A1886" s="407" t="s">
        <v>77</v>
      </c>
      <c r="B1886" s="408"/>
      <c r="C1886" s="69"/>
      <c r="E1886" s="86" t="s">
        <v>22</v>
      </c>
      <c r="F1886" s="62"/>
      <c r="G1886" s="62"/>
    </row>
    <row r="1887" spans="1:7" ht="14.65" thickBot="1" x14ac:dyDescent="0.5">
      <c r="A1887" s="106"/>
      <c r="B1887" s="106"/>
      <c r="E1887" s="88" t="s">
        <v>32</v>
      </c>
      <c r="F1887" s="382"/>
      <c r="G1887" s="383"/>
    </row>
    <row r="1888" spans="1:7" ht="14.65" thickBot="1" x14ac:dyDescent="0.5">
      <c r="A1888" s="107" t="s">
        <v>103</v>
      </c>
      <c r="B1888" s="106"/>
      <c r="E1888" s="88" t="s">
        <v>34</v>
      </c>
      <c r="F1888" s="386"/>
      <c r="G1888" s="387"/>
    </row>
    <row r="1889" spans="1:7" ht="14.65" thickBot="1" x14ac:dyDescent="0.5">
      <c r="A1889" s="88" t="s">
        <v>32</v>
      </c>
      <c r="B1889" s="382"/>
      <c r="C1889" s="383"/>
      <c r="E1889" s="89" t="s">
        <v>35</v>
      </c>
      <c r="F1889" s="380"/>
      <c r="G1889" s="381"/>
    </row>
    <row r="1890" spans="1:7" ht="14.65" thickBot="1" x14ac:dyDescent="0.5">
      <c r="A1890" s="88" t="s">
        <v>34</v>
      </c>
      <c r="B1890" s="386"/>
      <c r="C1890" s="387"/>
      <c r="F1890" s="62"/>
    </row>
    <row r="1891" spans="1:7" ht="15" customHeight="1" thickBot="1" x14ac:dyDescent="0.5">
      <c r="A1891" s="89" t="s">
        <v>35</v>
      </c>
      <c r="B1891" s="380"/>
      <c r="C1891" s="381"/>
      <c r="E1891" s="86" t="s">
        <v>31</v>
      </c>
      <c r="F1891" s="62"/>
    </row>
    <row r="1892" spans="1:7" ht="14.65" thickBot="1" x14ac:dyDescent="0.5">
      <c r="A1892" s="87"/>
      <c r="B1892" s="62"/>
      <c r="C1892" s="62"/>
      <c r="E1892" s="117">
        <v>1</v>
      </c>
      <c r="F1892" s="382"/>
      <c r="G1892" s="383"/>
    </row>
    <row r="1893" spans="1:7" ht="15" customHeight="1" thickBot="1" x14ac:dyDescent="0.5">
      <c r="A1893" s="384" t="s">
        <v>262</v>
      </c>
      <c r="B1893" s="385"/>
      <c r="E1893" s="117">
        <v>2</v>
      </c>
      <c r="F1893" s="386"/>
      <c r="G1893" s="387"/>
    </row>
    <row r="1894" spans="1:7" x14ac:dyDescent="0.45">
      <c r="A1894" s="117">
        <v>1</v>
      </c>
      <c r="B1894" s="388"/>
      <c r="C1894" s="389"/>
      <c r="E1894" s="118">
        <v>3</v>
      </c>
      <c r="F1894" s="386"/>
      <c r="G1894" s="387"/>
    </row>
    <row r="1895" spans="1:7" x14ac:dyDescent="0.45">
      <c r="A1895" s="117">
        <v>2</v>
      </c>
      <c r="B1895" s="390"/>
      <c r="C1895" s="391"/>
      <c r="E1895" s="117">
        <v>4</v>
      </c>
      <c r="F1895" s="392"/>
      <c r="G1895" s="393"/>
    </row>
    <row r="1896" spans="1:7" ht="14.65" thickBot="1" x14ac:dyDescent="0.5">
      <c r="A1896" s="145">
        <v>3</v>
      </c>
      <c r="B1896" s="394"/>
      <c r="C1896" s="395"/>
      <c r="E1896" s="119">
        <v>5</v>
      </c>
      <c r="F1896" s="380"/>
      <c r="G1896" s="381"/>
    </row>
    <row r="1897" spans="1:7" ht="14.65" thickBot="1" x14ac:dyDescent="0.5"/>
    <row r="1898" spans="1:7" x14ac:dyDescent="0.45">
      <c r="A1898" s="357" t="s">
        <v>136</v>
      </c>
      <c r="B1898" s="358"/>
      <c r="C1898" s="358"/>
      <c r="D1898" s="358"/>
      <c r="E1898" s="358"/>
      <c r="F1898" s="358"/>
      <c r="G1898" s="359"/>
    </row>
    <row r="1899" spans="1:7" ht="14.45" customHeight="1" x14ac:dyDescent="0.45">
      <c r="A1899" s="360" t="s">
        <v>137</v>
      </c>
      <c r="B1899" s="361"/>
      <c r="C1899" s="361"/>
      <c r="D1899" s="361"/>
      <c r="E1899" s="361"/>
      <c r="F1899" s="361"/>
      <c r="G1899" s="362"/>
    </row>
    <row r="1900" spans="1:7" ht="14.45" customHeight="1" x14ac:dyDescent="0.45">
      <c r="A1900" s="360" t="s">
        <v>164</v>
      </c>
      <c r="B1900" s="361"/>
      <c r="C1900" s="361"/>
      <c r="D1900" s="361"/>
      <c r="E1900" s="361"/>
      <c r="F1900" s="361"/>
      <c r="G1900" s="362"/>
    </row>
    <row r="1901" spans="1:7" ht="14.45" customHeight="1" x14ac:dyDescent="0.45">
      <c r="A1901" s="363" t="s">
        <v>136</v>
      </c>
      <c r="B1901" s="364"/>
      <c r="C1901" s="365"/>
      <c r="D1901" s="366" t="s">
        <v>203</v>
      </c>
      <c r="E1901" s="365"/>
      <c r="F1901" s="366" t="s">
        <v>165</v>
      </c>
      <c r="G1901" s="365"/>
    </row>
    <row r="1902" spans="1:7" ht="42.6" customHeight="1" x14ac:dyDescent="0.45">
      <c r="A1902" s="367" t="s">
        <v>206</v>
      </c>
      <c r="B1902" s="368"/>
      <c r="C1902" s="369"/>
      <c r="D1902" s="376" t="s">
        <v>204</v>
      </c>
      <c r="E1902" s="369"/>
      <c r="F1902" s="379" t="s">
        <v>205</v>
      </c>
      <c r="G1902" s="369"/>
    </row>
    <row r="1903" spans="1:7" ht="42.6" customHeight="1" x14ac:dyDescent="0.45">
      <c r="A1903" s="370"/>
      <c r="B1903" s="371"/>
      <c r="C1903" s="372"/>
      <c r="D1903" s="377"/>
      <c r="E1903" s="372"/>
      <c r="F1903" s="377"/>
      <c r="G1903" s="372"/>
    </row>
    <row r="1904" spans="1:7" ht="42.6" customHeight="1" x14ac:dyDescent="0.45">
      <c r="A1904" s="373"/>
      <c r="B1904" s="374"/>
      <c r="C1904" s="375"/>
      <c r="D1904" s="378"/>
      <c r="E1904" s="375"/>
      <c r="F1904" s="378"/>
      <c r="G1904" s="375"/>
    </row>
    <row r="1905" spans="1:8" ht="28.25" customHeight="1" x14ac:dyDescent="0.45">
      <c r="A1905" s="327"/>
      <c r="B1905" s="328"/>
      <c r="C1905" s="329"/>
      <c r="D1905" s="336"/>
      <c r="E1905" s="329"/>
      <c r="F1905" s="336"/>
      <c r="G1905" s="339"/>
    </row>
    <row r="1906" spans="1:8" ht="28.25" customHeight="1" x14ac:dyDescent="0.45">
      <c r="A1906" s="330"/>
      <c r="B1906" s="331"/>
      <c r="C1906" s="332"/>
      <c r="D1906" s="337"/>
      <c r="E1906" s="332"/>
      <c r="F1906" s="337"/>
      <c r="G1906" s="340"/>
    </row>
    <row r="1907" spans="1:8" ht="28.25" customHeight="1" x14ac:dyDescent="0.45">
      <c r="A1907" s="333"/>
      <c r="B1907" s="334"/>
      <c r="C1907" s="335"/>
      <c r="D1907" s="338"/>
      <c r="E1907" s="335"/>
      <c r="F1907" s="338"/>
      <c r="G1907" s="341"/>
    </row>
    <row r="1908" spans="1:8" ht="28.25" customHeight="1" x14ac:dyDescent="0.45">
      <c r="A1908" s="327"/>
      <c r="B1908" s="328"/>
      <c r="C1908" s="329"/>
      <c r="D1908" s="336"/>
      <c r="E1908" s="329"/>
      <c r="F1908" s="336"/>
      <c r="G1908" s="339"/>
    </row>
    <row r="1909" spans="1:8" ht="28.25" customHeight="1" x14ac:dyDescent="0.45">
      <c r="A1909" s="330"/>
      <c r="B1909" s="331"/>
      <c r="C1909" s="332"/>
      <c r="D1909" s="337"/>
      <c r="E1909" s="332"/>
      <c r="F1909" s="337"/>
      <c r="G1909" s="340"/>
    </row>
    <row r="1910" spans="1:8" s="90" customFormat="1" ht="28.25" customHeight="1" x14ac:dyDescent="0.45">
      <c r="A1910" s="333"/>
      <c r="B1910" s="334"/>
      <c r="C1910" s="335"/>
      <c r="D1910" s="338"/>
      <c r="E1910" s="335"/>
      <c r="F1910" s="338"/>
      <c r="G1910" s="341"/>
    </row>
    <row r="1911" spans="1:8" ht="28.25" customHeight="1" x14ac:dyDescent="0.45">
      <c r="A1911" s="342"/>
      <c r="B1911" s="343"/>
      <c r="C1911" s="344"/>
      <c r="D1911" s="351"/>
      <c r="E1911" s="344"/>
      <c r="F1911" s="351"/>
      <c r="G1911" s="354"/>
    </row>
    <row r="1912" spans="1:8" ht="28.25" customHeight="1" x14ac:dyDescent="0.45">
      <c r="A1912" s="345"/>
      <c r="B1912" s="346"/>
      <c r="C1912" s="347"/>
      <c r="D1912" s="352"/>
      <c r="E1912" s="347"/>
      <c r="F1912" s="352"/>
      <c r="G1912" s="355"/>
    </row>
    <row r="1913" spans="1:8" ht="28.25" customHeight="1" thickBot="1" x14ac:dyDescent="0.5">
      <c r="A1913" s="348"/>
      <c r="B1913" s="349"/>
      <c r="C1913" s="350"/>
      <c r="D1913" s="353"/>
      <c r="E1913" s="350"/>
      <c r="F1913" s="353"/>
      <c r="G1913" s="356"/>
    </row>
    <row r="1915" spans="1:8" s="91" customFormat="1" x14ac:dyDescent="0.45"/>
    <row r="1916" spans="1:8" ht="14.65" thickBot="1" x14ac:dyDescent="0.5"/>
    <row r="1917" spans="1:8" ht="14.65" thickBot="1" x14ac:dyDescent="0.5">
      <c r="A1917" s="84" t="s">
        <v>76</v>
      </c>
      <c r="B1917" s="126">
        <v>40</v>
      </c>
      <c r="C1917" s="108"/>
      <c r="D1917" s="109"/>
      <c r="E1917" s="109"/>
      <c r="F1917" s="109"/>
      <c r="G1917" s="109"/>
    </row>
    <row r="1918" spans="1:8" ht="12.6" customHeight="1" x14ac:dyDescent="0.45">
      <c r="A1918" s="409" t="s">
        <v>89</v>
      </c>
      <c r="B1918" s="411"/>
      <c r="C1918" s="401"/>
      <c r="D1918" s="401"/>
      <c r="E1918" s="401"/>
      <c r="F1918" s="401"/>
      <c r="G1918" s="401"/>
      <c r="H1918" s="112"/>
    </row>
    <row r="1919" spans="1:8" ht="12.6" customHeight="1" x14ac:dyDescent="0.45">
      <c r="A1919" s="409"/>
      <c r="B1919" s="411"/>
      <c r="C1919" s="401"/>
      <c r="D1919" s="401"/>
      <c r="E1919" s="401"/>
      <c r="F1919" s="401"/>
      <c r="G1919" s="401"/>
      <c r="H1919" s="112"/>
    </row>
    <row r="1920" spans="1:8" s="83" customFormat="1" ht="12.6" customHeight="1" x14ac:dyDescent="0.45">
      <c r="A1920" s="410"/>
      <c r="B1920" s="411"/>
      <c r="C1920" s="401"/>
      <c r="D1920" s="401"/>
      <c r="E1920" s="401"/>
      <c r="F1920" s="401"/>
      <c r="G1920" s="401"/>
      <c r="H1920" s="113"/>
    </row>
    <row r="1921" spans="1:8" ht="31.8" customHeight="1" x14ac:dyDescent="0.45">
      <c r="A1921" s="412" t="s">
        <v>160</v>
      </c>
      <c r="B1921" s="413"/>
      <c r="C1921" s="399"/>
      <c r="D1921" s="399"/>
      <c r="E1921" s="399"/>
      <c r="F1921" s="399"/>
      <c r="G1921" s="399"/>
      <c r="H1921" s="112"/>
    </row>
    <row r="1922" spans="1:8" ht="31.8" customHeight="1" x14ac:dyDescent="0.45">
      <c r="A1922" s="409"/>
      <c r="B1922" s="411"/>
      <c r="C1922" s="401"/>
      <c r="D1922" s="401"/>
      <c r="E1922" s="401"/>
      <c r="F1922" s="401"/>
      <c r="G1922" s="401"/>
      <c r="H1922" s="112"/>
    </row>
    <row r="1923" spans="1:8" ht="31.8" customHeight="1" x14ac:dyDescent="0.45">
      <c r="A1923" s="409"/>
      <c r="B1923" s="411"/>
      <c r="C1923" s="401"/>
      <c r="D1923" s="401"/>
      <c r="E1923" s="401"/>
      <c r="F1923" s="401"/>
      <c r="G1923" s="401"/>
      <c r="H1923" s="112"/>
    </row>
    <row r="1924" spans="1:8" x14ac:dyDescent="0.45">
      <c r="A1924" s="412" t="s">
        <v>155</v>
      </c>
      <c r="B1924" s="414"/>
      <c r="C1924" s="415"/>
      <c r="D1924" s="415"/>
      <c r="E1924" s="415"/>
      <c r="F1924" s="417" t="s">
        <v>167</v>
      </c>
      <c r="G1924" s="413"/>
      <c r="H1924" s="112"/>
    </row>
    <row r="1925" spans="1:8" x14ac:dyDescent="0.45">
      <c r="A1925" s="409"/>
      <c r="B1925" s="411"/>
      <c r="C1925" s="401"/>
      <c r="D1925" s="401"/>
      <c r="E1925" s="401"/>
      <c r="F1925" s="418"/>
      <c r="G1925" s="411"/>
      <c r="H1925" s="112"/>
    </row>
    <row r="1926" spans="1:8" x14ac:dyDescent="0.45">
      <c r="A1926" s="409"/>
      <c r="B1926" s="416"/>
      <c r="C1926" s="403"/>
      <c r="D1926" s="403"/>
      <c r="E1926" s="403"/>
      <c r="F1926" s="418"/>
      <c r="G1926" s="416"/>
      <c r="H1926" s="112"/>
    </row>
    <row r="1927" spans="1:8" x14ac:dyDescent="0.45">
      <c r="A1927" s="412" t="s">
        <v>159</v>
      </c>
      <c r="B1927" s="411"/>
      <c r="C1927" s="401"/>
      <c r="D1927" s="401"/>
      <c r="E1927" s="401"/>
      <c r="F1927" s="401"/>
      <c r="G1927" s="401"/>
      <c r="H1927" s="112"/>
    </row>
    <row r="1928" spans="1:8" x14ac:dyDescent="0.45">
      <c r="A1928" s="409"/>
      <c r="B1928" s="411"/>
      <c r="C1928" s="401"/>
      <c r="D1928" s="401"/>
      <c r="E1928" s="401"/>
      <c r="F1928" s="401"/>
      <c r="G1928" s="401"/>
      <c r="H1928" s="112"/>
    </row>
    <row r="1929" spans="1:8" x14ac:dyDescent="0.45">
      <c r="A1929" s="410"/>
      <c r="B1929" s="411"/>
      <c r="C1929" s="401"/>
      <c r="D1929" s="401"/>
      <c r="E1929" s="401"/>
      <c r="F1929" s="401"/>
      <c r="G1929" s="401"/>
      <c r="H1929" s="112"/>
    </row>
    <row r="1930" spans="1:8" x14ac:dyDescent="0.45">
      <c r="A1930" s="396" t="s">
        <v>161</v>
      </c>
      <c r="B1930" s="399"/>
      <c r="C1930" s="399"/>
      <c r="D1930" s="399"/>
      <c r="E1930" s="399"/>
      <c r="F1930" s="399"/>
      <c r="G1930" s="399"/>
      <c r="H1930" s="112"/>
    </row>
    <row r="1931" spans="1:8" x14ac:dyDescent="0.45">
      <c r="A1931" s="397"/>
      <c r="B1931" s="401"/>
      <c r="C1931" s="401"/>
      <c r="D1931" s="401"/>
      <c r="E1931" s="401"/>
      <c r="F1931" s="401"/>
      <c r="G1931" s="401"/>
      <c r="H1931" s="112"/>
    </row>
    <row r="1932" spans="1:8" x14ac:dyDescent="0.45">
      <c r="A1932" s="398"/>
      <c r="B1932" s="403"/>
      <c r="C1932" s="403"/>
      <c r="D1932" s="403"/>
      <c r="E1932" s="403"/>
      <c r="F1932" s="403"/>
      <c r="G1932" s="403"/>
      <c r="H1932" s="112"/>
    </row>
    <row r="1933" spans="1:8" ht="14.65" thickBot="1" x14ac:dyDescent="0.5">
      <c r="A1933" s="85" t="s">
        <v>166</v>
      </c>
      <c r="B1933" s="405"/>
      <c r="C1933" s="405"/>
      <c r="D1933" s="405"/>
      <c r="E1933" s="405"/>
      <c r="F1933" s="405"/>
      <c r="G1933" s="405"/>
      <c r="H1933" s="112"/>
    </row>
    <row r="1934" spans="1:8" ht="14.65" thickBot="1" x14ac:dyDescent="0.5"/>
    <row r="1935" spans="1:8" ht="15" customHeight="1" thickBot="1" x14ac:dyDescent="0.5">
      <c r="A1935" s="407" t="s">
        <v>77</v>
      </c>
      <c r="B1935" s="408"/>
      <c r="C1935" s="69"/>
      <c r="E1935" s="86" t="s">
        <v>22</v>
      </c>
      <c r="F1935" s="62"/>
      <c r="G1935" s="62"/>
    </row>
    <row r="1936" spans="1:8" ht="14.65" thickBot="1" x14ac:dyDescent="0.5">
      <c r="A1936" s="106"/>
      <c r="B1936" s="106"/>
      <c r="E1936" s="88" t="s">
        <v>32</v>
      </c>
      <c r="F1936" s="382"/>
      <c r="G1936" s="383"/>
    </row>
    <row r="1937" spans="1:7" ht="14.65" thickBot="1" x14ac:dyDescent="0.5">
      <c r="A1937" s="107" t="s">
        <v>103</v>
      </c>
      <c r="B1937" s="106"/>
      <c r="E1937" s="88" t="s">
        <v>34</v>
      </c>
      <c r="F1937" s="386"/>
      <c r="G1937" s="387"/>
    </row>
    <row r="1938" spans="1:7" ht="14.65" thickBot="1" x14ac:dyDescent="0.5">
      <c r="A1938" s="88" t="s">
        <v>32</v>
      </c>
      <c r="B1938" s="382"/>
      <c r="C1938" s="383"/>
      <c r="E1938" s="89" t="s">
        <v>35</v>
      </c>
      <c r="F1938" s="380"/>
      <c r="G1938" s="381"/>
    </row>
    <row r="1939" spans="1:7" ht="14.65" thickBot="1" x14ac:dyDescent="0.5">
      <c r="A1939" s="88" t="s">
        <v>34</v>
      </c>
      <c r="B1939" s="386"/>
      <c r="C1939" s="387"/>
      <c r="F1939" s="62"/>
    </row>
    <row r="1940" spans="1:7" ht="15" customHeight="1" thickBot="1" x14ac:dyDescent="0.5">
      <c r="A1940" s="89" t="s">
        <v>35</v>
      </c>
      <c r="B1940" s="380"/>
      <c r="C1940" s="381"/>
      <c r="E1940" s="86" t="s">
        <v>31</v>
      </c>
      <c r="F1940" s="62"/>
    </row>
    <row r="1941" spans="1:7" ht="14.65" thickBot="1" x14ac:dyDescent="0.5">
      <c r="A1941" s="87"/>
      <c r="B1941" s="62"/>
      <c r="C1941" s="62"/>
      <c r="E1941" s="117">
        <v>1</v>
      </c>
      <c r="F1941" s="382"/>
      <c r="G1941" s="383"/>
    </row>
    <row r="1942" spans="1:7" ht="15" customHeight="1" thickBot="1" x14ac:dyDescent="0.5">
      <c r="A1942" s="384" t="s">
        <v>262</v>
      </c>
      <c r="B1942" s="385"/>
      <c r="E1942" s="117">
        <v>2</v>
      </c>
      <c r="F1942" s="386"/>
      <c r="G1942" s="387"/>
    </row>
    <row r="1943" spans="1:7" x14ac:dyDescent="0.45">
      <c r="A1943" s="117">
        <v>1</v>
      </c>
      <c r="B1943" s="388"/>
      <c r="C1943" s="389"/>
      <c r="E1943" s="118">
        <v>3</v>
      </c>
      <c r="F1943" s="386"/>
      <c r="G1943" s="387"/>
    </row>
    <row r="1944" spans="1:7" x14ac:dyDescent="0.45">
      <c r="A1944" s="117">
        <v>2</v>
      </c>
      <c r="B1944" s="390"/>
      <c r="C1944" s="391"/>
      <c r="E1944" s="117">
        <v>4</v>
      </c>
      <c r="F1944" s="392"/>
      <c r="G1944" s="393"/>
    </row>
    <row r="1945" spans="1:7" ht="14.65" thickBot="1" x14ac:dyDescent="0.5">
      <c r="A1945" s="145">
        <v>3</v>
      </c>
      <c r="B1945" s="394"/>
      <c r="C1945" s="395"/>
      <c r="E1945" s="119">
        <v>5</v>
      </c>
      <c r="F1945" s="380"/>
      <c r="G1945" s="381"/>
    </row>
    <row r="1946" spans="1:7" ht="14.65" thickBot="1" x14ac:dyDescent="0.5"/>
    <row r="1947" spans="1:7" ht="15" customHeight="1" x14ac:dyDescent="0.45">
      <c r="A1947" s="357" t="s">
        <v>136</v>
      </c>
      <c r="B1947" s="358"/>
      <c r="C1947" s="358"/>
      <c r="D1947" s="358"/>
      <c r="E1947" s="358"/>
      <c r="F1947" s="358"/>
      <c r="G1947" s="359"/>
    </row>
    <row r="1948" spans="1:7" ht="14.45" customHeight="1" x14ac:dyDescent="0.45">
      <c r="A1948" s="360" t="s">
        <v>137</v>
      </c>
      <c r="B1948" s="361"/>
      <c r="C1948" s="361"/>
      <c r="D1948" s="361"/>
      <c r="E1948" s="361"/>
      <c r="F1948" s="361"/>
      <c r="G1948" s="362"/>
    </row>
    <row r="1949" spans="1:7" ht="14.45" customHeight="1" x14ac:dyDescent="0.45">
      <c r="A1949" s="360" t="s">
        <v>164</v>
      </c>
      <c r="B1949" s="361"/>
      <c r="C1949" s="361"/>
      <c r="D1949" s="361"/>
      <c r="E1949" s="361"/>
      <c r="F1949" s="361"/>
      <c r="G1949" s="362"/>
    </row>
    <row r="1950" spans="1:7" s="90" customFormat="1" ht="14.45" customHeight="1" x14ac:dyDescent="0.45">
      <c r="A1950" s="363" t="s">
        <v>136</v>
      </c>
      <c r="B1950" s="364"/>
      <c r="C1950" s="365"/>
      <c r="D1950" s="366" t="s">
        <v>203</v>
      </c>
      <c r="E1950" s="365"/>
      <c r="F1950" s="366" t="s">
        <v>165</v>
      </c>
      <c r="G1950" s="365"/>
    </row>
    <row r="1951" spans="1:7" ht="46.25" customHeight="1" x14ac:dyDescent="0.45">
      <c r="A1951" s="367" t="s">
        <v>206</v>
      </c>
      <c r="B1951" s="368"/>
      <c r="C1951" s="369"/>
      <c r="D1951" s="376" t="s">
        <v>204</v>
      </c>
      <c r="E1951" s="369"/>
      <c r="F1951" s="379" t="s">
        <v>205</v>
      </c>
      <c r="G1951" s="369"/>
    </row>
    <row r="1952" spans="1:7" ht="46.25" customHeight="1" x14ac:dyDescent="0.45">
      <c r="A1952" s="370"/>
      <c r="B1952" s="371"/>
      <c r="C1952" s="372"/>
      <c r="D1952" s="377"/>
      <c r="E1952" s="372"/>
      <c r="F1952" s="377"/>
      <c r="G1952" s="372"/>
    </row>
    <row r="1953" spans="1:7" ht="46.25" customHeight="1" x14ac:dyDescent="0.45">
      <c r="A1953" s="373"/>
      <c r="B1953" s="374"/>
      <c r="C1953" s="375"/>
      <c r="D1953" s="378"/>
      <c r="E1953" s="375"/>
      <c r="F1953" s="378"/>
      <c r="G1953" s="375"/>
    </row>
    <row r="1954" spans="1:7" ht="28.25" customHeight="1" x14ac:dyDescent="0.45">
      <c r="A1954" s="327"/>
      <c r="B1954" s="328"/>
      <c r="C1954" s="329"/>
      <c r="D1954" s="336"/>
      <c r="E1954" s="329"/>
      <c r="F1954" s="336"/>
      <c r="G1954" s="339"/>
    </row>
    <row r="1955" spans="1:7" ht="28.25" customHeight="1" x14ac:dyDescent="0.45">
      <c r="A1955" s="330"/>
      <c r="B1955" s="331"/>
      <c r="C1955" s="332"/>
      <c r="D1955" s="337"/>
      <c r="E1955" s="332"/>
      <c r="F1955" s="337"/>
      <c r="G1955" s="340"/>
    </row>
    <row r="1956" spans="1:7" ht="28.25" customHeight="1" x14ac:dyDescent="0.45">
      <c r="A1956" s="333"/>
      <c r="B1956" s="334"/>
      <c r="C1956" s="335"/>
      <c r="D1956" s="338"/>
      <c r="E1956" s="335"/>
      <c r="F1956" s="338"/>
      <c r="G1956" s="341"/>
    </row>
    <row r="1957" spans="1:7" ht="28.25" customHeight="1" x14ac:dyDescent="0.45">
      <c r="A1957" s="327"/>
      <c r="B1957" s="328"/>
      <c r="C1957" s="329"/>
      <c r="D1957" s="336"/>
      <c r="E1957" s="329"/>
      <c r="F1957" s="336"/>
      <c r="G1957" s="339"/>
    </row>
    <row r="1958" spans="1:7" ht="28.25" customHeight="1" x14ac:dyDescent="0.45">
      <c r="A1958" s="330"/>
      <c r="B1958" s="331"/>
      <c r="C1958" s="332"/>
      <c r="D1958" s="337"/>
      <c r="E1958" s="332"/>
      <c r="F1958" s="337"/>
      <c r="G1958" s="340"/>
    </row>
    <row r="1959" spans="1:7" ht="28.25" customHeight="1" x14ac:dyDescent="0.45">
      <c r="A1959" s="333"/>
      <c r="B1959" s="334"/>
      <c r="C1959" s="335"/>
      <c r="D1959" s="338"/>
      <c r="E1959" s="335"/>
      <c r="F1959" s="338"/>
      <c r="G1959" s="341"/>
    </row>
    <row r="1960" spans="1:7" ht="28.25" customHeight="1" x14ac:dyDescent="0.45">
      <c r="A1960" s="342"/>
      <c r="B1960" s="343"/>
      <c r="C1960" s="344"/>
      <c r="D1960" s="351"/>
      <c r="E1960" s="344"/>
      <c r="F1960" s="351"/>
      <c r="G1960" s="354"/>
    </row>
    <row r="1961" spans="1:7" ht="28.25" customHeight="1" x14ac:dyDescent="0.45">
      <c r="A1961" s="345"/>
      <c r="B1961" s="346"/>
      <c r="C1961" s="347"/>
      <c r="D1961" s="352"/>
      <c r="E1961" s="347"/>
      <c r="F1961" s="352"/>
      <c r="G1961" s="355"/>
    </row>
    <row r="1962" spans="1:7" ht="28.25" customHeight="1" thickBot="1" x14ac:dyDescent="0.5">
      <c r="A1962" s="348"/>
      <c r="B1962" s="349"/>
      <c r="C1962" s="350"/>
      <c r="D1962" s="353"/>
      <c r="E1962" s="350"/>
      <c r="F1962" s="353"/>
      <c r="G1962" s="356"/>
    </row>
    <row r="1964" spans="1:7" s="91" customFormat="1" x14ac:dyDescent="0.45"/>
  </sheetData>
  <sheetProtection algorithmName="SHA-512" hashValue="3qiL+QgCdtWaPnwlhQYwzj85bSI0HpzNLe6d7zZx/23yUvKJ8IS5mez5y+zfSZR6TVhoApKOM90cHcHPKXMWxg==" saltValue="AUv/oCjx7zahIUK36c2kPw==" spinCount="100000" sheet="1" objects="1" scenarios="1"/>
  <protectedRanges>
    <protectedRange sqref="B693:G708 C710 B713:C715 B718:C720 F711:G713 F716:G720 A729:G737 B1918:G1933 C1935 B1938:C1940 B1943:C1945 F1936:G1938 F1941:G1945 A1954:G1962" name="Projects 15_40"/>
    <protectedRange sqref="B644:G659 C661 B664:C666 B669:C671 F662:G664 F667:G671 A680:G688 B1869:G1884 C1886 B1889:C1891 B1894:C1896 F1887:G1889 F1892:G1896 A1905:G1913" name="Projects 14_39"/>
    <protectedRange sqref="B595:G610 C612 B615:C617 B620:C622 F613:G615 F618:G622 A631:G639 B1820:G1835 C1837 B1840:C1842 B1845:C1847 F1838:G1840 F1843:G1847 A1856:G1864" name="Projects 13_38"/>
    <protectedRange sqref="B546:G561 C563 B566:C568 B571:C573 F564:G566 F569:G573 A582:G590 B1771:G1786 C1788 B1791:C1793 B1796:C1798 F1789:G1791 F1794:G1798 A1807:G1815" name="Projects 12_37"/>
    <protectedRange sqref="B497:G512 C514 B517:C519 B522:C524 F515:G517 F520:G524 A533:G541 B1722:G1737 C1739 B1742:C1744 B1747:C1749 F1740:G1742 F1745:G1749 A1758:G1766" name="Projects 11_36"/>
    <protectedRange sqref="B448:G463 C465 B468:C470 B473:C475 F466:G468 F471:G475 A484:G492 B1673:G1688 C1690 B1693:C1695 B1698:C1700 F1691:G1693 F1696:G1700 A1709:G1717" name="Projects 10_35"/>
    <protectedRange sqref="B7:G22 C24 B27:C29 B32:C34 F25:G27 F30:G34 A43:G51 B1232:G1247 C1249 B1252:C1254 B1257:C1259 F1250:G1252 F1255:G1259 A1268:G1276" name="Projects 1_26"/>
    <protectedRange sqref="B56:G71 C73 B76:C78 B81:C83 F74:G76 F79:G83 A92:G100 B1281:G1296 C1298 B1301:C1303 B1306:C1308 F1299:G1301 F1304:G1308 A1317:G1325" name="Projects 2_27"/>
    <protectedRange sqref="B105:G120 C122 B125:C127 B130:C132 F123:G125 F128:G132 A141:G149 B1330:G1345 C1347 B1350:C1352 B1355:C1357 F1348:G1350 F1353:G1357 A1366:G1374" name="Projects 3_28"/>
    <protectedRange sqref="B154:G169 C171 B174:C176 B179:C181 F172:G174 F177:G181 A190:G198 B1379:G1394 C1396 B1399:C1401 B1404:C1406 F1397:G1399 F1402:G1406 A1415:G1423" name="Projects 4_29"/>
    <protectedRange sqref="B203:G218 C220 B223:C225 B228:C230 F221:G223 F226:G230 A239:G247 B1428:G1443 C1445 B1448:C1450 B1453:C1455 F1446:G1448 F1451:G1455 A1464:G1472" name="Projects 5_30"/>
    <protectedRange sqref="B252:G267 C269 B272:C274 B277:C279 F270:G272 F275:G279 A288:G296 B1477:G1492 C1494 B1497:C1499 B1502:C1504 F1495:G1497 F1500:G1504 A1513:G1521" name="Projects 6_31"/>
    <protectedRange sqref="B301:G316 C318 B321:C323 B326:C328 F319:G321 F324:G328 A337:G345 B1526:G1541 C1543 B1546:C1548 B1551:C1553 F1544:G1546 F1549:G1553 A1562:G1570" name="Projects 7_32"/>
    <protectedRange sqref="B1575:G1590 C1592 B1595:C1597 B1600:C1602 F1593:G1595 F1598:G1602 A1611:G1619 A386:G394 B350:G365 C367 B370:C372 B375:C377 F368:G370 F373:G377" name="Projects 8_33"/>
    <protectedRange sqref="B399:G414 C416 B419:C421 B424:C426 F417:G419 F422:G426 A435:G443 B1624:G1639 C1641 B1644:C1646 B1649:C1651 F1642:G1644 F1647:G1651 A1660:G1668" name="Projects 9_34"/>
    <protectedRange sqref="B742:G757 C759 B762:C764 B767:C769 F760:G762 F765:G769 A778:G786" name="Project 16"/>
    <protectedRange sqref="B791:G806 C808 B811:C813 B816:C818 F809:G811 F814:G818 A827:G835" name="Project 17"/>
    <protectedRange sqref="B840:G855 C857 B860:C862 B865:C867 F858:G860 F863:G867 A876:G884" name="Project 18"/>
    <protectedRange sqref="B889:G904 C906 B909:C911 B914:C916 F907:G909 F912:G916 A925:G933" name="Project 19"/>
    <protectedRange sqref="B938:G953 C955 B958:C960 B963:C965 F956:G958 F961:G965 A974:G982" name="Project 20"/>
    <protectedRange sqref="B987:G1002 C1004 B1007:C1009 B1012:C1014 F1005:G1007 F1010:G1014 A1023:G1031" name="Project 21"/>
    <protectedRange sqref="B1036:G1051 C1053 B1056:C1058 B1061:C1063 F1054:G1056 F1059:G1063 A1072:G1080" name="Project 22"/>
    <protectedRange sqref="B1085:G1100 C1102 B1105:C1107 B1110:C1112 F1103:G1105 F1108:G1112 A1121:G1129" name="Project 23"/>
    <protectedRange sqref="B1134:G1149 C1151 B1154:C1156 B1159:C1161 F1152:G1154 F1157:G1161 A1170:G1178" name="Project 24"/>
    <protectedRange sqref="B1183:G1198 C1200 B1203:C1205 B1208:C1210 F1201:G1203 F1206:G1210 A1219:G1227" name="Project 25"/>
  </protectedRanges>
  <mergeCells count="1880">
    <mergeCell ref="A1949:G1949"/>
    <mergeCell ref="A1950:C1950"/>
    <mergeCell ref="D1950:E1950"/>
    <mergeCell ref="F1950:G1950"/>
    <mergeCell ref="A1951:C1953"/>
    <mergeCell ref="D1951:E1953"/>
    <mergeCell ref="F1951:G1953"/>
    <mergeCell ref="A1954:C1956"/>
    <mergeCell ref="D1954:E1956"/>
    <mergeCell ref="F1954:G1956"/>
    <mergeCell ref="A1957:C1959"/>
    <mergeCell ref="D1957:E1959"/>
    <mergeCell ref="F1957:G1959"/>
    <mergeCell ref="A1960:C1962"/>
    <mergeCell ref="D1960:E1962"/>
    <mergeCell ref="F1960:G1962"/>
    <mergeCell ref="F1936:G1936"/>
    <mergeCell ref="F1937:G1937"/>
    <mergeCell ref="B1938:C1938"/>
    <mergeCell ref="F1938:G1938"/>
    <mergeCell ref="B1939:C1939"/>
    <mergeCell ref="B1940:C1940"/>
    <mergeCell ref="F1941:G1941"/>
    <mergeCell ref="A1942:B1942"/>
    <mergeCell ref="F1942:G1942"/>
    <mergeCell ref="B1943:C1943"/>
    <mergeCell ref="F1943:G1943"/>
    <mergeCell ref="B1944:C1944"/>
    <mergeCell ref="F1944:G1944"/>
    <mergeCell ref="B1945:C1945"/>
    <mergeCell ref="F1945:G1945"/>
    <mergeCell ref="A1947:G1947"/>
    <mergeCell ref="A1948:G1948"/>
    <mergeCell ref="A1911:C1913"/>
    <mergeCell ref="D1911:E1913"/>
    <mergeCell ref="F1911:G1913"/>
    <mergeCell ref="A1918:A1920"/>
    <mergeCell ref="B1918:G1920"/>
    <mergeCell ref="A1921:A1923"/>
    <mergeCell ref="B1921:G1923"/>
    <mergeCell ref="A1924:A1926"/>
    <mergeCell ref="B1924:E1926"/>
    <mergeCell ref="F1924:F1926"/>
    <mergeCell ref="G1924:G1926"/>
    <mergeCell ref="A1927:A1929"/>
    <mergeCell ref="B1927:G1929"/>
    <mergeCell ref="A1930:A1932"/>
    <mergeCell ref="B1930:G1932"/>
    <mergeCell ref="B1933:G1933"/>
    <mergeCell ref="A1935:B1935"/>
    <mergeCell ref="B1895:C1895"/>
    <mergeCell ref="F1895:G1895"/>
    <mergeCell ref="B1896:C1896"/>
    <mergeCell ref="F1896:G1896"/>
    <mergeCell ref="A1898:G1898"/>
    <mergeCell ref="A1899:G1899"/>
    <mergeCell ref="A1900:G1900"/>
    <mergeCell ref="A1901:C1901"/>
    <mergeCell ref="D1901:E1901"/>
    <mergeCell ref="F1901:G1901"/>
    <mergeCell ref="A1902:C1904"/>
    <mergeCell ref="D1902:E1904"/>
    <mergeCell ref="F1902:G1904"/>
    <mergeCell ref="A1905:C1907"/>
    <mergeCell ref="D1905:E1907"/>
    <mergeCell ref="F1905:G1907"/>
    <mergeCell ref="A1908:C1910"/>
    <mergeCell ref="D1908:E1910"/>
    <mergeCell ref="F1908:G1910"/>
    <mergeCell ref="A1878:A1880"/>
    <mergeCell ref="B1878:G1880"/>
    <mergeCell ref="A1881:A1883"/>
    <mergeCell ref="B1881:G1883"/>
    <mergeCell ref="B1884:G1884"/>
    <mergeCell ref="A1886:B1886"/>
    <mergeCell ref="F1887:G1887"/>
    <mergeCell ref="F1888:G1888"/>
    <mergeCell ref="B1889:C1889"/>
    <mergeCell ref="F1889:G1889"/>
    <mergeCell ref="B1890:C1890"/>
    <mergeCell ref="B1891:C1891"/>
    <mergeCell ref="F1892:G1892"/>
    <mergeCell ref="A1893:B1893"/>
    <mergeCell ref="F1893:G1893"/>
    <mergeCell ref="B1894:C1894"/>
    <mergeCell ref="F1894:G1894"/>
    <mergeCell ref="A1856:C1858"/>
    <mergeCell ref="D1856:E1858"/>
    <mergeCell ref="F1856:G1858"/>
    <mergeCell ref="A1859:C1861"/>
    <mergeCell ref="D1859:E1861"/>
    <mergeCell ref="F1859:G1861"/>
    <mergeCell ref="A1862:C1864"/>
    <mergeCell ref="D1862:E1864"/>
    <mergeCell ref="F1862:G1864"/>
    <mergeCell ref="A1869:A1871"/>
    <mergeCell ref="B1869:G1871"/>
    <mergeCell ref="A1872:A1874"/>
    <mergeCell ref="B1872:G1874"/>
    <mergeCell ref="A1875:A1877"/>
    <mergeCell ref="B1875:E1877"/>
    <mergeCell ref="F1875:F1877"/>
    <mergeCell ref="G1875:G1877"/>
    <mergeCell ref="B1842:C1842"/>
    <mergeCell ref="F1843:G1843"/>
    <mergeCell ref="A1844:B1844"/>
    <mergeCell ref="F1844:G1844"/>
    <mergeCell ref="B1845:C1845"/>
    <mergeCell ref="F1845:G1845"/>
    <mergeCell ref="B1846:C1846"/>
    <mergeCell ref="F1846:G1846"/>
    <mergeCell ref="B1847:C1847"/>
    <mergeCell ref="F1847:G1847"/>
    <mergeCell ref="A1849:G1849"/>
    <mergeCell ref="A1850:G1850"/>
    <mergeCell ref="A1851:G1851"/>
    <mergeCell ref="A1852:C1852"/>
    <mergeCell ref="D1852:E1852"/>
    <mergeCell ref="F1852:G1852"/>
    <mergeCell ref="A1853:C1855"/>
    <mergeCell ref="D1853:E1855"/>
    <mergeCell ref="F1853:G1855"/>
    <mergeCell ref="A1823:A1825"/>
    <mergeCell ref="B1823:G1825"/>
    <mergeCell ref="A1826:A1828"/>
    <mergeCell ref="B1826:E1828"/>
    <mergeCell ref="F1826:F1828"/>
    <mergeCell ref="G1826:G1828"/>
    <mergeCell ref="A1829:A1831"/>
    <mergeCell ref="B1829:G1831"/>
    <mergeCell ref="A1832:A1834"/>
    <mergeCell ref="B1832:G1834"/>
    <mergeCell ref="B1835:G1835"/>
    <mergeCell ref="A1837:B1837"/>
    <mergeCell ref="F1838:G1838"/>
    <mergeCell ref="F1839:G1839"/>
    <mergeCell ref="B1840:C1840"/>
    <mergeCell ref="F1840:G1840"/>
    <mergeCell ref="B1841:C1841"/>
    <mergeCell ref="A1802:G1802"/>
    <mergeCell ref="A1803:C1803"/>
    <mergeCell ref="D1803:E1803"/>
    <mergeCell ref="F1803:G1803"/>
    <mergeCell ref="A1804:C1806"/>
    <mergeCell ref="D1804:E1806"/>
    <mergeCell ref="F1804:G1806"/>
    <mergeCell ref="A1807:C1809"/>
    <mergeCell ref="D1807:E1809"/>
    <mergeCell ref="F1807:G1809"/>
    <mergeCell ref="A1810:C1812"/>
    <mergeCell ref="D1810:E1812"/>
    <mergeCell ref="F1810:G1812"/>
    <mergeCell ref="A1813:C1815"/>
    <mergeCell ref="D1813:E1815"/>
    <mergeCell ref="F1813:G1815"/>
    <mergeCell ref="A1820:A1822"/>
    <mergeCell ref="B1820:G1822"/>
    <mergeCell ref="F1789:G1789"/>
    <mergeCell ref="F1790:G1790"/>
    <mergeCell ref="B1791:C1791"/>
    <mergeCell ref="F1791:G1791"/>
    <mergeCell ref="B1792:C1792"/>
    <mergeCell ref="B1793:C1793"/>
    <mergeCell ref="F1794:G1794"/>
    <mergeCell ref="A1795:B1795"/>
    <mergeCell ref="F1795:G1795"/>
    <mergeCell ref="B1796:C1796"/>
    <mergeCell ref="F1796:G1796"/>
    <mergeCell ref="B1797:C1797"/>
    <mergeCell ref="F1797:G1797"/>
    <mergeCell ref="B1798:C1798"/>
    <mergeCell ref="F1798:G1798"/>
    <mergeCell ref="A1800:G1800"/>
    <mergeCell ref="A1801:G1801"/>
    <mergeCell ref="A1764:C1766"/>
    <mergeCell ref="D1764:E1766"/>
    <mergeCell ref="F1764:G1766"/>
    <mergeCell ref="A1771:A1773"/>
    <mergeCell ref="B1771:G1773"/>
    <mergeCell ref="A1774:A1776"/>
    <mergeCell ref="B1774:G1776"/>
    <mergeCell ref="A1777:A1779"/>
    <mergeCell ref="B1777:E1779"/>
    <mergeCell ref="F1777:F1779"/>
    <mergeCell ref="G1777:G1779"/>
    <mergeCell ref="A1780:A1782"/>
    <mergeCell ref="B1780:G1782"/>
    <mergeCell ref="A1783:A1785"/>
    <mergeCell ref="B1783:G1785"/>
    <mergeCell ref="B1786:G1786"/>
    <mergeCell ref="A1788:B1788"/>
    <mergeCell ref="B1748:C1748"/>
    <mergeCell ref="F1748:G1748"/>
    <mergeCell ref="B1749:C1749"/>
    <mergeCell ref="F1749:G1749"/>
    <mergeCell ref="A1751:G1751"/>
    <mergeCell ref="A1752:G1752"/>
    <mergeCell ref="A1753:G1753"/>
    <mergeCell ref="A1754:C1754"/>
    <mergeCell ref="D1754:E1754"/>
    <mergeCell ref="F1754:G1754"/>
    <mergeCell ref="A1755:C1757"/>
    <mergeCell ref="D1755:E1757"/>
    <mergeCell ref="F1755:G1757"/>
    <mergeCell ref="A1758:C1760"/>
    <mergeCell ref="D1758:E1760"/>
    <mergeCell ref="F1758:G1760"/>
    <mergeCell ref="A1761:C1763"/>
    <mergeCell ref="D1761:E1763"/>
    <mergeCell ref="F1761:G1763"/>
    <mergeCell ref="A1731:A1733"/>
    <mergeCell ref="B1731:G1733"/>
    <mergeCell ref="A1734:A1736"/>
    <mergeCell ref="B1734:G1736"/>
    <mergeCell ref="B1737:G1737"/>
    <mergeCell ref="A1739:B1739"/>
    <mergeCell ref="F1740:G1740"/>
    <mergeCell ref="F1741:G1741"/>
    <mergeCell ref="B1742:C1742"/>
    <mergeCell ref="F1742:G1742"/>
    <mergeCell ref="B1743:C1743"/>
    <mergeCell ref="B1744:C1744"/>
    <mergeCell ref="F1745:G1745"/>
    <mergeCell ref="A1746:B1746"/>
    <mergeCell ref="F1746:G1746"/>
    <mergeCell ref="B1747:C1747"/>
    <mergeCell ref="F1747:G1747"/>
    <mergeCell ref="A1709:C1711"/>
    <mergeCell ref="D1709:E1711"/>
    <mergeCell ref="F1709:G1711"/>
    <mergeCell ref="A1712:C1714"/>
    <mergeCell ref="D1712:E1714"/>
    <mergeCell ref="F1712:G1714"/>
    <mergeCell ref="A1715:C1717"/>
    <mergeCell ref="D1715:E1717"/>
    <mergeCell ref="F1715:G1717"/>
    <mergeCell ref="A1722:A1724"/>
    <mergeCell ref="B1722:G1724"/>
    <mergeCell ref="A1725:A1727"/>
    <mergeCell ref="B1725:G1727"/>
    <mergeCell ref="A1728:A1730"/>
    <mergeCell ref="B1728:E1730"/>
    <mergeCell ref="F1728:F1730"/>
    <mergeCell ref="G1728:G1730"/>
    <mergeCell ref="B1695:C1695"/>
    <mergeCell ref="F1696:G1696"/>
    <mergeCell ref="A1697:B1697"/>
    <mergeCell ref="F1697:G1697"/>
    <mergeCell ref="B1698:C1698"/>
    <mergeCell ref="F1698:G1698"/>
    <mergeCell ref="B1699:C1699"/>
    <mergeCell ref="F1699:G1699"/>
    <mergeCell ref="B1700:C1700"/>
    <mergeCell ref="F1700:G1700"/>
    <mergeCell ref="A1702:G1702"/>
    <mergeCell ref="A1703:G1703"/>
    <mergeCell ref="A1704:G1704"/>
    <mergeCell ref="A1705:C1705"/>
    <mergeCell ref="D1705:E1705"/>
    <mergeCell ref="F1705:G1705"/>
    <mergeCell ref="A1706:C1708"/>
    <mergeCell ref="D1706:E1708"/>
    <mergeCell ref="F1706:G1708"/>
    <mergeCell ref="A1676:A1678"/>
    <mergeCell ref="B1676:G1678"/>
    <mergeCell ref="A1679:A1681"/>
    <mergeCell ref="B1679:E1681"/>
    <mergeCell ref="F1679:F1681"/>
    <mergeCell ref="G1679:G1681"/>
    <mergeCell ref="A1682:A1684"/>
    <mergeCell ref="B1682:G1684"/>
    <mergeCell ref="A1685:A1687"/>
    <mergeCell ref="B1685:G1687"/>
    <mergeCell ref="B1688:G1688"/>
    <mergeCell ref="A1690:B1690"/>
    <mergeCell ref="F1691:G1691"/>
    <mergeCell ref="F1692:G1692"/>
    <mergeCell ref="B1693:C1693"/>
    <mergeCell ref="F1693:G1693"/>
    <mergeCell ref="B1694:C1694"/>
    <mergeCell ref="A1655:G1655"/>
    <mergeCell ref="A1656:C1656"/>
    <mergeCell ref="D1656:E1656"/>
    <mergeCell ref="F1656:G1656"/>
    <mergeCell ref="A1657:C1659"/>
    <mergeCell ref="D1657:E1659"/>
    <mergeCell ref="F1657:G1659"/>
    <mergeCell ref="A1660:C1662"/>
    <mergeCell ref="D1660:E1662"/>
    <mergeCell ref="F1660:G1662"/>
    <mergeCell ref="A1663:C1665"/>
    <mergeCell ref="D1663:E1665"/>
    <mergeCell ref="F1663:G1665"/>
    <mergeCell ref="A1666:C1668"/>
    <mergeCell ref="D1666:E1668"/>
    <mergeCell ref="F1666:G1668"/>
    <mergeCell ref="A1673:A1675"/>
    <mergeCell ref="B1673:G1675"/>
    <mergeCell ref="F1642:G1642"/>
    <mergeCell ref="F1643:G1643"/>
    <mergeCell ref="B1644:C1644"/>
    <mergeCell ref="F1644:G1644"/>
    <mergeCell ref="B1645:C1645"/>
    <mergeCell ref="B1646:C1646"/>
    <mergeCell ref="F1647:G1647"/>
    <mergeCell ref="A1648:B1648"/>
    <mergeCell ref="F1648:G1648"/>
    <mergeCell ref="B1649:C1649"/>
    <mergeCell ref="F1649:G1649"/>
    <mergeCell ref="B1650:C1650"/>
    <mergeCell ref="F1650:G1650"/>
    <mergeCell ref="B1651:C1651"/>
    <mergeCell ref="F1651:G1651"/>
    <mergeCell ref="A1653:G1653"/>
    <mergeCell ref="A1654:G1654"/>
    <mergeCell ref="A1617:C1619"/>
    <mergeCell ref="D1617:E1619"/>
    <mergeCell ref="F1617:G1619"/>
    <mergeCell ref="A1624:A1626"/>
    <mergeCell ref="B1624:G1626"/>
    <mergeCell ref="A1627:A1629"/>
    <mergeCell ref="B1627:G1629"/>
    <mergeCell ref="A1630:A1632"/>
    <mergeCell ref="B1630:E1632"/>
    <mergeCell ref="F1630:F1632"/>
    <mergeCell ref="G1630:G1632"/>
    <mergeCell ref="A1633:A1635"/>
    <mergeCell ref="B1633:G1635"/>
    <mergeCell ref="A1636:A1638"/>
    <mergeCell ref="B1636:G1638"/>
    <mergeCell ref="B1639:G1639"/>
    <mergeCell ref="A1641:B1641"/>
    <mergeCell ref="B1601:C1601"/>
    <mergeCell ref="F1601:G1601"/>
    <mergeCell ref="B1602:C1602"/>
    <mergeCell ref="F1602:G1602"/>
    <mergeCell ref="A1604:G1604"/>
    <mergeCell ref="A1605:G1605"/>
    <mergeCell ref="A1606:G1606"/>
    <mergeCell ref="A1607:C1607"/>
    <mergeCell ref="D1607:E1607"/>
    <mergeCell ref="F1607:G1607"/>
    <mergeCell ref="A1608:C1610"/>
    <mergeCell ref="D1608:E1610"/>
    <mergeCell ref="F1608:G1610"/>
    <mergeCell ref="A1611:C1613"/>
    <mergeCell ref="D1611:E1613"/>
    <mergeCell ref="F1611:G1613"/>
    <mergeCell ref="A1614:C1616"/>
    <mergeCell ref="D1614:E1616"/>
    <mergeCell ref="F1614:G1616"/>
    <mergeCell ref="A1584:A1586"/>
    <mergeCell ref="B1584:G1586"/>
    <mergeCell ref="A1587:A1589"/>
    <mergeCell ref="B1587:G1589"/>
    <mergeCell ref="B1590:G1590"/>
    <mergeCell ref="A1592:B1592"/>
    <mergeCell ref="F1593:G1593"/>
    <mergeCell ref="F1594:G1594"/>
    <mergeCell ref="B1595:C1595"/>
    <mergeCell ref="F1595:G1595"/>
    <mergeCell ref="B1596:C1596"/>
    <mergeCell ref="B1597:C1597"/>
    <mergeCell ref="F1598:G1598"/>
    <mergeCell ref="A1599:B1599"/>
    <mergeCell ref="F1599:G1599"/>
    <mergeCell ref="B1600:C1600"/>
    <mergeCell ref="F1600:G1600"/>
    <mergeCell ref="A1562:C1564"/>
    <mergeCell ref="D1562:E1564"/>
    <mergeCell ref="F1562:G1564"/>
    <mergeCell ref="A1565:C1567"/>
    <mergeCell ref="D1565:E1567"/>
    <mergeCell ref="F1565:G1567"/>
    <mergeCell ref="A1568:C1570"/>
    <mergeCell ref="D1568:E1570"/>
    <mergeCell ref="F1568:G1570"/>
    <mergeCell ref="A1575:A1577"/>
    <mergeCell ref="B1575:G1577"/>
    <mergeCell ref="A1578:A1580"/>
    <mergeCell ref="B1578:G1580"/>
    <mergeCell ref="A1581:A1583"/>
    <mergeCell ref="B1581:E1583"/>
    <mergeCell ref="F1581:F1583"/>
    <mergeCell ref="G1581:G1583"/>
    <mergeCell ref="B1548:C1548"/>
    <mergeCell ref="F1549:G1549"/>
    <mergeCell ref="A1550:B1550"/>
    <mergeCell ref="F1550:G1550"/>
    <mergeCell ref="B1551:C1551"/>
    <mergeCell ref="F1551:G1551"/>
    <mergeCell ref="B1552:C1552"/>
    <mergeCell ref="F1552:G1552"/>
    <mergeCell ref="B1553:C1553"/>
    <mergeCell ref="F1553:G1553"/>
    <mergeCell ref="A1555:G1555"/>
    <mergeCell ref="A1556:G1556"/>
    <mergeCell ref="A1557:G1557"/>
    <mergeCell ref="A1558:C1558"/>
    <mergeCell ref="D1558:E1558"/>
    <mergeCell ref="F1558:G1558"/>
    <mergeCell ref="A1559:C1561"/>
    <mergeCell ref="D1559:E1561"/>
    <mergeCell ref="F1559:G1561"/>
    <mergeCell ref="A1529:A1531"/>
    <mergeCell ref="B1529:G1531"/>
    <mergeCell ref="A1532:A1534"/>
    <mergeCell ref="B1532:E1534"/>
    <mergeCell ref="F1532:F1534"/>
    <mergeCell ref="G1532:G1534"/>
    <mergeCell ref="A1535:A1537"/>
    <mergeCell ref="B1535:G1537"/>
    <mergeCell ref="A1538:A1540"/>
    <mergeCell ref="B1538:G1540"/>
    <mergeCell ref="B1541:G1541"/>
    <mergeCell ref="A1543:B1543"/>
    <mergeCell ref="F1544:G1544"/>
    <mergeCell ref="F1545:G1545"/>
    <mergeCell ref="B1546:C1546"/>
    <mergeCell ref="F1546:G1546"/>
    <mergeCell ref="B1547:C1547"/>
    <mergeCell ref="A1508:G1508"/>
    <mergeCell ref="A1509:C1509"/>
    <mergeCell ref="D1509:E1509"/>
    <mergeCell ref="F1509:G1509"/>
    <mergeCell ref="A1510:C1512"/>
    <mergeCell ref="D1510:E1512"/>
    <mergeCell ref="F1510:G1512"/>
    <mergeCell ref="A1513:C1515"/>
    <mergeCell ref="D1513:E1515"/>
    <mergeCell ref="F1513:G1515"/>
    <mergeCell ref="A1516:C1518"/>
    <mergeCell ref="D1516:E1518"/>
    <mergeCell ref="F1516:G1518"/>
    <mergeCell ref="A1519:C1521"/>
    <mergeCell ref="D1519:E1521"/>
    <mergeCell ref="F1519:G1521"/>
    <mergeCell ref="A1526:A1528"/>
    <mergeCell ref="B1526:G1528"/>
    <mergeCell ref="F1495:G1495"/>
    <mergeCell ref="F1496:G1496"/>
    <mergeCell ref="B1497:C1497"/>
    <mergeCell ref="F1497:G1497"/>
    <mergeCell ref="B1498:C1498"/>
    <mergeCell ref="B1499:C1499"/>
    <mergeCell ref="F1500:G1500"/>
    <mergeCell ref="A1501:B1501"/>
    <mergeCell ref="F1501:G1501"/>
    <mergeCell ref="B1502:C1502"/>
    <mergeCell ref="F1502:G1502"/>
    <mergeCell ref="B1503:C1503"/>
    <mergeCell ref="F1503:G1503"/>
    <mergeCell ref="B1504:C1504"/>
    <mergeCell ref="F1504:G1504"/>
    <mergeCell ref="A1506:G1506"/>
    <mergeCell ref="A1507:G1507"/>
    <mergeCell ref="A1470:C1472"/>
    <mergeCell ref="D1470:E1472"/>
    <mergeCell ref="F1470:G1472"/>
    <mergeCell ref="A1477:A1479"/>
    <mergeCell ref="B1477:G1479"/>
    <mergeCell ref="A1480:A1482"/>
    <mergeCell ref="B1480:G1482"/>
    <mergeCell ref="A1483:A1485"/>
    <mergeCell ref="B1483:E1485"/>
    <mergeCell ref="F1483:F1485"/>
    <mergeCell ref="G1483:G1485"/>
    <mergeCell ref="A1486:A1488"/>
    <mergeCell ref="B1486:G1488"/>
    <mergeCell ref="A1489:A1491"/>
    <mergeCell ref="B1489:G1491"/>
    <mergeCell ref="B1492:G1492"/>
    <mergeCell ref="A1494:B1494"/>
    <mergeCell ref="B1454:C1454"/>
    <mergeCell ref="F1454:G1454"/>
    <mergeCell ref="B1455:C1455"/>
    <mergeCell ref="F1455:G1455"/>
    <mergeCell ref="A1457:G1457"/>
    <mergeCell ref="A1458:G1458"/>
    <mergeCell ref="A1459:G1459"/>
    <mergeCell ref="A1460:C1460"/>
    <mergeCell ref="D1460:E1460"/>
    <mergeCell ref="F1460:G1460"/>
    <mergeCell ref="A1461:C1463"/>
    <mergeCell ref="D1461:E1463"/>
    <mergeCell ref="F1461:G1463"/>
    <mergeCell ref="A1464:C1466"/>
    <mergeCell ref="D1464:E1466"/>
    <mergeCell ref="F1464:G1466"/>
    <mergeCell ref="A1467:C1469"/>
    <mergeCell ref="D1467:E1469"/>
    <mergeCell ref="F1467:G1469"/>
    <mergeCell ref="A1437:A1439"/>
    <mergeCell ref="B1437:G1439"/>
    <mergeCell ref="A1440:A1442"/>
    <mergeCell ref="B1440:G1442"/>
    <mergeCell ref="B1443:G1443"/>
    <mergeCell ref="A1445:B1445"/>
    <mergeCell ref="F1446:G1446"/>
    <mergeCell ref="F1447:G1447"/>
    <mergeCell ref="B1448:C1448"/>
    <mergeCell ref="F1448:G1448"/>
    <mergeCell ref="B1449:C1449"/>
    <mergeCell ref="B1450:C1450"/>
    <mergeCell ref="F1451:G1451"/>
    <mergeCell ref="A1452:B1452"/>
    <mergeCell ref="F1452:G1452"/>
    <mergeCell ref="B1453:C1453"/>
    <mergeCell ref="F1453:G1453"/>
    <mergeCell ref="A1415:C1417"/>
    <mergeCell ref="D1415:E1417"/>
    <mergeCell ref="F1415:G1417"/>
    <mergeCell ref="A1418:C1420"/>
    <mergeCell ref="D1418:E1420"/>
    <mergeCell ref="F1418:G1420"/>
    <mergeCell ref="A1421:C1423"/>
    <mergeCell ref="D1421:E1423"/>
    <mergeCell ref="F1421:G1423"/>
    <mergeCell ref="A1428:A1430"/>
    <mergeCell ref="B1428:G1430"/>
    <mergeCell ref="A1431:A1433"/>
    <mergeCell ref="B1431:G1433"/>
    <mergeCell ref="A1434:A1436"/>
    <mergeCell ref="B1434:E1436"/>
    <mergeCell ref="F1434:F1436"/>
    <mergeCell ref="G1434:G1436"/>
    <mergeCell ref="B1401:C1401"/>
    <mergeCell ref="F1402:G1402"/>
    <mergeCell ref="A1403:B1403"/>
    <mergeCell ref="F1403:G1403"/>
    <mergeCell ref="B1404:C1404"/>
    <mergeCell ref="F1404:G1404"/>
    <mergeCell ref="B1405:C1405"/>
    <mergeCell ref="F1405:G1405"/>
    <mergeCell ref="B1406:C1406"/>
    <mergeCell ref="F1406:G1406"/>
    <mergeCell ref="A1408:G1408"/>
    <mergeCell ref="A1409:G1409"/>
    <mergeCell ref="A1410:G1410"/>
    <mergeCell ref="A1411:C1411"/>
    <mergeCell ref="D1411:E1411"/>
    <mergeCell ref="F1411:G1411"/>
    <mergeCell ref="A1412:C1414"/>
    <mergeCell ref="D1412:E1414"/>
    <mergeCell ref="F1412:G1414"/>
    <mergeCell ref="A1382:A1384"/>
    <mergeCell ref="B1382:G1384"/>
    <mergeCell ref="A1385:A1387"/>
    <mergeCell ref="B1385:E1387"/>
    <mergeCell ref="F1385:F1387"/>
    <mergeCell ref="G1385:G1387"/>
    <mergeCell ref="A1388:A1390"/>
    <mergeCell ref="B1388:G1390"/>
    <mergeCell ref="A1391:A1393"/>
    <mergeCell ref="B1391:G1393"/>
    <mergeCell ref="B1394:G1394"/>
    <mergeCell ref="A1396:B1396"/>
    <mergeCell ref="F1397:G1397"/>
    <mergeCell ref="F1398:G1398"/>
    <mergeCell ref="B1399:C1399"/>
    <mergeCell ref="F1399:G1399"/>
    <mergeCell ref="B1400:C1400"/>
    <mergeCell ref="A1361:G1361"/>
    <mergeCell ref="A1362:C1362"/>
    <mergeCell ref="D1362:E1362"/>
    <mergeCell ref="F1362:G1362"/>
    <mergeCell ref="A1363:C1365"/>
    <mergeCell ref="D1363:E1365"/>
    <mergeCell ref="F1363:G1365"/>
    <mergeCell ref="A1366:C1368"/>
    <mergeCell ref="D1366:E1368"/>
    <mergeCell ref="F1366:G1368"/>
    <mergeCell ref="A1369:C1371"/>
    <mergeCell ref="D1369:E1371"/>
    <mergeCell ref="F1369:G1371"/>
    <mergeCell ref="A1372:C1374"/>
    <mergeCell ref="D1372:E1374"/>
    <mergeCell ref="F1372:G1374"/>
    <mergeCell ref="A1379:A1381"/>
    <mergeCell ref="B1379:G1381"/>
    <mergeCell ref="F1348:G1348"/>
    <mergeCell ref="F1349:G1349"/>
    <mergeCell ref="B1350:C1350"/>
    <mergeCell ref="F1350:G1350"/>
    <mergeCell ref="B1351:C1351"/>
    <mergeCell ref="B1352:C1352"/>
    <mergeCell ref="F1353:G1353"/>
    <mergeCell ref="A1354:B1354"/>
    <mergeCell ref="F1354:G1354"/>
    <mergeCell ref="B1355:C1355"/>
    <mergeCell ref="F1355:G1355"/>
    <mergeCell ref="B1356:C1356"/>
    <mergeCell ref="F1356:G1356"/>
    <mergeCell ref="B1357:C1357"/>
    <mergeCell ref="F1357:G1357"/>
    <mergeCell ref="A1359:G1359"/>
    <mergeCell ref="A1360:G1360"/>
    <mergeCell ref="A1323:C1325"/>
    <mergeCell ref="D1323:E1325"/>
    <mergeCell ref="F1323:G1325"/>
    <mergeCell ref="A1330:A1332"/>
    <mergeCell ref="B1330:G1332"/>
    <mergeCell ref="A1333:A1335"/>
    <mergeCell ref="B1333:G1335"/>
    <mergeCell ref="A1336:A1338"/>
    <mergeCell ref="B1336:E1338"/>
    <mergeCell ref="F1336:F1338"/>
    <mergeCell ref="G1336:G1338"/>
    <mergeCell ref="A1339:A1341"/>
    <mergeCell ref="B1339:G1341"/>
    <mergeCell ref="A1342:A1344"/>
    <mergeCell ref="B1342:G1344"/>
    <mergeCell ref="B1345:G1345"/>
    <mergeCell ref="A1347:B1347"/>
    <mergeCell ref="B1307:C1307"/>
    <mergeCell ref="F1307:G1307"/>
    <mergeCell ref="B1308:C1308"/>
    <mergeCell ref="F1308:G1308"/>
    <mergeCell ref="A1310:G1310"/>
    <mergeCell ref="A1311:G1311"/>
    <mergeCell ref="A1312:G1312"/>
    <mergeCell ref="A1313:C1313"/>
    <mergeCell ref="D1313:E1313"/>
    <mergeCell ref="F1313:G1313"/>
    <mergeCell ref="A1314:C1316"/>
    <mergeCell ref="D1314:E1316"/>
    <mergeCell ref="F1314:G1316"/>
    <mergeCell ref="A1317:C1319"/>
    <mergeCell ref="D1317:E1319"/>
    <mergeCell ref="F1317:G1319"/>
    <mergeCell ref="A1320:C1322"/>
    <mergeCell ref="D1320:E1322"/>
    <mergeCell ref="F1320:G1322"/>
    <mergeCell ref="A1290:A1292"/>
    <mergeCell ref="B1290:G1292"/>
    <mergeCell ref="A1293:A1295"/>
    <mergeCell ref="B1293:G1295"/>
    <mergeCell ref="B1296:G1296"/>
    <mergeCell ref="A1298:B1298"/>
    <mergeCell ref="F1299:G1299"/>
    <mergeCell ref="F1300:G1300"/>
    <mergeCell ref="B1301:C1301"/>
    <mergeCell ref="F1301:G1301"/>
    <mergeCell ref="B1302:C1302"/>
    <mergeCell ref="B1303:C1303"/>
    <mergeCell ref="F1304:G1304"/>
    <mergeCell ref="A1305:B1305"/>
    <mergeCell ref="F1305:G1305"/>
    <mergeCell ref="B1306:C1306"/>
    <mergeCell ref="F1306:G1306"/>
    <mergeCell ref="A1268:C1270"/>
    <mergeCell ref="D1268:E1270"/>
    <mergeCell ref="F1268:G1270"/>
    <mergeCell ref="A1271:C1273"/>
    <mergeCell ref="D1271:E1273"/>
    <mergeCell ref="F1271:G1273"/>
    <mergeCell ref="A1274:C1276"/>
    <mergeCell ref="D1274:E1276"/>
    <mergeCell ref="F1274:G1276"/>
    <mergeCell ref="A1281:A1283"/>
    <mergeCell ref="B1281:G1283"/>
    <mergeCell ref="A1284:A1286"/>
    <mergeCell ref="B1284:G1286"/>
    <mergeCell ref="A1287:A1289"/>
    <mergeCell ref="B1287:E1289"/>
    <mergeCell ref="F1287:F1289"/>
    <mergeCell ref="G1287:G1289"/>
    <mergeCell ref="B1254:C1254"/>
    <mergeCell ref="F1255:G1255"/>
    <mergeCell ref="A1256:B1256"/>
    <mergeCell ref="F1256:G1256"/>
    <mergeCell ref="B1257:C1257"/>
    <mergeCell ref="F1257:G1257"/>
    <mergeCell ref="B1258:C1258"/>
    <mergeCell ref="F1258:G1258"/>
    <mergeCell ref="B1259:C1259"/>
    <mergeCell ref="F1259:G1259"/>
    <mergeCell ref="A1261:G1261"/>
    <mergeCell ref="A1262:G1262"/>
    <mergeCell ref="A1263:G1263"/>
    <mergeCell ref="A1264:C1264"/>
    <mergeCell ref="D1264:E1264"/>
    <mergeCell ref="F1264:G1264"/>
    <mergeCell ref="A1265:C1267"/>
    <mergeCell ref="D1265:E1267"/>
    <mergeCell ref="F1265:G1267"/>
    <mergeCell ref="A1235:A1237"/>
    <mergeCell ref="B1235:G1237"/>
    <mergeCell ref="A1238:A1240"/>
    <mergeCell ref="B1238:E1240"/>
    <mergeCell ref="F1238:F1240"/>
    <mergeCell ref="G1238:G1240"/>
    <mergeCell ref="A1241:A1243"/>
    <mergeCell ref="B1241:G1243"/>
    <mergeCell ref="A1244:A1246"/>
    <mergeCell ref="B1244:G1246"/>
    <mergeCell ref="B1247:G1247"/>
    <mergeCell ref="A1249:B1249"/>
    <mergeCell ref="F1250:G1250"/>
    <mergeCell ref="F1251:G1251"/>
    <mergeCell ref="B1252:C1252"/>
    <mergeCell ref="F1252:G1252"/>
    <mergeCell ref="B1253:C1253"/>
    <mergeCell ref="B371:C371"/>
    <mergeCell ref="B372:C372"/>
    <mergeCell ref="F368:G368"/>
    <mergeCell ref="F369:G369"/>
    <mergeCell ref="B370:C370"/>
    <mergeCell ref="A350:A352"/>
    <mergeCell ref="B375:C375"/>
    <mergeCell ref="A402:A404"/>
    <mergeCell ref="B402:G404"/>
    <mergeCell ref="D193:E195"/>
    <mergeCell ref="F193:G195"/>
    <mergeCell ref="A196:C198"/>
    <mergeCell ref="D196:E198"/>
    <mergeCell ref="F196:G198"/>
    <mergeCell ref="A235:C235"/>
    <mergeCell ref="A1232:A1234"/>
    <mergeCell ref="B1232:G1234"/>
    <mergeCell ref="A484:C486"/>
    <mergeCell ref="D484:E486"/>
    <mergeCell ref="F484:G486"/>
    <mergeCell ref="A431:C431"/>
    <mergeCell ref="D431:E431"/>
    <mergeCell ref="F431:G431"/>
    <mergeCell ref="A432:C434"/>
    <mergeCell ref="D432:E434"/>
    <mergeCell ref="F432:G434"/>
    <mergeCell ref="A423:B423"/>
    <mergeCell ref="A435:C437"/>
    <mergeCell ref="D435:E437"/>
    <mergeCell ref="F435:G437"/>
    <mergeCell ref="A457:A459"/>
    <mergeCell ref="A454:A456"/>
    <mergeCell ref="A487:C489"/>
    <mergeCell ref="D487:E489"/>
    <mergeCell ref="F487:G489"/>
    <mergeCell ref="B463:G463"/>
    <mergeCell ref="F425:G425"/>
    <mergeCell ref="A428:G428"/>
    <mergeCell ref="A429:G429"/>
    <mergeCell ref="A430:G430"/>
    <mergeCell ref="B448:G450"/>
    <mergeCell ref="B451:G453"/>
    <mergeCell ref="B454:E456"/>
    <mergeCell ref="A451:A453"/>
    <mergeCell ref="F423:G423"/>
    <mergeCell ref="F424:G424"/>
    <mergeCell ref="F426:G426"/>
    <mergeCell ref="A490:C492"/>
    <mergeCell ref="D490:E492"/>
    <mergeCell ref="F490:G492"/>
    <mergeCell ref="A465:B465"/>
    <mergeCell ref="A472:B472"/>
    <mergeCell ref="A460:A462"/>
    <mergeCell ref="B470:C470"/>
    <mergeCell ref="F382:G382"/>
    <mergeCell ref="B376:C376"/>
    <mergeCell ref="F373:G373"/>
    <mergeCell ref="F374:G374"/>
    <mergeCell ref="F375:G375"/>
    <mergeCell ref="F377:G377"/>
    <mergeCell ref="A448:A450"/>
    <mergeCell ref="B425:C425"/>
    <mergeCell ref="B424:C424"/>
    <mergeCell ref="A405:A407"/>
    <mergeCell ref="A416:B416"/>
    <mergeCell ref="A408:A410"/>
    <mergeCell ref="A379:G379"/>
    <mergeCell ref="A380:G380"/>
    <mergeCell ref="A381:G381"/>
    <mergeCell ref="A389:C391"/>
    <mergeCell ref="D389:E391"/>
    <mergeCell ref="F389:G391"/>
    <mergeCell ref="B399:G401"/>
    <mergeCell ref="A392:C394"/>
    <mergeCell ref="D392:E394"/>
    <mergeCell ref="F392:G394"/>
    <mergeCell ref="F376:G376"/>
    <mergeCell ref="B377:C377"/>
    <mergeCell ref="A374:B374"/>
    <mergeCell ref="A386:C388"/>
    <mergeCell ref="D386:E388"/>
    <mergeCell ref="B411:G413"/>
    <mergeCell ref="F386:G388"/>
    <mergeCell ref="A411:A413"/>
    <mergeCell ref="A382:C382"/>
    <mergeCell ref="D382:E382"/>
    <mergeCell ref="D235:E235"/>
    <mergeCell ref="F235:G235"/>
    <mergeCell ref="A236:C238"/>
    <mergeCell ref="D236:E238"/>
    <mergeCell ref="F236:G238"/>
    <mergeCell ref="B203:G205"/>
    <mergeCell ref="B206:G208"/>
    <mergeCell ref="B212:G214"/>
    <mergeCell ref="B215:G217"/>
    <mergeCell ref="B228:C228"/>
    <mergeCell ref="A206:A208"/>
    <mergeCell ref="A215:A217"/>
    <mergeCell ref="B218:G218"/>
    <mergeCell ref="F226:G226"/>
    <mergeCell ref="A10:A12"/>
    <mergeCell ref="A7:A9"/>
    <mergeCell ref="A16:A18"/>
    <mergeCell ref="A13:A15"/>
    <mergeCell ref="A19:A21"/>
    <mergeCell ref="A37:G37"/>
    <mergeCell ref="F30:G30"/>
    <mergeCell ref="F31:G31"/>
    <mergeCell ref="F32:G32"/>
    <mergeCell ref="A36:G36"/>
    <mergeCell ref="A31:B31"/>
    <mergeCell ref="B32:C32"/>
    <mergeCell ref="B33:C33"/>
    <mergeCell ref="B34:C34"/>
    <mergeCell ref="F33:G33"/>
    <mergeCell ref="F34:G34"/>
    <mergeCell ref="B7:G9"/>
    <mergeCell ref="B10:G12"/>
    <mergeCell ref="B16:G18"/>
    <mergeCell ref="B19:G21"/>
    <mergeCell ref="B22:G22"/>
    <mergeCell ref="F13:F15"/>
    <mergeCell ref="G13:G15"/>
    <mergeCell ref="F25:G25"/>
    <mergeCell ref="B13:E15"/>
    <mergeCell ref="A24:B24"/>
    <mergeCell ref="F74:G74"/>
    <mergeCell ref="F75:G75"/>
    <mergeCell ref="B76:C76"/>
    <mergeCell ref="F76:G76"/>
    <mergeCell ref="B77:C77"/>
    <mergeCell ref="B78:C78"/>
    <mergeCell ref="F80:G80"/>
    <mergeCell ref="F62:F64"/>
    <mergeCell ref="G62:G64"/>
    <mergeCell ref="B62:E64"/>
    <mergeCell ref="B28:C28"/>
    <mergeCell ref="A38:G38"/>
    <mergeCell ref="A56:A58"/>
    <mergeCell ref="F26:G26"/>
    <mergeCell ref="B29:C29"/>
    <mergeCell ref="F27:G27"/>
    <mergeCell ref="B27:C27"/>
    <mergeCell ref="A65:A67"/>
    <mergeCell ref="A62:A64"/>
    <mergeCell ref="A68:A70"/>
    <mergeCell ref="A59:A61"/>
    <mergeCell ref="B56:G58"/>
    <mergeCell ref="B59:G61"/>
    <mergeCell ref="B65:G67"/>
    <mergeCell ref="F227:G227"/>
    <mergeCell ref="F221:G221"/>
    <mergeCell ref="F222:G222"/>
    <mergeCell ref="B223:C223"/>
    <mergeCell ref="F223:G223"/>
    <mergeCell ref="B224:C224"/>
    <mergeCell ref="D147:E149"/>
    <mergeCell ref="F147:G149"/>
    <mergeCell ref="A186:C186"/>
    <mergeCell ref="D186:E186"/>
    <mergeCell ref="F186:G186"/>
    <mergeCell ref="A114:A116"/>
    <mergeCell ref="A111:A113"/>
    <mergeCell ref="A108:A110"/>
    <mergeCell ref="B126:C126"/>
    <mergeCell ref="F177:G177"/>
    <mergeCell ref="F178:G178"/>
    <mergeCell ref="B117:G119"/>
    <mergeCell ref="B120:G120"/>
    <mergeCell ref="G111:G113"/>
    <mergeCell ref="F179:G179"/>
    <mergeCell ref="D141:E143"/>
    <mergeCell ref="F141:G143"/>
    <mergeCell ref="A144:C146"/>
    <mergeCell ref="D144:E146"/>
    <mergeCell ref="F144:G146"/>
    <mergeCell ref="A147:C149"/>
    <mergeCell ref="A117:A119"/>
    <mergeCell ref="F128:G128"/>
    <mergeCell ref="F160:F162"/>
    <mergeCell ref="G160:G162"/>
    <mergeCell ref="F172:G172"/>
    <mergeCell ref="B68:G70"/>
    <mergeCell ref="B71:G71"/>
    <mergeCell ref="B81:C81"/>
    <mergeCell ref="A80:B80"/>
    <mergeCell ref="F79:G79"/>
    <mergeCell ref="F81:G81"/>
    <mergeCell ref="A73:B73"/>
    <mergeCell ref="A163:A165"/>
    <mergeCell ref="A160:A162"/>
    <mergeCell ref="A171:B171"/>
    <mergeCell ref="A178:B178"/>
    <mergeCell ref="A157:A159"/>
    <mergeCell ref="A166:A168"/>
    <mergeCell ref="B132:C132"/>
    <mergeCell ref="A154:A156"/>
    <mergeCell ref="B174:C174"/>
    <mergeCell ref="B157:G159"/>
    <mergeCell ref="B160:E162"/>
    <mergeCell ref="A137:C137"/>
    <mergeCell ref="D137:E137"/>
    <mergeCell ref="F137:G137"/>
    <mergeCell ref="A89:C91"/>
    <mergeCell ref="D89:E91"/>
    <mergeCell ref="F89:G91"/>
    <mergeCell ref="B154:G156"/>
    <mergeCell ref="A98:C100"/>
    <mergeCell ref="D98:E100"/>
    <mergeCell ref="F98:G100"/>
    <mergeCell ref="A138:C140"/>
    <mergeCell ref="D138:E140"/>
    <mergeCell ref="F138:G140"/>
    <mergeCell ref="A141:C143"/>
    <mergeCell ref="B362:G364"/>
    <mergeCell ref="B356:E358"/>
    <mergeCell ref="B321:C321"/>
    <mergeCell ref="F321:G321"/>
    <mergeCell ref="B322:C322"/>
    <mergeCell ref="B323:C323"/>
    <mergeCell ref="B301:G303"/>
    <mergeCell ref="B304:G306"/>
    <mergeCell ref="A301:A303"/>
    <mergeCell ref="A337:C339"/>
    <mergeCell ref="D337:E339"/>
    <mergeCell ref="F337:G339"/>
    <mergeCell ref="A340:C342"/>
    <mergeCell ref="D340:E342"/>
    <mergeCell ref="F340:G342"/>
    <mergeCell ref="A343:C345"/>
    <mergeCell ref="D343:E345"/>
    <mergeCell ref="F343:G345"/>
    <mergeCell ref="A359:A361"/>
    <mergeCell ref="A356:A358"/>
    <mergeCell ref="B82:C82"/>
    <mergeCell ref="B83:C83"/>
    <mergeCell ref="F123:G123"/>
    <mergeCell ref="F124:G124"/>
    <mergeCell ref="B125:C125"/>
    <mergeCell ref="F125:G125"/>
    <mergeCell ref="F272:G272"/>
    <mergeCell ref="A129:B129"/>
    <mergeCell ref="B130:C130"/>
    <mergeCell ref="B127:C127"/>
    <mergeCell ref="F129:G129"/>
    <mergeCell ref="F130:G130"/>
    <mergeCell ref="A212:A214"/>
    <mergeCell ref="A209:A211"/>
    <mergeCell ref="A220:B220"/>
    <mergeCell ref="A227:B227"/>
    <mergeCell ref="A187:C189"/>
    <mergeCell ref="D187:E189"/>
    <mergeCell ref="F187:G189"/>
    <mergeCell ref="A190:C192"/>
    <mergeCell ref="D190:E192"/>
    <mergeCell ref="F190:G192"/>
    <mergeCell ref="A122:B122"/>
    <mergeCell ref="A88:C88"/>
    <mergeCell ref="D88:E88"/>
    <mergeCell ref="B272:C272"/>
    <mergeCell ref="B131:C131"/>
    <mergeCell ref="B181:C181"/>
    <mergeCell ref="B180:C180"/>
    <mergeCell ref="B179:C179"/>
    <mergeCell ref="A184:G184"/>
    <mergeCell ref="A185:G185"/>
    <mergeCell ref="B252:G254"/>
    <mergeCell ref="A203:A205"/>
    <mergeCell ref="F294:G296"/>
    <mergeCell ref="B225:C225"/>
    <mergeCell ref="A276:B276"/>
    <mergeCell ref="B277:C277"/>
    <mergeCell ref="B279:C279"/>
    <mergeCell ref="A264:A266"/>
    <mergeCell ref="A261:A263"/>
    <mergeCell ref="A284:C284"/>
    <mergeCell ref="B255:G257"/>
    <mergeCell ref="A304:A306"/>
    <mergeCell ref="F288:G290"/>
    <mergeCell ref="A291:C293"/>
    <mergeCell ref="D291:E293"/>
    <mergeCell ref="F291:G293"/>
    <mergeCell ref="A294:C296"/>
    <mergeCell ref="D294:E296"/>
    <mergeCell ref="F285:G287"/>
    <mergeCell ref="F275:G275"/>
    <mergeCell ref="F276:G276"/>
    <mergeCell ref="F277:G277"/>
    <mergeCell ref="F279:G279"/>
    <mergeCell ref="A281:G281"/>
    <mergeCell ref="B273:C273"/>
    <mergeCell ref="B274:C274"/>
    <mergeCell ref="F278:G278"/>
    <mergeCell ref="B278:C278"/>
    <mergeCell ref="B209:E211"/>
    <mergeCell ref="F209:F211"/>
    <mergeCell ref="G209:G211"/>
    <mergeCell ref="D245:E247"/>
    <mergeCell ref="F370:G370"/>
    <mergeCell ref="F327:G327"/>
    <mergeCell ref="F328:G328"/>
    <mergeCell ref="A330:G330"/>
    <mergeCell ref="A331:G331"/>
    <mergeCell ref="A332:G332"/>
    <mergeCell ref="A353:A355"/>
    <mergeCell ref="B327:C327"/>
    <mergeCell ref="B350:G352"/>
    <mergeCell ref="B353:G355"/>
    <mergeCell ref="A362:A364"/>
    <mergeCell ref="B359:G361"/>
    <mergeCell ref="B365:G365"/>
    <mergeCell ref="B229:C229"/>
    <mergeCell ref="F88:G88"/>
    <mergeCell ref="F82:G82"/>
    <mergeCell ref="F83:G83"/>
    <mergeCell ref="A85:G85"/>
    <mergeCell ref="A86:G86"/>
    <mergeCell ref="A193:C195"/>
    <mergeCell ref="F319:G319"/>
    <mergeCell ref="F132:G132"/>
    <mergeCell ref="A134:G134"/>
    <mergeCell ref="A135:G135"/>
    <mergeCell ref="A136:G136"/>
    <mergeCell ref="F270:G270"/>
    <mergeCell ref="F271:G271"/>
    <mergeCell ref="F180:G180"/>
    <mergeCell ref="F229:G229"/>
    <mergeCell ref="F228:G228"/>
    <mergeCell ref="F181:G181"/>
    <mergeCell ref="A183:G183"/>
    <mergeCell ref="B258:E260"/>
    <mergeCell ref="D284:E284"/>
    <mergeCell ref="A285:C287"/>
    <mergeCell ref="D285:E287"/>
    <mergeCell ref="A282:G282"/>
    <mergeCell ref="A283:G283"/>
    <mergeCell ref="F284:G284"/>
    <mergeCell ref="F258:F260"/>
    <mergeCell ref="G258:G260"/>
    <mergeCell ref="F307:F309"/>
    <mergeCell ref="G307:G309"/>
    <mergeCell ref="F356:F358"/>
    <mergeCell ref="G356:G358"/>
    <mergeCell ref="B326:C326"/>
    <mergeCell ref="A310:A312"/>
    <mergeCell ref="A307:A309"/>
    <mergeCell ref="A318:B318"/>
    <mergeCell ref="A325:B325"/>
    <mergeCell ref="A313:A315"/>
    <mergeCell ref="F325:G325"/>
    <mergeCell ref="F326:G326"/>
    <mergeCell ref="A288:C290"/>
    <mergeCell ref="D288:E290"/>
    <mergeCell ref="B307:E309"/>
    <mergeCell ref="B310:G312"/>
    <mergeCell ref="B313:G315"/>
    <mergeCell ref="B316:G316"/>
    <mergeCell ref="F324:G324"/>
    <mergeCell ref="F320:G320"/>
    <mergeCell ref="F173:G173"/>
    <mergeCell ref="F473:G473"/>
    <mergeCell ref="F475:G475"/>
    <mergeCell ref="A477:G477"/>
    <mergeCell ref="A478:G478"/>
    <mergeCell ref="B261:G263"/>
    <mergeCell ref="B264:G266"/>
    <mergeCell ref="B267:G267"/>
    <mergeCell ref="A255:A257"/>
    <mergeCell ref="A269:B269"/>
    <mergeCell ref="A258:A260"/>
    <mergeCell ref="B230:C230"/>
    <mergeCell ref="F230:G230"/>
    <mergeCell ref="A232:G232"/>
    <mergeCell ref="A233:G233"/>
    <mergeCell ref="A234:G234"/>
    <mergeCell ref="A252:A254"/>
    <mergeCell ref="A239:C241"/>
    <mergeCell ref="D239:E241"/>
    <mergeCell ref="F239:G241"/>
    <mergeCell ref="F245:G247"/>
    <mergeCell ref="A383:C385"/>
    <mergeCell ref="D383:E385"/>
    <mergeCell ref="F383:G385"/>
    <mergeCell ref="A367:B367"/>
    <mergeCell ref="A333:C333"/>
    <mergeCell ref="D333:E333"/>
    <mergeCell ref="F333:G333"/>
    <mergeCell ref="A334:C336"/>
    <mergeCell ref="D334:E336"/>
    <mergeCell ref="F334:G336"/>
    <mergeCell ref="F405:F407"/>
    <mergeCell ref="G405:G407"/>
    <mergeCell ref="F454:F456"/>
    <mergeCell ref="A479:G479"/>
    <mergeCell ref="F474:G474"/>
    <mergeCell ref="B475:C475"/>
    <mergeCell ref="B474:C474"/>
    <mergeCell ref="B473:C473"/>
    <mergeCell ref="F471:G471"/>
    <mergeCell ref="F472:G472"/>
    <mergeCell ref="B419:C419"/>
    <mergeCell ref="F419:G419"/>
    <mergeCell ref="B420:C420"/>
    <mergeCell ref="B421:C421"/>
    <mergeCell ref="F466:G466"/>
    <mergeCell ref="F467:G467"/>
    <mergeCell ref="B468:C468"/>
    <mergeCell ref="F468:G468"/>
    <mergeCell ref="B469:C469"/>
    <mergeCell ref="B457:G459"/>
    <mergeCell ref="B460:G462"/>
    <mergeCell ref="B405:E407"/>
    <mergeCell ref="B408:G410"/>
    <mergeCell ref="G454:G456"/>
    <mergeCell ref="F422:G422"/>
    <mergeCell ref="F417:G417"/>
    <mergeCell ref="F418:G418"/>
    <mergeCell ref="B414:G414"/>
    <mergeCell ref="A399:A401"/>
    <mergeCell ref="B426:C426"/>
    <mergeCell ref="F131:G131"/>
    <mergeCell ref="B163:G165"/>
    <mergeCell ref="B166:G168"/>
    <mergeCell ref="B169:G169"/>
    <mergeCell ref="B176:C176"/>
    <mergeCell ref="F174:G174"/>
    <mergeCell ref="B175:C175"/>
    <mergeCell ref="B328:C328"/>
    <mergeCell ref="A497:A499"/>
    <mergeCell ref="B497:G499"/>
    <mergeCell ref="A500:A502"/>
    <mergeCell ref="B500:G502"/>
    <mergeCell ref="A87:G87"/>
    <mergeCell ref="B111:E113"/>
    <mergeCell ref="B105:G107"/>
    <mergeCell ref="B108:G110"/>
    <mergeCell ref="A92:C94"/>
    <mergeCell ref="D92:E94"/>
    <mergeCell ref="F92:G94"/>
    <mergeCell ref="A95:C97"/>
    <mergeCell ref="D95:E97"/>
    <mergeCell ref="F95:G97"/>
    <mergeCell ref="A105:A107"/>
    <mergeCell ref="A480:C480"/>
    <mergeCell ref="D480:E480"/>
    <mergeCell ref="F480:G480"/>
    <mergeCell ref="A481:C483"/>
    <mergeCell ref="D481:E483"/>
    <mergeCell ref="F481:G483"/>
    <mergeCell ref="F111:F113"/>
    <mergeCell ref="A503:A505"/>
    <mergeCell ref="B503:E505"/>
    <mergeCell ref="F503:F505"/>
    <mergeCell ref="G503:G505"/>
    <mergeCell ref="A506:A508"/>
    <mergeCell ref="B506:G508"/>
    <mergeCell ref="A438:C440"/>
    <mergeCell ref="D438:E440"/>
    <mergeCell ref="F438:G440"/>
    <mergeCell ref="A441:C443"/>
    <mergeCell ref="D441:E443"/>
    <mergeCell ref="F441:G443"/>
    <mergeCell ref="A39:C39"/>
    <mergeCell ref="A40:C42"/>
    <mergeCell ref="D39:E39"/>
    <mergeCell ref="D40:E42"/>
    <mergeCell ref="F39:G39"/>
    <mergeCell ref="F40:G42"/>
    <mergeCell ref="A43:C45"/>
    <mergeCell ref="A46:C48"/>
    <mergeCell ref="A49:C51"/>
    <mergeCell ref="D43:E45"/>
    <mergeCell ref="D46:E48"/>
    <mergeCell ref="D49:E51"/>
    <mergeCell ref="F43:G45"/>
    <mergeCell ref="F46:G48"/>
    <mergeCell ref="F49:G51"/>
    <mergeCell ref="B114:G116"/>
    <mergeCell ref="A242:C244"/>
    <mergeCell ref="D242:E244"/>
    <mergeCell ref="F242:G244"/>
    <mergeCell ref="A245:C247"/>
    <mergeCell ref="B519:C519"/>
    <mergeCell ref="F520:G520"/>
    <mergeCell ref="A521:B521"/>
    <mergeCell ref="F521:G521"/>
    <mergeCell ref="B522:C522"/>
    <mergeCell ref="F522:G522"/>
    <mergeCell ref="B523:C523"/>
    <mergeCell ref="F523:G523"/>
    <mergeCell ref="B524:C524"/>
    <mergeCell ref="F524:G524"/>
    <mergeCell ref="A509:A511"/>
    <mergeCell ref="B509:G511"/>
    <mergeCell ref="B512:G512"/>
    <mergeCell ref="A514:B514"/>
    <mergeCell ref="F515:G515"/>
    <mergeCell ref="F516:G516"/>
    <mergeCell ref="B517:C517"/>
    <mergeCell ref="F517:G517"/>
    <mergeCell ref="B518:C518"/>
    <mergeCell ref="A533:C535"/>
    <mergeCell ref="D533:E535"/>
    <mergeCell ref="F533:G535"/>
    <mergeCell ref="A536:C538"/>
    <mergeCell ref="D536:E538"/>
    <mergeCell ref="F536:G538"/>
    <mergeCell ref="A539:C541"/>
    <mergeCell ref="D539:E541"/>
    <mergeCell ref="F539:G541"/>
    <mergeCell ref="A526:G526"/>
    <mergeCell ref="A527:G527"/>
    <mergeCell ref="A528:G528"/>
    <mergeCell ref="A529:C529"/>
    <mergeCell ref="D529:E529"/>
    <mergeCell ref="F529:G529"/>
    <mergeCell ref="A530:C532"/>
    <mergeCell ref="D530:E532"/>
    <mergeCell ref="F530:G532"/>
    <mergeCell ref="A558:A560"/>
    <mergeCell ref="B558:G560"/>
    <mergeCell ref="B561:G561"/>
    <mergeCell ref="A563:B563"/>
    <mergeCell ref="F564:G564"/>
    <mergeCell ref="F565:G565"/>
    <mergeCell ref="B566:C566"/>
    <mergeCell ref="F566:G566"/>
    <mergeCell ref="B567:C567"/>
    <mergeCell ref="A546:A548"/>
    <mergeCell ref="B546:G548"/>
    <mergeCell ref="A549:A551"/>
    <mergeCell ref="B549:G551"/>
    <mergeCell ref="A552:A554"/>
    <mergeCell ref="B552:E554"/>
    <mergeCell ref="F552:F554"/>
    <mergeCell ref="G552:G554"/>
    <mergeCell ref="A555:A557"/>
    <mergeCell ref="B555:G557"/>
    <mergeCell ref="A575:G575"/>
    <mergeCell ref="A576:G576"/>
    <mergeCell ref="A577:G577"/>
    <mergeCell ref="A578:C578"/>
    <mergeCell ref="D578:E578"/>
    <mergeCell ref="F578:G578"/>
    <mergeCell ref="A579:C581"/>
    <mergeCell ref="D579:E581"/>
    <mergeCell ref="F579:G581"/>
    <mergeCell ref="B568:C568"/>
    <mergeCell ref="F569:G569"/>
    <mergeCell ref="A570:B570"/>
    <mergeCell ref="F570:G570"/>
    <mergeCell ref="B571:C571"/>
    <mergeCell ref="F571:G571"/>
    <mergeCell ref="B572:C572"/>
    <mergeCell ref="F572:G572"/>
    <mergeCell ref="B573:C573"/>
    <mergeCell ref="F573:G573"/>
    <mergeCell ref="A595:A597"/>
    <mergeCell ref="B595:G597"/>
    <mergeCell ref="A598:A600"/>
    <mergeCell ref="B598:G600"/>
    <mergeCell ref="A601:A603"/>
    <mergeCell ref="B601:E603"/>
    <mergeCell ref="F601:F603"/>
    <mergeCell ref="G601:G603"/>
    <mergeCell ref="A604:A606"/>
    <mergeCell ref="B604:G606"/>
    <mergeCell ref="A582:C584"/>
    <mergeCell ref="D582:E584"/>
    <mergeCell ref="F582:G584"/>
    <mergeCell ref="A585:C587"/>
    <mergeCell ref="D585:E587"/>
    <mergeCell ref="F585:G587"/>
    <mergeCell ref="A588:C590"/>
    <mergeCell ref="D588:E590"/>
    <mergeCell ref="F588:G590"/>
    <mergeCell ref="B617:C617"/>
    <mergeCell ref="F618:G618"/>
    <mergeCell ref="A619:B619"/>
    <mergeCell ref="F619:G619"/>
    <mergeCell ref="B620:C620"/>
    <mergeCell ref="F620:G620"/>
    <mergeCell ref="B621:C621"/>
    <mergeCell ref="F621:G621"/>
    <mergeCell ref="B622:C622"/>
    <mergeCell ref="F622:G622"/>
    <mergeCell ref="A607:A609"/>
    <mergeCell ref="B607:G609"/>
    <mergeCell ref="B610:G610"/>
    <mergeCell ref="A612:B612"/>
    <mergeCell ref="F613:G613"/>
    <mergeCell ref="F614:G614"/>
    <mergeCell ref="B615:C615"/>
    <mergeCell ref="F615:G615"/>
    <mergeCell ref="B616:C616"/>
    <mergeCell ref="A631:C633"/>
    <mergeCell ref="D631:E633"/>
    <mergeCell ref="F631:G633"/>
    <mergeCell ref="A634:C636"/>
    <mergeCell ref="D634:E636"/>
    <mergeCell ref="F634:G636"/>
    <mergeCell ref="A637:C639"/>
    <mergeCell ref="D637:E639"/>
    <mergeCell ref="F637:G639"/>
    <mergeCell ref="A624:G624"/>
    <mergeCell ref="A625:G625"/>
    <mergeCell ref="A626:G626"/>
    <mergeCell ref="A627:C627"/>
    <mergeCell ref="D627:E627"/>
    <mergeCell ref="F627:G627"/>
    <mergeCell ref="A628:C630"/>
    <mergeCell ref="D628:E630"/>
    <mergeCell ref="F628:G630"/>
    <mergeCell ref="A656:A658"/>
    <mergeCell ref="B656:G658"/>
    <mergeCell ref="B659:G659"/>
    <mergeCell ref="A661:B661"/>
    <mergeCell ref="F662:G662"/>
    <mergeCell ref="F663:G663"/>
    <mergeCell ref="B664:C664"/>
    <mergeCell ref="F664:G664"/>
    <mergeCell ref="B665:C665"/>
    <mergeCell ref="A644:A646"/>
    <mergeCell ref="B644:G646"/>
    <mergeCell ref="A647:A649"/>
    <mergeCell ref="B647:G649"/>
    <mergeCell ref="A650:A652"/>
    <mergeCell ref="B650:E652"/>
    <mergeCell ref="F650:F652"/>
    <mergeCell ref="G650:G652"/>
    <mergeCell ref="A653:A655"/>
    <mergeCell ref="B653:G655"/>
    <mergeCell ref="A673:G673"/>
    <mergeCell ref="A674:G674"/>
    <mergeCell ref="A675:G675"/>
    <mergeCell ref="A676:C676"/>
    <mergeCell ref="D676:E676"/>
    <mergeCell ref="F676:G676"/>
    <mergeCell ref="A677:C679"/>
    <mergeCell ref="D677:E679"/>
    <mergeCell ref="F677:G679"/>
    <mergeCell ref="B666:C666"/>
    <mergeCell ref="F667:G667"/>
    <mergeCell ref="A668:B668"/>
    <mergeCell ref="F668:G668"/>
    <mergeCell ref="B669:C669"/>
    <mergeCell ref="F669:G669"/>
    <mergeCell ref="B670:C670"/>
    <mergeCell ref="F670:G670"/>
    <mergeCell ref="B671:C671"/>
    <mergeCell ref="F671:G671"/>
    <mergeCell ref="A693:A695"/>
    <mergeCell ref="B693:G695"/>
    <mergeCell ref="A696:A698"/>
    <mergeCell ref="B696:G698"/>
    <mergeCell ref="A699:A701"/>
    <mergeCell ref="B699:E701"/>
    <mergeCell ref="F699:F701"/>
    <mergeCell ref="G699:G701"/>
    <mergeCell ref="A702:A704"/>
    <mergeCell ref="B702:G704"/>
    <mergeCell ref="A680:C682"/>
    <mergeCell ref="D680:E682"/>
    <mergeCell ref="F680:G682"/>
    <mergeCell ref="A683:C685"/>
    <mergeCell ref="D683:E685"/>
    <mergeCell ref="F683:G685"/>
    <mergeCell ref="A686:C688"/>
    <mergeCell ref="D686:E688"/>
    <mergeCell ref="F686:G688"/>
    <mergeCell ref="B715:C715"/>
    <mergeCell ref="F716:G716"/>
    <mergeCell ref="A717:B717"/>
    <mergeCell ref="F717:G717"/>
    <mergeCell ref="B718:C718"/>
    <mergeCell ref="F718:G718"/>
    <mergeCell ref="B719:C719"/>
    <mergeCell ref="F719:G719"/>
    <mergeCell ref="B720:C720"/>
    <mergeCell ref="F720:G720"/>
    <mergeCell ref="A705:A707"/>
    <mergeCell ref="B705:G707"/>
    <mergeCell ref="B708:G708"/>
    <mergeCell ref="A710:B710"/>
    <mergeCell ref="F711:G711"/>
    <mergeCell ref="F712:G712"/>
    <mergeCell ref="B713:C713"/>
    <mergeCell ref="F713:G713"/>
    <mergeCell ref="B714:C714"/>
    <mergeCell ref="A729:C731"/>
    <mergeCell ref="D729:E731"/>
    <mergeCell ref="F729:G731"/>
    <mergeCell ref="A732:C734"/>
    <mergeCell ref="D732:E734"/>
    <mergeCell ref="F732:G734"/>
    <mergeCell ref="A735:C737"/>
    <mergeCell ref="D735:E737"/>
    <mergeCell ref="F735:G737"/>
    <mergeCell ref="A722:G722"/>
    <mergeCell ref="A723:G723"/>
    <mergeCell ref="A724:G724"/>
    <mergeCell ref="A725:C725"/>
    <mergeCell ref="D725:E725"/>
    <mergeCell ref="F725:G725"/>
    <mergeCell ref="A726:C728"/>
    <mergeCell ref="D726:E728"/>
    <mergeCell ref="F726:G728"/>
    <mergeCell ref="A754:A756"/>
    <mergeCell ref="B754:G756"/>
    <mergeCell ref="B757:G757"/>
    <mergeCell ref="A759:B759"/>
    <mergeCell ref="F760:G760"/>
    <mergeCell ref="F761:G761"/>
    <mergeCell ref="B762:C762"/>
    <mergeCell ref="F762:G762"/>
    <mergeCell ref="B763:C763"/>
    <mergeCell ref="A742:A744"/>
    <mergeCell ref="B742:G744"/>
    <mergeCell ref="A745:A747"/>
    <mergeCell ref="B745:G747"/>
    <mergeCell ref="A748:A750"/>
    <mergeCell ref="B748:E750"/>
    <mergeCell ref="F748:F750"/>
    <mergeCell ref="G748:G750"/>
    <mergeCell ref="A751:A753"/>
    <mergeCell ref="B751:G753"/>
    <mergeCell ref="A771:G771"/>
    <mergeCell ref="A772:G772"/>
    <mergeCell ref="A773:G773"/>
    <mergeCell ref="A774:C774"/>
    <mergeCell ref="D774:E774"/>
    <mergeCell ref="F774:G774"/>
    <mergeCell ref="A775:C777"/>
    <mergeCell ref="D775:E777"/>
    <mergeCell ref="F775:G777"/>
    <mergeCell ref="B764:C764"/>
    <mergeCell ref="F765:G765"/>
    <mergeCell ref="A766:B766"/>
    <mergeCell ref="F766:G766"/>
    <mergeCell ref="B767:C767"/>
    <mergeCell ref="F767:G767"/>
    <mergeCell ref="B768:C768"/>
    <mergeCell ref="F768:G768"/>
    <mergeCell ref="B769:C769"/>
    <mergeCell ref="F769:G769"/>
    <mergeCell ref="A791:A793"/>
    <mergeCell ref="B791:G793"/>
    <mergeCell ref="A794:A796"/>
    <mergeCell ref="B794:G796"/>
    <mergeCell ref="A797:A799"/>
    <mergeCell ref="B797:E799"/>
    <mergeCell ref="F797:F799"/>
    <mergeCell ref="G797:G799"/>
    <mergeCell ref="A800:A802"/>
    <mergeCell ref="B800:G802"/>
    <mergeCell ref="A778:C780"/>
    <mergeCell ref="D778:E780"/>
    <mergeCell ref="F778:G780"/>
    <mergeCell ref="A781:C783"/>
    <mergeCell ref="D781:E783"/>
    <mergeCell ref="F781:G783"/>
    <mergeCell ref="A784:C786"/>
    <mergeCell ref="D784:E786"/>
    <mergeCell ref="F784:G786"/>
    <mergeCell ref="B813:C813"/>
    <mergeCell ref="F814:G814"/>
    <mergeCell ref="A815:B815"/>
    <mergeCell ref="F815:G815"/>
    <mergeCell ref="B816:C816"/>
    <mergeCell ref="F816:G816"/>
    <mergeCell ref="B817:C817"/>
    <mergeCell ref="F817:G817"/>
    <mergeCell ref="B818:C818"/>
    <mergeCell ref="F818:G818"/>
    <mergeCell ref="A803:A805"/>
    <mergeCell ref="B803:G805"/>
    <mergeCell ref="B806:G806"/>
    <mergeCell ref="A808:B808"/>
    <mergeCell ref="F809:G809"/>
    <mergeCell ref="F810:G810"/>
    <mergeCell ref="B811:C811"/>
    <mergeCell ref="F811:G811"/>
    <mergeCell ref="B812:C812"/>
    <mergeCell ref="A827:C829"/>
    <mergeCell ref="D827:E829"/>
    <mergeCell ref="F827:G829"/>
    <mergeCell ref="A830:C832"/>
    <mergeCell ref="D830:E832"/>
    <mergeCell ref="F830:G832"/>
    <mergeCell ref="A833:C835"/>
    <mergeCell ref="D833:E835"/>
    <mergeCell ref="F833:G835"/>
    <mergeCell ref="A820:G820"/>
    <mergeCell ref="A821:G821"/>
    <mergeCell ref="A822:G822"/>
    <mergeCell ref="A823:C823"/>
    <mergeCell ref="D823:E823"/>
    <mergeCell ref="F823:G823"/>
    <mergeCell ref="A824:C826"/>
    <mergeCell ref="D824:E826"/>
    <mergeCell ref="F824:G826"/>
    <mergeCell ref="A852:A854"/>
    <mergeCell ref="B852:G854"/>
    <mergeCell ref="B855:G855"/>
    <mergeCell ref="A857:B857"/>
    <mergeCell ref="F858:G858"/>
    <mergeCell ref="F859:G859"/>
    <mergeCell ref="B860:C860"/>
    <mergeCell ref="F860:G860"/>
    <mergeCell ref="B861:C861"/>
    <mergeCell ref="A840:A842"/>
    <mergeCell ref="B840:G842"/>
    <mergeCell ref="A843:A845"/>
    <mergeCell ref="B843:G845"/>
    <mergeCell ref="A846:A848"/>
    <mergeCell ref="B846:E848"/>
    <mergeCell ref="F846:F848"/>
    <mergeCell ref="G846:G848"/>
    <mergeCell ref="A849:A851"/>
    <mergeCell ref="B849:G851"/>
    <mergeCell ref="A869:G869"/>
    <mergeCell ref="A870:G870"/>
    <mergeCell ref="A871:G871"/>
    <mergeCell ref="A872:C872"/>
    <mergeCell ref="D872:E872"/>
    <mergeCell ref="F872:G872"/>
    <mergeCell ref="A873:C875"/>
    <mergeCell ref="D873:E875"/>
    <mergeCell ref="F873:G875"/>
    <mergeCell ref="B862:C862"/>
    <mergeCell ref="F863:G863"/>
    <mergeCell ref="A864:B864"/>
    <mergeCell ref="F864:G864"/>
    <mergeCell ref="B865:C865"/>
    <mergeCell ref="F865:G865"/>
    <mergeCell ref="B866:C866"/>
    <mergeCell ref="F866:G866"/>
    <mergeCell ref="B867:C867"/>
    <mergeCell ref="F867:G867"/>
    <mergeCell ref="A889:A891"/>
    <mergeCell ref="B889:G891"/>
    <mergeCell ref="A892:A894"/>
    <mergeCell ref="B892:G894"/>
    <mergeCell ref="A895:A897"/>
    <mergeCell ref="B895:E897"/>
    <mergeCell ref="F895:F897"/>
    <mergeCell ref="G895:G897"/>
    <mergeCell ref="A898:A900"/>
    <mergeCell ref="B898:G900"/>
    <mergeCell ref="A876:C878"/>
    <mergeCell ref="D876:E878"/>
    <mergeCell ref="F876:G878"/>
    <mergeCell ref="A879:C881"/>
    <mergeCell ref="D879:E881"/>
    <mergeCell ref="F879:G881"/>
    <mergeCell ref="A882:C884"/>
    <mergeCell ref="D882:E884"/>
    <mergeCell ref="F882:G884"/>
    <mergeCell ref="B911:C911"/>
    <mergeCell ref="F912:G912"/>
    <mergeCell ref="A913:B913"/>
    <mergeCell ref="F913:G913"/>
    <mergeCell ref="B914:C914"/>
    <mergeCell ref="F914:G914"/>
    <mergeCell ref="B915:C915"/>
    <mergeCell ref="F915:G915"/>
    <mergeCell ref="B916:C916"/>
    <mergeCell ref="F916:G916"/>
    <mergeCell ref="A901:A903"/>
    <mergeCell ref="B901:G903"/>
    <mergeCell ref="B904:G904"/>
    <mergeCell ref="A906:B906"/>
    <mergeCell ref="F907:G907"/>
    <mergeCell ref="F908:G908"/>
    <mergeCell ref="B909:C909"/>
    <mergeCell ref="F909:G909"/>
    <mergeCell ref="B910:C910"/>
    <mergeCell ref="A925:C927"/>
    <mergeCell ref="D925:E927"/>
    <mergeCell ref="F925:G927"/>
    <mergeCell ref="A928:C930"/>
    <mergeCell ref="D928:E930"/>
    <mergeCell ref="F928:G930"/>
    <mergeCell ref="A931:C933"/>
    <mergeCell ref="D931:E933"/>
    <mergeCell ref="F931:G933"/>
    <mergeCell ref="A918:G918"/>
    <mergeCell ref="A919:G919"/>
    <mergeCell ref="A920:G920"/>
    <mergeCell ref="A921:C921"/>
    <mergeCell ref="D921:E921"/>
    <mergeCell ref="F921:G921"/>
    <mergeCell ref="A922:C924"/>
    <mergeCell ref="D922:E924"/>
    <mergeCell ref="F922:G924"/>
    <mergeCell ref="A950:A952"/>
    <mergeCell ref="B950:G952"/>
    <mergeCell ref="B953:G953"/>
    <mergeCell ref="A955:B955"/>
    <mergeCell ref="F956:G956"/>
    <mergeCell ref="F957:G957"/>
    <mergeCell ref="B958:C958"/>
    <mergeCell ref="F958:G958"/>
    <mergeCell ref="B959:C959"/>
    <mergeCell ref="A938:A940"/>
    <mergeCell ref="B938:G940"/>
    <mergeCell ref="A941:A943"/>
    <mergeCell ref="B941:G943"/>
    <mergeCell ref="A944:A946"/>
    <mergeCell ref="B944:E946"/>
    <mergeCell ref="F944:F946"/>
    <mergeCell ref="G944:G946"/>
    <mergeCell ref="A947:A949"/>
    <mergeCell ref="B947:G949"/>
    <mergeCell ref="A967:G967"/>
    <mergeCell ref="A968:G968"/>
    <mergeCell ref="A969:G969"/>
    <mergeCell ref="A970:C970"/>
    <mergeCell ref="D970:E970"/>
    <mergeCell ref="F970:G970"/>
    <mergeCell ref="A971:C973"/>
    <mergeCell ref="D971:E973"/>
    <mergeCell ref="F971:G973"/>
    <mergeCell ref="B960:C960"/>
    <mergeCell ref="F961:G961"/>
    <mergeCell ref="A962:B962"/>
    <mergeCell ref="F962:G962"/>
    <mergeCell ref="B963:C963"/>
    <mergeCell ref="F963:G963"/>
    <mergeCell ref="B964:C964"/>
    <mergeCell ref="F964:G964"/>
    <mergeCell ref="B965:C965"/>
    <mergeCell ref="F965:G965"/>
    <mergeCell ref="A987:A989"/>
    <mergeCell ref="B987:G989"/>
    <mergeCell ref="A990:A992"/>
    <mergeCell ref="B990:G992"/>
    <mergeCell ref="A993:A995"/>
    <mergeCell ref="B993:E995"/>
    <mergeCell ref="F993:F995"/>
    <mergeCell ref="G993:G995"/>
    <mergeCell ref="A996:A998"/>
    <mergeCell ref="B996:G998"/>
    <mergeCell ref="A974:C976"/>
    <mergeCell ref="D974:E976"/>
    <mergeCell ref="F974:G976"/>
    <mergeCell ref="A977:C979"/>
    <mergeCell ref="D977:E979"/>
    <mergeCell ref="F977:G979"/>
    <mergeCell ref="A980:C982"/>
    <mergeCell ref="D980:E982"/>
    <mergeCell ref="F980:G982"/>
    <mergeCell ref="B1009:C1009"/>
    <mergeCell ref="F1010:G1010"/>
    <mergeCell ref="A1011:B1011"/>
    <mergeCell ref="F1011:G1011"/>
    <mergeCell ref="B1012:C1012"/>
    <mergeCell ref="F1012:G1012"/>
    <mergeCell ref="B1013:C1013"/>
    <mergeCell ref="F1013:G1013"/>
    <mergeCell ref="B1014:C1014"/>
    <mergeCell ref="F1014:G1014"/>
    <mergeCell ref="A999:A1001"/>
    <mergeCell ref="B999:G1001"/>
    <mergeCell ref="B1002:G1002"/>
    <mergeCell ref="A1004:B1004"/>
    <mergeCell ref="F1005:G1005"/>
    <mergeCell ref="F1006:G1006"/>
    <mergeCell ref="B1007:C1007"/>
    <mergeCell ref="F1007:G1007"/>
    <mergeCell ref="B1008:C1008"/>
    <mergeCell ref="A1023:C1025"/>
    <mergeCell ref="D1023:E1025"/>
    <mergeCell ref="F1023:G1025"/>
    <mergeCell ref="A1026:C1028"/>
    <mergeCell ref="D1026:E1028"/>
    <mergeCell ref="F1026:G1028"/>
    <mergeCell ref="A1029:C1031"/>
    <mergeCell ref="D1029:E1031"/>
    <mergeCell ref="F1029:G1031"/>
    <mergeCell ref="A1016:G1016"/>
    <mergeCell ref="A1017:G1017"/>
    <mergeCell ref="A1018:G1018"/>
    <mergeCell ref="A1019:C1019"/>
    <mergeCell ref="D1019:E1019"/>
    <mergeCell ref="F1019:G1019"/>
    <mergeCell ref="A1020:C1022"/>
    <mergeCell ref="D1020:E1022"/>
    <mergeCell ref="F1020:G1022"/>
    <mergeCell ref="A1048:A1050"/>
    <mergeCell ref="B1048:G1050"/>
    <mergeCell ref="B1051:G1051"/>
    <mergeCell ref="A1053:B1053"/>
    <mergeCell ref="F1054:G1054"/>
    <mergeCell ref="F1055:G1055"/>
    <mergeCell ref="B1056:C1056"/>
    <mergeCell ref="F1056:G1056"/>
    <mergeCell ref="B1057:C1057"/>
    <mergeCell ref="A1036:A1038"/>
    <mergeCell ref="B1036:G1038"/>
    <mergeCell ref="A1039:A1041"/>
    <mergeCell ref="B1039:G1041"/>
    <mergeCell ref="A1042:A1044"/>
    <mergeCell ref="B1042:E1044"/>
    <mergeCell ref="F1042:F1044"/>
    <mergeCell ref="G1042:G1044"/>
    <mergeCell ref="A1045:A1047"/>
    <mergeCell ref="B1045:G1047"/>
    <mergeCell ref="A1065:G1065"/>
    <mergeCell ref="A1066:G1066"/>
    <mergeCell ref="A1067:G1067"/>
    <mergeCell ref="A1068:C1068"/>
    <mergeCell ref="D1068:E1068"/>
    <mergeCell ref="F1068:G1068"/>
    <mergeCell ref="A1069:C1071"/>
    <mergeCell ref="D1069:E1071"/>
    <mergeCell ref="F1069:G1071"/>
    <mergeCell ref="B1058:C1058"/>
    <mergeCell ref="F1059:G1059"/>
    <mergeCell ref="A1060:B1060"/>
    <mergeCell ref="F1060:G1060"/>
    <mergeCell ref="B1061:C1061"/>
    <mergeCell ref="F1061:G1061"/>
    <mergeCell ref="B1062:C1062"/>
    <mergeCell ref="F1062:G1062"/>
    <mergeCell ref="B1063:C1063"/>
    <mergeCell ref="F1063:G1063"/>
    <mergeCell ref="A1085:A1087"/>
    <mergeCell ref="B1085:G1087"/>
    <mergeCell ref="A1088:A1090"/>
    <mergeCell ref="B1088:G1090"/>
    <mergeCell ref="A1091:A1093"/>
    <mergeCell ref="B1091:E1093"/>
    <mergeCell ref="F1091:F1093"/>
    <mergeCell ref="G1091:G1093"/>
    <mergeCell ref="A1094:A1096"/>
    <mergeCell ref="B1094:G1096"/>
    <mergeCell ref="A1072:C1074"/>
    <mergeCell ref="D1072:E1074"/>
    <mergeCell ref="F1072:G1074"/>
    <mergeCell ref="A1075:C1077"/>
    <mergeCell ref="D1075:E1077"/>
    <mergeCell ref="F1075:G1077"/>
    <mergeCell ref="A1078:C1080"/>
    <mergeCell ref="D1078:E1080"/>
    <mergeCell ref="F1078:G1080"/>
    <mergeCell ref="B1107:C1107"/>
    <mergeCell ref="F1108:G1108"/>
    <mergeCell ref="A1109:B1109"/>
    <mergeCell ref="F1109:G1109"/>
    <mergeCell ref="B1110:C1110"/>
    <mergeCell ref="F1110:G1110"/>
    <mergeCell ref="B1111:C1111"/>
    <mergeCell ref="F1111:G1111"/>
    <mergeCell ref="B1112:C1112"/>
    <mergeCell ref="F1112:G1112"/>
    <mergeCell ref="A1097:A1099"/>
    <mergeCell ref="B1097:G1099"/>
    <mergeCell ref="B1100:G1100"/>
    <mergeCell ref="A1102:B1102"/>
    <mergeCell ref="F1103:G1103"/>
    <mergeCell ref="F1104:G1104"/>
    <mergeCell ref="B1105:C1105"/>
    <mergeCell ref="F1105:G1105"/>
    <mergeCell ref="B1106:C1106"/>
    <mergeCell ref="A1121:C1123"/>
    <mergeCell ref="D1121:E1123"/>
    <mergeCell ref="F1121:G1123"/>
    <mergeCell ref="A1124:C1126"/>
    <mergeCell ref="D1124:E1126"/>
    <mergeCell ref="F1124:G1126"/>
    <mergeCell ref="A1127:C1129"/>
    <mergeCell ref="D1127:E1129"/>
    <mergeCell ref="F1127:G1129"/>
    <mergeCell ref="A1114:G1114"/>
    <mergeCell ref="A1115:G1115"/>
    <mergeCell ref="A1116:G1116"/>
    <mergeCell ref="A1117:C1117"/>
    <mergeCell ref="D1117:E1117"/>
    <mergeCell ref="F1117:G1117"/>
    <mergeCell ref="A1118:C1120"/>
    <mergeCell ref="D1118:E1120"/>
    <mergeCell ref="F1118:G1120"/>
    <mergeCell ref="A1146:A1148"/>
    <mergeCell ref="B1146:G1148"/>
    <mergeCell ref="B1149:G1149"/>
    <mergeCell ref="A1151:B1151"/>
    <mergeCell ref="F1152:G1152"/>
    <mergeCell ref="F1153:G1153"/>
    <mergeCell ref="B1154:C1154"/>
    <mergeCell ref="F1154:G1154"/>
    <mergeCell ref="B1155:C1155"/>
    <mergeCell ref="A1134:A1136"/>
    <mergeCell ref="B1134:G1136"/>
    <mergeCell ref="A1137:A1139"/>
    <mergeCell ref="B1137:G1139"/>
    <mergeCell ref="A1140:A1142"/>
    <mergeCell ref="B1140:E1142"/>
    <mergeCell ref="F1140:F1142"/>
    <mergeCell ref="G1140:G1142"/>
    <mergeCell ref="A1143:A1145"/>
    <mergeCell ref="B1143:G1145"/>
    <mergeCell ref="A1163:G1163"/>
    <mergeCell ref="A1164:G1164"/>
    <mergeCell ref="A1165:G1165"/>
    <mergeCell ref="A1166:C1166"/>
    <mergeCell ref="D1166:E1166"/>
    <mergeCell ref="F1166:G1166"/>
    <mergeCell ref="A1167:C1169"/>
    <mergeCell ref="D1167:E1169"/>
    <mergeCell ref="F1167:G1169"/>
    <mergeCell ref="B1156:C1156"/>
    <mergeCell ref="F1157:G1157"/>
    <mergeCell ref="A1158:B1158"/>
    <mergeCell ref="F1158:G1158"/>
    <mergeCell ref="B1159:C1159"/>
    <mergeCell ref="F1159:G1159"/>
    <mergeCell ref="B1160:C1160"/>
    <mergeCell ref="F1160:G1160"/>
    <mergeCell ref="B1161:C1161"/>
    <mergeCell ref="F1161:G1161"/>
    <mergeCell ref="A1183:A1185"/>
    <mergeCell ref="B1183:G1185"/>
    <mergeCell ref="A1186:A1188"/>
    <mergeCell ref="B1186:G1188"/>
    <mergeCell ref="A1189:A1191"/>
    <mergeCell ref="B1189:E1191"/>
    <mergeCell ref="F1189:F1191"/>
    <mergeCell ref="G1189:G1191"/>
    <mergeCell ref="A1192:A1194"/>
    <mergeCell ref="B1192:G1194"/>
    <mergeCell ref="A1170:C1172"/>
    <mergeCell ref="D1170:E1172"/>
    <mergeCell ref="F1170:G1172"/>
    <mergeCell ref="A1173:C1175"/>
    <mergeCell ref="D1173:E1175"/>
    <mergeCell ref="F1173:G1175"/>
    <mergeCell ref="A1176:C1178"/>
    <mergeCell ref="D1176:E1178"/>
    <mergeCell ref="F1176:G1178"/>
    <mergeCell ref="B1205:C1205"/>
    <mergeCell ref="F1206:G1206"/>
    <mergeCell ref="A1207:B1207"/>
    <mergeCell ref="F1207:G1207"/>
    <mergeCell ref="B1208:C1208"/>
    <mergeCell ref="F1208:G1208"/>
    <mergeCell ref="B1209:C1209"/>
    <mergeCell ref="F1209:G1209"/>
    <mergeCell ref="B1210:C1210"/>
    <mergeCell ref="F1210:G1210"/>
    <mergeCell ref="A1195:A1197"/>
    <mergeCell ref="B1195:G1197"/>
    <mergeCell ref="B1198:G1198"/>
    <mergeCell ref="A1200:B1200"/>
    <mergeCell ref="F1201:G1201"/>
    <mergeCell ref="F1202:G1202"/>
    <mergeCell ref="B1203:C1203"/>
    <mergeCell ref="F1203:G1203"/>
    <mergeCell ref="B1204:C1204"/>
    <mergeCell ref="A1219:C1221"/>
    <mergeCell ref="D1219:E1221"/>
    <mergeCell ref="F1219:G1221"/>
    <mergeCell ref="A1222:C1224"/>
    <mergeCell ref="D1222:E1224"/>
    <mergeCell ref="F1222:G1224"/>
    <mergeCell ref="A1225:C1227"/>
    <mergeCell ref="D1225:E1227"/>
    <mergeCell ref="F1225:G1227"/>
    <mergeCell ref="A1212:G1212"/>
    <mergeCell ref="A1213:G1213"/>
    <mergeCell ref="A1214:G1214"/>
    <mergeCell ref="A1215:C1215"/>
    <mergeCell ref="D1215:E1215"/>
    <mergeCell ref="F1215:G1215"/>
    <mergeCell ref="A1216:C1218"/>
    <mergeCell ref="D1216:E1218"/>
    <mergeCell ref="F1216:G1218"/>
  </mergeCells>
  <dataValidations xWindow="384" yWindow="430" count="16">
    <dataValidation type="list" allowBlank="1" showInputMessage="1" showErrorMessage="1" sqref="F25:F27 F123:F125 F74:F76 F417:F419 F368:F370 F319:F321 F172:F174 F221:F223 F270:F272 F466:F468 F515:F517 F613:F615 F564:F566 F907:F909 F858:F860 F809:F811 F662:F664 F711:F713 F760:F762 F956:F958 F1152:F1154 F1103:F1105 F1054:F1056 F1005:F1007 F1201:F1203 F1250:F1252 F1348:F1350 F1299:F1301 F1642:F1644 F1593:F1595 F1544:F1546 F1397:F1399 F1446:F1448 F1495:F1497 F1691:F1693 F1740:F1742 F1838:F1840 F1789:F1791 F1887:F1889 F1936:F1938" xr:uid="{97B209EA-CAE2-41B5-909E-8537115640F7}">
      <formula1>"Prevention,Protection,Mitigation,Response,Recovery"</formula1>
    </dataValidation>
    <dataValidation type="list" allowBlank="1" showInputMessage="1" showErrorMessage="1" sqref="B414 B22 B71 B120 B169 B218 B267 B316 B365 B463 B904 B512 B561 B610 B659 B708 B757 B806 B855 B953 B1149 B1002 B1051 B1100 B1198 B1639 B1247 B1296 B1345 B1394 B1443 B1492 B1541 B1590 B1688 B1737 B1786 B1835 B1884 B1933" xr:uid="{F14984F2-E1AB-4D0C-A143-9B5295A905C4}">
      <formula1>"Building,Maintaining/Sustaining"</formula1>
    </dataValidation>
    <dataValidation type="list" allowBlank="1" showInputMessage="1" showErrorMessage="1" sqref="F471:G475 F422:G426 F373:G377 F324:G328 F275:G279 F226:G230 F177:G181 F128:G132 F79:G83 F30:G34 F961:G965 F912:G916 F863:G867 F814:G818 F765:G769 F716:G720 F667:G671 F618:G622 F569:G573 F520:G524 F1206:G1210 F1157:G1161 F1108:G1112 F1059:G1063 F1010:G1014 F1696:G1700 F1647:G1651 F1598:G1602 F1549:G1553 F1500:G1504 F1451:G1455 F1402:G1406 F1353:G1357 F1304:G1308 F1255:G1259 F1941:G1945 F1892:G1896 F1843:G1847 F1794:G1798 F1745:G1749" xr:uid="{3916284D-4291-4424-8C96-49F196DEC8DF}">
      <formula1>State_Regional_Priorities</formula1>
    </dataValidation>
    <dataValidation type="list" allowBlank="1" showInputMessage="1" showErrorMessage="1" sqref="B32:C34 B424:C426 B81:C83 B130:C132 B179:C181 B228:C230 B277:C279 B326:C328 B375:C377 B473:C475 B522:C524 B914:C916 B571:C573 B620:C622 B669:C671 B718:C720 B767:C769 B816:C818 B865:C867 B963:C965 B1159:C1161 B1012:C1014 B1061:C1063 B1110:C1112 B1208:C1210 B1257:C1259 B1649:C1651 B1306:C1308 B1355:C1357 B1404:C1406 B1453:C1455 B1502:C1504 B1551:C1553 B1600:C1602 B1698:C1700 B1747:C1749 B1796:C1798 B1845:C1847 B1894:C1896 B1943:C1945" xr:uid="{33812296-10A5-4034-9EB6-E4EDBF25CE3B}">
      <formula1>EMAPs</formula1>
    </dataValidation>
    <dataValidation type="list" allowBlank="1" showInputMessage="1" showErrorMessage="1" sqref="B419:C421 B27:C29 B76:C78 B125:C127 B174:C176 B223:C225 B272:C274 B321:C323 B370:C372 B468:C470 B909:C911 B517:C519 B566:C568 B615:C617 B664:C666 B713:C715 B762:C764 B811:C813 B860:C862 B958:C960 B1154:C1156 B1007:C1009 B1056:C1058 B1105:C1107 B1203:C1205 B1644:C1646 B1252:C1254 B1301:C1303 B1350:C1352 B1399:C1401 B1448:C1450 B1497:C1499 B1546:C1548 B1595:C1597 B1693:C1695 B1742:C1744 B1791:C1793 B1840:C1842 B1889:C1891 B1938:C1940" xr:uid="{A91443DF-F770-4191-98FD-94FD062C54F6}">
      <formula1>POETE_Categories</formula1>
    </dataValidation>
    <dataValidation allowBlank="1" showInputMessage="1" showErrorMessage="1" prompt="This cell counts the number of named projects in this sheet." sqref="B1" xr:uid="{66E98313-C86A-4F02-9121-0E63C51CCA18}"/>
    <dataValidation allowBlank="1" showInputMessage="1" showErrorMessage="1" prompt="What will the project accomplish? How does this project address the identified gap or need and how does it support the Performance Goal identified in the table below?" sqref="B16:G18 B408 B65 B114 B163 B310 B212 B359 B261 B457 B506:G508 B898 B555 B604 B653 B800 B702 B849 B751 B947 B1143 B1045 B1094 B996 B1192 B1241:G1243 B1633 B1290 B1339 B1388 B1535 B1437 B1584 B1486 B1682 B1731:G1733 B1780 B1829 B1878 B1927" xr:uid="{89F1BDE9-0DC2-409B-993B-7B8FB5B8739C}"/>
    <dataValidation allowBlank="1" showInputMessage="1" showErrorMessage="1" prompt="Briefly describe the specific gap or need that this project addresses. The gap/need should correlate to the performance goal identified below._x000a_" sqref="B13 B503 B1238 B1728" xr:uid="{0B1D0E71-79AA-4BFA-9313-B61F16B6B148}"/>
    <dataValidation allowBlank="1" showErrorMessage="1" prompt="A Mission Area must be selected before a Core Capability can be selected." sqref="A468:A470 A27:A29 A76:A78 A125:A127 A174:A176 A223:A225 A272:A274 A321:A323 A370:A372 A419:A421 A958:A960 A517:A519 A566:A568 A615:A617 A664:A666 A713:A715 A762:A764 A811:A813 A860:A862 A909:A911 A1203:A1205 A1007:A1009 A1056:A1058 A1105:A1107 A1154:A1156 A1693:A1695 A1252:A1254 A1301:A1303 A1350:A1352 A1399:A1401 A1448:A1450 A1497:A1499 A1546:A1548 A1595:A1597 A1644:A1646 A1742:A1744 A1791:A1793 A1840:A1842 A1889:A1891 A1938:A1940" xr:uid="{DD666685-99C4-4FA8-ABE5-4383AF3B9B19}"/>
    <dataValidation allowBlank="1" showInputMessage="1" showErrorMessage="1" prompt="Describe the specific gap or need identified that this project addresses. " sqref="B209 B62 B111 B454 B405 B356 B307 B258 B160 B699 B552 B601 B944 B895 B846 B797 B748 B650 B1189 B1140 B1091 B1042 B993 B1434 B1287 B1336 B1679 B1630 B1581 B1532 B1483 B1385 B1924 B1777 B1826 B1875" xr:uid="{D1A17D4C-8CA5-4E64-AAFE-9A1E4C488C75}"/>
    <dataValidation allowBlank="1" showInputMessage="1" showErrorMessage="1" prompt="What is the anticipated impact of the project on the identified Priorities and Performance Goals? The impact statement should include a quantitative estimate of percent change/improvement in the supported core capabilities." sqref="B411 B362 B68 B117 B166 B215 B264 B313 B460 B901 B852 B558 B607 B656 B705 B754 B803 B950 B1146 B1097 B999 B1048 B1195 B1636 B1587 B1293 B1342 B1391 B1440 B1489 B1538 B1685 B1783 B1832 B1881 B1930" xr:uid="{AE484D1E-F78E-4897-9B78-F9FFFC23AD16}"/>
    <dataValidation allowBlank="1" showInputMessage="1" showErrorMessage="1" prompt="What is the anticipated impact of the project on the identified Priorities and Performance Goals? The impact statement should include a quantitative estimate of the degree to which the project will contribute to acheiving the identified performance goal." sqref="B19:G21 B509:G511 B1244:G1246 B1734:G1736" xr:uid="{003E33B7-E9D8-4715-BDD0-251F59044477}"/>
    <dataValidation type="list" allowBlank="1" showInputMessage="1" showErrorMessage="1" sqref="G13:G15 G62:G64 G111:G113 G160:G162 G209:G211 G258:G260 G307:G309 G356:G358 G405:G407 G454:G456 G503:G505 G552:G554 G601:G603 G650:G652 G699:G701 G748:G750 G797:G799 G846:G848 G895:G897 G944:G946 G993:G995 G1042:G1044 G1091:G1093 G1140:G1142 G1189:G1191 G1238:G1240 G1287:G1289 G1336:G1338 G1385:G1387 G1434:G1436 G1483:G1485 G1532:G1534 G1581:G1583 G1630:G1632 G1679:G1681 G1728:G1730 G1777:G1779 G1826:G1828 G1875:G1877 G1924:G1926" xr:uid="{4B9958AF-6AC1-42BD-8432-8D987F92F1B0}">
      <formula1>"THIRA/SPR,Hazard Mitigation Plan,After Action Report,Audit/Monitoring Finding,Other Deliberate Plan"</formula1>
    </dataValidation>
    <dataValidation type="list" allowBlank="1" showInputMessage="1" showErrorMessage="1" sqref="C24 C73 C122 C171 C220 C269 C318 C367 C416 C465 C514 C563 C612 C661 C710 C759 C808 C857 C906 C955 C1004 C1053 C1102 C1151 C1200 C1249 C1298 C1347 C1396 C1445 C1494 C1543 C1592 C1641 C1690 C1739 C1788 C1837 C1886 C1935" xr:uid="{BA8877B8-361F-42E3-8DEF-F5DA2568067A}">
      <formula1>RA_Agreed_Upon_Priorities</formula1>
    </dataValidation>
    <dataValidation type="list" allowBlank="1" showInputMessage="1" showErrorMessage="1" sqref="D6:F6 D1231:F1231" xr:uid="{930746C5-8CD5-4DB2-9DF9-48C69F816953}">
      <formula1>Funding_Source</formula1>
    </dataValidation>
    <dataValidation allowBlank="1" showErrorMessage="1" prompt="This cell counts the number of named projects in this sheet." sqref="B2:B4" xr:uid="{5887E1E3-8FA4-4C3A-A951-77DE4F87B85C}"/>
  </dataValidations>
  <hyperlinks>
    <hyperlink ref="A37:F37" r:id="rId1" display="Core Capability Development Sheets" xr:uid="{0E0A1748-10ED-476B-8503-57C822627E27}"/>
    <hyperlink ref="A38:F38" location="'Definitions and Guidance'!A1" display="For additional guidance, please click here." xr:uid="{8754AA08-2208-46E6-9E64-D1B4540944EE}"/>
    <hyperlink ref="A86:F86" r:id="rId2" display="Core Capability Development Sheets" xr:uid="{4537660A-3A45-4834-8946-EB1BCBC59EF6}"/>
    <hyperlink ref="A87:F87" location="'Definitions and Guidance'!A1" display="For additional guidance, please click here." xr:uid="{C99C0128-EC6F-414A-BADD-9E1FE5728F2E}"/>
    <hyperlink ref="A135:F135" r:id="rId3" display="Core Capability Development Sheets" xr:uid="{F760F843-4347-4AC1-A64D-898142410D5B}"/>
    <hyperlink ref="A136:F136" location="'Definitions and Guidance'!A1" display="For additional guidance, please click here." xr:uid="{E43590FE-B2C3-45AF-A6AE-DC9DCD899344}"/>
    <hyperlink ref="A184:F184" r:id="rId4" display="Core Capability Development Sheets" xr:uid="{0279B46F-35C2-4EB7-AF48-AF87776B95CA}"/>
    <hyperlink ref="A185:F185" location="'Definitions and Guidance'!A1" display="For additional guidance, please click here." xr:uid="{BACD7B37-8892-44F9-B5ED-213E49AFCA1A}"/>
    <hyperlink ref="A233:F233" r:id="rId5" display="Core Capability Development Sheets" xr:uid="{3E30E900-BBB8-4BDD-B9A5-1493BB77BB0C}"/>
    <hyperlink ref="A234:F234" location="'Definitions and Guidance'!A1" display="For additional guidance, please click here." xr:uid="{ADE2F3B5-6556-4941-8FFB-EFD486EE4E3B}"/>
    <hyperlink ref="A282:F282" r:id="rId6" display="Core Capability Development Sheets" xr:uid="{AADCD041-975E-4BE1-A658-D808D92C21B0}"/>
    <hyperlink ref="A283:F283" location="'Definitions and Guidance'!A1" display="For additional guidance, please click here." xr:uid="{7E931D1A-C261-4456-B99F-A2C72558FFB1}"/>
    <hyperlink ref="A331:F331" r:id="rId7" display="Core Capability Development Sheets" xr:uid="{370C8442-C3CA-4320-B2B7-B406A2A397A3}"/>
    <hyperlink ref="A332:F332" location="'Definitions and Guidance'!A1" display="For additional guidance, please click here." xr:uid="{9D6D18D6-35AE-4394-B07C-97CF64E4C8BE}"/>
    <hyperlink ref="A380:F380" r:id="rId8" display="Core Capability Development Sheets" xr:uid="{F210B1DB-1E1F-4FD4-B204-B25ED6C34FDA}"/>
    <hyperlink ref="A381:F381" location="'Definitions and Guidance'!A1" display="For additional guidance, please click here." xr:uid="{0A5BA4DC-30B9-4BF2-90CD-3A6CA1F77E18}"/>
    <hyperlink ref="A429:F429" r:id="rId9" display="Core Capability Development Sheets" xr:uid="{0554BA73-D71F-4E8A-B513-6E57903ADB16}"/>
    <hyperlink ref="A430:F430" location="'Definitions and Guidance'!A1" display="For additional guidance, please click here." xr:uid="{86815722-875F-40EA-8AE1-2568FD909E2F}"/>
    <hyperlink ref="A478:F478" r:id="rId10" display="Core Capability Development Sheets" xr:uid="{D656BDFE-883A-40AD-8F09-D85CD3E55DAE}"/>
    <hyperlink ref="A479:F479" location="'Definitions and Guidance'!A1" display="For additional guidance, please click here." xr:uid="{106644F4-BB47-43B0-BE37-5B6C1024BE11}"/>
    <hyperlink ref="A527:F527" r:id="rId11" display="Core Capability Development Sheets" xr:uid="{7DAF6832-65F0-4BCF-BD54-45773E3557E1}"/>
    <hyperlink ref="A528:F528" location="'Definitions and Guidance'!A1" display="For additional guidance, please click here." xr:uid="{64A9A639-A2EF-408D-95E0-1301ED21824A}"/>
    <hyperlink ref="A576:F576" r:id="rId12" display="Core Capability Development Sheets" xr:uid="{EA0895A4-0C4E-4C6E-853A-E397F5E186E5}"/>
    <hyperlink ref="A577:F577" location="'Definitions and Guidance'!A1" display="For additional guidance, please click here." xr:uid="{6BBAB2D1-356A-4452-AF4C-4602230B4F59}"/>
    <hyperlink ref="A625:F625" r:id="rId13" display="Core Capability Development Sheets" xr:uid="{90A4064A-4EA5-4599-821C-C510A90DC9BE}"/>
    <hyperlink ref="A626:F626" location="'Definitions and Guidance'!A1" display="For additional guidance, please click here." xr:uid="{B2FC4223-8AA7-426D-8F2B-4610BB2A1722}"/>
    <hyperlink ref="A674:F674" r:id="rId14" display="Core Capability Development Sheets" xr:uid="{F797E85D-D94D-4292-9458-C40669AD45FC}"/>
    <hyperlink ref="A675:F675" location="'Definitions and Guidance'!A1" display="For additional guidance, please click here." xr:uid="{61C9DF6C-91A7-46B2-ABAA-2D4BB4FB7C39}"/>
    <hyperlink ref="A723:F723" r:id="rId15" display="Core Capability Development Sheets" xr:uid="{61BEFAB1-0478-4033-8E5F-0651E6E8283F}"/>
    <hyperlink ref="A724:F724" location="'Definitions and Guidance'!A1" display="For additional guidance, please click here." xr:uid="{C0DBD63D-9889-4B9C-A8F9-FA60E6558E43}"/>
    <hyperlink ref="A772:F772" r:id="rId16" display="Core Capability Development Sheets" xr:uid="{294F01AA-8028-439B-9440-A1473418B2AA}"/>
    <hyperlink ref="A773:F773" location="'Definitions and Guidance'!A1" display="For additional guidance, please click here." xr:uid="{85B6166B-6355-47D9-8A0F-CADB45800D53}"/>
    <hyperlink ref="A821:F821" r:id="rId17" display="Core Capability Development Sheets" xr:uid="{BBEC039A-D648-4308-B481-983BCCF752D7}"/>
    <hyperlink ref="A822:F822" location="'Definitions and Guidance'!A1" display="For additional guidance, please click here." xr:uid="{9DA00B63-9F31-444B-9182-49EF82888104}"/>
    <hyperlink ref="A870:F870" r:id="rId18" display="Core Capability Development Sheets" xr:uid="{002024DB-074F-4667-80F1-ED4E6C882FA4}"/>
    <hyperlink ref="A871:F871" location="'Definitions and Guidance'!A1" display="For additional guidance, please click here." xr:uid="{F26891C2-5580-452B-9D53-1DFF17B7B097}"/>
    <hyperlink ref="A919:F919" r:id="rId19" display="Core Capability Development Sheets" xr:uid="{C151F815-7331-4306-B234-7D60A8E7A34D}"/>
    <hyperlink ref="A920:F920" location="'Definitions and Guidance'!A1" display="For additional guidance, please click here." xr:uid="{470E2F67-5C1B-404A-95E5-93AF41036F33}"/>
    <hyperlink ref="A968:F968" r:id="rId20" display="Core Capability Development Sheets" xr:uid="{68467B03-8454-44ED-B880-C79EA9068DB9}"/>
    <hyperlink ref="A969:F969" location="'Definitions and Guidance'!A1" display="For additional guidance, please click here." xr:uid="{C68D0C73-4124-4817-A519-988CF46C0CF4}"/>
    <hyperlink ref="A1017:F1017" r:id="rId21" display="Core Capability Development Sheets" xr:uid="{979504D0-56E2-457F-BEC8-15897243A506}"/>
    <hyperlink ref="A1018:F1018" location="'Definitions and Guidance'!A1" display="For additional guidance, please click here." xr:uid="{5804284B-075C-40D3-B205-BBE7742053E0}"/>
    <hyperlink ref="A1066:F1066" r:id="rId22" display="Core Capability Development Sheets" xr:uid="{8429261D-CD93-41E5-A36C-E8BE0BBF0EBC}"/>
    <hyperlink ref="A1067:F1067" location="'Definitions and Guidance'!A1" display="For additional guidance, please click here." xr:uid="{56C1885A-9686-4033-8B3A-CCBE94B0443D}"/>
    <hyperlink ref="A1115:F1115" r:id="rId23" display="Core Capability Development Sheets" xr:uid="{21633015-A4FA-4BC0-B84E-5FB7299AC5A9}"/>
    <hyperlink ref="A1116:F1116" location="'Definitions and Guidance'!A1" display="For additional guidance, please click here." xr:uid="{EECC3120-7F69-4164-A635-DDF27703A884}"/>
    <hyperlink ref="A1164:F1164" r:id="rId24" display="Core Capability Development Sheets" xr:uid="{2F1E2AD3-9A7F-4164-9E0B-381D668B0A04}"/>
    <hyperlink ref="A1165:F1165" location="'Definitions and Guidance'!A1" display="For additional guidance, please click here." xr:uid="{5A9B5BC3-DAD1-4B77-882C-9FA8110E3F2E}"/>
    <hyperlink ref="A1213:F1213" r:id="rId25" display="Core Capability Development Sheets" xr:uid="{368178C1-6BC1-40E3-BCDB-4378B328F8CC}"/>
    <hyperlink ref="A1214:F1214" location="'Definitions and Guidance'!A1" display="For additional guidance, please click here." xr:uid="{90128DB2-01AB-445E-A0DE-5B87F1A8C63A}"/>
    <hyperlink ref="A1262:F1262" r:id="rId26" display="Core Capability Development Sheets" xr:uid="{87BE9C6E-93DB-4583-BF4F-74B9487904CA}"/>
    <hyperlink ref="A1263:F1263" location="'Definitions and Guidance'!A1" display="For additional guidance, please click here." xr:uid="{7CA488E4-2AA4-466B-804D-D8DF377EA4A0}"/>
    <hyperlink ref="A1311:F1311" r:id="rId27" display="Core Capability Development Sheets" xr:uid="{9BB90CB3-25EE-458B-A383-F76FDAF6C31C}"/>
    <hyperlink ref="A1312:F1312" location="'Definitions and Guidance'!A1" display="For additional guidance, please click here." xr:uid="{B04B22ED-57F6-4E3B-A277-1DFB7BF7BB5C}"/>
    <hyperlink ref="A1360:F1360" r:id="rId28" display="Core Capability Development Sheets" xr:uid="{F6F8D474-0C11-4E4A-96AA-96DA800B3F49}"/>
    <hyperlink ref="A1361:F1361" location="'Definitions and Guidance'!A1" display="For additional guidance, please click here." xr:uid="{865A3A8E-1200-4B97-B0A5-BCDA04CBDA4C}"/>
    <hyperlink ref="A1409:F1409" r:id="rId29" display="Core Capability Development Sheets" xr:uid="{F568955B-25E1-4DFF-8752-A93C40BDA849}"/>
    <hyperlink ref="A1410:F1410" location="'Definitions and Guidance'!A1" display="For additional guidance, please click here." xr:uid="{A8184B79-D255-4E05-9A33-8AFC6F3B6D47}"/>
    <hyperlink ref="A1458:F1458" r:id="rId30" display="Core Capability Development Sheets" xr:uid="{96C7248C-CEDE-40FB-B30C-3CAC627C700A}"/>
    <hyperlink ref="A1459:F1459" location="'Definitions and Guidance'!A1" display="For additional guidance, please click here." xr:uid="{EF2CBCC6-4B9E-4D40-8539-3D13CCC3B2BA}"/>
    <hyperlink ref="A1507:F1507" r:id="rId31" display="Core Capability Development Sheets" xr:uid="{ABA377FF-EDDE-463B-8AC1-49941BFF4B43}"/>
    <hyperlink ref="A1508:F1508" location="'Definitions and Guidance'!A1" display="For additional guidance, please click here." xr:uid="{A233DED1-3EA0-4B9D-8275-1B8D5886CA43}"/>
    <hyperlink ref="A1556:F1556" r:id="rId32" display="Core Capability Development Sheets" xr:uid="{06952BCB-31A2-4CAC-8FC7-ED85B2064DFD}"/>
    <hyperlink ref="A1557:F1557" location="'Definitions and Guidance'!A1" display="For additional guidance, please click here." xr:uid="{49E883D7-11F5-4AA7-824E-A2F9F8B339CC}"/>
    <hyperlink ref="A1605:F1605" r:id="rId33" display="Core Capability Development Sheets" xr:uid="{5ED2D36F-FADC-415C-AFCF-4EB8A2AF3A00}"/>
    <hyperlink ref="A1606:F1606" location="'Definitions and Guidance'!A1" display="For additional guidance, please click here." xr:uid="{B1C32A1D-7D83-4DCE-BE34-D378B45D148E}"/>
    <hyperlink ref="A1654:F1654" r:id="rId34" display="Core Capability Development Sheets" xr:uid="{0A50FBDE-803A-4573-9D33-91F94EA5BB2E}"/>
    <hyperlink ref="A1655:F1655" location="'Definitions and Guidance'!A1" display="For additional guidance, please click here." xr:uid="{B906F663-575C-4EAC-8CA0-ADAB7295F822}"/>
    <hyperlink ref="A1703:F1703" r:id="rId35" display="Core Capability Development Sheets" xr:uid="{20EBB9C6-8CBD-417D-8F4F-F25D90E00175}"/>
    <hyperlink ref="A1704:F1704" location="'Definitions and Guidance'!A1" display="For additional guidance, please click here." xr:uid="{ED1FFBF8-7AAC-4F90-958E-C014925AD6F3}"/>
    <hyperlink ref="A1752:F1752" r:id="rId36" display="Core Capability Development Sheets" xr:uid="{8041C019-9010-497E-989D-6DFA63B3B397}"/>
    <hyperlink ref="A1753:F1753" location="'Definitions and Guidance'!A1" display="For additional guidance, please click here." xr:uid="{C239D713-F1D6-46ED-BA52-7E50004F3E81}"/>
    <hyperlink ref="A1801:F1801" r:id="rId37" display="Core Capability Development Sheets" xr:uid="{00FE6293-84A1-4274-96A2-604E06F7700B}"/>
    <hyperlink ref="A1802:F1802" location="'Definitions and Guidance'!A1" display="For additional guidance, please click here." xr:uid="{3F220B87-5186-4A43-B7B1-E9ACBA7C9CA6}"/>
    <hyperlink ref="A1850:F1850" r:id="rId38" display="Core Capability Development Sheets" xr:uid="{A075E3E6-BADB-4E00-A691-54AF42F7DD84}"/>
    <hyperlink ref="A1851:F1851" location="'Definitions and Guidance'!A1" display="For additional guidance, please click here." xr:uid="{76421ED9-7366-45B0-9827-EF52E3660EC3}"/>
    <hyperlink ref="A1899:F1899" r:id="rId39" display="Core Capability Development Sheets" xr:uid="{D732996E-DC44-408C-97F6-882E173F4637}"/>
    <hyperlink ref="A1900:F1900" location="'Definitions and Guidance'!A1" display="For additional guidance, please click here." xr:uid="{3384BE4E-88ED-4D0C-A878-6892DE133028}"/>
    <hyperlink ref="A1948:F1948" r:id="rId40" display="Core Capability Development Sheets" xr:uid="{48C1F5AD-A2E7-46A7-A77E-B81EB3BF663E}"/>
    <hyperlink ref="A1949:F1949" location="'Definitions and Guidance'!A1" display="For additional guidance, please click here." xr:uid="{E9B472E6-8617-4328-A197-D9D12228B760}"/>
  </hyperlinks>
  <pageMargins left="0.7" right="0.7" top="0.75" bottom="0.75" header="0.3" footer="0.3"/>
  <pageSetup orientation="portrait" r:id="rId4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48AA5-3DD2-48E6-81FE-5D9FD93A387C}">
  <dimension ref="A1:N6395"/>
  <sheetViews>
    <sheetView topLeftCell="A31" zoomScale="85" zoomScaleNormal="85" workbookViewId="0">
      <selection activeCell="D19" sqref="D19"/>
    </sheetView>
  </sheetViews>
  <sheetFormatPr defaultColWidth="8.86328125" defaultRowHeight="14.25" x14ac:dyDescent="0.45"/>
  <cols>
    <col min="1" max="1" width="11.796875" style="61" customWidth="1"/>
    <col min="2" max="3" width="10.19921875" style="61" customWidth="1"/>
    <col min="4" max="4" width="61.46484375" style="61" customWidth="1"/>
    <col min="5" max="5" width="17.6640625" style="61" customWidth="1"/>
    <col min="6" max="11" width="16.19921875" style="61" customWidth="1"/>
    <col min="12" max="12" width="61.796875" style="61" customWidth="1"/>
    <col min="13" max="14" width="7.33203125" style="61" customWidth="1"/>
    <col min="15" max="16384" width="8.86328125" style="61"/>
  </cols>
  <sheetData>
    <row r="1" spans="1:14" ht="33.6" customHeight="1" thickBot="1" x14ac:dyDescent="0.5">
      <c r="A1" s="187" t="s">
        <v>76</v>
      </c>
      <c r="B1" s="186">
        <v>1</v>
      </c>
      <c r="C1" s="109"/>
      <c r="D1" s="109"/>
    </row>
    <row r="2" spans="1:14" ht="15.6" customHeight="1" x14ac:dyDescent="0.45">
      <c r="A2" s="443" t="s">
        <v>89</v>
      </c>
      <c r="B2" s="448">
        <f>Name1</f>
        <v>0</v>
      </c>
      <c r="C2" s="449"/>
      <c r="D2" s="450"/>
    </row>
    <row r="3" spans="1:14" ht="15.6" customHeight="1" x14ac:dyDescent="0.45">
      <c r="A3" s="444"/>
      <c r="B3" s="448"/>
      <c r="C3" s="449"/>
      <c r="D3" s="450"/>
    </row>
    <row r="4" spans="1:14" ht="15.6" customHeight="1" x14ac:dyDescent="0.45">
      <c r="A4" s="445"/>
      <c r="B4" s="388"/>
      <c r="C4" s="451"/>
      <c r="D4" s="452"/>
    </row>
    <row r="5" spans="1:14" ht="15.6" customHeight="1" x14ac:dyDescent="0.45">
      <c r="A5" s="444" t="s">
        <v>155</v>
      </c>
      <c r="B5" s="453">
        <f>GapA1</f>
        <v>0</v>
      </c>
      <c r="C5" s="454"/>
      <c r="D5" s="455"/>
    </row>
    <row r="6" spans="1:14" ht="15.6" customHeight="1" x14ac:dyDescent="0.45">
      <c r="A6" s="444"/>
      <c r="B6" s="448"/>
      <c r="C6" s="449"/>
      <c r="D6" s="450"/>
    </row>
    <row r="7" spans="1:14" ht="15.6" customHeight="1" x14ac:dyDescent="0.45">
      <c r="A7" s="445"/>
      <c r="B7" s="388"/>
      <c r="C7" s="451"/>
      <c r="D7" s="452"/>
    </row>
    <row r="8" spans="1:14" ht="15.6" customHeight="1" x14ac:dyDescent="0.45">
      <c r="A8" s="444" t="s">
        <v>159</v>
      </c>
      <c r="B8" s="453">
        <f>Objective1</f>
        <v>0</v>
      </c>
      <c r="C8" s="454"/>
      <c r="D8" s="455"/>
    </row>
    <row r="9" spans="1:14" ht="15.6" customHeight="1" x14ac:dyDescent="0.45">
      <c r="A9" s="444"/>
      <c r="B9" s="448"/>
      <c r="C9" s="449"/>
      <c r="D9" s="450"/>
    </row>
    <row r="10" spans="1:14" ht="15.6" customHeight="1" x14ac:dyDescent="0.45">
      <c r="A10" s="445"/>
      <c r="B10" s="388"/>
      <c r="C10" s="451"/>
      <c r="D10" s="452"/>
    </row>
    <row r="11" spans="1:14" ht="15.6" customHeight="1" x14ac:dyDescent="0.45">
      <c r="A11" s="446" t="s">
        <v>166</v>
      </c>
      <c r="B11" s="454">
        <f>Capacity1</f>
        <v>0</v>
      </c>
      <c r="C11" s="454"/>
      <c r="D11" s="455"/>
    </row>
    <row r="12" spans="1:14" ht="15.6" customHeight="1" x14ac:dyDescent="0.45">
      <c r="A12" s="447"/>
      <c r="B12" s="449"/>
      <c r="C12" s="449"/>
      <c r="D12" s="450"/>
    </row>
    <row r="13" spans="1:14" ht="15.6" customHeight="1" thickBot="1" x14ac:dyDescent="0.5">
      <c r="A13" s="447"/>
      <c r="B13" s="456"/>
      <c r="C13" s="456"/>
      <c r="D13" s="457"/>
    </row>
    <row r="14" spans="1:14" x14ac:dyDescent="0.45">
      <c r="A14" s="188"/>
    </row>
    <row r="15" spans="1:14" ht="14.65" thickBot="1" x14ac:dyDescent="0.5">
      <c r="A15" s="90"/>
      <c r="B15" s="90"/>
      <c r="C15" s="90"/>
      <c r="D15" s="90"/>
      <c r="E15" s="90"/>
      <c r="F15" s="90"/>
      <c r="G15" s="90"/>
      <c r="H15" s="90"/>
      <c r="I15" s="90"/>
      <c r="J15" s="90"/>
      <c r="K15" s="90"/>
      <c r="L15" s="90"/>
      <c r="M15" s="90"/>
      <c r="N15" s="90"/>
    </row>
    <row r="16" spans="1:14" ht="21.75" customHeight="1" x14ac:dyDescent="0.45">
      <c r="A16" s="458" t="s">
        <v>135</v>
      </c>
      <c r="B16" s="459"/>
      <c r="C16" s="459"/>
      <c r="D16" s="459"/>
      <c r="E16" s="459"/>
      <c r="F16" s="459"/>
      <c r="G16" s="459"/>
      <c r="H16" s="459"/>
      <c r="I16" s="459"/>
      <c r="J16" s="459"/>
      <c r="K16" s="459"/>
      <c r="L16" s="460"/>
    </row>
    <row r="17" spans="1:14" ht="29" customHeight="1" thickBot="1" x14ac:dyDescent="0.5">
      <c r="A17" s="93" t="s">
        <v>74</v>
      </c>
      <c r="B17" s="94" t="s">
        <v>28</v>
      </c>
      <c r="C17" s="95" t="s">
        <v>320</v>
      </c>
      <c r="D17" s="95" t="s">
        <v>127</v>
      </c>
      <c r="E17" s="114" t="s">
        <v>90</v>
      </c>
      <c r="F17" s="95" t="s">
        <v>175</v>
      </c>
      <c r="G17" s="95" t="s">
        <v>176</v>
      </c>
      <c r="H17" s="95" t="s">
        <v>156</v>
      </c>
      <c r="I17" s="95" t="s">
        <v>157</v>
      </c>
      <c r="J17" s="189" t="s">
        <v>321</v>
      </c>
      <c r="K17" s="190" t="s">
        <v>29</v>
      </c>
      <c r="L17" s="191" t="s">
        <v>322</v>
      </c>
    </row>
    <row r="18" spans="1:14" x14ac:dyDescent="0.45">
      <c r="A18" s="461">
        <v>1</v>
      </c>
      <c r="B18" s="440">
        <v>1</v>
      </c>
      <c r="C18" s="192">
        <v>1</v>
      </c>
      <c r="D18" s="79"/>
      <c r="E18" s="96"/>
      <c r="F18" s="96"/>
      <c r="G18" s="96"/>
      <c r="H18" s="96"/>
      <c r="I18" s="96"/>
      <c r="J18" s="96"/>
      <c r="K18" s="96"/>
      <c r="L18" s="193"/>
    </row>
    <row r="19" spans="1:14" x14ac:dyDescent="0.45">
      <c r="A19" s="462"/>
      <c r="B19" s="441"/>
      <c r="C19" s="194">
        <v>2</v>
      </c>
      <c r="D19" s="80"/>
      <c r="E19" s="97"/>
      <c r="F19" s="97"/>
      <c r="G19" s="97"/>
      <c r="H19" s="97"/>
      <c r="I19" s="97"/>
      <c r="J19" s="97"/>
      <c r="K19" s="97"/>
      <c r="L19" s="195"/>
    </row>
    <row r="20" spans="1:14" x14ac:dyDescent="0.45">
      <c r="A20" s="462"/>
      <c r="B20" s="441"/>
      <c r="C20" s="194">
        <v>3</v>
      </c>
      <c r="D20" s="80"/>
      <c r="E20" s="97"/>
      <c r="F20" s="97"/>
      <c r="G20" s="97"/>
      <c r="H20" s="97"/>
      <c r="I20" s="97"/>
      <c r="J20" s="97"/>
      <c r="K20" s="97"/>
      <c r="L20" s="195"/>
    </row>
    <row r="21" spans="1:14" x14ac:dyDescent="0.45">
      <c r="A21" s="462"/>
      <c r="B21" s="441"/>
      <c r="C21" s="194">
        <v>4</v>
      </c>
      <c r="D21" s="80"/>
      <c r="E21" s="97"/>
      <c r="F21" s="97"/>
      <c r="G21" s="97"/>
      <c r="H21" s="97"/>
      <c r="I21" s="97"/>
      <c r="J21" s="97"/>
      <c r="K21" s="97"/>
      <c r="L21" s="195"/>
    </row>
    <row r="22" spans="1:14" x14ac:dyDescent="0.45">
      <c r="A22" s="462"/>
      <c r="B22" s="441"/>
      <c r="C22" s="194">
        <v>5</v>
      </c>
      <c r="D22" s="80"/>
      <c r="E22" s="97"/>
      <c r="F22" s="97"/>
      <c r="G22" s="97"/>
      <c r="H22" s="97"/>
      <c r="I22" s="97"/>
      <c r="J22" s="97"/>
      <c r="K22" s="97"/>
      <c r="L22" s="195"/>
    </row>
    <row r="23" spans="1:14" x14ac:dyDescent="0.45">
      <c r="A23" s="462"/>
      <c r="B23" s="441"/>
      <c r="C23" s="194">
        <v>6</v>
      </c>
      <c r="D23" s="80"/>
      <c r="E23" s="97"/>
      <c r="F23" s="97"/>
      <c r="G23" s="97"/>
      <c r="H23" s="97"/>
      <c r="I23" s="97"/>
      <c r="J23" s="97"/>
      <c r="K23" s="97"/>
      <c r="L23" s="195"/>
    </row>
    <row r="24" spans="1:14" x14ac:dyDescent="0.45">
      <c r="A24" s="462"/>
      <c r="B24" s="441"/>
      <c r="C24" s="194">
        <v>7</v>
      </c>
      <c r="D24" s="80"/>
      <c r="E24" s="97"/>
      <c r="F24" s="97"/>
      <c r="G24" s="97"/>
      <c r="H24" s="97"/>
      <c r="I24" s="97"/>
      <c r="J24" s="97"/>
      <c r="K24" s="97"/>
      <c r="L24" s="195"/>
    </row>
    <row r="25" spans="1:14" x14ac:dyDescent="0.45">
      <c r="A25" s="462"/>
      <c r="B25" s="441"/>
      <c r="C25" s="194">
        <v>8</v>
      </c>
      <c r="D25" s="80"/>
      <c r="E25" s="97"/>
      <c r="F25" s="97"/>
      <c r="G25" s="97"/>
      <c r="H25" s="97"/>
      <c r="I25" s="97"/>
      <c r="J25" s="97"/>
      <c r="K25" s="97"/>
      <c r="L25" s="195"/>
    </row>
    <row r="26" spans="1:14" x14ac:dyDescent="0.45">
      <c r="A26" s="462"/>
      <c r="B26" s="441"/>
      <c r="C26" s="194">
        <v>9</v>
      </c>
      <c r="D26" s="80"/>
      <c r="E26" s="97"/>
      <c r="F26" s="97"/>
      <c r="G26" s="97"/>
      <c r="H26" s="97"/>
      <c r="I26" s="97"/>
      <c r="J26" s="97"/>
      <c r="K26" s="97"/>
      <c r="L26" s="195"/>
    </row>
    <row r="27" spans="1:14" x14ac:dyDescent="0.45">
      <c r="A27" s="462"/>
      <c r="B27" s="441"/>
      <c r="C27" s="194">
        <v>10</v>
      </c>
      <c r="D27" s="80"/>
      <c r="E27" s="97"/>
      <c r="F27" s="97"/>
      <c r="G27" s="97"/>
      <c r="H27" s="97"/>
      <c r="I27" s="97"/>
      <c r="J27" s="97"/>
      <c r="K27" s="97"/>
      <c r="L27" s="195"/>
    </row>
    <row r="28" spans="1:14" x14ac:dyDescent="0.45">
      <c r="A28" s="462"/>
      <c r="B28" s="441"/>
      <c r="C28" s="194">
        <v>11</v>
      </c>
      <c r="D28" s="81"/>
      <c r="E28" s="98"/>
      <c r="F28" s="98"/>
      <c r="G28" s="98"/>
      <c r="H28" s="98"/>
      <c r="I28" s="98"/>
      <c r="J28" s="98"/>
      <c r="K28" s="98"/>
      <c r="L28" s="196"/>
    </row>
    <row r="29" spans="1:14" s="90" customFormat="1" ht="14.65" thickBot="1" x14ac:dyDescent="0.5">
      <c r="A29" s="462"/>
      <c r="B29" s="442"/>
      <c r="C29" s="197">
        <v>12</v>
      </c>
      <c r="D29" s="82"/>
      <c r="E29" s="99"/>
      <c r="F29" s="99"/>
      <c r="G29" s="99"/>
      <c r="H29" s="99"/>
      <c r="I29" s="99"/>
      <c r="J29" s="99"/>
      <c r="K29" s="99"/>
      <c r="L29" s="198"/>
      <c r="M29" s="61"/>
      <c r="N29" s="61"/>
    </row>
    <row r="30" spans="1:14" x14ac:dyDescent="0.45">
      <c r="A30" s="462"/>
      <c r="B30" s="440">
        <v>2</v>
      </c>
      <c r="C30" s="192">
        <v>1</v>
      </c>
      <c r="D30" s="79"/>
      <c r="E30" s="96"/>
      <c r="F30" s="96"/>
      <c r="G30" s="96"/>
      <c r="H30" s="96"/>
      <c r="I30" s="96"/>
      <c r="J30" s="96"/>
      <c r="K30" s="96"/>
      <c r="L30" s="193"/>
    </row>
    <row r="31" spans="1:14" x14ac:dyDescent="0.45">
      <c r="A31" s="462"/>
      <c r="B31" s="441"/>
      <c r="C31" s="194">
        <v>2</v>
      </c>
      <c r="D31" s="80"/>
      <c r="E31" s="97"/>
      <c r="F31" s="97"/>
      <c r="G31" s="97"/>
      <c r="H31" s="97"/>
      <c r="I31" s="97"/>
      <c r="J31" s="97"/>
      <c r="K31" s="97"/>
      <c r="L31" s="195"/>
    </row>
    <row r="32" spans="1:14" x14ac:dyDescent="0.45">
      <c r="A32" s="462"/>
      <c r="B32" s="441"/>
      <c r="C32" s="194">
        <v>3</v>
      </c>
      <c r="D32" s="80"/>
      <c r="E32" s="97"/>
      <c r="F32" s="97"/>
      <c r="G32" s="97"/>
      <c r="H32" s="97"/>
      <c r="I32" s="97"/>
      <c r="J32" s="97"/>
      <c r="K32" s="97"/>
      <c r="L32" s="195"/>
    </row>
    <row r="33" spans="1:12" x14ac:dyDescent="0.45">
      <c r="A33" s="462"/>
      <c r="B33" s="441"/>
      <c r="C33" s="194">
        <v>4</v>
      </c>
      <c r="D33" s="80"/>
      <c r="E33" s="97"/>
      <c r="F33" s="97"/>
      <c r="G33" s="97"/>
      <c r="H33" s="97"/>
      <c r="I33" s="97"/>
      <c r="J33" s="97"/>
      <c r="K33" s="97"/>
      <c r="L33" s="195"/>
    </row>
    <row r="34" spans="1:12" x14ac:dyDescent="0.45">
      <c r="A34" s="462"/>
      <c r="B34" s="441"/>
      <c r="C34" s="194">
        <v>5</v>
      </c>
      <c r="D34" s="80"/>
      <c r="E34" s="97"/>
      <c r="F34" s="97"/>
      <c r="G34" s="97"/>
      <c r="H34" s="97"/>
      <c r="I34" s="97"/>
      <c r="J34" s="97"/>
      <c r="K34" s="97"/>
      <c r="L34" s="195"/>
    </row>
    <row r="35" spans="1:12" x14ac:dyDescent="0.45">
      <c r="A35" s="462"/>
      <c r="B35" s="441"/>
      <c r="C35" s="194">
        <v>6</v>
      </c>
      <c r="D35" s="80"/>
      <c r="E35" s="97"/>
      <c r="F35" s="97"/>
      <c r="G35" s="97"/>
      <c r="H35" s="97"/>
      <c r="I35" s="97"/>
      <c r="J35" s="97"/>
      <c r="K35" s="97"/>
      <c r="L35" s="195"/>
    </row>
    <row r="36" spans="1:12" x14ac:dyDescent="0.45">
      <c r="A36" s="462"/>
      <c r="B36" s="441"/>
      <c r="C36" s="194">
        <v>7</v>
      </c>
      <c r="D36" s="80"/>
      <c r="E36" s="97"/>
      <c r="F36" s="97"/>
      <c r="G36" s="97"/>
      <c r="H36" s="97"/>
      <c r="I36" s="97"/>
      <c r="J36" s="97"/>
      <c r="K36" s="97"/>
      <c r="L36" s="195"/>
    </row>
    <row r="37" spans="1:12" x14ac:dyDescent="0.45">
      <c r="A37" s="462"/>
      <c r="B37" s="441"/>
      <c r="C37" s="194">
        <v>8</v>
      </c>
      <c r="D37" s="80"/>
      <c r="E37" s="97"/>
      <c r="F37" s="97"/>
      <c r="G37" s="97"/>
      <c r="H37" s="97"/>
      <c r="I37" s="97"/>
      <c r="J37" s="97"/>
      <c r="K37" s="97"/>
      <c r="L37" s="195"/>
    </row>
    <row r="38" spans="1:12" x14ac:dyDescent="0.45">
      <c r="A38" s="462"/>
      <c r="B38" s="441"/>
      <c r="C38" s="194">
        <v>9</v>
      </c>
      <c r="D38" s="80"/>
      <c r="E38" s="97"/>
      <c r="F38" s="97"/>
      <c r="G38" s="97"/>
      <c r="H38" s="97"/>
      <c r="I38" s="97"/>
      <c r="J38" s="97"/>
      <c r="K38" s="97"/>
      <c r="L38" s="195"/>
    </row>
    <row r="39" spans="1:12" x14ac:dyDescent="0.45">
      <c r="A39" s="462"/>
      <c r="B39" s="441"/>
      <c r="C39" s="194">
        <v>10</v>
      </c>
      <c r="D39" s="80"/>
      <c r="E39" s="97"/>
      <c r="F39" s="97"/>
      <c r="G39" s="97"/>
      <c r="H39" s="97"/>
      <c r="I39" s="97"/>
      <c r="J39" s="97"/>
      <c r="K39" s="97"/>
      <c r="L39" s="195"/>
    </row>
    <row r="40" spans="1:12" x14ac:dyDescent="0.45">
      <c r="A40" s="462"/>
      <c r="B40" s="441"/>
      <c r="C40" s="194">
        <v>11</v>
      </c>
      <c r="D40" s="81"/>
      <c r="E40" s="98"/>
      <c r="F40" s="98"/>
      <c r="G40" s="98"/>
      <c r="H40" s="98"/>
      <c r="I40" s="98"/>
      <c r="J40" s="98"/>
      <c r="K40" s="98"/>
      <c r="L40" s="196"/>
    </row>
    <row r="41" spans="1:12" ht="14.65" thickBot="1" x14ac:dyDescent="0.5">
      <c r="A41" s="462"/>
      <c r="B41" s="442"/>
      <c r="C41" s="197">
        <v>12</v>
      </c>
      <c r="D41" s="82"/>
      <c r="E41" s="99"/>
      <c r="F41" s="99"/>
      <c r="G41" s="99"/>
      <c r="H41" s="99"/>
      <c r="I41" s="99"/>
      <c r="J41" s="99"/>
      <c r="K41" s="99"/>
      <c r="L41" s="198"/>
    </row>
    <row r="42" spans="1:12" x14ac:dyDescent="0.45">
      <c r="A42" s="462"/>
      <c r="B42" s="440">
        <v>3</v>
      </c>
      <c r="C42" s="192">
        <v>1</v>
      </c>
      <c r="D42" s="79"/>
      <c r="E42" s="96"/>
      <c r="F42" s="96"/>
      <c r="G42" s="96"/>
      <c r="H42" s="96"/>
      <c r="I42" s="96"/>
      <c r="J42" s="96"/>
      <c r="K42" s="96"/>
      <c r="L42" s="193"/>
    </row>
    <row r="43" spans="1:12" x14ac:dyDescent="0.45">
      <c r="A43" s="462"/>
      <c r="B43" s="441"/>
      <c r="C43" s="194">
        <v>2</v>
      </c>
      <c r="D43" s="80"/>
      <c r="E43" s="97"/>
      <c r="F43" s="97"/>
      <c r="G43" s="97"/>
      <c r="H43" s="97"/>
      <c r="I43" s="97"/>
      <c r="J43" s="97"/>
      <c r="K43" s="97"/>
      <c r="L43" s="195"/>
    </row>
    <row r="44" spans="1:12" x14ac:dyDescent="0.45">
      <c r="A44" s="462"/>
      <c r="B44" s="441"/>
      <c r="C44" s="194">
        <v>3</v>
      </c>
      <c r="D44" s="80"/>
      <c r="E44" s="97"/>
      <c r="F44" s="97"/>
      <c r="G44" s="97"/>
      <c r="H44" s="97"/>
      <c r="I44" s="97"/>
      <c r="J44" s="97"/>
      <c r="K44" s="97"/>
      <c r="L44" s="195"/>
    </row>
    <row r="45" spans="1:12" x14ac:dyDescent="0.45">
      <c r="A45" s="462"/>
      <c r="B45" s="441"/>
      <c r="C45" s="194">
        <v>4</v>
      </c>
      <c r="D45" s="80"/>
      <c r="E45" s="97"/>
      <c r="F45" s="97"/>
      <c r="G45" s="97"/>
      <c r="H45" s="97"/>
      <c r="I45" s="97"/>
      <c r="J45" s="97"/>
      <c r="K45" s="97"/>
      <c r="L45" s="195"/>
    </row>
    <row r="46" spans="1:12" x14ac:dyDescent="0.45">
      <c r="A46" s="462"/>
      <c r="B46" s="441"/>
      <c r="C46" s="194">
        <v>5</v>
      </c>
      <c r="D46" s="80"/>
      <c r="E46" s="97"/>
      <c r="F46" s="97"/>
      <c r="G46" s="97"/>
      <c r="H46" s="97"/>
      <c r="I46" s="97"/>
      <c r="J46" s="97"/>
      <c r="K46" s="97"/>
      <c r="L46" s="195"/>
    </row>
    <row r="47" spans="1:12" x14ac:dyDescent="0.45">
      <c r="A47" s="462"/>
      <c r="B47" s="441"/>
      <c r="C47" s="194">
        <v>6</v>
      </c>
      <c r="D47" s="80"/>
      <c r="E47" s="97"/>
      <c r="F47" s="97"/>
      <c r="G47" s="97"/>
      <c r="H47" s="97"/>
      <c r="I47" s="97"/>
      <c r="J47" s="97"/>
      <c r="K47" s="97"/>
      <c r="L47" s="195"/>
    </row>
    <row r="48" spans="1:12" x14ac:dyDescent="0.45">
      <c r="A48" s="462"/>
      <c r="B48" s="441"/>
      <c r="C48" s="194">
        <v>7</v>
      </c>
      <c r="D48" s="80"/>
      <c r="E48" s="97"/>
      <c r="F48" s="97"/>
      <c r="G48" s="97"/>
      <c r="H48" s="97"/>
      <c r="I48" s="97"/>
      <c r="J48" s="97"/>
      <c r="K48" s="97"/>
      <c r="L48" s="195"/>
    </row>
    <row r="49" spans="1:12" x14ac:dyDescent="0.45">
      <c r="A49" s="462"/>
      <c r="B49" s="441"/>
      <c r="C49" s="194">
        <v>8</v>
      </c>
      <c r="D49" s="80"/>
      <c r="E49" s="97"/>
      <c r="F49" s="97"/>
      <c r="G49" s="97"/>
      <c r="H49" s="97"/>
      <c r="I49" s="97"/>
      <c r="J49" s="97"/>
      <c r="K49" s="97"/>
      <c r="L49" s="195"/>
    </row>
    <row r="50" spans="1:12" x14ac:dyDescent="0.45">
      <c r="A50" s="462"/>
      <c r="B50" s="441"/>
      <c r="C50" s="194">
        <v>9</v>
      </c>
      <c r="D50" s="80"/>
      <c r="E50" s="97"/>
      <c r="F50" s="97"/>
      <c r="G50" s="97"/>
      <c r="H50" s="97"/>
      <c r="I50" s="97"/>
      <c r="J50" s="97"/>
      <c r="K50" s="97"/>
      <c r="L50" s="195"/>
    </row>
    <row r="51" spans="1:12" x14ac:dyDescent="0.45">
      <c r="A51" s="462"/>
      <c r="B51" s="441"/>
      <c r="C51" s="194">
        <v>10</v>
      </c>
      <c r="D51" s="80"/>
      <c r="E51" s="97"/>
      <c r="F51" s="97"/>
      <c r="G51" s="97"/>
      <c r="H51" s="97"/>
      <c r="I51" s="97"/>
      <c r="J51" s="97"/>
      <c r="K51" s="97"/>
      <c r="L51" s="195"/>
    </row>
    <row r="52" spans="1:12" x14ac:dyDescent="0.45">
      <c r="A52" s="462"/>
      <c r="B52" s="441"/>
      <c r="C52" s="194">
        <v>11</v>
      </c>
      <c r="D52" s="81"/>
      <c r="E52" s="98"/>
      <c r="F52" s="98"/>
      <c r="G52" s="98"/>
      <c r="H52" s="98"/>
      <c r="I52" s="98"/>
      <c r="J52" s="98"/>
      <c r="K52" s="98"/>
      <c r="L52" s="196"/>
    </row>
    <row r="53" spans="1:12" ht="14.65" thickBot="1" x14ac:dyDescent="0.5">
      <c r="A53" s="462"/>
      <c r="B53" s="442"/>
      <c r="C53" s="197">
        <v>12</v>
      </c>
      <c r="D53" s="82"/>
      <c r="E53" s="99"/>
      <c r="F53" s="99"/>
      <c r="G53" s="99"/>
      <c r="H53" s="99"/>
      <c r="I53" s="99"/>
      <c r="J53" s="99"/>
      <c r="K53" s="99"/>
      <c r="L53" s="198"/>
    </row>
    <row r="54" spans="1:12" x14ac:dyDescent="0.45">
      <c r="A54" s="462"/>
      <c r="B54" s="440">
        <v>4</v>
      </c>
      <c r="C54" s="192">
        <v>1</v>
      </c>
      <c r="D54" s="79"/>
      <c r="E54" s="96"/>
      <c r="F54" s="96"/>
      <c r="G54" s="96"/>
      <c r="H54" s="96"/>
      <c r="I54" s="96"/>
      <c r="J54" s="96"/>
      <c r="K54" s="96"/>
      <c r="L54" s="193"/>
    </row>
    <row r="55" spans="1:12" x14ac:dyDescent="0.45">
      <c r="A55" s="462"/>
      <c r="B55" s="441"/>
      <c r="C55" s="194">
        <v>2</v>
      </c>
      <c r="D55" s="80"/>
      <c r="E55" s="97"/>
      <c r="F55" s="97"/>
      <c r="G55" s="97"/>
      <c r="H55" s="97"/>
      <c r="I55" s="97"/>
      <c r="J55" s="97"/>
      <c r="K55" s="97"/>
      <c r="L55" s="195"/>
    </row>
    <row r="56" spans="1:12" x14ac:dyDescent="0.45">
      <c r="A56" s="462"/>
      <c r="B56" s="441"/>
      <c r="C56" s="194">
        <v>3</v>
      </c>
      <c r="D56" s="80"/>
      <c r="E56" s="97"/>
      <c r="F56" s="97"/>
      <c r="G56" s="97"/>
      <c r="H56" s="97"/>
      <c r="I56" s="97"/>
      <c r="J56" s="97"/>
      <c r="K56" s="97"/>
      <c r="L56" s="195"/>
    </row>
    <row r="57" spans="1:12" x14ac:dyDescent="0.45">
      <c r="A57" s="462"/>
      <c r="B57" s="441"/>
      <c r="C57" s="194">
        <v>4</v>
      </c>
      <c r="D57" s="80"/>
      <c r="E57" s="97"/>
      <c r="F57" s="97"/>
      <c r="G57" s="97"/>
      <c r="H57" s="97"/>
      <c r="I57" s="97"/>
      <c r="J57" s="97"/>
      <c r="K57" s="97"/>
      <c r="L57" s="195"/>
    </row>
    <row r="58" spans="1:12" x14ac:dyDescent="0.45">
      <c r="A58" s="462"/>
      <c r="B58" s="441"/>
      <c r="C58" s="194">
        <v>5</v>
      </c>
      <c r="D58" s="80"/>
      <c r="E58" s="97"/>
      <c r="F58" s="97"/>
      <c r="G58" s="97"/>
      <c r="H58" s="97"/>
      <c r="I58" s="97"/>
      <c r="J58" s="97"/>
      <c r="K58" s="97"/>
      <c r="L58" s="195"/>
    </row>
    <row r="59" spans="1:12" x14ac:dyDescent="0.45">
      <c r="A59" s="462"/>
      <c r="B59" s="441"/>
      <c r="C59" s="194">
        <v>6</v>
      </c>
      <c r="D59" s="80"/>
      <c r="E59" s="97"/>
      <c r="F59" s="97"/>
      <c r="G59" s="97"/>
      <c r="H59" s="97"/>
      <c r="I59" s="97"/>
      <c r="J59" s="97"/>
      <c r="K59" s="97"/>
      <c r="L59" s="195"/>
    </row>
    <row r="60" spans="1:12" x14ac:dyDescent="0.45">
      <c r="A60" s="462"/>
      <c r="B60" s="441"/>
      <c r="C60" s="194">
        <v>7</v>
      </c>
      <c r="D60" s="80"/>
      <c r="E60" s="97"/>
      <c r="F60" s="97"/>
      <c r="G60" s="97"/>
      <c r="H60" s="97"/>
      <c r="I60" s="97"/>
      <c r="J60" s="97"/>
      <c r="K60" s="97"/>
      <c r="L60" s="195"/>
    </row>
    <row r="61" spans="1:12" x14ac:dyDescent="0.45">
      <c r="A61" s="462"/>
      <c r="B61" s="441"/>
      <c r="C61" s="194">
        <v>8</v>
      </c>
      <c r="D61" s="80"/>
      <c r="E61" s="97"/>
      <c r="F61" s="97"/>
      <c r="G61" s="97"/>
      <c r="H61" s="97"/>
      <c r="I61" s="97"/>
      <c r="J61" s="97"/>
      <c r="K61" s="97"/>
      <c r="L61" s="195"/>
    </row>
    <row r="62" spans="1:12" x14ac:dyDescent="0.45">
      <c r="A62" s="462"/>
      <c r="B62" s="441"/>
      <c r="C62" s="194">
        <v>9</v>
      </c>
      <c r="D62" s="80"/>
      <c r="E62" s="97"/>
      <c r="F62" s="97"/>
      <c r="G62" s="97"/>
      <c r="H62" s="97"/>
      <c r="I62" s="97"/>
      <c r="J62" s="97"/>
      <c r="K62" s="97"/>
      <c r="L62" s="195"/>
    </row>
    <row r="63" spans="1:12" x14ac:dyDescent="0.45">
      <c r="A63" s="462"/>
      <c r="B63" s="441"/>
      <c r="C63" s="194">
        <v>10</v>
      </c>
      <c r="D63" s="80"/>
      <c r="E63" s="97"/>
      <c r="F63" s="97"/>
      <c r="G63" s="97"/>
      <c r="H63" s="97"/>
      <c r="I63" s="97"/>
      <c r="J63" s="97"/>
      <c r="K63" s="97"/>
      <c r="L63" s="195"/>
    </row>
    <row r="64" spans="1:12" x14ac:dyDescent="0.45">
      <c r="A64" s="462"/>
      <c r="B64" s="441"/>
      <c r="C64" s="194">
        <v>11</v>
      </c>
      <c r="D64" s="81"/>
      <c r="E64" s="98"/>
      <c r="F64" s="98"/>
      <c r="G64" s="98"/>
      <c r="H64" s="98"/>
      <c r="I64" s="98"/>
      <c r="J64" s="98"/>
      <c r="K64" s="98"/>
      <c r="L64" s="196"/>
    </row>
    <row r="65" spans="1:12" ht="14.65" thickBot="1" x14ac:dyDescent="0.5">
      <c r="A65" s="463"/>
      <c r="B65" s="442"/>
      <c r="C65" s="197">
        <v>12</v>
      </c>
      <c r="D65" s="82"/>
      <c r="E65" s="99"/>
      <c r="F65" s="99"/>
      <c r="G65" s="99"/>
      <c r="H65" s="99"/>
      <c r="I65" s="99"/>
      <c r="J65" s="99"/>
      <c r="K65" s="99"/>
      <c r="L65" s="198"/>
    </row>
    <row r="66" spans="1:12" x14ac:dyDescent="0.45">
      <c r="A66" s="461">
        <v>2</v>
      </c>
      <c r="B66" s="440">
        <v>5</v>
      </c>
      <c r="C66" s="192">
        <v>1</v>
      </c>
      <c r="D66" s="79"/>
      <c r="E66" s="96"/>
      <c r="F66" s="96"/>
      <c r="G66" s="96"/>
      <c r="H66" s="96"/>
      <c r="I66" s="96"/>
      <c r="J66" s="96"/>
      <c r="K66" s="96"/>
      <c r="L66" s="193"/>
    </row>
    <row r="67" spans="1:12" x14ac:dyDescent="0.45">
      <c r="A67" s="462"/>
      <c r="B67" s="441"/>
      <c r="C67" s="194">
        <v>2</v>
      </c>
      <c r="D67" s="80"/>
      <c r="E67" s="97"/>
      <c r="F67" s="97"/>
      <c r="G67" s="97"/>
      <c r="H67" s="97"/>
      <c r="I67" s="97"/>
      <c r="J67" s="97"/>
      <c r="K67" s="97"/>
      <c r="L67" s="195"/>
    </row>
    <row r="68" spans="1:12" x14ac:dyDescent="0.45">
      <c r="A68" s="462"/>
      <c r="B68" s="441"/>
      <c r="C68" s="194">
        <v>3</v>
      </c>
      <c r="D68" s="80"/>
      <c r="E68" s="97"/>
      <c r="F68" s="97"/>
      <c r="G68" s="97"/>
      <c r="H68" s="97"/>
      <c r="I68" s="97"/>
      <c r="J68" s="97"/>
      <c r="K68" s="97"/>
      <c r="L68" s="195"/>
    </row>
    <row r="69" spans="1:12" x14ac:dyDescent="0.45">
      <c r="A69" s="462"/>
      <c r="B69" s="441"/>
      <c r="C69" s="194">
        <v>4</v>
      </c>
      <c r="D69" s="80"/>
      <c r="E69" s="97"/>
      <c r="F69" s="97"/>
      <c r="G69" s="97"/>
      <c r="H69" s="97"/>
      <c r="I69" s="97"/>
      <c r="J69" s="97"/>
      <c r="K69" s="97"/>
      <c r="L69" s="195"/>
    </row>
    <row r="70" spans="1:12" x14ac:dyDescent="0.45">
      <c r="A70" s="462"/>
      <c r="B70" s="441"/>
      <c r="C70" s="194">
        <v>5</v>
      </c>
      <c r="D70" s="80"/>
      <c r="E70" s="97"/>
      <c r="F70" s="97"/>
      <c r="G70" s="97"/>
      <c r="H70" s="97"/>
      <c r="I70" s="97"/>
      <c r="J70" s="97"/>
      <c r="K70" s="97"/>
      <c r="L70" s="195"/>
    </row>
    <row r="71" spans="1:12" x14ac:dyDescent="0.45">
      <c r="A71" s="462"/>
      <c r="B71" s="441"/>
      <c r="C71" s="194">
        <v>6</v>
      </c>
      <c r="D71" s="80"/>
      <c r="E71" s="97"/>
      <c r="F71" s="97"/>
      <c r="G71" s="97"/>
      <c r="H71" s="97"/>
      <c r="I71" s="97"/>
      <c r="J71" s="97"/>
      <c r="K71" s="97"/>
      <c r="L71" s="195"/>
    </row>
    <row r="72" spans="1:12" x14ac:dyDescent="0.45">
      <c r="A72" s="462"/>
      <c r="B72" s="441"/>
      <c r="C72" s="194">
        <v>7</v>
      </c>
      <c r="D72" s="80"/>
      <c r="E72" s="97"/>
      <c r="F72" s="97"/>
      <c r="G72" s="97"/>
      <c r="H72" s="97"/>
      <c r="I72" s="97"/>
      <c r="J72" s="97"/>
      <c r="K72" s="97"/>
      <c r="L72" s="195"/>
    </row>
    <row r="73" spans="1:12" x14ac:dyDescent="0.45">
      <c r="A73" s="462"/>
      <c r="B73" s="441"/>
      <c r="C73" s="194">
        <v>8</v>
      </c>
      <c r="D73" s="80"/>
      <c r="E73" s="97"/>
      <c r="F73" s="97"/>
      <c r="G73" s="97"/>
      <c r="H73" s="97"/>
      <c r="I73" s="97"/>
      <c r="J73" s="97"/>
      <c r="K73" s="97"/>
      <c r="L73" s="195"/>
    </row>
    <row r="74" spans="1:12" x14ac:dyDescent="0.45">
      <c r="A74" s="462"/>
      <c r="B74" s="441"/>
      <c r="C74" s="194">
        <v>9</v>
      </c>
      <c r="D74" s="80"/>
      <c r="E74" s="97"/>
      <c r="F74" s="97"/>
      <c r="G74" s="97"/>
      <c r="H74" s="97"/>
      <c r="I74" s="97"/>
      <c r="J74" s="97"/>
      <c r="K74" s="97"/>
      <c r="L74" s="195"/>
    </row>
    <row r="75" spans="1:12" x14ac:dyDescent="0.45">
      <c r="A75" s="462"/>
      <c r="B75" s="441"/>
      <c r="C75" s="194">
        <v>10</v>
      </c>
      <c r="D75" s="80"/>
      <c r="E75" s="97"/>
      <c r="F75" s="97"/>
      <c r="G75" s="97"/>
      <c r="H75" s="97"/>
      <c r="I75" s="97"/>
      <c r="J75" s="97"/>
      <c r="K75" s="97"/>
      <c r="L75" s="195"/>
    </row>
    <row r="76" spans="1:12" x14ac:dyDescent="0.45">
      <c r="A76" s="462"/>
      <c r="B76" s="441"/>
      <c r="C76" s="194">
        <v>11</v>
      </c>
      <c r="D76" s="81"/>
      <c r="E76" s="98"/>
      <c r="F76" s="98"/>
      <c r="G76" s="98"/>
      <c r="H76" s="98"/>
      <c r="I76" s="98"/>
      <c r="J76" s="98"/>
      <c r="K76" s="98"/>
      <c r="L76" s="196"/>
    </row>
    <row r="77" spans="1:12" ht="14.65" thickBot="1" x14ac:dyDescent="0.5">
      <c r="A77" s="462"/>
      <c r="B77" s="442"/>
      <c r="C77" s="197">
        <v>12</v>
      </c>
      <c r="D77" s="82"/>
      <c r="E77" s="99"/>
      <c r="F77" s="99"/>
      <c r="G77" s="99"/>
      <c r="H77" s="99"/>
      <c r="I77" s="99"/>
      <c r="J77" s="99"/>
      <c r="K77" s="99"/>
      <c r="L77" s="198"/>
    </row>
    <row r="78" spans="1:12" x14ac:dyDescent="0.45">
      <c r="A78" s="462"/>
      <c r="B78" s="440">
        <v>6</v>
      </c>
      <c r="C78" s="192">
        <v>1</v>
      </c>
      <c r="D78" s="79"/>
      <c r="E78" s="96"/>
      <c r="F78" s="96"/>
      <c r="G78" s="96"/>
      <c r="H78" s="96"/>
      <c r="I78" s="96"/>
      <c r="J78" s="96"/>
      <c r="K78" s="96"/>
      <c r="L78" s="193"/>
    </row>
    <row r="79" spans="1:12" x14ac:dyDescent="0.45">
      <c r="A79" s="462"/>
      <c r="B79" s="441"/>
      <c r="C79" s="194">
        <v>2</v>
      </c>
      <c r="D79" s="80"/>
      <c r="E79" s="97"/>
      <c r="F79" s="97"/>
      <c r="G79" s="97"/>
      <c r="H79" s="97"/>
      <c r="I79" s="97"/>
      <c r="J79" s="97"/>
      <c r="K79" s="97"/>
      <c r="L79" s="195"/>
    </row>
    <row r="80" spans="1:12" x14ac:dyDescent="0.45">
      <c r="A80" s="462"/>
      <c r="B80" s="441"/>
      <c r="C80" s="194">
        <v>3</v>
      </c>
      <c r="D80" s="80"/>
      <c r="E80" s="97"/>
      <c r="F80" s="97"/>
      <c r="G80" s="97"/>
      <c r="H80" s="97"/>
      <c r="I80" s="97"/>
      <c r="J80" s="97"/>
      <c r="K80" s="97"/>
      <c r="L80" s="195"/>
    </row>
    <row r="81" spans="1:12" x14ac:dyDescent="0.45">
      <c r="A81" s="462"/>
      <c r="B81" s="441"/>
      <c r="C81" s="194">
        <v>4</v>
      </c>
      <c r="D81" s="80"/>
      <c r="E81" s="97"/>
      <c r="F81" s="97"/>
      <c r="G81" s="97"/>
      <c r="H81" s="97"/>
      <c r="I81" s="97"/>
      <c r="J81" s="97"/>
      <c r="K81" s="97"/>
      <c r="L81" s="195"/>
    </row>
    <row r="82" spans="1:12" x14ac:dyDescent="0.45">
      <c r="A82" s="462"/>
      <c r="B82" s="441"/>
      <c r="C82" s="194">
        <v>5</v>
      </c>
      <c r="D82" s="80"/>
      <c r="E82" s="97"/>
      <c r="F82" s="97"/>
      <c r="G82" s="97"/>
      <c r="H82" s="97"/>
      <c r="I82" s="97"/>
      <c r="J82" s="97"/>
      <c r="K82" s="97"/>
      <c r="L82" s="195"/>
    </row>
    <row r="83" spans="1:12" x14ac:dyDescent="0.45">
      <c r="A83" s="462"/>
      <c r="B83" s="441"/>
      <c r="C83" s="194">
        <v>6</v>
      </c>
      <c r="D83" s="80"/>
      <c r="E83" s="97"/>
      <c r="F83" s="97"/>
      <c r="G83" s="97"/>
      <c r="H83" s="97"/>
      <c r="I83" s="97"/>
      <c r="J83" s="97"/>
      <c r="K83" s="97"/>
      <c r="L83" s="195"/>
    </row>
    <row r="84" spans="1:12" x14ac:dyDescent="0.45">
      <c r="A84" s="462"/>
      <c r="B84" s="441"/>
      <c r="C84" s="194">
        <v>7</v>
      </c>
      <c r="D84" s="80"/>
      <c r="E84" s="97"/>
      <c r="F84" s="97"/>
      <c r="G84" s="97"/>
      <c r="H84" s="97"/>
      <c r="I84" s="97"/>
      <c r="J84" s="97"/>
      <c r="K84" s="97"/>
      <c r="L84" s="195"/>
    </row>
    <row r="85" spans="1:12" x14ac:dyDescent="0.45">
      <c r="A85" s="462"/>
      <c r="B85" s="441"/>
      <c r="C85" s="194">
        <v>8</v>
      </c>
      <c r="D85" s="80"/>
      <c r="E85" s="97"/>
      <c r="F85" s="97"/>
      <c r="G85" s="97"/>
      <c r="H85" s="97"/>
      <c r="I85" s="97"/>
      <c r="J85" s="97"/>
      <c r="K85" s="97"/>
      <c r="L85" s="195"/>
    </row>
    <row r="86" spans="1:12" x14ac:dyDescent="0.45">
      <c r="A86" s="462"/>
      <c r="B86" s="441"/>
      <c r="C86" s="194">
        <v>9</v>
      </c>
      <c r="D86" s="80"/>
      <c r="E86" s="97"/>
      <c r="F86" s="97"/>
      <c r="G86" s="97"/>
      <c r="H86" s="97"/>
      <c r="I86" s="97"/>
      <c r="J86" s="97"/>
      <c r="K86" s="97"/>
      <c r="L86" s="195"/>
    </row>
    <row r="87" spans="1:12" x14ac:dyDescent="0.45">
      <c r="A87" s="462"/>
      <c r="B87" s="441"/>
      <c r="C87" s="194">
        <v>10</v>
      </c>
      <c r="D87" s="80"/>
      <c r="E87" s="97"/>
      <c r="F87" s="97"/>
      <c r="G87" s="97"/>
      <c r="H87" s="97"/>
      <c r="I87" s="97"/>
      <c r="J87" s="97"/>
      <c r="K87" s="97"/>
      <c r="L87" s="195"/>
    </row>
    <row r="88" spans="1:12" x14ac:dyDescent="0.45">
      <c r="A88" s="462"/>
      <c r="B88" s="441"/>
      <c r="C88" s="194">
        <v>11</v>
      </c>
      <c r="D88" s="81"/>
      <c r="E88" s="98"/>
      <c r="F88" s="98"/>
      <c r="G88" s="98"/>
      <c r="H88" s="98"/>
      <c r="I88" s="98"/>
      <c r="J88" s="98"/>
      <c r="K88" s="98"/>
      <c r="L88" s="196"/>
    </row>
    <row r="89" spans="1:12" ht="14.65" thickBot="1" x14ac:dyDescent="0.5">
      <c r="A89" s="462"/>
      <c r="B89" s="442"/>
      <c r="C89" s="197">
        <v>12</v>
      </c>
      <c r="D89" s="82"/>
      <c r="E89" s="99"/>
      <c r="F89" s="99"/>
      <c r="G89" s="99"/>
      <c r="H89" s="99"/>
      <c r="I89" s="99"/>
      <c r="J89" s="99"/>
      <c r="K89" s="99"/>
      <c r="L89" s="198"/>
    </row>
    <row r="90" spans="1:12" x14ac:dyDescent="0.45">
      <c r="A90" s="462"/>
      <c r="B90" s="440">
        <v>7</v>
      </c>
      <c r="C90" s="192">
        <v>1</v>
      </c>
      <c r="D90" s="79"/>
      <c r="E90" s="96"/>
      <c r="F90" s="96"/>
      <c r="G90" s="96"/>
      <c r="H90" s="96"/>
      <c r="I90" s="96"/>
      <c r="J90" s="96"/>
      <c r="K90" s="96"/>
      <c r="L90" s="193"/>
    </row>
    <row r="91" spans="1:12" x14ac:dyDescent="0.45">
      <c r="A91" s="462"/>
      <c r="B91" s="441"/>
      <c r="C91" s="194">
        <v>2</v>
      </c>
      <c r="D91" s="80"/>
      <c r="E91" s="97"/>
      <c r="F91" s="97"/>
      <c r="G91" s="97"/>
      <c r="H91" s="97"/>
      <c r="I91" s="97"/>
      <c r="J91" s="97"/>
      <c r="K91" s="97"/>
      <c r="L91" s="195"/>
    </row>
    <row r="92" spans="1:12" x14ac:dyDescent="0.45">
      <c r="A92" s="462"/>
      <c r="B92" s="441"/>
      <c r="C92" s="194">
        <v>3</v>
      </c>
      <c r="D92" s="80"/>
      <c r="E92" s="97"/>
      <c r="F92" s="97"/>
      <c r="G92" s="97"/>
      <c r="H92" s="97"/>
      <c r="I92" s="97"/>
      <c r="J92" s="97"/>
      <c r="K92" s="97"/>
      <c r="L92" s="195"/>
    </row>
    <row r="93" spans="1:12" x14ac:dyDescent="0.45">
      <c r="A93" s="462"/>
      <c r="B93" s="441"/>
      <c r="C93" s="194">
        <v>4</v>
      </c>
      <c r="D93" s="80"/>
      <c r="E93" s="97"/>
      <c r="F93" s="97"/>
      <c r="G93" s="97"/>
      <c r="H93" s="97"/>
      <c r="I93" s="97"/>
      <c r="J93" s="97"/>
      <c r="K93" s="97"/>
      <c r="L93" s="195"/>
    </row>
    <row r="94" spans="1:12" x14ac:dyDescent="0.45">
      <c r="A94" s="462"/>
      <c r="B94" s="441"/>
      <c r="C94" s="194">
        <v>5</v>
      </c>
      <c r="D94" s="80"/>
      <c r="E94" s="97"/>
      <c r="F94" s="97"/>
      <c r="G94" s="97"/>
      <c r="H94" s="97"/>
      <c r="I94" s="97"/>
      <c r="J94" s="97"/>
      <c r="K94" s="97"/>
      <c r="L94" s="195"/>
    </row>
    <row r="95" spans="1:12" x14ac:dyDescent="0.45">
      <c r="A95" s="462"/>
      <c r="B95" s="441"/>
      <c r="C95" s="194">
        <v>6</v>
      </c>
      <c r="D95" s="80"/>
      <c r="E95" s="97"/>
      <c r="F95" s="97"/>
      <c r="G95" s="97"/>
      <c r="H95" s="97"/>
      <c r="I95" s="97"/>
      <c r="J95" s="97"/>
      <c r="K95" s="97"/>
      <c r="L95" s="195"/>
    </row>
    <row r="96" spans="1:12" x14ac:dyDescent="0.45">
      <c r="A96" s="462"/>
      <c r="B96" s="441"/>
      <c r="C96" s="194">
        <v>7</v>
      </c>
      <c r="D96" s="80"/>
      <c r="E96" s="97"/>
      <c r="F96" s="97"/>
      <c r="G96" s="97"/>
      <c r="H96" s="97"/>
      <c r="I96" s="97"/>
      <c r="J96" s="97"/>
      <c r="K96" s="97"/>
      <c r="L96" s="195"/>
    </row>
    <row r="97" spans="1:12" x14ac:dyDescent="0.45">
      <c r="A97" s="462"/>
      <c r="B97" s="441"/>
      <c r="C97" s="194">
        <v>8</v>
      </c>
      <c r="D97" s="80"/>
      <c r="E97" s="97"/>
      <c r="F97" s="97"/>
      <c r="G97" s="97"/>
      <c r="H97" s="97"/>
      <c r="I97" s="97"/>
      <c r="J97" s="97"/>
      <c r="K97" s="97"/>
      <c r="L97" s="195"/>
    </row>
    <row r="98" spans="1:12" x14ac:dyDescent="0.45">
      <c r="A98" s="462"/>
      <c r="B98" s="441"/>
      <c r="C98" s="194">
        <v>9</v>
      </c>
      <c r="D98" s="80"/>
      <c r="E98" s="97"/>
      <c r="F98" s="97"/>
      <c r="G98" s="97"/>
      <c r="H98" s="97"/>
      <c r="I98" s="97"/>
      <c r="J98" s="97"/>
      <c r="K98" s="97"/>
      <c r="L98" s="195"/>
    </row>
    <row r="99" spans="1:12" x14ac:dyDescent="0.45">
      <c r="A99" s="462"/>
      <c r="B99" s="441"/>
      <c r="C99" s="194">
        <v>10</v>
      </c>
      <c r="D99" s="80"/>
      <c r="E99" s="97"/>
      <c r="F99" s="97"/>
      <c r="G99" s="97"/>
      <c r="H99" s="97"/>
      <c r="I99" s="97"/>
      <c r="J99" s="97"/>
      <c r="K99" s="97"/>
      <c r="L99" s="195"/>
    </row>
    <row r="100" spans="1:12" x14ac:dyDescent="0.45">
      <c r="A100" s="462"/>
      <c r="B100" s="441"/>
      <c r="C100" s="194">
        <v>11</v>
      </c>
      <c r="D100" s="81"/>
      <c r="E100" s="98"/>
      <c r="F100" s="98"/>
      <c r="G100" s="98"/>
      <c r="H100" s="98"/>
      <c r="I100" s="98"/>
      <c r="J100" s="98"/>
      <c r="K100" s="98"/>
      <c r="L100" s="196"/>
    </row>
    <row r="101" spans="1:12" ht="14.65" thickBot="1" x14ac:dyDescent="0.5">
      <c r="A101" s="462"/>
      <c r="B101" s="442"/>
      <c r="C101" s="197">
        <v>12</v>
      </c>
      <c r="D101" s="82"/>
      <c r="E101" s="99"/>
      <c r="F101" s="99"/>
      <c r="G101" s="99"/>
      <c r="H101" s="99"/>
      <c r="I101" s="99"/>
      <c r="J101" s="99"/>
      <c r="K101" s="99"/>
      <c r="L101" s="198"/>
    </row>
    <row r="102" spans="1:12" x14ac:dyDescent="0.45">
      <c r="A102" s="462"/>
      <c r="B102" s="440">
        <v>8</v>
      </c>
      <c r="C102" s="192">
        <v>1</v>
      </c>
      <c r="D102" s="79"/>
      <c r="E102" s="96"/>
      <c r="F102" s="96"/>
      <c r="G102" s="96"/>
      <c r="H102" s="96"/>
      <c r="I102" s="96"/>
      <c r="J102" s="96"/>
      <c r="K102" s="96"/>
      <c r="L102" s="193"/>
    </row>
    <row r="103" spans="1:12" x14ac:dyDescent="0.45">
      <c r="A103" s="462"/>
      <c r="B103" s="441"/>
      <c r="C103" s="194">
        <v>2</v>
      </c>
      <c r="D103" s="80"/>
      <c r="E103" s="97"/>
      <c r="F103" s="97"/>
      <c r="G103" s="97"/>
      <c r="H103" s="97"/>
      <c r="I103" s="97"/>
      <c r="J103" s="97"/>
      <c r="K103" s="97"/>
      <c r="L103" s="195"/>
    </row>
    <row r="104" spans="1:12" x14ac:dyDescent="0.45">
      <c r="A104" s="462"/>
      <c r="B104" s="441"/>
      <c r="C104" s="194">
        <v>3</v>
      </c>
      <c r="D104" s="80"/>
      <c r="E104" s="97"/>
      <c r="F104" s="97"/>
      <c r="G104" s="97"/>
      <c r="H104" s="97"/>
      <c r="I104" s="97"/>
      <c r="J104" s="97"/>
      <c r="K104" s="97"/>
      <c r="L104" s="195"/>
    </row>
    <row r="105" spans="1:12" x14ac:dyDescent="0.45">
      <c r="A105" s="462"/>
      <c r="B105" s="441"/>
      <c r="C105" s="194">
        <v>4</v>
      </c>
      <c r="D105" s="80"/>
      <c r="E105" s="97"/>
      <c r="F105" s="97"/>
      <c r="G105" s="97"/>
      <c r="H105" s="97"/>
      <c r="I105" s="97"/>
      <c r="J105" s="97"/>
      <c r="K105" s="97"/>
      <c r="L105" s="195"/>
    </row>
    <row r="106" spans="1:12" x14ac:dyDescent="0.45">
      <c r="A106" s="462"/>
      <c r="B106" s="441"/>
      <c r="C106" s="194">
        <v>5</v>
      </c>
      <c r="D106" s="80"/>
      <c r="E106" s="97"/>
      <c r="F106" s="97"/>
      <c r="G106" s="97"/>
      <c r="H106" s="97"/>
      <c r="I106" s="97"/>
      <c r="J106" s="97"/>
      <c r="K106" s="97"/>
      <c r="L106" s="195"/>
    </row>
    <row r="107" spans="1:12" x14ac:dyDescent="0.45">
      <c r="A107" s="462"/>
      <c r="B107" s="441"/>
      <c r="C107" s="194">
        <v>6</v>
      </c>
      <c r="D107" s="80"/>
      <c r="E107" s="97"/>
      <c r="F107" s="97"/>
      <c r="G107" s="97"/>
      <c r="H107" s="97"/>
      <c r="I107" s="97"/>
      <c r="J107" s="97"/>
      <c r="K107" s="97"/>
      <c r="L107" s="195"/>
    </row>
    <row r="108" spans="1:12" x14ac:dyDescent="0.45">
      <c r="A108" s="462"/>
      <c r="B108" s="441"/>
      <c r="C108" s="194">
        <v>7</v>
      </c>
      <c r="D108" s="80"/>
      <c r="E108" s="97"/>
      <c r="F108" s="97"/>
      <c r="G108" s="97"/>
      <c r="H108" s="97"/>
      <c r="I108" s="97"/>
      <c r="J108" s="97"/>
      <c r="K108" s="97"/>
      <c r="L108" s="195"/>
    </row>
    <row r="109" spans="1:12" x14ac:dyDescent="0.45">
      <c r="A109" s="462"/>
      <c r="B109" s="441"/>
      <c r="C109" s="194">
        <v>8</v>
      </c>
      <c r="D109" s="80"/>
      <c r="E109" s="97"/>
      <c r="F109" s="97"/>
      <c r="G109" s="97"/>
      <c r="H109" s="97"/>
      <c r="I109" s="97"/>
      <c r="J109" s="97"/>
      <c r="K109" s="97"/>
      <c r="L109" s="195"/>
    </row>
    <row r="110" spans="1:12" x14ac:dyDescent="0.45">
      <c r="A110" s="462"/>
      <c r="B110" s="441"/>
      <c r="C110" s="194">
        <v>9</v>
      </c>
      <c r="D110" s="80"/>
      <c r="E110" s="97"/>
      <c r="F110" s="97"/>
      <c r="G110" s="97"/>
      <c r="H110" s="97"/>
      <c r="I110" s="97"/>
      <c r="J110" s="97"/>
      <c r="K110" s="97"/>
      <c r="L110" s="195"/>
    </row>
    <row r="111" spans="1:12" x14ac:dyDescent="0.45">
      <c r="A111" s="462"/>
      <c r="B111" s="441"/>
      <c r="C111" s="194">
        <v>10</v>
      </c>
      <c r="D111" s="80"/>
      <c r="E111" s="97"/>
      <c r="F111" s="97"/>
      <c r="G111" s="97"/>
      <c r="H111" s="97"/>
      <c r="I111" s="97"/>
      <c r="J111" s="97"/>
      <c r="K111" s="97"/>
      <c r="L111" s="195"/>
    </row>
    <row r="112" spans="1:12" x14ac:dyDescent="0.45">
      <c r="A112" s="462"/>
      <c r="B112" s="441"/>
      <c r="C112" s="194">
        <v>11</v>
      </c>
      <c r="D112" s="81"/>
      <c r="E112" s="98"/>
      <c r="F112" s="98"/>
      <c r="G112" s="98"/>
      <c r="H112" s="98"/>
      <c r="I112" s="98"/>
      <c r="J112" s="98"/>
      <c r="K112" s="98"/>
      <c r="L112" s="196"/>
    </row>
    <row r="113" spans="1:12" ht="14.65" thickBot="1" x14ac:dyDescent="0.5">
      <c r="A113" s="463"/>
      <c r="B113" s="442"/>
      <c r="C113" s="197">
        <v>12</v>
      </c>
      <c r="D113" s="82"/>
      <c r="E113" s="99"/>
      <c r="F113" s="99"/>
      <c r="G113" s="99"/>
      <c r="H113" s="99"/>
      <c r="I113" s="99"/>
      <c r="J113" s="99"/>
      <c r="K113" s="99"/>
      <c r="L113" s="198"/>
    </row>
    <row r="114" spans="1:12" x14ac:dyDescent="0.45">
      <c r="A114" s="461">
        <v>3</v>
      </c>
      <c r="B114" s="440">
        <v>9</v>
      </c>
      <c r="C114" s="192">
        <v>1</v>
      </c>
      <c r="D114" s="79"/>
      <c r="E114" s="96"/>
      <c r="F114" s="96"/>
      <c r="G114" s="96"/>
      <c r="H114" s="96"/>
      <c r="I114" s="96"/>
      <c r="J114" s="96"/>
      <c r="K114" s="96"/>
      <c r="L114" s="193"/>
    </row>
    <row r="115" spans="1:12" x14ac:dyDescent="0.45">
      <c r="A115" s="462"/>
      <c r="B115" s="441"/>
      <c r="C115" s="194">
        <v>2</v>
      </c>
      <c r="D115" s="80"/>
      <c r="E115" s="97"/>
      <c r="F115" s="97"/>
      <c r="G115" s="97"/>
      <c r="H115" s="97"/>
      <c r="I115" s="97"/>
      <c r="J115" s="97"/>
      <c r="K115" s="97"/>
      <c r="L115" s="195"/>
    </row>
    <row r="116" spans="1:12" x14ac:dyDescent="0.45">
      <c r="A116" s="462"/>
      <c r="B116" s="441"/>
      <c r="C116" s="194">
        <v>3</v>
      </c>
      <c r="D116" s="80"/>
      <c r="E116" s="97"/>
      <c r="F116" s="97"/>
      <c r="G116" s="97"/>
      <c r="H116" s="97"/>
      <c r="I116" s="97"/>
      <c r="J116" s="97"/>
      <c r="K116" s="97"/>
      <c r="L116" s="195"/>
    </row>
    <row r="117" spans="1:12" x14ac:dyDescent="0.45">
      <c r="A117" s="462"/>
      <c r="B117" s="441"/>
      <c r="C117" s="194">
        <v>4</v>
      </c>
      <c r="D117" s="80"/>
      <c r="E117" s="97"/>
      <c r="F117" s="97"/>
      <c r="G117" s="97"/>
      <c r="H117" s="97"/>
      <c r="I117" s="97"/>
      <c r="J117" s="97"/>
      <c r="K117" s="97"/>
      <c r="L117" s="195"/>
    </row>
    <row r="118" spans="1:12" x14ac:dyDescent="0.45">
      <c r="A118" s="462"/>
      <c r="B118" s="441"/>
      <c r="C118" s="194">
        <v>5</v>
      </c>
      <c r="D118" s="80"/>
      <c r="E118" s="97"/>
      <c r="F118" s="97"/>
      <c r="G118" s="97"/>
      <c r="H118" s="97"/>
      <c r="I118" s="97"/>
      <c r="J118" s="97"/>
      <c r="K118" s="97"/>
      <c r="L118" s="195"/>
    </row>
    <row r="119" spans="1:12" x14ac:dyDescent="0.45">
      <c r="A119" s="462"/>
      <c r="B119" s="441"/>
      <c r="C119" s="194">
        <v>6</v>
      </c>
      <c r="D119" s="80"/>
      <c r="E119" s="97"/>
      <c r="F119" s="97"/>
      <c r="G119" s="97"/>
      <c r="H119" s="97"/>
      <c r="I119" s="97"/>
      <c r="J119" s="97"/>
      <c r="K119" s="97"/>
      <c r="L119" s="195"/>
    </row>
    <row r="120" spans="1:12" x14ac:dyDescent="0.45">
      <c r="A120" s="462"/>
      <c r="B120" s="441"/>
      <c r="C120" s="194">
        <v>7</v>
      </c>
      <c r="D120" s="80"/>
      <c r="E120" s="97"/>
      <c r="F120" s="97"/>
      <c r="G120" s="97"/>
      <c r="H120" s="97"/>
      <c r="I120" s="97"/>
      <c r="J120" s="97"/>
      <c r="K120" s="97"/>
      <c r="L120" s="195"/>
    </row>
    <row r="121" spans="1:12" x14ac:dyDescent="0.45">
      <c r="A121" s="462"/>
      <c r="B121" s="441"/>
      <c r="C121" s="194">
        <v>8</v>
      </c>
      <c r="D121" s="80"/>
      <c r="E121" s="97"/>
      <c r="F121" s="97"/>
      <c r="G121" s="97"/>
      <c r="H121" s="97"/>
      <c r="I121" s="97"/>
      <c r="J121" s="97"/>
      <c r="K121" s="97"/>
      <c r="L121" s="195"/>
    </row>
    <row r="122" spans="1:12" x14ac:dyDescent="0.45">
      <c r="A122" s="462"/>
      <c r="B122" s="441"/>
      <c r="C122" s="194">
        <v>9</v>
      </c>
      <c r="D122" s="80"/>
      <c r="E122" s="97"/>
      <c r="F122" s="97"/>
      <c r="G122" s="97"/>
      <c r="H122" s="97"/>
      <c r="I122" s="97"/>
      <c r="J122" s="97"/>
      <c r="K122" s="97"/>
      <c r="L122" s="195"/>
    </row>
    <row r="123" spans="1:12" x14ac:dyDescent="0.45">
      <c r="A123" s="462"/>
      <c r="B123" s="441"/>
      <c r="C123" s="194">
        <v>10</v>
      </c>
      <c r="D123" s="80"/>
      <c r="E123" s="97"/>
      <c r="F123" s="97"/>
      <c r="G123" s="97"/>
      <c r="H123" s="97"/>
      <c r="I123" s="97"/>
      <c r="J123" s="97"/>
      <c r="K123" s="97"/>
      <c r="L123" s="195"/>
    </row>
    <row r="124" spans="1:12" x14ac:dyDescent="0.45">
      <c r="A124" s="462"/>
      <c r="B124" s="441"/>
      <c r="C124" s="194">
        <v>11</v>
      </c>
      <c r="D124" s="81"/>
      <c r="E124" s="98"/>
      <c r="F124" s="98"/>
      <c r="G124" s="98"/>
      <c r="H124" s="98"/>
      <c r="I124" s="98"/>
      <c r="J124" s="98"/>
      <c r="K124" s="98"/>
      <c r="L124" s="196"/>
    </row>
    <row r="125" spans="1:12" ht="14.65" thickBot="1" x14ac:dyDescent="0.5">
      <c r="A125" s="462"/>
      <c r="B125" s="442"/>
      <c r="C125" s="197">
        <v>12</v>
      </c>
      <c r="D125" s="82"/>
      <c r="E125" s="99"/>
      <c r="F125" s="99"/>
      <c r="G125" s="99"/>
      <c r="H125" s="99"/>
      <c r="I125" s="99"/>
      <c r="J125" s="99"/>
      <c r="K125" s="99"/>
      <c r="L125" s="198"/>
    </row>
    <row r="126" spans="1:12" x14ac:dyDescent="0.45">
      <c r="A126" s="462"/>
      <c r="B126" s="440">
        <v>10</v>
      </c>
      <c r="C126" s="192">
        <v>1</v>
      </c>
      <c r="D126" s="79"/>
      <c r="E126" s="96"/>
      <c r="F126" s="96"/>
      <c r="G126" s="96"/>
      <c r="H126" s="96"/>
      <c r="I126" s="96"/>
      <c r="J126" s="96"/>
      <c r="K126" s="96"/>
      <c r="L126" s="193"/>
    </row>
    <row r="127" spans="1:12" x14ac:dyDescent="0.45">
      <c r="A127" s="462"/>
      <c r="B127" s="441"/>
      <c r="C127" s="194">
        <v>2</v>
      </c>
      <c r="D127" s="80"/>
      <c r="E127" s="97"/>
      <c r="F127" s="97"/>
      <c r="G127" s="97"/>
      <c r="H127" s="97"/>
      <c r="I127" s="97"/>
      <c r="J127" s="97"/>
      <c r="K127" s="97"/>
      <c r="L127" s="195"/>
    </row>
    <row r="128" spans="1:12" x14ac:dyDescent="0.45">
      <c r="A128" s="462"/>
      <c r="B128" s="441"/>
      <c r="C128" s="194">
        <v>3</v>
      </c>
      <c r="D128" s="80"/>
      <c r="E128" s="97"/>
      <c r="F128" s="97"/>
      <c r="G128" s="97"/>
      <c r="H128" s="97"/>
      <c r="I128" s="97"/>
      <c r="J128" s="97"/>
      <c r="K128" s="97"/>
      <c r="L128" s="195"/>
    </row>
    <row r="129" spans="1:12" x14ac:dyDescent="0.45">
      <c r="A129" s="462"/>
      <c r="B129" s="441"/>
      <c r="C129" s="194">
        <v>4</v>
      </c>
      <c r="D129" s="80"/>
      <c r="E129" s="97"/>
      <c r="F129" s="97"/>
      <c r="G129" s="97"/>
      <c r="H129" s="97"/>
      <c r="I129" s="97"/>
      <c r="J129" s="97"/>
      <c r="K129" s="97"/>
      <c r="L129" s="195"/>
    </row>
    <row r="130" spans="1:12" x14ac:dyDescent="0.45">
      <c r="A130" s="462"/>
      <c r="B130" s="441"/>
      <c r="C130" s="194">
        <v>5</v>
      </c>
      <c r="D130" s="80"/>
      <c r="E130" s="97"/>
      <c r="F130" s="97"/>
      <c r="G130" s="97"/>
      <c r="H130" s="97"/>
      <c r="I130" s="97"/>
      <c r="J130" s="97"/>
      <c r="K130" s="97"/>
      <c r="L130" s="195"/>
    </row>
    <row r="131" spans="1:12" x14ac:dyDescent="0.45">
      <c r="A131" s="462"/>
      <c r="B131" s="441"/>
      <c r="C131" s="194">
        <v>6</v>
      </c>
      <c r="D131" s="80"/>
      <c r="E131" s="97"/>
      <c r="F131" s="97"/>
      <c r="G131" s="97"/>
      <c r="H131" s="97"/>
      <c r="I131" s="97"/>
      <c r="J131" s="97"/>
      <c r="K131" s="97"/>
      <c r="L131" s="195"/>
    </row>
    <row r="132" spans="1:12" x14ac:dyDescent="0.45">
      <c r="A132" s="462"/>
      <c r="B132" s="441"/>
      <c r="C132" s="194">
        <v>7</v>
      </c>
      <c r="D132" s="80"/>
      <c r="E132" s="97"/>
      <c r="F132" s="97"/>
      <c r="G132" s="97"/>
      <c r="H132" s="97"/>
      <c r="I132" s="97"/>
      <c r="J132" s="97"/>
      <c r="K132" s="97"/>
      <c r="L132" s="195"/>
    </row>
    <row r="133" spans="1:12" x14ac:dyDescent="0.45">
      <c r="A133" s="462"/>
      <c r="B133" s="441"/>
      <c r="C133" s="194">
        <v>8</v>
      </c>
      <c r="D133" s="80"/>
      <c r="E133" s="97"/>
      <c r="F133" s="97"/>
      <c r="G133" s="97"/>
      <c r="H133" s="97"/>
      <c r="I133" s="97"/>
      <c r="J133" s="97"/>
      <c r="K133" s="97"/>
      <c r="L133" s="195"/>
    </row>
    <row r="134" spans="1:12" x14ac:dyDescent="0.45">
      <c r="A134" s="462"/>
      <c r="B134" s="441"/>
      <c r="C134" s="194">
        <v>9</v>
      </c>
      <c r="D134" s="80"/>
      <c r="E134" s="97"/>
      <c r="F134" s="97"/>
      <c r="G134" s="97"/>
      <c r="H134" s="97"/>
      <c r="I134" s="97"/>
      <c r="J134" s="97"/>
      <c r="K134" s="97"/>
      <c r="L134" s="195"/>
    </row>
    <row r="135" spans="1:12" x14ac:dyDescent="0.45">
      <c r="A135" s="462"/>
      <c r="B135" s="441"/>
      <c r="C135" s="194">
        <v>10</v>
      </c>
      <c r="D135" s="80"/>
      <c r="E135" s="97"/>
      <c r="F135" s="97"/>
      <c r="G135" s="97"/>
      <c r="H135" s="97"/>
      <c r="I135" s="97"/>
      <c r="J135" s="97"/>
      <c r="K135" s="97"/>
      <c r="L135" s="195"/>
    </row>
    <row r="136" spans="1:12" x14ac:dyDescent="0.45">
      <c r="A136" s="462"/>
      <c r="B136" s="441"/>
      <c r="C136" s="194">
        <v>11</v>
      </c>
      <c r="D136" s="81"/>
      <c r="E136" s="98"/>
      <c r="F136" s="98"/>
      <c r="G136" s="98"/>
      <c r="H136" s="98"/>
      <c r="I136" s="98"/>
      <c r="J136" s="98"/>
      <c r="K136" s="98"/>
      <c r="L136" s="196"/>
    </row>
    <row r="137" spans="1:12" ht="14.65" thickBot="1" x14ac:dyDescent="0.5">
      <c r="A137" s="462"/>
      <c r="B137" s="442"/>
      <c r="C137" s="197">
        <v>12</v>
      </c>
      <c r="D137" s="82"/>
      <c r="E137" s="99"/>
      <c r="F137" s="99"/>
      <c r="G137" s="99"/>
      <c r="H137" s="99"/>
      <c r="I137" s="99"/>
      <c r="J137" s="99"/>
      <c r="K137" s="99"/>
      <c r="L137" s="198"/>
    </row>
    <row r="138" spans="1:12" x14ac:dyDescent="0.45">
      <c r="A138" s="462"/>
      <c r="B138" s="440">
        <v>11</v>
      </c>
      <c r="C138" s="192">
        <v>1</v>
      </c>
      <c r="D138" s="79"/>
      <c r="E138" s="96"/>
      <c r="F138" s="96"/>
      <c r="G138" s="96"/>
      <c r="H138" s="96"/>
      <c r="I138" s="96"/>
      <c r="J138" s="96"/>
      <c r="K138" s="96"/>
      <c r="L138" s="193"/>
    </row>
    <row r="139" spans="1:12" x14ac:dyDescent="0.45">
      <c r="A139" s="462"/>
      <c r="B139" s="441"/>
      <c r="C139" s="194">
        <v>2</v>
      </c>
      <c r="D139" s="80"/>
      <c r="E139" s="97"/>
      <c r="F139" s="97"/>
      <c r="G139" s="97"/>
      <c r="H139" s="97"/>
      <c r="I139" s="97"/>
      <c r="J139" s="97"/>
      <c r="K139" s="97"/>
      <c r="L139" s="195"/>
    </row>
    <row r="140" spans="1:12" x14ac:dyDescent="0.45">
      <c r="A140" s="462"/>
      <c r="B140" s="441"/>
      <c r="C140" s="194">
        <v>3</v>
      </c>
      <c r="D140" s="80"/>
      <c r="E140" s="97"/>
      <c r="F140" s="97"/>
      <c r="G140" s="97"/>
      <c r="H140" s="97"/>
      <c r="I140" s="97"/>
      <c r="J140" s="97"/>
      <c r="K140" s="97"/>
      <c r="L140" s="195"/>
    </row>
    <row r="141" spans="1:12" x14ac:dyDescent="0.45">
      <c r="A141" s="462"/>
      <c r="B141" s="441"/>
      <c r="C141" s="194">
        <v>4</v>
      </c>
      <c r="D141" s="80"/>
      <c r="E141" s="97"/>
      <c r="F141" s="97"/>
      <c r="G141" s="97"/>
      <c r="H141" s="97"/>
      <c r="I141" s="97"/>
      <c r="J141" s="97"/>
      <c r="K141" s="97"/>
      <c r="L141" s="195"/>
    </row>
    <row r="142" spans="1:12" x14ac:dyDescent="0.45">
      <c r="A142" s="462"/>
      <c r="B142" s="441"/>
      <c r="C142" s="194">
        <v>5</v>
      </c>
      <c r="D142" s="80"/>
      <c r="E142" s="97"/>
      <c r="F142" s="97"/>
      <c r="G142" s="97"/>
      <c r="H142" s="97"/>
      <c r="I142" s="97"/>
      <c r="J142" s="97"/>
      <c r="K142" s="97"/>
      <c r="L142" s="195"/>
    </row>
    <row r="143" spans="1:12" x14ac:dyDescent="0.45">
      <c r="A143" s="462"/>
      <c r="B143" s="441"/>
      <c r="C143" s="194">
        <v>6</v>
      </c>
      <c r="D143" s="80"/>
      <c r="E143" s="97"/>
      <c r="F143" s="97"/>
      <c r="G143" s="97"/>
      <c r="H143" s="97"/>
      <c r="I143" s="97"/>
      <c r="J143" s="97"/>
      <c r="K143" s="97"/>
      <c r="L143" s="195"/>
    </row>
    <row r="144" spans="1:12" x14ac:dyDescent="0.45">
      <c r="A144" s="462"/>
      <c r="B144" s="441"/>
      <c r="C144" s="194">
        <v>7</v>
      </c>
      <c r="D144" s="80"/>
      <c r="E144" s="97"/>
      <c r="F144" s="97"/>
      <c r="G144" s="97"/>
      <c r="H144" s="97"/>
      <c r="I144" s="97"/>
      <c r="J144" s="97"/>
      <c r="K144" s="97"/>
      <c r="L144" s="195"/>
    </row>
    <row r="145" spans="1:12" x14ac:dyDescent="0.45">
      <c r="A145" s="462"/>
      <c r="B145" s="441"/>
      <c r="C145" s="194">
        <v>8</v>
      </c>
      <c r="D145" s="80"/>
      <c r="E145" s="97"/>
      <c r="F145" s="97"/>
      <c r="G145" s="97"/>
      <c r="H145" s="97"/>
      <c r="I145" s="97"/>
      <c r="J145" s="97"/>
      <c r="K145" s="97"/>
      <c r="L145" s="195"/>
    </row>
    <row r="146" spans="1:12" x14ac:dyDescent="0.45">
      <c r="A146" s="462"/>
      <c r="B146" s="441"/>
      <c r="C146" s="194">
        <v>9</v>
      </c>
      <c r="D146" s="80"/>
      <c r="E146" s="97"/>
      <c r="F146" s="97"/>
      <c r="G146" s="97"/>
      <c r="H146" s="97"/>
      <c r="I146" s="97"/>
      <c r="J146" s="97"/>
      <c r="K146" s="97"/>
      <c r="L146" s="195"/>
    </row>
    <row r="147" spans="1:12" x14ac:dyDescent="0.45">
      <c r="A147" s="462"/>
      <c r="B147" s="441"/>
      <c r="C147" s="194">
        <v>10</v>
      </c>
      <c r="D147" s="80"/>
      <c r="E147" s="97"/>
      <c r="F147" s="97"/>
      <c r="G147" s="97"/>
      <c r="H147" s="97"/>
      <c r="I147" s="97"/>
      <c r="J147" s="97"/>
      <c r="K147" s="97"/>
      <c r="L147" s="195"/>
    </row>
    <row r="148" spans="1:12" x14ac:dyDescent="0.45">
      <c r="A148" s="462"/>
      <c r="B148" s="441"/>
      <c r="C148" s="194">
        <v>11</v>
      </c>
      <c r="D148" s="81"/>
      <c r="E148" s="98"/>
      <c r="F148" s="98"/>
      <c r="G148" s="98"/>
      <c r="H148" s="98"/>
      <c r="I148" s="98"/>
      <c r="J148" s="98"/>
      <c r="K148" s="98"/>
      <c r="L148" s="196"/>
    </row>
    <row r="149" spans="1:12" ht="14.65" thickBot="1" x14ac:dyDescent="0.5">
      <c r="A149" s="462"/>
      <c r="B149" s="442"/>
      <c r="C149" s="197">
        <v>12</v>
      </c>
      <c r="D149" s="82"/>
      <c r="E149" s="99"/>
      <c r="F149" s="99"/>
      <c r="G149" s="99"/>
      <c r="H149" s="99"/>
      <c r="I149" s="99"/>
      <c r="J149" s="99"/>
      <c r="K149" s="99"/>
      <c r="L149" s="198"/>
    </row>
    <row r="150" spans="1:12" x14ac:dyDescent="0.45">
      <c r="A150" s="462"/>
      <c r="B150" s="440">
        <v>12</v>
      </c>
      <c r="C150" s="192">
        <v>1</v>
      </c>
      <c r="D150" s="79"/>
      <c r="E150" s="96"/>
      <c r="F150" s="96"/>
      <c r="G150" s="96"/>
      <c r="H150" s="96"/>
      <c r="I150" s="96"/>
      <c r="J150" s="96"/>
      <c r="K150" s="96"/>
      <c r="L150" s="193"/>
    </row>
    <row r="151" spans="1:12" x14ac:dyDescent="0.45">
      <c r="A151" s="462"/>
      <c r="B151" s="441"/>
      <c r="C151" s="194">
        <v>2</v>
      </c>
      <c r="D151" s="80"/>
      <c r="E151" s="97"/>
      <c r="F151" s="97"/>
      <c r="G151" s="97"/>
      <c r="H151" s="97"/>
      <c r="I151" s="97"/>
      <c r="J151" s="97"/>
      <c r="K151" s="97"/>
      <c r="L151" s="195"/>
    </row>
    <row r="152" spans="1:12" x14ac:dyDescent="0.45">
      <c r="A152" s="462"/>
      <c r="B152" s="441"/>
      <c r="C152" s="194">
        <v>3</v>
      </c>
      <c r="D152" s="80"/>
      <c r="E152" s="97"/>
      <c r="F152" s="97"/>
      <c r="G152" s="97"/>
      <c r="H152" s="97"/>
      <c r="I152" s="97"/>
      <c r="J152" s="97"/>
      <c r="K152" s="97"/>
      <c r="L152" s="195"/>
    </row>
    <row r="153" spans="1:12" x14ac:dyDescent="0.45">
      <c r="A153" s="462"/>
      <c r="B153" s="441"/>
      <c r="C153" s="194">
        <v>4</v>
      </c>
      <c r="D153" s="80"/>
      <c r="E153" s="97"/>
      <c r="F153" s="97"/>
      <c r="G153" s="97"/>
      <c r="H153" s="97"/>
      <c r="I153" s="97"/>
      <c r="J153" s="97"/>
      <c r="K153" s="97"/>
      <c r="L153" s="195"/>
    </row>
    <row r="154" spans="1:12" x14ac:dyDescent="0.45">
      <c r="A154" s="462"/>
      <c r="B154" s="441"/>
      <c r="C154" s="194">
        <v>5</v>
      </c>
      <c r="D154" s="80"/>
      <c r="E154" s="97"/>
      <c r="F154" s="97"/>
      <c r="G154" s="97"/>
      <c r="H154" s="97"/>
      <c r="I154" s="97"/>
      <c r="J154" s="97"/>
      <c r="K154" s="97"/>
      <c r="L154" s="195"/>
    </row>
    <row r="155" spans="1:12" x14ac:dyDescent="0.45">
      <c r="A155" s="462"/>
      <c r="B155" s="441"/>
      <c r="C155" s="194">
        <v>6</v>
      </c>
      <c r="D155" s="80"/>
      <c r="E155" s="97"/>
      <c r="F155" s="97"/>
      <c r="G155" s="97"/>
      <c r="H155" s="97"/>
      <c r="I155" s="97"/>
      <c r="J155" s="97"/>
      <c r="K155" s="97"/>
      <c r="L155" s="195"/>
    </row>
    <row r="156" spans="1:12" x14ac:dyDescent="0.45">
      <c r="A156" s="462"/>
      <c r="B156" s="441"/>
      <c r="C156" s="194">
        <v>7</v>
      </c>
      <c r="D156" s="80"/>
      <c r="E156" s="97"/>
      <c r="F156" s="97"/>
      <c r="G156" s="97"/>
      <c r="H156" s="97"/>
      <c r="I156" s="97"/>
      <c r="J156" s="97"/>
      <c r="K156" s="97"/>
      <c r="L156" s="195"/>
    </row>
    <row r="157" spans="1:12" x14ac:dyDescent="0.45">
      <c r="A157" s="462"/>
      <c r="B157" s="441"/>
      <c r="C157" s="194">
        <v>8</v>
      </c>
      <c r="D157" s="80"/>
      <c r="E157" s="97"/>
      <c r="F157" s="97"/>
      <c r="G157" s="97"/>
      <c r="H157" s="97"/>
      <c r="I157" s="97"/>
      <c r="J157" s="97"/>
      <c r="K157" s="97"/>
      <c r="L157" s="195"/>
    </row>
    <row r="158" spans="1:12" x14ac:dyDescent="0.45">
      <c r="A158" s="462"/>
      <c r="B158" s="441"/>
      <c r="C158" s="194">
        <v>9</v>
      </c>
      <c r="D158" s="80"/>
      <c r="E158" s="97"/>
      <c r="F158" s="97"/>
      <c r="G158" s="97"/>
      <c r="H158" s="97"/>
      <c r="I158" s="97"/>
      <c r="J158" s="97"/>
      <c r="K158" s="97"/>
      <c r="L158" s="195"/>
    </row>
    <row r="159" spans="1:12" x14ac:dyDescent="0.45">
      <c r="A159" s="462"/>
      <c r="B159" s="441"/>
      <c r="C159" s="194">
        <v>10</v>
      </c>
      <c r="D159" s="80"/>
      <c r="E159" s="97"/>
      <c r="F159" s="97"/>
      <c r="G159" s="97"/>
      <c r="H159" s="97"/>
      <c r="I159" s="97"/>
      <c r="J159" s="97"/>
      <c r="K159" s="97"/>
      <c r="L159" s="195"/>
    </row>
    <row r="160" spans="1:12" x14ac:dyDescent="0.45">
      <c r="A160" s="462"/>
      <c r="B160" s="441"/>
      <c r="C160" s="194">
        <v>11</v>
      </c>
      <c r="D160" s="81"/>
      <c r="E160" s="98"/>
      <c r="F160" s="98"/>
      <c r="G160" s="98"/>
      <c r="H160" s="98"/>
      <c r="I160" s="98"/>
      <c r="J160" s="98"/>
      <c r="K160" s="98"/>
      <c r="L160" s="196"/>
    </row>
    <row r="161" spans="1:14" ht="14.65" thickBot="1" x14ac:dyDescent="0.5">
      <c r="A161" s="463"/>
      <c r="B161" s="442"/>
      <c r="C161" s="199">
        <v>12</v>
      </c>
      <c r="D161" s="82"/>
      <c r="E161" s="99"/>
      <c r="F161" s="99"/>
      <c r="G161" s="99"/>
      <c r="H161" s="99"/>
      <c r="I161" s="99"/>
      <c r="J161" s="99"/>
      <c r="K161" s="99"/>
      <c r="L161" s="198"/>
    </row>
    <row r="162" spans="1:14" x14ac:dyDescent="0.45">
      <c r="A162" s="200"/>
      <c r="B162" s="200"/>
      <c r="C162" s="200"/>
      <c r="D162" s="201"/>
      <c r="E162" s="201"/>
      <c r="F162" s="201"/>
      <c r="G162" s="201"/>
      <c r="H162" s="201"/>
      <c r="I162" s="201"/>
      <c r="J162" s="201"/>
      <c r="K162" s="201"/>
      <c r="L162" s="201"/>
    </row>
    <row r="163" spans="1:14" s="91" customFormat="1" x14ac:dyDescent="0.45">
      <c r="A163" s="202"/>
      <c r="B163" s="202"/>
      <c r="C163" s="202"/>
      <c r="D163" s="203"/>
      <c r="E163" s="203"/>
      <c r="F163" s="203"/>
      <c r="G163" s="203"/>
      <c r="H163" s="203"/>
      <c r="I163" s="203"/>
      <c r="J163" s="203"/>
      <c r="K163" s="203"/>
      <c r="L163" s="203"/>
    </row>
    <row r="164" spans="1:14" ht="14.65" thickBot="1" x14ac:dyDescent="0.5"/>
    <row r="165" spans="1:14" ht="28.9" thickBot="1" x14ac:dyDescent="0.5">
      <c r="A165" s="187" t="s">
        <v>76</v>
      </c>
      <c r="B165" s="186">
        <v>2</v>
      </c>
      <c r="C165" s="109"/>
      <c r="D165" s="109"/>
    </row>
    <row r="166" spans="1:14" x14ac:dyDescent="0.45">
      <c r="A166" s="443" t="s">
        <v>27</v>
      </c>
      <c r="B166" s="448">
        <f>Name2</f>
        <v>0</v>
      </c>
      <c r="C166" s="449"/>
      <c r="D166" s="450"/>
      <c r="I166" s="204"/>
      <c r="J166" s="204"/>
      <c r="K166" s="204"/>
      <c r="L166" s="204"/>
      <c r="M166" s="204"/>
      <c r="N166" s="204"/>
    </row>
    <row r="167" spans="1:14" x14ac:dyDescent="0.45">
      <c r="A167" s="444"/>
      <c r="B167" s="448"/>
      <c r="C167" s="449"/>
      <c r="D167" s="450"/>
      <c r="I167" s="204"/>
      <c r="J167" s="204"/>
      <c r="K167" s="204"/>
      <c r="L167" s="204"/>
      <c r="M167" s="204"/>
      <c r="N167" s="204"/>
    </row>
    <row r="168" spans="1:14" x14ac:dyDescent="0.45">
      <c r="A168" s="445"/>
      <c r="B168" s="388"/>
      <c r="C168" s="451"/>
      <c r="D168" s="452"/>
      <c r="I168" s="204"/>
      <c r="J168" s="204"/>
      <c r="K168" s="204"/>
      <c r="L168" s="204"/>
      <c r="M168" s="204"/>
      <c r="N168" s="204"/>
    </row>
    <row r="169" spans="1:14" ht="14.45" customHeight="1" x14ac:dyDescent="0.45">
      <c r="A169" s="444" t="s">
        <v>155</v>
      </c>
      <c r="B169" s="453">
        <f>GapA2</f>
        <v>0</v>
      </c>
      <c r="C169" s="454"/>
      <c r="D169" s="455"/>
      <c r="I169" s="204"/>
      <c r="J169" s="204"/>
      <c r="K169" s="204"/>
      <c r="L169" s="204"/>
      <c r="M169" s="204"/>
      <c r="N169" s="204"/>
    </row>
    <row r="170" spans="1:14" x14ac:dyDescent="0.45">
      <c r="A170" s="444"/>
      <c r="B170" s="448"/>
      <c r="C170" s="449"/>
      <c r="D170" s="450"/>
      <c r="I170" s="204"/>
      <c r="J170" s="204"/>
      <c r="K170" s="204"/>
      <c r="L170" s="204"/>
      <c r="M170" s="204"/>
      <c r="N170" s="204"/>
    </row>
    <row r="171" spans="1:14" x14ac:dyDescent="0.45">
      <c r="A171" s="445"/>
      <c r="B171" s="388"/>
      <c r="C171" s="451"/>
      <c r="D171" s="452"/>
      <c r="I171" s="204"/>
      <c r="J171" s="204"/>
      <c r="K171" s="204"/>
      <c r="L171" s="204"/>
      <c r="M171" s="204"/>
      <c r="N171" s="204"/>
    </row>
    <row r="172" spans="1:14" x14ac:dyDescent="0.45">
      <c r="A172" s="444" t="s">
        <v>159</v>
      </c>
      <c r="B172" s="453">
        <f>Objective2</f>
        <v>0</v>
      </c>
      <c r="C172" s="454"/>
      <c r="D172" s="455"/>
      <c r="I172" s="204"/>
      <c r="J172" s="204"/>
      <c r="K172" s="204"/>
      <c r="L172" s="204"/>
      <c r="M172" s="204"/>
      <c r="N172" s="204"/>
    </row>
    <row r="173" spans="1:14" x14ac:dyDescent="0.45">
      <c r="A173" s="444"/>
      <c r="B173" s="448"/>
      <c r="C173" s="449"/>
      <c r="D173" s="450"/>
      <c r="I173" s="204"/>
      <c r="J173" s="204"/>
      <c r="K173" s="204"/>
      <c r="L173" s="204"/>
      <c r="M173" s="204"/>
      <c r="N173" s="204"/>
    </row>
    <row r="174" spans="1:14" x14ac:dyDescent="0.45">
      <c r="A174" s="445"/>
      <c r="B174" s="388"/>
      <c r="C174" s="451"/>
      <c r="D174" s="452"/>
      <c r="I174" s="204"/>
      <c r="J174" s="204"/>
      <c r="K174" s="204"/>
      <c r="L174" s="204"/>
      <c r="M174" s="204"/>
      <c r="N174" s="204"/>
    </row>
    <row r="175" spans="1:14" ht="14.45" customHeight="1" x14ac:dyDescent="0.45">
      <c r="A175" s="446" t="s">
        <v>166</v>
      </c>
      <c r="B175" s="454">
        <f>Capacity2</f>
        <v>0</v>
      </c>
      <c r="C175" s="454"/>
      <c r="D175" s="455"/>
      <c r="I175" s="204"/>
      <c r="J175" s="204"/>
      <c r="K175" s="204"/>
      <c r="L175" s="204"/>
      <c r="M175" s="204"/>
      <c r="N175" s="204"/>
    </row>
    <row r="176" spans="1:14" x14ac:dyDescent="0.45">
      <c r="A176" s="447"/>
      <c r="B176" s="449"/>
      <c r="C176" s="449"/>
      <c r="D176" s="450"/>
      <c r="I176" s="204"/>
      <c r="J176" s="204"/>
      <c r="K176" s="204"/>
      <c r="L176" s="204"/>
      <c r="M176" s="204"/>
      <c r="N176" s="204"/>
    </row>
    <row r="177" spans="1:14" ht="14.65" thickBot="1" x14ac:dyDescent="0.5">
      <c r="A177" s="447"/>
      <c r="B177" s="456"/>
      <c r="C177" s="456"/>
      <c r="D177" s="457"/>
      <c r="I177" s="204"/>
      <c r="J177" s="204"/>
      <c r="K177" s="204"/>
      <c r="L177" s="204"/>
      <c r="M177" s="204"/>
      <c r="N177" s="204"/>
    </row>
    <row r="178" spans="1:14" x14ac:dyDescent="0.45">
      <c r="A178" s="188"/>
    </row>
    <row r="179" spans="1:14" ht="14.45" customHeight="1" thickBot="1" x14ac:dyDescent="0.5">
      <c r="A179" s="90"/>
      <c r="B179" s="90"/>
      <c r="C179" s="90"/>
      <c r="D179" s="90"/>
      <c r="E179" s="90"/>
      <c r="F179" s="90"/>
      <c r="G179" s="90"/>
      <c r="H179" s="90"/>
      <c r="I179" s="90"/>
      <c r="J179" s="90"/>
      <c r="K179" s="90"/>
      <c r="L179" s="90"/>
      <c r="M179" s="90"/>
      <c r="N179" s="90"/>
    </row>
    <row r="180" spans="1:14" ht="21.75" customHeight="1" x14ac:dyDescent="0.45">
      <c r="A180" s="458" t="s">
        <v>135</v>
      </c>
      <c r="B180" s="459"/>
      <c r="C180" s="459"/>
      <c r="D180" s="459"/>
      <c r="E180" s="459"/>
      <c r="F180" s="459"/>
      <c r="G180" s="459"/>
      <c r="H180" s="459"/>
      <c r="I180" s="459"/>
      <c r="J180" s="459"/>
      <c r="K180" s="459"/>
      <c r="L180" s="460"/>
    </row>
    <row r="181" spans="1:14" ht="29" customHeight="1" thickBot="1" x14ac:dyDescent="0.5">
      <c r="A181" s="93" t="s">
        <v>74</v>
      </c>
      <c r="B181" s="94" t="s">
        <v>28</v>
      </c>
      <c r="C181" s="95" t="s">
        <v>320</v>
      </c>
      <c r="D181" s="95" t="s">
        <v>127</v>
      </c>
      <c r="E181" s="114" t="s">
        <v>90</v>
      </c>
      <c r="F181" s="95" t="s">
        <v>175</v>
      </c>
      <c r="G181" s="95" t="s">
        <v>176</v>
      </c>
      <c r="H181" s="95" t="s">
        <v>156</v>
      </c>
      <c r="I181" s="95" t="s">
        <v>157</v>
      </c>
      <c r="J181" s="189" t="s">
        <v>321</v>
      </c>
      <c r="K181" s="190" t="s">
        <v>29</v>
      </c>
      <c r="L181" s="191" t="s">
        <v>322</v>
      </c>
    </row>
    <row r="182" spans="1:14" x14ac:dyDescent="0.45">
      <c r="A182" s="461">
        <v>1</v>
      </c>
      <c r="B182" s="440">
        <v>1</v>
      </c>
      <c r="C182" s="192">
        <v>1</v>
      </c>
      <c r="D182" s="79"/>
      <c r="E182" s="96"/>
      <c r="F182" s="96"/>
      <c r="G182" s="96"/>
      <c r="H182" s="96"/>
      <c r="I182" s="96"/>
      <c r="J182" s="96"/>
      <c r="K182" s="96"/>
      <c r="L182" s="193"/>
    </row>
    <row r="183" spans="1:14" x14ac:dyDescent="0.45">
      <c r="A183" s="462"/>
      <c r="B183" s="441"/>
      <c r="C183" s="194">
        <v>2</v>
      </c>
      <c r="D183" s="80"/>
      <c r="E183" s="97"/>
      <c r="F183" s="97"/>
      <c r="G183" s="97"/>
      <c r="H183" s="97"/>
      <c r="I183" s="97"/>
      <c r="J183" s="97"/>
      <c r="K183" s="97"/>
      <c r="L183" s="195"/>
    </row>
    <row r="184" spans="1:14" x14ac:dyDescent="0.45">
      <c r="A184" s="462"/>
      <c r="B184" s="441"/>
      <c r="C184" s="194">
        <v>3</v>
      </c>
      <c r="D184" s="80"/>
      <c r="E184" s="97"/>
      <c r="F184" s="97"/>
      <c r="G184" s="97"/>
      <c r="H184" s="97"/>
      <c r="I184" s="97"/>
      <c r="J184" s="97"/>
      <c r="K184" s="97"/>
      <c r="L184" s="195"/>
    </row>
    <row r="185" spans="1:14" x14ac:dyDescent="0.45">
      <c r="A185" s="462"/>
      <c r="B185" s="441"/>
      <c r="C185" s="194">
        <v>4</v>
      </c>
      <c r="D185" s="80"/>
      <c r="E185" s="97"/>
      <c r="F185" s="97"/>
      <c r="G185" s="97"/>
      <c r="H185" s="97"/>
      <c r="I185" s="97"/>
      <c r="J185" s="97"/>
      <c r="K185" s="97"/>
      <c r="L185" s="195"/>
    </row>
    <row r="186" spans="1:14" x14ac:dyDescent="0.45">
      <c r="A186" s="462"/>
      <c r="B186" s="441"/>
      <c r="C186" s="194">
        <v>5</v>
      </c>
      <c r="D186" s="80"/>
      <c r="E186" s="97"/>
      <c r="F186" s="97"/>
      <c r="G186" s="97"/>
      <c r="H186" s="97"/>
      <c r="I186" s="97"/>
      <c r="J186" s="97"/>
      <c r="K186" s="97"/>
      <c r="L186" s="195"/>
    </row>
    <row r="187" spans="1:14" x14ac:dyDescent="0.45">
      <c r="A187" s="462"/>
      <c r="B187" s="441"/>
      <c r="C187" s="194">
        <v>6</v>
      </c>
      <c r="D187" s="80"/>
      <c r="E187" s="97"/>
      <c r="F187" s="97"/>
      <c r="G187" s="97"/>
      <c r="H187" s="97"/>
      <c r="I187" s="97"/>
      <c r="J187" s="97"/>
      <c r="K187" s="97"/>
      <c r="L187" s="195"/>
    </row>
    <row r="188" spans="1:14" x14ac:dyDescent="0.45">
      <c r="A188" s="462"/>
      <c r="B188" s="441"/>
      <c r="C188" s="194">
        <v>7</v>
      </c>
      <c r="D188" s="80"/>
      <c r="E188" s="97"/>
      <c r="F188" s="97"/>
      <c r="G188" s="97"/>
      <c r="H188" s="97"/>
      <c r="I188" s="97"/>
      <c r="J188" s="97"/>
      <c r="K188" s="97"/>
      <c r="L188" s="195"/>
    </row>
    <row r="189" spans="1:14" x14ac:dyDescent="0.45">
      <c r="A189" s="462"/>
      <c r="B189" s="441"/>
      <c r="C189" s="194">
        <v>8</v>
      </c>
      <c r="D189" s="80"/>
      <c r="E189" s="97"/>
      <c r="F189" s="97"/>
      <c r="G189" s="97"/>
      <c r="H189" s="97"/>
      <c r="I189" s="97"/>
      <c r="J189" s="97"/>
      <c r="K189" s="97"/>
      <c r="L189" s="195"/>
    </row>
    <row r="190" spans="1:14" x14ac:dyDescent="0.45">
      <c r="A190" s="462"/>
      <c r="B190" s="441"/>
      <c r="C190" s="194">
        <v>9</v>
      </c>
      <c r="D190" s="80"/>
      <c r="E190" s="97"/>
      <c r="F190" s="97"/>
      <c r="G190" s="97"/>
      <c r="H190" s="97"/>
      <c r="I190" s="97"/>
      <c r="J190" s="97"/>
      <c r="K190" s="97"/>
      <c r="L190" s="195"/>
    </row>
    <row r="191" spans="1:14" x14ac:dyDescent="0.45">
      <c r="A191" s="462"/>
      <c r="B191" s="441"/>
      <c r="C191" s="194">
        <v>10</v>
      </c>
      <c r="D191" s="80"/>
      <c r="E191" s="97"/>
      <c r="F191" s="97"/>
      <c r="G191" s="97"/>
      <c r="H191" s="97"/>
      <c r="I191" s="97"/>
      <c r="J191" s="97"/>
      <c r="K191" s="97"/>
      <c r="L191" s="195"/>
    </row>
    <row r="192" spans="1:14" x14ac:dyDescent="0.45">
      <c r="A192" s="462"/>
      <c r="B192" s="441"/>
      <c r="C192" s="194">
        <v>11</v>
      </c>
      <c r="D192" s="81"/>
      <c r="E192" s="98"/>
      <c r="F192" s="98"/>
      <c r="G192" s="98"/>
      <c r="H192" s="98"/>
      <c r="I192" s="98"/>
      <c r="J192" s="98"/>
      <c r="K192" s="98"/>
      <c r="L192" s="196"/>
    </row>
    <row r="193" spans="1:14" s="90" customFormat="1" ht="14.65" thickBot="1" x14ac:dyDescent="0.5">
      <c r="A193" s="462"/>
      <c r="B193" s="442"/>
      <c r="C193" s="197">
        <v>12</v>
      </c>
      <c r="D193" s="82"/>
      <c r="E193" s="99"/>
      <c r="F193" s="99"/>
      <c r="G193" s="99"/>
      <c r="H193" s="99"/>
      <c r="I193" s="99"/>
      <c r="J193" s="99"/>
      <c r="K193" s="99"/>
      <c r="L193" s="198"/>
      <c r="M193" s="61"/>
      <c r="N193" s="61"/>
    </row>
    <row r="194" spans="1:14" x14ac:dyDescent="0.45">
      <c r="A194" s="462"/>
      <c r="B194" s="440">
        <v>2</v>
      </c>
      <c r="C194" s="192">
        <v>1</v>
      </c>
      <c r="D194" s="79"/>
      <c r="E194" s="96"/>
      <c r="F194" s="96"/>
      <c r="G194" s="96"/>
      <c r="H194" s="96"/>
      <c r="I194" s="96"/>
      <c r="J194" s="96"/>
      <c r="K194" s="96"/>
      <c r="L194" s="193"/>
    </row>
    <row r="195" spans="1:14" x14ac:dyDescent="0.45">
      <c r="A195" s="462"/>
      <c r="B195" s="441"/>
      <c r="C195" s="194">
        <v>2</v>
      </c>
      <c r="D195" s="80"/>
      <c r="E195" s="97"/>
      <c r="F195" s="97"/>
      <c r="G195" s="97"/>
      <c r="H195" s="97"/>
      <c r="I195" s="97"/>
      <c r="J195" s="97"/>
      <c r="K195" s="97"/>
      <c r="L195" s="195"/>
    </row>
    <row r="196" spans="1:14" x14ac:dyDescent="0.45">
      <c r="A196" s="462"/>
      <c r="B196" s="441"/>
      <c r="C196" s="194">
        <v>3</v>
      </c>
      <c r="D196" s="80"/>
      <c r="E196" s="97"/>
      <c r="F196" s="97"/>
      <c r="G196" s="97"/>
      <c r="H196" s="97"/>
      <c r="I196" s="97"/>
      <c r="J196" s="97"/>
      <c r="K196" s="97"/>
      <c r="L196" s="195"/>
    </row>
    <row r="197" spans="1:14" x14ac:dyDescent="0.45">
      <c r="A197" s="462"/>
      <c r="B197" s="441"/>
      <c r="C197" s="194">
        <v>4</v>
      </c>
      <c r="D197" s="80"/>
      <c r="E197" s="97"/>
      <c r="F197" s="97"/>
      <c r="G197" s="97"/>
      <c r="H197" s="97"/>
      <c r="I197" s="97"/>
      <c r="J197" s="97"/>
      <c r="K197" s="97"/>
      <c r="L197" s="195"/>
    </row>
    <row r="198" spans="1:14" x14ac:dyDescent="0.45">
      <c r="A198" s="462"/>
      <c r="B198" s="441"/>
      <c r="C198" s="194">
        <v>5</v>
      </c>
      <c r="D198" s="80"/>
      <c r="E198" s="97"/>
      <c r="F198" s="97"/>
      <c r="G198" s="97"/>
      <c r="H198" s="97"/>
      <c r="I198" s="97"/>
      <c r="J198" s="97"/>
      <c r="K198" s="97"/>
      <c r="L198" s="195"/>
    </row>
    <row r="199" spans="1:14" x14ac:dyDescent="0.45">
      <c r="A199" s="462"/>
      <c r="B199" s="441"/>
      <c r="C199" s="194">
        <v>6</v>
      </c>
      <c r="D199" s="80"/>
      <c r="E199" s="97"/>
      <c r="F199" s="97"/>
      <c r="G199" s="97"/>
      <c r="H199" s="97"/>
      <c r="I199" s="97"/>
      <c r="J199" s="97"/>
      <c r="K199" s="97"/>
      <c r="L199" s="195"/>
    </row>
    <row r="200" spans="1:14" x14ac:dyDescent="0.45">
      <c r="A200" s="462"/>
      <c r="B200" s="441"/>
      <c r="C200" s="194">
        <v>7</v>
      </c>
      <c r="D200" s="80"/>
      <c r="E200" s="97"/>
      <c r="F200" s="97"/>
      <c r="G200" s="97"/>
      <c r="H200" s="97"/>
      <c r="I200" s="97"/>
      <c r="J200" s="97"/>
      <c r="K200" s="97"/>
      <c r="L200" s="195"/>
    </row>
    <row r="201" spans="1:14" x14ac:dyDescent="0.45">
      <c r="A201" s="462"/>
      <c r="B201" s="441"/>
      <c r="C201" s="194">
        <v>8</v>
      </c>
      <c r="D201" s="80"/>
      <c r="E201" s="97"/>
      <c r="F201" s="97"/>
      <c r="G201" s="97"/>
      <c r="H201" s="97"/>
      <c r="I201" s="97"/>
      <c r="J201" s="97"/>
      <c r="K201" s="97"/>
      <c r="L201" s="195"/>
    </row>
    <row r="202" spans="1:14" x14ac:dyDescent="0.45">
      <c r="A202" s="462"/>
      <c r="B202" s="441"/>
      <c r="C202" s="194">
        <v>9</v>
      </c>
      <c r="D202" s="80"/>
      <c r="E202" s="97"/>
      <c r="F202" s="97"/>
      <c r="G202" s="97"/>
      <c r="H202" s="97"/>
      <c r="I202" s="97"/>
      <c r="J202" s="97"/>
      <c r="K202" s="97"/>
      <c r="L202" s="195"/>
    </row>
    <row r="203" spans="1:14" x14ac:dyDescent="0.45">
      <c r="A203" s="462"/>
      <c r="B203" s="441"/>
      <c r="C203" s="194">
        <v>10</v>
      </c>
      <c r="D203" s="80"/>
      <c r="E203" s="97"/>
      <c r="F203" s="97"/>
      <c r="G203" s="97"/>
      <c r="H203" s="97"/>
      <c r="I203" s="97"/>
      <c r="J203" s="97"/>
      <c r="K203" s="97"/>
      <c r="L203" s="195"/>
    </row>
    <row r="204" spans="1:14" x14ac:dyDescent="0.45">
      <c r="A204" s="462"/>
      <c r="B204" s="441"/>
      <c r="C204" s="194">
        <v>11</v>
      </c>
      <c r="D204" s="81"/>
      <c r="E204" s="98"/>
      <c r="F204" s="98"/>
      <c r="G204" s="98"/>
      <c r="H204" s="98"/>
      <c r="I204" s="98"/>
      <c r="J204" s="98"/>
      <c r="K204" s="98"/>
      <c r="L204" s="196"/>
    </row>
    <row r="205" spans="1:14" ht="14.65" thickBot="1" x14ac:dyDescent="0.5">
      <c r="A205" s="462"/>
      <c r="B205" s="442"/>
      <c r="C205" s="197">
        <v>12</v>
      </c>
      <c r="D205" s="82"/>
      <c r="E205" s="99"/>
      <c r="F205" s="99"/>
      <c r="G205" s="99"/>
      <c r="H205" s="99"/>
      <c r="I205" s="99"/>
      <c r="J205" s="99"/>
      <c r="K205" s="99"/>
      <c r="L205" s="198"/>
    </row>
    <row r="206" spans="1:14" x14ac:dyDescent="0.45">
      <c r="A206" s="462"/>
      <c r="B206" s="440">
        <v>3</v>
      </c>
      <c r="C206" s="192">
        <v>1</v>
      </c>
      <c r="D206" s="79"/>
      <c r="E206" s="96"/>
      <c r="F206" s="96"/>
      <c r="G206" s="96"/>
      <c r="H206" s="96"/>
      <c r="I206" s="96"/>
      <c r="J206" s="96"/>
      <c r="K206" s="96"/>
      <c r="L206" s="193"/>
    </row>
    <row r="207" spans="1:14" x14ac:dyDescent="0.45">
      <c r="A207" s="462"/>
      <c r="B207" s="441"/>
      <c r="C207" s="194">
        <v>2</v>
      </c>
      <c r="D207" s="80"/>
      <c r="E207" s="97"/>
      <c r="F207" s="97"/>
      <c r="G207" s="97"/>
      <c r="H207" s="97"/>
      <c r="I207" s="97"/>
      <c r="J207" s="97"/>
      <c r="K207" s="97"/>
      <c r="L207" s="195"/>
    </row>
    <row r="208" spans="1:14" x14ac:dyDescent="0.45">
      <c r="A208" s="462"/>
      <c r="B208" s="441"/>
      <c r="C208" s="194">
        <v>3</v>
      </c>
      <c r="D208" s="80"/>
      <c r="E208" s="97"/>
      <c r="F208" s="97"/>
      <c r="G208" s="97"/>
      <c r="H208" s="97"/>
      <c r="I208" s="97"/>
      <c r="J208" s="97"/>
      <c r="K208" s="97"/>
      <c r="L208" s="195"/>
    </row>
    <row r="209" spans="1:12" x14ac:dyDescent="0.45">
      <c r="A209" s="462"/>
      <c r="B209" s="441"/>
      <c r="C209" s="194">
        <v>4</v>
      </c>
      <c r="D209" s="80"/>
      <c r="E209" s="97"/>
      <c r="F209" s="97"/>
      <c r="G209" s="97"/>
      <c r="H209" s="97"/>
      <c r="I209" s="97"/>
      <c r="J209" s="97"/>
      <c r="K209" s="97"/>
      <c r="L209" s="195"/>
    </row>
    <row r="210" spans="1:12" x14ac:dyDescent="0.45">
      <c r="A210" s="462"/>
      <c r="B210" s="441"/>
      <c r="C210" s="194">
        <v>5</v>
      </c>
      <c r="D210" s="80"/>
      <c r="E210" s="97"/>
      <c r="F210" s="97"/>
      <c r="G210" s="97"/>
      <c r="H210" s="97"/>
      <c r="I210" s="97"/>
      <c r="J210" s="97"/>
      <c r="K210" s="97"/>
      <c r="L210" s="195"/>
    </row>
    <row r="211" spans="1:12" x14ac:dyDescent="0.45">
      <c r="A211" s="462"/>
      <c r="B211" s="441"/>
      <c r="C211" s="194">
        <v>6</v>
      </c>
      <c r="D211" s="80"/>
      <c r="E211" s="97"/>
      <c r="F211" s="97"/>
      <c r="G211" s="97"/>
      <c r="H211" s="97"/>
      <c r="I211" s="97"/>
      <c r="J211" s="97"/>
      <c r="K211" s="97"/>
      <c r="L211" s="195"/>
    </row>
    <row r="212" spans="1:12" x14ac:dyDescent="0.45">
      <c r="A212" s="462"/>
      <c r="B212" s="441"/>
      <c r="C212" s="194">
        <v>7</v>
      </c>
      <c r="D212" s="80"/>
      <c r="E212" s="97"/>
      <c r="F212" s="97"/>
      <c r="G212" s="97"/>
      <c r="H212" s="97"/>
      <c r="I212" s="97"/>
      <c r="J212" s="97"/>
      <c r="K212" s="97"/>
      <c r="L212" s="195"/>
    </row>
    <row r="213" spans="1:12" x14ac:dyDescent="0.45">
      <c r="A213" s="462"/>
      <c r="B213" s="441"/>
      <c r="C213" s="194">
        <v>8</v>
      </c>
      <c r="D213" s="80"/>
      <c r="E213" s="97"/>
      <c r="F213" s="97"/>
      <c r="G213" s="97"/>
      <c r="H213" s="97"/>
      <c r="I213" s="97"/>
      <c r="J213" s="97"/>
      <c r="K213" s="97"/>
      <c r="L213" s="195"/>
    </row>
    <row r="214" spans="1:12" x14ac:dyDescent="0.45">
      <c r="A214" s="462"/>
      <c r="B214" s="441"/>
      <c r="C214" s="194">
        <v>9</v>
      </c>
      <c r="D214" s="80"/>
      <c r="E214" s="97"/>
      <c r="F214" s="97"/>
      <c r="G214" s="97"/>
      <c r="H214" s="97"/>
      <c r="I214" s="97"/>
      <c r="J214" s="97"/>
      <c r="K214" s="97"/>
      <c r="L214" s="195"/>
    </row>
    <row r="215" spans="1:12" x14ac:dyDescent="0.45">
      <c r="A215" s="462"/>
      <c r="B215" s="441"/>
      <c r="C215" s="194">
        <v>10</v>
      </c>
      <c r="D215" s="80"/>
      <c r="E215" s="97"/>
      <c r="F215" s="97"/>
      <c r="G215" s="97"/>
      <c r="H215" s="97"/>
      <c r="I215" s="97"/>
      <c r="J215" s="97"/>
      <c r="K215" s="97"/>
      <c r="L215" s="195"/>
    </row>
    <row r="216" spans="1:12" x14ac:dyDescent="0.45">
      <c r="A216" s="462"/>
      <c r="B216" s="441"/>
      <c r="C216" s="194">
        <v>11</v>
      </c>
      <c r="D216" s="81"/>
      <c r="E216" s="98"/>
      <c r="F216" s="98"/>
      <c r="G216" s="98"/>
      <c r="H216" s="98"/>
      <c r="I216" s="98"/>
      <c r="J216" s="98"/>
      <c r="K216" s="98"/>
      <c r="L216" s="196"/>
    </row>
    <row r="217" spans="1:12" ht="14.65" thickBot="1" x14ac:dyDescent="0.5">
      <c r="A217" s="462"/>
      <c r="B217" s="442"/>
      <c r="C217" s="197">
        <v>12</v>
      </c>
      <c r="D217" s="82"/>
      <c r="E217" s="99"/>
      <c r="F217" s="99"/>
      <c r="G217" s="99"/>
      <c r="H217" s="99"/>
      <c r="I217" s="99"/>
      <c r="J217" s="99"/>
      <c r="K217" s="99"/>
      <c r="L217" s="198"/>
    </row>
    <row r="218" spans="1:12" x14ac:dyDescent="0.45">
      <c r="A218" s="462"/>
      <c r="B218" s="440">
        <v>4</v>
      </c>
      <c r="C218" s="192">
        <v>1</v>
      </c>
      <c r="D218" s="79"/>
      <c r="E218" s="96"/>
      <c r="F218" s="96"/>
      <c r="G218" s="96"/>
      <c r="H218" s="96"/>
      <c r="I218" s="96"/>
      <c r="J218" s="96"/>
      <c r="K218" s="96"/>
      <c r="L218" s="193"/>
    </row>
    <row r="219" spans="1:12" x14ac:dyDescent="0.45">
      <c r="A219" s="462"/>
      <c r="B219" s="441"/>
      <c r="C219" s="194">
        <v>2</v>
      </c>
      <c r="D219" s="80"/>
      <c r="E219" s="97"/>
      <c r="F219" s="97"/>
      <c r="G219" s="97"/>
      <c r="H219" s="97"/>
      <c r="I219" s="97"/>
      <c r="J219" s="97"/>
      <c r="K219" s="97"/>
      <c r="L219" s="195"/>
    </row>
    <row r="220" spans="1:12" x14ac:dyDescent="0.45">
      <c r="A220" s="462"/>
      <c r="B220" s="441"/>
      <c r="C220" s="194">
        <v>3</v>
      </c>
      <c r="D220" s="80"/>
      <c r="E220" s="97"/>
      <c r="F220" s="97"/>
      <c r="G220" s="97"/>
      <c r="H220" s="97"/>
      <c r="I220" s="97"/>
      <c r="J220" s="97"/>
      <c r="K220" s="97"/>
      <c r="L220" s="195"/>
    </row>
    <row r="221" spans="1:12" x14ac:dyDescent="0.45">
      <c r="A221" s="462"/>
      <c r="B221" s="441"/>
      <c r="C221" s="194">
        <v>4</v>
      </c>
      <c r="D221" s="80"/>
      <c r="E221" s="97"/>
      <c r="F221" s="97"/>
      <c r="G221" s="97"/>
      <c r="H221" s="97"/>
      <c r="I221" s="97"/>
      <c r="J221" s="97"/>
      <c r="K221" s="97"/>
      <c r="L221" s="195"/>
    </row>
    <row r="222" spans="1:12" x14ac:dyDescent="0.45">
      <c r="A222" s="462"/>
      <c r="B222" s="441"/>
      <c r="C222" s="194">
        <v>5</v>
      </c>
      <c r="D222" s="80"/>
      <c r="E222" s="97"/>
      <c r="F222" s="97"/>
      <c r="G222" s="97"/>
      <c r="H222" s="97"/>
      <c r="I222" s="97"/>
      <c r="J222" s="97"/>
      <c r="K222" s="97"/>
      <c r="L222" s="195"/>
    </row>
    <row r="223" spans="1:12" x14ac:dyDescent="0.45">
      <c r="A223" s="462"/>
      <c r="B223" s="441"/>
      <c r="C223" s="194">
        <v>6</v>
      </c>
      <c r="D223" s="80"/>
      <c r="E223" s="97"/>
      <c r="F223" s="97"/>
      <c r="G223" s="97"/>
      <c r="H223" s="97"/>
      <c r="I223" s="97"/>
      <c r="J223" s="97"/>
      <c r="K223" s="97"/>
      <c r="L223" s="195"/>
    </row>
    <row r="224" spans="1:12" x14ac:dyDescent="0.45">
      <c r="A224" s="462"/>
      <c r="B224" s="441"/>
      <c r="C224" s="194">
        <v>7</v>
      </c>
      <c r="D224" s="80"/>
      <c r="E224" s="97"/>
      <c r="F224" s="97"/>
      <c r="G224" s="97"/>
      <c r="H224" s="97"/>
      <c r="I224" s="97"/>
      <c r="J224" s="97"/>
      <c r="K224" s="97"/>
      <c r="L224" s="195"/>
    </row>
    <row r="225" spans="1:12" x14ac:dyDescent="0.45">
      <c r="A225" s="462"/>
      <c r="B225" s="441"/>
      <c r="C225" s="194">
        <v>8</v>
      </c>
      <c r="D225" s="80"/>
      <c r="E225" s="97"/>
      <c r="F225" s="97"/>
      <c r="G225" s="97"/>
      <c r="H225" s="97"/>
      <c r="I225" s="97"/>
      <c r="J225" s="97"/>
      <c r="K225" s="97"/>
      <c r="L225" s="195"/>
    </row>
    <row r="226" spans="1:12" x14ac:dyDescent="0.45">
      <c r="A226" s="462"/>
      <c r="B226" s="441"/>
      <c r="C226" s="194">
        <v>9</v>
      </c>
      <c r="D226" s="80"/>
      <c r="E226" s="97"/>
      <c r="F226" s="97"/>
      <c r="G226" s="97"/>
      <c r="H226" s="97"/>
      <c r="I226" s="97"/>
      <c r="J226" s="97"/>
      <c r="K226" s="97"/>
      <c r="L226" s="195"/>
    </row>
    <row r="227" spans="1:12" x14ac:dyDescent="0.45">
      <c r="A227" s="462"/>
      <c r="B227" s="441"/>
      <c r="C227" s="194">
        <v>10</v>
      </c>
      <c r="D227" s="80"/>
      <c r="E227" s="97"/>
      <c r="F227" s="97"/>
      <c r="G227" s="97"/>
      <c r="H227" s="97"/>
      <c r="I227" s="97"/>
      <c r="J227" s="97"/>
      <c r="K227" s="97"/>
      <c r="L227" s="195"/>
    </row>
    <row r="228" spans="1:12" x14ac:dyDescent="0.45">
      <c r="A228" s="462"/>
      <c r="B228" s="441"/>
      <c r="C228" s="194">
        <v>11</v>
      </c>
      <c r="D228" s="81"/>
      <c r="E228" s="98"/>
      <c r="F228" s="98"/>
      <c r="G228" s="98"/>
      <c r="H228" s="98"/>
      <c r="I228" s="98"/>
      <c r="J228" s="98"/>
      <c r="K228" s="98"/>
      <c r="L228" s="196"/>
    </row>
    <row r="229" spans="1:12" ht="14.65" thickBot="1" x14ac:dyDescent="0.5">
      <c r="A229" s="463"/>
      <c r="B229" s="442"/>
      <c r="C229" s="197">
        <v>12</v>
      </c>
      <c r="D229" s="82"/>
      <c r="E229" s="99"/>
      <c r="F229" s="99"/>
      <c r="G229" s="99"/>
      <c r="H229" s="99"/>
      <c r="I229" s="99"/>
      <c r="J229" s="99"/>
      <c r="K229" s="99"/>
      <c r="L229" s="198"/>
    </row>
    <row r="230" spans="1:12" x14ac:dyDescent="0.45">
      <c r="A230" s="461">
        <v>2</v>
      </c>
      <c r="B230" s="440">
        <v>5</v>
      </c>
      <c r="C230" s="192">
        <v>1</v>
      </c>
      <c r="D230" s="79"/>
      <c r="E230" s="96"/>
      <c r="F230" s="96"/>
      <c r="G230" s="96"/>
      <c r="H230" s="96"/>
      <c r="I230" s="96"/>
      <c r="J230" s="96"/>
      <c r="K230" s="96"/>
      <c r="L230" s="193"/>
    </row>
    <row r="231" spans="1:12" x14ac:dyDescent="0.45">
      <c r="A231" s="462"/>
      <c r="B231" s="441"/>
      <c r="C231" s="194">
        <v>2</v>
      </c>
      <c r="D231" s="80"/>
      <c r="E231" s="97"/>
      <c r="F231" s="97"/>
      <c r="G231" s="97"/>
      <c r="H231" s="97"/>
      <c r="I231" s="97"/>
      <c r="J231" s="97"/>
      <c r="K231" s="97"/>
      <c r="L231" s="195"/>
    </row>
    <row r="232" spans="1:12" x14ac:dyDescent="0.45">
      <c r="A232" s="462"/>
      <c r="B232" s="441"/>
      <c r="C232" s="194">
        <v>3</v>
      </c>
      <c r="D232" s="80"/>
      <c r="E232" s="97"/>
      <c r="F232" s="97"/>
      <c r="G232" s="97"/>
      <c r="H232" s="97"/>
      <c r="I232" s="97"/>
      <c r="J232" s="97"/>
      <c r="K232" s="97"/>
      <c r="L232" s="195"/>
    </row>
    <row r="233" spans="1:12" x14ac:dyDescent="0.45">
      <c r="A233" s="462"/>
      <c r="B233" s="441"/>
      <c r="C233" s="194">
        <v>4</v>
      </c>
      <c r="D233" s="80"/>
      <c r="E233" s="97"/>
      <c r="F233" s="97"/>
      <c r="G233" s="97"/>
      <c r="H233" s="97"/>
      <c r="I233" s="97"/>
      <c r="J233" s="97"/>
      <c r="K233" s="97"/>
      <c r="L233" s="195"/>
    </row>
    <row r="234" spans="1:12" x14ac:dyDescent="0.45">
      <c r="A234" s="462"/>
      <c r="B234" s="441"/>
      <c r="C234" s="194">
        <v>5</v>
      </c>
      <c r="D234" s="80"/>
      <c r="E234" s="97"/>
      <c r="F234" s="97"/>
      <c r="G234" s="97"/>
      <c r="H234" s="97"/>
      <c r="I234" s="97"/>
      <c r="J234" s="97"/>
      <c r="K234" s="97"/>
      <c r="L234" s="195"/>
    </row>
    <row r="235" spans="1:12" x14ac:dyDescent="0.45">
      <c r="A235" s="462"/>
      <c r="B235" s="441"/>
      <c r="C235" s="194">
        <v>6</v>
      </c>
      <c r="D235" s="80"/>
      <c r="E235" s="97"/>
      <c r="F235" s="97"/>
      <c r="G235" s="97"/>
      <c r="H235" s="97"/>
      <c r="I235" s="97"/>
      <c r="J235" s="97"/>
      <c r="K235" s="97"/>
      <c r="L235" s="195"/>
    </row>
    <row r="236" spans="1:12" x14ac:dyDescent="0.45">
      <c r="A236" s="462"/>
      <c r="B236" s="441"/>
      <c r="C236" s="194">
        <v>7</v>
      </c>
      <c r="D236" s="80"/>
      <c r="E236" s="97"/>
      <c r="F236" s="97"/>
      <c r="G236" s="97"/>
      <c r="H236" s="97"/>
      <c r="I236" s="97"/>
      <c r="J236" s="97"/>
      <c r="K236" s="97"/>
      <c r="L236" s="195"/>
    </row>
    <row r="237" spans="1:12" x14ac:dyDescent="0.45">
      <c r="A237" s="462"/>
      <c r="B237" s="441"/>
      <c r="C237" s="194">
        <v>8</v>
      </c>
      <c r="D237" s="80"/>
      <c r="E237" s="97"/>
      <c r="F237" s="97"/>
      <c r="G237" s="97"/>
      <c r="H237" s="97"/>
      <c r="I237" s="97"/>
      <c r="J237" s="97"/>
      <c r="K237" s="97"/>
      <c r="L237" s="195"/>
    </row>
    <row r="238" spans="1:12" x14ac:dyDescent="0.45">
      <c r="A238" s="462"/>
      <c r="B238" s="441"/>
      <c r="C238" s="194">
        <v>9</v>
      </c>
      <c r="D238" s="80"/>
      <c r="E238" s="97"/>
      <c r="F238" s="97"/>
      <c r="G238" s="97"/>
      <c r="H238" s="97"/>
      <c r="I238" s="97"/>
      <c r="J238" s="97"/>
      <c r="K238" s="97"/>
      <c r="L238" s="195"/>
    </row>
    <row r="239" spans="1:12" x14ac:dyDescent="0.45">
      <c r="A239" s="462"/>
      <c r="B239" s="441"/>
      <c r="C239" s="194">
        <v>10</v>
      </c>
      <c r="D239" s="80"/>
      <c r="E239" s="97"/>
      <c r="F239" s="97"/>
      <c r="G239" s="97"/>
      <c r="H239" s="97"/>
      <c r="I239" s="97"/>
      <c r="J239" s="97"/>
      <c r="K239" s="97"/>
      <c r="L239" s="195"/>
    </row>
    <row r="240" spans="1:12" x14ac:dyDescent="0.45">
      <c r="A240" s="462"/>
      <c r="B240" s="441"/>
      <c r="C240" s="194">
        <v>11</v>
      </c>
      <c r="D240" s="81"/>
      <c r="E240" s="98"/>
      <c r="F240" s="98"/>
      <c r="G240" s="98"/>
      <c r="H240" s="98"/>
      <c r="I240" s="98"/>
      <c r="J240" s="98"/>
      <c r="K240" s="98"/>
      <c r="L240" s="196"/>
    </row>
    <row r="241" spans="1:12" ht="14.65" thickBot="1" x14ac:dyDescent="0.5">
      <c r="A241" s="462"/>
      <c r="B241" s="442"/>
      <c r="C241" s="197">
        <v>12</v>
      </c>
      <c r="D241" s="82"/>
      <c r="E241" s="99"/>
      <c r="F241" s="99"/>
      <c r="G241" s="99"/>
      <c r="H241" s="99"/>
      <c r="I241" s="99"/>
      <c r="J241" s="99"/>
      <c r="K241" s="99"/>
      <c r="L241" s="198"/>
    </row>
    <row r="242" spans="1:12" x14ac:dyDescent="0.45">
      <c r="A242" s="462"/>
      <c r="B242" s="440">
        <v>6</v>
      </c>
      <c r="C242" s="192">
        <v>1</v>
      </c>
      <c r="D242" s="79"/>
      <c r="E242" s="96"/>
      <c r="F242" s="96"/>
      <c r="G242" s="96"/>
      <c r="H242" s="96"/>
      <c r="I242" s="96"/>
      <c r="J242" s="96"/>
      <c r="K242" s="96"/>
      <c r="L242" s="193"/>
    </row>
    <row r="243" spans="1:12" x14ac:dyDescent="0.45">
      <c r="A243" s="462"/>
      <c r="B243" s="441"/>
      <c r="C243" s="194">
        <v>2</v>
      </c>
      <c r="D243" s="80"/>
      <c r="E243" s="97"/>
      <c r="F243" s="97"/>
      <c r="G243" s="97"/>
      <c r="H243" s="97"/>
      <c r="I243" s="97"/>
      <c r="J243" s="97"/>
      <c r="K243" s="97"/>
      <c r="L243" s="195"/>
    </row>
    <row r="244" spans="1:12" x14ac:dyDescent="0.45">
      <c r="A244" s="462"/>
      <c r="B244" s="441"/>
      <c r="C244" s="194">
        <v>3</v>
      </c>
      <c r="D244" s="80"/>
      <c r="E244" s="97"/>
      <c r="F244" s="97"/>
      <c r="G244" s="97"/>
      <c r="H244" s="97"/>
      <c r="I244" s="97"/>
      <c r="J244" s="97"/>
      <c r="K244" s="97"/>
      <c r="L244" s="195"/>
    </row>
    <row r="245" spans="1:12" x14ac:dyDescent="0.45">
      <c r="A245" s="462"/>
      <c r="B245" s="441"/>
      <c r="C245" s="194">
        <v>4</v>
      </c>
      <c r="D245" s="80"/>
      <c r="E245" s="97"/>
      <c r="F245" s="97"/>
      <c r="G245" s="97"/>
      <c r="H245" s="97"/>
      <c r="I245" s="97"/>
      <c r="J245" s="97"/>
      <c r="K245" s="97"/>
      <c r="L245" s="195"/>
    </row>
    <row r="246" spans="1:12" x14ac:dyDescent="0.45">
      <c r="A246" s="462"/>
      <c r="B246" s="441"/>
      <c r="C246" s="194">
        <v>5</v>
      </c>
      <c r="D246" s="80"/>
      <c r="E246" s="97"/>
      <c r="F246" s="97"/>
      <c r="G246" s="97"/>
      <c r="H246" s="97"/>
      <c r="I246" s="97"/>
      <c r="J246" s="97"/>
      <c r="K246" s="97"/>
      <c r="L246" s="195"/>
    </row>
    <row r="247" spans="1:12" x14ac:dyDescent="0.45">
      <c r="A247" s="462"/>
      <c r="B247" s="441"/>
      <c r="C247" s="194">
        <v>6</v>
      </c>
      <c r="D247" s="80"/>
      <c r="E247" s="97"/>
      <c r="F247" s="97"/>
      <c r="G247" s="97"/>
      <c r="H247" s="97"/>
      <c r="I247" s="97"/>
      <c r="J247" s="97"/>
      <c r="K247" s="97"/>
      <c r="L247" s="195"/>
    </row>
    <row r="248" spans="1:12" x14ac:dyDescent="0.45">
      <c r="A248" s="462"/>
      <c r="B248" s="441"/>
      <c r="C248" s="194">
        <v>7</v>
      </c>
      <c r="D248" s="80"/>
      <c r="E248" s="97"/>
      <c r="F248" s="97"/>
      <c r="G248" s="97"/>
      <c r="H248" s="97"/>
      <c r="I248" s="97"/>
      <c r="J248" s="97"/>
      <c r="K248" s="97"/>
      <c r="L248" s="195"/>
    </row>
    <row r="249" spans="1:12" x14ac:dyDescent="0.45">
      <c r="A249" s="462"/>
      <c r="B249" s="441"/>
      <c r="C249" s="194">
        <v>8</v>
      </c>
      <c r="D249" s="80"/>
      <c r="E249" s="97"/>
      <c r="F249" s="97"/>
      <c r="G249" s="97"/>
      <c r="H249" s="97"/>
      <c r="I249" s="97"/>
      <c r="J249" s="97"/>
      <c r="K249" s="97"/>
      <c r="L249" s="195"/>
    </row>
    <row r="250" spans="1:12" x14ac:dyDescent="0.45">
      <c r="A250" s="462"/>
      <c r="B250" s="441"/>
      <c r="C250" s="194">
        <v>9</v>
      </c>
      <c r="D250" s="80"/>
      <c r="E250" s="97"/>
      <c r="F250" s="97"/>
      <c r="G250" s="97"/>
      <c r="H250" s="97"/>
      <c r="I250" s="97"/>
      <c r="J250" s="97"/>
      <c r="K250" s="97"/>
      <c r="L250" s="195"/>
    </row>
    <row r="251" spans="1:12" x14ac:dyDescent="0.45">
      <c r="A251" s="462"/>
      <c r="B251" s="441"/>
      <c r="C251" s="194">
        <v>10</v>
      </c>
      <c r="D251" s="80"/>
      <c r="E251" s="97"/>
      <c r="F251" s="97"/>
      <c r="G251" s="97"/>
      <c r="H251" s="97"/>
      <c r="I251" s="97"/>
      <c r="J251" s="97"/>
      <c r="K251" s="97"/>
      <c r="L251" s="195"/>
    </row>
    <row r="252" spans="1:12" x14ac:dyDescent="0.45">
      <c r="A252" s="462"/>
      <c r="B252" s="441"/>
      <c r="C252" s="194">
        <v>11</v>
      </c>
      <c r="D252" s="81"/>
      <c r="E252" s="98"/>
      <c r="F252" s="98"/>
      <c r="G252" s="98"/>
      <c r="H252" s="98"/>
      <c r="I252" s="98"/>
      <c r="J252" s="98"/>
      <c r="K252" s="98"/>
      <c r="L252" s="196"/>
    </row>
    <row r="253" spans="1:12" ht="14.65" thickBot="1" x14ac:dyDescent="0.5">
      <c r="A253" s="462"/>
      <c r="B253" s="442"/>
      <c r="C253" s="197">
        <v>12</v>
      </c>
      <c r="D253" s="82"/>
      <c r="E253" s="99"/>
      <c r="F253" s="99"/>
      <c r="G253" s="99"/>
      <c r="H253" s="99"/>
      <c r="I253" s="99"/>
      <c r="J253" s="99"/>
      <c r="K253" s="99"/>
      <c r="L253" s="198"/>
    </row>
    <row r="254" spans="1:12" x14ac:dyDescent="0.45">
      <c r="A254" s="462"/>
      <c r="B254" s="440">
        <v>7</v>
      </c>
      <c r="C254" s="192">
        <v>1</v>
      </c>
      <c r="D254" s="79"/>
      <c r="E254" s="96"/>
      <c r="F254" s="96"/>
      <c r="G254" s="96"/>
      <c r="H254" s="96"/>
      <c r="I254" s="96"/>
      <c r="J254" s="96"/>
      <c r="K254" s="96"/>
      <c r="L254" s="193"/>
    </row>
    <row r="255" spans="1:12" x14ac:dyDescent="0.45">
      <c r="A255" s="462"/>
      <c r="B255" s="441"/>
      <c r="C255" s="194">
        <v>2</v>
      </c>
      <c r="D255" s="80"/>
      <c r="E255" s="97"/>
      <c r="F255" s="97"/>
      <c r="G255" s="97"/>
      <c r="H255" s="97"/>
      <c r="I255" s="97"/>
      <c r="J255" s="97"/>
      <c r="K255" s="97"/>
      <c r="L255" s="195"/>
    </row>
    <row r="256" spans="1:12" x14ac:dyDescent="0.45">
      <c r="A256" s="462"/>
      <c r="B256" s="441"/>
      <c r="C256" s="194">
        <v>3</v>
      </c>
      <c r="D256" s="80"/>
      <c r="E256" s="97"/>
      <c r="F256" s="97"/>
      <c r="G256" s="97"/>
      <c r="H256" s="97"/>
      <c r="I256" s="97"/>
      <c r="J256" s="97"/>
      <c r="K256" s="97"/>
      <c r="L256" s="195"/>
    </row>
    <row r="257" spans="1:12" x14ac:dyDescent="0.45">
      <c r="A257" s="462"/>
      <c r="B257" s="441"/>
      <c r="C257" s="194">
        <v>4</v>
      </c>
      <c r="D257" s="80"/>
      <c r="E257" s="97"/>
      <c r="F257" s="97"/>
      <c r="G257" s="97"/>
      <c r="H257" s="97"/>
      <c r="I257" s="97"/>
      <c r="J257" s="97"/>
      <c r="K257" s="97"/>
      <c r="L257" s="195"/>
    </row>
    <row r="258" spans="1:12" x14ac:dyDescent="0.45">
      <c r="A258" s="462"/>
      <c r="B258" s="441"/>
      <c r="C258" s="194">
        <v>5</v>
      </c>
      <c r="D258" s="80"/>
      <c r="E258" s="97"/>
      <c r="F258" s="97"/>
      <c r="G258" s="97"/>
      <c r="H258" s="97"/>
      <c r="I258" s="97"/>
      <c r="J258" s="97"/>
      <c r="K258" s="97"/>
      <c r="L258" s="195"/>
    </row>
    <row r="259" spans="1:12" x14ac:dyDescent="0.45">
      <c r="A259" s="462"/>
      <c r="B259" s="441"/>
      <c r="C259" s="194">
        <v>6</v>
      </c>
      <c r="D259" s="80"/>
      <c r="E259" s="97"/>
      <c r="F259" s="97"/>
      <c r="G259" s="97"/>
      <c r="H259" s="97"/>
      <c r="I259" s="97"/>
      <c r="J259" s="97"/>
      <c r="K259" s="97"/>
      <c r="L259" s="195"/>
    </row>
    <row r="260" spans="1:12" x14ac:dyDescent="0.45">
      <c r="A260" s="462"/>
      <c r="B260" s="441"/>
      <c r="C260" s="194">
        <v>7</v>
      </c>
      <c r="D260" s="80"/>
      <c r="E260" s="97"/>
      <c r="F260" s="97"/>
      <c r="G260" s="97"/>
      <c r="H260" s="97"/>
      <c r="I260" s="97"/>
      <c r="J260" s="97"/>
      <c r="K260" s="97"/>
      <c r="L260" s="195"/>
    </row>
    <row r="261" spans="1:12" x14ac:dyDescent="0.45">
      <c r="A261" s="462"/>
      <c r="B261" s="441"/>
      <c r="C261" s="194">
        <v>8</v>
      </c>
      <c r="D261" s="80"/>
      <c r="E261" s="97"/>
      <c r="F261" s="97"/>
      <c r="G261" s="97"/>
      <c r="H261" s="97"/>
      <c r="I261" s="97"/>
      <c r="J261" s="97"/>
      <c r="K261" s="97"/>
      <c r="L261" s="195"/>
    </row>
    <row r="262" spans="1:12" x14ac:dyDescent="0.45">
      <c r="A262" s="462"/>
      <c r="B262" s="441"/>
      <c r="C262" s="194">
        <v>9</v>
      </c>
      <c r="D262" s="80"/>
      <c r="E262" s="97"/>
      <c r="F262" s="97"/>
      <c r="G262" s="97"/>
      <c r="H262" s="97"/>
      <c r="I262" s="97"/>
      <c r="J262" s="97"/>
      <c r="K262" s="97"/>
      <c r="L262" s="195"/>
    </row>
    <row r="263" spans="1:12" x14ac:dyDescent="0.45">
      <c r="A263" s="462"/>
      <c r="B263" s="441"/>
      <c r="C263" s="194">
        <v>10</v>
      </c>
      <c r="D263" s="80"/>
      <c r="E263" s="97"/>
      <c r="F263" s="97"/>
      <c r="G263" s="97"/>
      <c r="H263" s="97"/>
      <c r="I263" s="97"/>
      <c r="J263" s="97"/>
      <c r="K263" s="97"/>
      <c r="L263" s="195"/>
    </row>
    <row r="264" spans="1:12" x14ac:dyDescent="0.45">
      <c r="A264" s="462"/>
      <c r="B264" s="441"/>
      <c r="C264" s="194">
        <v>11</v>
      </c>
      <c r="D264" s="81"/>
      <c r="E264" s="98"/>
      <c r="F264" s="98"/>
      <c r="G264" s="98"/>
      <c r="H264" s="98"/>
      <c r="I264" s="98"/>
      <c r="J264" s="98"/>
      <c r="K264" s="98"/>
      <c r="L264" s="196"/>
    </row>
    <row r="265" spans="1:12" ht="14.65" thickBot="1" x14ac:dyDescent="0.5">
      <c r="A265" s="462"/>
      <c r="B265" s="442"/>
      <c r="C265" s="197">
        <v>12</v>
      </c>
      <c r="D265" s="82"/>
      <c r="E265" s="99"/>
      <c r="F265" s="99"/>
      <c r="G265" s="99"/>
      <c r="H265" s="99"/>
      <c r="I265" s="99"/>
      <c r="J265" s="99"/>
      <c r="K265" s="99"/>
      <c r="L265" s="198"/>
    </row>
    <row r="266" spans="1:12" x14ac:dyDescent="0.45">
      <c r="A266" s="462"/>
      <c r="B266" s="440">
        <v>8</v>
      </c>
      <c r="C266" s="192">
        <v>1</v>
      </c>
      <c r="D266" s="79"/>
      <c r="E266" s="96"/>
      <c r="F266" s="96"/>
      <c r="G266" s="96"/>
      <c r="H266" s="96"/>
      <c r="I266" s="96"/>
      <c r="J266" s="96"/>
      <c r="K266" s="96"/>
      <c r="L266" s="193"/>
    </row>
    <row r="267" spans="1:12" x14ac:dyDescent="0.45">
      <c r="A267" s="462"/>
      <c r="B267" s="441"/>
      <c r="C267" s="194">
        <v>2</v>
      </c>
      <c r="D267" s="80"/>
      <c r="E267" s="97"/>
      <c r="F267" s="97"/>
      <c r="G267" s="97"/>
      <c r="H267" s="97"/>
      <c r="I267" s="97"/>
      <c r="J267" s="97"/>
      <c r="K267" s="97"/>
      <c r="L267" s="195"/>
    </row>
    <row r="268" spans="1:12" x14ac:dyDescent="0.45">
      <c r="A268" s="462"/>
      <c r="B268" s="441"/>
      <c r="C268" s="194">
        <v>3</v>
      </c>
      <c r="D268" s="80"/>
      <c r="E268" s="97"/>
      <c r="F268" s="97"/>
      <c r="G268" s="97"/>
      <c r="H268" s="97"/>
      <c r="I268" s="97"/>
      <c r="J268" s="97"/>
      <c r="K268" s="97"/>
      <c r="L268" s="195"/>
    </row>
    <row r="269" spans="1:12" x14ac:dyDescent="0.45">
      <c r="A269" s="462"/>
      <c r="B269" s="441"/>
      <c r="C269" s="194">
        <v>4</v>
      </c>
      <c r="D269" s="80"/>
      <c r="E269" s="97"/>
      <c r="F269" s="97"/>
      <c r="G269" s="97"/>
      <c r="H269" s="97"/>
      <c r="I269" s="97"/>
      <c r="J269" s="97"/>
      <c r="K269" s="97"/>
      <c r="L269" s="195"/>
    </row>
    <row r="270" spans="1:12" x14ac:dyDescent="0.45">
      <c r="A270" s="462"/>
      <c r="B270" s="441"/>
      <c r="C270" s="194">
        <v>5</v>
      </c>
      <c r="D270" s="80"/>
      <c r="E270" s="97"/>
      <c r="F270" s="97"/>
      <c r="G270" s="97"/>
      <c r="H270" s="97"/>
      <c r="I270" s="97"/>
      <c r="J270" s="97"/>
      <c r="K270" s="97"/>
      <c r="L270" s="195"/>
    </row>
    <row r="271" spans="1:12" x14ac:dyDescent="0.45">
      <c r="A271" s="462"/>
      <c r="B271" s="441"/>
      <c r="C271" s="194">
        <v>6</v>
      </c>
      <c r="D271" s="80"/>
      <c r="E271" s="97"/>
      <c r="F271" s="97"/>
      <c r="G271" s="97"/>
      <c r="H271" s="97"/>
      <c r="I271" s="97"/>
      <c r="J271" s="97"/>
      <c r="K271" s="97"/>
      <c r="L271" s="195"/>
    </row>
    <row r="272" spans="1:12" x14ac:dyDescent="0.45">
      <c r="A272" s="462"/>
      <c r="B272" s="441"/>
      <c r="C272" s="194">
        <v>7</v>
      </c>
      <c r="D272" s="80"/>
      <c r="E272" s="97"/>
      <c r="F272" s="97"/>
      <c r="G272" s="97"/>
      <c r="H272" s="97"/>
      <c r="I272" s="97"/>
      <c r="J272" s="97"/>
      <c r="K272" s="97"/>
      <c r="L272" s="195"/>
    </row>
    <row r="273" spans="1:12" x14ac:dyDescent="0.45">
      <c r="A273" s="462"/>
      <c r="B273" s="441"/>
      <c r="C273" s="194">
        <v>8</v>
      </c>
      <c r="D273" s="80"/>
      <c r="E273" s="97"/>
      <c r="F273" s="97"/>
      <c r="G273" s="97"/>
      <c r="H273" s="97"/>
      <c r="I273" s="97"/>
      <c r="J273" s="97"/>
      <c r="K273" s="97"/>
      <c r="L273" s="195"/>
    </row>
    <row r="274" spans="1:12" x14ac:dyDescent="0.45">
      <c r="A274" s="462"/>
      <c r="B274" s="441"/>
      <c r="C274" s="194">
        <v>9</v>
      </c>
      <c r="D274" s="80"/>
      <c r="E274" s="97"/>
      <c r="F274" s="97"/>
      <c r="G274" s="97"/>
      <c r="H274" s="97"/>
      <c r="I274" s="97"/>
      <c r="J274" s="97"/>
      <c r="K274" s="97"/>
      <c r="L274" s="195"/>
    </row>
    <row r="275" spans="1:12" x14ac:dyDescent="0.45">
      <c r="A275" s="462"/>
      <c r="B275" s="441"/>
      <c r="C275" s="194">
        <v>10</v>
      </c>
      <c r="D275" s="80"/>
      <c r="E275" s="97"/>
      <c r="F275" s="97"/>
      <c r="G275" s="97"/>
      <c r="H275" s="97"/>
      <c r="I275" s="97"/>
      <c r="J275" s="97"/>
      <c r="K275" s="97"/>
      <c r="L275" s="195"/>
    </row>
    <row r="276" spans="1:12" x14ac:dyDescent="0.45">
      <c r="A276" s="462"/>
      <c r="B276" s="441"/>
      <c r="C276" s="194">
        <v>11</v>
      </c>
      <c r="D276" s="81"/>
      <c r="E276" s="98"/>
      <c r="F276" s="98"/>
      <c r="G276" s="98"/>
      <c r="H276" s="98"/>
      <c r="I276" s="98"/>
      <c r="J276" s="98"/>
      <c r="K276" s="98"/>
      <c r="L276" s="196"/>
    </row>
    <row r="277" spans="1:12" ht="14.65" thickBot="1" x14ac:dyDescent="0.5">
      <c r="A277" s="463"/>
      <c r="B277" s="442"/>
      <c r="C277" s="197">
        <v>12</v>
      </c>
      <c r="D277" s="82"/>
      <c r="E277" s="99"/>
      <c r="F277" s="99"/>
      <c r="G277" s="99"/>
      <c r="H277" s="99"/>
      <c r="I277" s="99"/>
      <c r="J277" s="99"/>
      <c r="K277" s="99"/>
      <c r="L277" s="198"/>
    </row>
    <row r="278" spans="1:12" x14ac:dyDescent="0.45">
      <c r="A278" s="461">
        <v>3</v>
      </c>
      <c r="B278" s="440">
        <v>9</v>
      </c>
      <c r="C278" s="192">
        <v>1</v>
      </c>
      <c r="D278" s="79"/>
      <c r="E278" s="96"/>
      <c r="F278" s="96"/>
      <c r="G278" s="96"/>
      <c r="H278" s="96"/>
      <c r="I278" s="96"/>
      <c r="J278" s="96"/>
      <c r="K278" s="96"/>
      <c r="L278" s="193"/>
    </row>
    <row r="279" spans="1:12" x14ac:dyDescent="0.45">
      <c r="A279" s="462"/>
      <c r="B279" s="441"/>
      <c r="C279" s="194">
        <v>2</v>
      </c>
      <c r="D279" s="80"/>
      <c r="E279" s="97"/>
      <c r="F279" s="97"/>
      <c r="G279" s="97"/>
      <c r="H279" s="97"/>
      <c r="I279" s="97"/>
      <c r="J279" s="97"/>
      <c r="K279" s="97"/>
      <c r="L279" s="195"/>
    </row>
    <row r="280" spans="1:12" x14ac:dyDescent="0.45">
      <c r="A280" s="462"/>
      <c r="B280" s="441"/>
      <c r="C280" s="194">
        <v>3</v>
      </c>
      <c r="D280" s="80"/>
      <c r="E280" s="97"/>
      <c r="F280" s="97"/>
      <c r="G280" s="97"/>
      <c r="H280" s="97"/>
      <c r="I280" s="97"/>
      <c r="J280" s="97"/>
      <c r="K280" s="97"/>
      <c r="L280" s="195"/>
    </row>
    <row r="281" spans="1:12" x14ac:dyDescent="0.45">
      <c r="A281" s="462"/>
      <c r="B281" s="441"/>
      <c r="C281" s="194">
        <v>4</v>
      </c>
      <c r="D281" s="80"/>
      <c r="E281" s="97"/>
      <c r="F281" s="97"/>
      <c r="G281" s="97"/>
      <c r="H281" s="97"/>
      <c r="I281" s="97"/>
      <c r="J281" s="97"/>
      <c r="K281" s="97"/>
      <c r="L281" s="195"/>
    </row>
    <row r="282" spans="1:12" x14ac:dyDescent="0.45">
      <c r="A282" s="462"/>
      <c r="B282" s="441"/>
      <c r="C282" s="194">
        <v>5</v>
      </c>
      <c r="D282" s="80"/>
      <c r="E282" s="97"/>
      <c r="F282" s="97"/>
      <c r="G282" s="97"/>
      <c r="H282" s="97"/>
      <c r="I282" s="97"/>
      <c r="J282" s="97"/>
      <c r="K282" s="97"/>
      <c r="L282" s="195"/>
    </row>
    <row r="283" spans="1:12" x14ac:dyDescent="0.45">
      <c r="A283" s="462"/>
      <c r="B283" s="441"/>
      <c r="C283" s="194">
        <v>6</v>
      </c>
      <c r="D283" s="80"/>
      <c r="E283" s="97"/>
      <c r="F283" s="97"/>
      <c r="G283" s="97"/>
      <c r="H283" s="97"/>
      <c r="I283" s="97"/>
      <c r="J283" s="97"/>
      <c r="K283" s="97"/>
      <c r="L283" s="195"/>
    </row>
    <row r="284" spans="1:12" x14ac:dyDescent="0.45">
      <c r="A284" s="462"/>
      <c r="B284" s="441"/>
      <c r="C284" s="194">
        <v>7</v>
      </c>
      <c r="D284" s="80"/>
      <c r="E284" s="97"/>
      <c r="F284" s="97"/>
      <c r="G284" s="97"/>
      <c r="H284" s="97"/>
      <c r="I284" s="97"/>
      <c r="J284" s="97"/>
      <c r="K284" s="97"/>
      <c r="L284" s="195"/>
    </row>
    <row r="285" spans="1:12" x14ac:dyDescent="0.45">
      <c r="A285" s="462"/>
      <c r="B285" s="441"/>
      <c r="C285" s="194">
        <v>8</v>
      </c>
      <c r="D285" s="80"/>
      <c r="E285" s="97"/>
      <c r="F285" s="97"/>
      <c r="G285" s="97"/>
      <c r="H285" s="97"/>
      <c r="I285" s="97"/>
      <c r="J285" s="97"/>
      <c r="K285" s="97"/>
      <c r="L285" s="195"/>
    </row>
    <row r="286" spans="1:12" x14ac:dyDescent="0.45">
      <c r="A286" s="462"/>
      <c r="B286" s="441"/>
      <c r="C286" s="194">
        <v>9</v>
      </c>
      <c r="D286" s="80"/>
      <c r="E286" s="97"/>
      <c r="F286" s="97"/>
      <c r="G286" s="97"/>
      <c r="H286" s="97"/>
      <c r="I286" s="97"/>
      <c r="J286" s="97"/>
      <c r="K286" s="97"/>
      <c r="L286" s="195"/>
    </row>
    <row r="287" spans="1:12" x14ac:dyDescent="0.45">
      <c r="A287" s="462"/>
      <c r="B287" s="441"/>
      <c r="C287" s="194">
        <v>10</v>
      </c>
      <c r="D287" s="80"/>
      <c r="E287" s="97"/>
      <c r="F287" s="97"/>
      <c r="G287" s="97"/>
      <c r="H287" s="97"/>
      <c r="I287" s="97"/>
      <c r="J287" s="97"/>
      <c r="K287" s="97"/>
      <c r="L287" s="195"/>
    </row>
    <row r="288" spans="1:12" x14ac:dyDescent="0.45">
      <c r="A288" s="462"/>
      <c r="B288" s="441"/>
      <c r="C288" s="194">
        <v>11</v>
      </c>
      <c r="D288" s="81"/>
      <c r="E288" s="98"/>
      <c r="F288" s="98"/>
      <c r="G288" s="98"/>
      <c r="H288" s="98"/>
      <c r="I288" s="98"/>
      <c r="J288" s="98"/>
      <c r="K288" s="98"/>
      <c r="L288" s="196"/>
    </row>
    <row r="289" spans="1:12" ht="14.65" thickBot="1" x14ac:dyDescent="0.5">
      <c r="A289" s="462"/>
      <c r="B289" s="442"/>
      <c r="C289" s="197">
        <v>12</v>
      </c>
      <c r="D289" s="82"/>
      <c r="E289" s="99"/>
      <c r="F289" s="99"/>
      <c r="G289" s="99"/>
      <c r="H289" s="99"/>
      <c r="I289" s="99"/>
      <c r="J289" s="99"/>
      <c r="K289" s="99"/>
      <c r="L289" s="198"/>
    </row>
    <row r="290" spans="1:12" x14ac:dyDescent="0.45">
      <c r="A290" s="462"/>
      <c r="B290" s="440">
        <v>10</v>
      </c>
      <c r="C290" s="192">
        <v>1</v>
      </c>
      <c r="D290" s="79"/>
      <c r="E290" s="96"/>
      <c r="F290" s="96"/>
      <c r="G290" s="96"/>
      <c r="H290" s="96"/>
      <c r="I290" s="96"/>
      <c r="J290" s="96"/>
      <c r="K290" s="96"/>
      <c r="L290" s="193"/>
    </row>
    <row r="291" spans="1:12" x14ac:dyDescent="0.45">
      <c r="A291" s="462"/>
      <c r="B291" s="441"/>
      <c r="C291" s="194">
        <v>2</v>
      </c>
      <c r="D291" s="80"/>
      <c r="E291" s="97"/>
      <c r="F291" s="97"/>
      <c r="G291" s="97"/>
      <c r="H291" s="97"/>
      <c r="I291" s="97"/>
      <c r="J291" s="97"/>
      <c r="K291" s="97"/>
      <c r="L291" s="195"/>
    </row>
    <row r="292" spans="1:12" x14ac:dyDescent="0.45">
      <c r="A292" s="462"/>
      <c r="B292" s="441"/>
      <c r="C292" s="194">
        <v>3</v>
      </c>
      <c r="D292" s="80"/>
      <c r="E292" s="97"/>
      <c r="F292" s="97"/>
      <c r="G292" s="97"/>
      <c r="H292" s="97"/>
      <c r="I292" s="97"/>
      <c r="J292" s="97"/>
      <c r="K292" s="97"/>
      <c r="L292" s="195"/>
    </row>
    <row r="293" spans="1:12" x14ac:dyDescent="0.45">
      <c r="A293" s="462"/>
      <c r="B293" s="441"/>
      <c r="C293" s="194">
        <v>4</v>
      </c>
      <c r="D293" s="80"/>
      <c r="E293" s="97"/>
      <c r="F293" s="97"/>
      <c r="G293" s="97"/>
      <c r="H293" s="97"/>
      <c r="I293" s="97"/>
      <c r="J293" s="97"/>
      <c r="K293" s="97"/>
      <c r="L293" s="195"/>
    </row>
    <row r="294" spans="1:12" x14ac:dyDescent="0.45">
      <c r="A294" s="462"/>
      <c r="B294" s="441"/>
      <c r="C294" s="194">
        <v>5</v>
      </c>
      <c r="D294" s="80"/>
      <c r="E294" s="97"/>
      <c r="F294" s="97"/>
      <c r="G294" s="97"/>
      <c r="H294" s="97"/>
      <c r="I294" s="97"/>
      <c r="J294" s="97"/>
      <c r="K294" s="97"/>
      <c r="L294" s="195"/>
    </row>
    <row r="295" spans="1:12" x14ac:dyDescent="0.45">
      <c r="A295" s="462"/>
      <c r="B295" s="441"/>
      <c r="C295" s="194">
        <v>6</v>
      </c>
      <c r="D295" s="80"/>
      <c r="E295" s="97"/>
      <c r="F295" s="97"/>
      <c r="G295" s="97"/>
      <c r="H295" s="97"/>
      <c r="I295" s="97"/>
      <c r="J295" s="97"/>
      <c r="K295" s="97"/>
      <c r="L295" s="195"/>
    </row>
    <row r="296" spans="1:12" x14ac:dyDescent="0.45">
      <c r="A296" s="462"/>
      <c r="B296" s="441"/>
      <c r="C296" s="194">
        <v>7</v>
      </c>
      <c r="D296" s="80"/>
      <c r="E296" s="97"/>
      <c r="F296" s="97"/>
      <c r="G296" s="97"/>
      <c r="H296" s="97"/>
      <c r="I296" s="97"/>
      <c r="J296" s="97"/>
      <c r="K296" s="97"/>
      <c r="L296" s="195"/>
    </row>
    <row r="297" spans="1:12" x14ac:dyDescent="0.45">
      <c r="A297" s="462"/>
      <c r="B297" s="441"/>
      <c r="C297" s="194">
        <v>8</v>
      </c>
      <c r="D297" s="80"/>
      <c r="E297" s="97"/>
      <c r="F297" s="97"/>
      <c r="G297" s="97"/>
      <c r="H297" s="97"/>
      <c r="I297" s="97"/>
      <c r="J297" s="97"/>
      <c r="K297" s="97"/>
      <c r="L297" s="195"/>
    </row>
    <row r="298" spans="1:12" x14ac:dyDescent="0.45">
      <c r="A298" s="462"/>
      <c r="B298" s="441"/>
      <c r="C298" s="194">
        <v>9</v>
      </c>
      <c r="D298" s="80"/>
      <c r="E298" s="97"/>
      <c r="F298" s="97"/>
      <c r="G298" s="97"/>
      <c r="H298" s="97"/>
      <c r="I298" s="97"/>
      <c r="J298" s="97"/>
      <c r="K298" s="97"/>
      <c r="L298" s="195"/>
    </row>
    <row r="299" spans="1:12" x14ac:dyDescent="0.45">
      <c r="A299" s="462"/>
      <c r="B299" s="441"/>
      <c r="C299" s="194">
        <v>10</v>
      </c>
      <c r="D299" s="80"/>
      <c r="E299" s="97"/>
      <c r="F299" s="97"/>
      <c r="G299" s="97"/>
      <c r="H299" s="97"/>
      <c r="I299" s="97"/>
      <c r="J299" s="97"/>
      <c r="K299" s="97"/>
      <c r="L299" s="195"/>
    </row>
    <row r="300" spans="1:12" x14ac:dyDescent="0.45">
      <c r="A300" s="462"/>
      <c r="B300" s="441"/>
      <c r="C300" s="194">
        <v>11</v>
      </c>
      <c r="D300" s="81"/>
      <c r="E300" s="98"/>
      <c r="F300" s="98"/>
      <c r="G300" s="98"/>
      <c r="H300" s="98"/>
      <c r="I300" s="98"/>
      <c r="J300" s="98"/>
      <c r="K300" s="98"/>
      <c r="L300" s="196"/>
    </row>
    <row r="301" spans="1:12" ht="14.65" thickBot="1" x14ac:dyDescent="0.5">
      <c r="A301" s="462"/>
      <c r="B301" s="442"/>
      <c r="C301" s="197">
        <v>12</v>
      </c>
      <c r="D301" s="82"/>
      <c r="E301" s="99"/>
      <c r="F301" s="99"/>
      <c r="G301" s="99"/>
      <c r="H301" s="99"/>
      <c r="I301" s="99"/>
      <c r="J301" s="99"/>
      <c r="K301" s="99"/>
      <c r="L301" s="198"/>
    </row>
    <row r="302" spans="1:12" x14ac:dyDescent="0.45">
      <c r="A302" s="462"/>
      <c r="B302" s="440">
        <v>11</v>
      </c>
      <c r="C302" s="192">
        <v>1</v>
      </c>
      <c r="D302" s="79"/>
      <c r="E302" s="96"/>
      <c r="F302" s="96"/>
      <c r="G302" s="96"/>
      <c r="H302" s="96"/>
      <c r="I302" s="96"/>
      <c r="J302" s="96"/>
      <c r="K302" s="96"/>
      <c r="L302" s="193"/>
    </row>
    <row r="303" spans="1:12" x14ac:dyDescent="0.45">
      <c r="A303" s="462"/>
      <c r="B303" s="441"/>
      <c r="C303" s="194">
        <v>2</v>
      </c>
      <c r="D303" s="80"/>
      <c r="E303" s="97"/>
      <c r="F303" s="97"/>
      <c r="G303" s="97"/>
      <c r="H303" s="97"/>
      <c r="I303" s="97"/>
      <c r="J303" s="97"/>
      <c r="K303" s="97"/>
      <c r="L303" s="195"/>
    </row>
    <row r="304" spans="1:12" x14ac:dyDescent="0.45">
      <c r="A304" s="462"/>
      <c r="B304" s="441"/>
      <c r="C304" s="194">
        <v>3</v>
      </c>
      <c r="D304" s="80"/>
      <c r="E304" s="97"/>
      <c r="F304" s="97"/>
      <c r="G304" s="97"/>
      <c r="H304" s="97"/>
      <c r="I304" s="97"/>
      <c r="J304" s="97"/>
      <c r="K304" s="97"/>
      <c r="L304" s="195"/>
    </row>
    <row r="305" spans="1:12" x14ac:dyDescent="0.45">
      <c r="A305" s="462"/>
      <c r="B305" s="441"/>
      <c r="C305" s="194">
        <v>4</v>
      </c>
      <c r="D305" s="80"/>
      <c r="E305" s="97"/>
      <c r="F305" s="97"/>
      <c r="G305" s="97"/>
      <c r="H305" s="97"/>
      <c r="I305" s="97"/>
      <c r="J305" s="97"/>
      <c r="K305" s="97"/>
      <c r="L305" s="195"/>
    </row>
    <row r="306" spans="1:12" x14ac:dyDescent="0.45">
      <c r="A306" s="462"/>
      <c r="B306" s="441"/>
      <c r="C306" s="194">
        <v>5</v>
      </c>
      <c r="D306" s="80"/>
      <c r="E306" s="97"/>
      <c r="F306" s="97"/>
      <c r="G306" s="97"/>
      <c r="H306" s="97"/>
      <c r="I306" s="97"/>
      <c r="J306" s="97"/>
      <c r="K306" s="97"/>
      <c r="L306" s="195"/>
    </row>
    <row r="307" spans="1:12" x14ac:dyDescent="0.45">
      <c r="A307" s="462"/>
      <c r="B307" s="441"/>
      <c r="C307" s="194">
        <v>6</v>
      </c>
      <c r="D307" s="80"/>
      <c r="E307" s="97"/>
      <c r="F307" s="97"/>
      <c r="G307" s="97"/>
      <c r="H307" s="97"/>
      <c r="I307" s="97"/>
      <c r="J307" s="97"/>
      <c r="K307" s="97"/>
      <c r="L307" s="195"/>
    </row>
    <row r="308" spans="1:12" x14ac:dyDescent="0.45">
      <c r="A308" s="462"/>
      <c r="B308" s="441"/>
      <c r="C308" s="194">
        <v>7</v>
      </c>
      <c r="D308" s="80"/>
      <c r="E308" s="97"/>
      <c r="F308" s="97"/>
      <c r="G308" s="97"/>
      <c r="H308" s="97"/>
      <c r="I308" s="97"/>
      <c r="J308" s="97"/>
      <c r="K308" s="97"/>
      <c r="L308" s="195"/>
    </row>
    <row r="309" spans="1:12" x14ac:dyDescent="0.45">
      <c r="A309" s="462"/>
      <c r="B309" s="441"/>
      <c r="C309" s="194">
        <v>8</v>
      </c>
      <c r="D309" s="80"/>
      <c r="E309" s="97"/>
      <c r="F309" s="97"/>
      <c r="G309" s="97"/>
      <c r="H309" s="97"/>
      <c r="I309" s="97"/>
      <c r="J309" s="97"/>
      <c r="K309" s="97"/>
      <c r="L309" s="195"/>
    </row>
    <row r="310" spans="1:12" x14ac:dyDescent="0.45">
      <c r="A310" s="462"/>
      <c r="B310" s="441"/>
      <c r="C310" s="194">
        <v>9</v>
      </c>
      <c r="D310" s="80"/>
      <c r="E310" s="97"/>
      <c r="F310" s="97"/>
      <c r="G310" s="97"/>
      <c r="H310" s="97"/>
      <c r="I310" s="97"/>
      <c r="J310" s="97"/>
      <c r="K310" s="97"/>
      <c r="L310" s="195"/>
    </row>
    <row r="311" spans="1:12" x14ac:dyDescent="0.45">
      <c r="A311" s="462"/>
      <c r="B311" s="441"/>
      <c r="C311" s="194">
        <v>10</v>
      </c>
      <c r="D311" s="80"/>
      <c r="E311" s="97"/>
      <c r="F311" s="97"/>
      <c r="G311" s="97"/>
      <c r="H311" s="97"/>
      <c r="I311" s="97"/>
      <c r="J311" s="97"/>
      <c r="K311" s="97"/>
      <c r="L311" s="195"/>
    </row>
    <row r="312" spans="1:12" x14ac:dyDescent="0.45">
      <c r="A312" s="462"/>
      <c r="B312" s="441"/>
      <c r="C312" s="194">
        <v>11</v>
      </c>
      <c r="D312" s="81"/>
      <c r="E312" s="98"/>
      <c r="F312" s="98"/>
      <c r="G312" s="98"/>
      <c r="H312" s="98"/>
      <c r="I312" s="98"/>
      <c r="J312" s="98"/>
      <c r="K312" s="98"/>
      <c r="L312" s="196"/>
    </row>
    <row r="313" spans="1:12" ht="14.65" thickBot="1" x14ac:dyDescent="0.5">
      <c r="A313" s="462"/>
      <c r="B313" s="442"/>
      <c r="C313" s="197">
        <v>12</v>
      </c>
      <c r="D313" s="82"/>
      <c r="E313" s="99"/>
      <c r="F313" s="99"/>
      <c r="G313" s="99"/>
      <c r="H313" s="99"/>
      <c r="I313" s="99"/>
      <c r="J313" s="99"/>
      <c r="K313" s="99"/>
      <c r="L313" s="198"/>
    </row>
    <row r="314" spans="1:12" x14ac:dyDescent="0.45">
      <c r="A314" s="462"/>
      <c r="B314" s="440">
        <v>12</v>
      </c>
      <c r="C314" s="192">
        <v>1</v>
      </c>
      <c r="D314" s="79"/>
      <c r="E314" s="96"/>
      <c r="F314" s="96"/>
      <c r="G314" s="96"/>
      <c r="H314" s="96"/>
      <c r="I314" s="96"/>
      <c r="J314" s="96"/>
      <c r="K314" s="96"/>
      <c r="L314" s="193"/>
    </row>
    <row r="315" spans="1:12" x14ac:dyDescent="0.45">
      <c r="A315" s="462"/>
      <c r="B315" s="441"/>
      <c r="C315" s="194">
        <v>2</v>
      </c>
      <c r="D315" s="80"/>
      <c r="E315" s="97"/>
      <c r="F315" s="97"/>
      <c r="G315" s="97"/>
      <c r="H315" s="97"/>
      <c r="I315" s="97"/>
      <c r="J315" s="97"/>
      <c r="K315" s="97"/>
      <c r="L315" s="195"/>
    </row>
    <row r="316" spans="1:12" x14ac:dyDescent="0.45">
      <c r="A316" s="462"/>
      <c r="B316" s="441"/>
      <c r="C316" s="194">
        <v>3</v>
      </c>
      <c r="D316" s="80"/>
      <c r="E316" s="97"/>
      <c r="F316" s="97"/>
      <c r="G316" s="97"/>
      <c r="H316" s="97"/>
      <c r="I316" s="97"/>
      <c r="J316" s="97"/>
      <c r="K316" s="97"/>
      <c r="L316" s="195"/>
    </row>
    <row r="317" spans="1:12" x14ac:dyDescent="0.45">
      <c r="A317" s="462"/>
      <c r="B317" s="441"/>
      <c r="C317" s="194">
        <v>4</v>
      </c>
      <c r="D317" s="80"/>
      <c r="E317" s="97"/>
      <c r="F317" s="97"/>
      <c r="G317" s="97"/>
      <c r="H317" s="97"/>
      <c r="I317" s="97"/>
      <c r="J317" s="97"/>
      <c r="K317" s="97"/>
      <c r="L317" s="195"/>
    </row>
    <row r="318" spans="1:12" x14ac:dyDescent="0.45">
      <c r="A318" s="462"/>
      <c r="B318" s="441"/>
      <c r="C318" s="194">
        <v>5</v>
      </c>
      <c r="D318" s="80"/>
      <c r="E318" s="97"/>
      <c r="F318" s="97"/>
      <c r="G318" s="97"/>
      <c r="H318" s="97"/>
      <c r="I318" s="97"/>
      <c r="J318" s="97"/>
      <c r="K318" s="97"/>
      <c r="L318" s="195"/>
    </row>
    <row r="319" spans="1:12" x14ac:dyDescent="0.45">
      <c r="A319" s="462"/>
      <c r="B319" s="441"/>
      <c r="C319" s="194">
        <v>6</v>
      </c>
      <c r="D319" s="80"/>
      <c r="E319" s="97"/>
      <c r="F319" s="97"/>
      <c r="G319" s="97"/>
      <c r="H319" s="97"/>
      <c r="I319" s="97"/>
      <c r="J319" s="97"/>
      <c r="K319" s="97"/>
      <c r="L319" s="195"/>
    </row>
    <row r="320" spans="1:12" x14ac:dyDescent="0.45">
      <c r="A320" s="462"/>
      <c r="B320" s="441"/>
      <c r="C320" s="194">
        <v>7</v>
      </c>
      <c r="D320" s="80"/>
      <c r="E320" s="97"/>
      <c r="F320" s="97"/>
      <c r="G320" s="97"/>
      <c r="H320" s="97"/>
      <c r="I320" s="97"/>
      <c r="J320" s="97"/>
      <c r="K320" s="97"/>
      <c r="L320" s="195"/>
    </row>
    <row r="321" spans="1:14" x14ac:dyDescent="0.45">
      <c r="A321" s="462"/>
      <c r="B321" s="441"/>
      <c r="C321" s="194">
        <v>8</v>
      </c>
      <c r="D321" s="80"/>
      <c r="E321" s="97"/>
      <c r="F321" s="97"/>
      <c r="G321" s="97"/>
      <c r="H321" s="97"/>
      <c r="I321" s="97"/>
      <c r="J321" s="97"/>
      <c r="K321" s="97"/>
      <c r="L321" s="195"/>
    </row>
    <row r="322" spans="1:14" x14ac:dyDescent="0.45">
      <c r="A322" s="462"/>
      <c r="B322" s="441"/>
      <c r="C322" s="194">
        <v>9</v>
      </c>
      <c r="D322" s="80"/>
      <c r="E322" s="97"/>
      <c r="F322" s="97"/>
      <c r="G322" s="97"/>
      <c r="H322" s="97"/>
      <c r="I322" s="97"/>
      <c r="J322" s="97"/>
      <c r="K322" s="97"/>
      <c r="L322" s="195"/>
    </row>
    <row r="323" spans="1:14" x14ac:dyDescent="0.45">
      <c r="A323" s="462"/>
      <c r="B323" s="441"/>
      <c r="C323" s="194">
        <v>10</v>
      </c>
      <c r="D323" s="80"/>
      <c r="E323" s="97"/>
      <c r="F323" s="97"/>
      <c r="G323" s="97"/>
      <c r="H323" s="97"/>
      <c r="I323" s="97"/>
      <c r="J323" s="97"/>
      <c r="K323" s="97"/>
      <c r="L323" s="195"/>
    </row>
    <row r="324" spans="1:14" x14ac:dyDescent="0.45">
      <c r="A324" s="462"/>
      <c r="B324" s="441"/>
      <c r="C324" s="194">
        <v>11</v>
      </c>
      <c r="D324" s="81"/>
      <c r="E324" s="98"/>
      <c r="F324" s="98"/>
      <c r="G324" s="98"/>
      <c r="H324" s="98"/>
      <c r="I324" s="98"/>
      <c r="J324" s="98"/>
      <c r="K324" s="98"/>
      <c r="L324" s="196"/>
    </row>
    <row r="325" spans="1:14" ht="14.65" thickBot="1" x14ac:dyDescent="0.5">
      <c r="A325" s="463"/>
      <c r="B325" s="442"/>
      <c r="C325" s="199">
        <v>12</v>
      </c>
      <c r="D325" s="82"/>
      <c r="E325" s="99"/>
      <c r="F325" s="99"/>
      <c r="G325" s="99"/>
      <c r="H325" s="99"/>
      <c r="I325" s="99"/>
      <c r="J325" s="99"/>
      <c r="K325" s="99"/>
      <c r="L325" s="198"/>
    </row>
    <row r="327" spans="1:14" s="91" customFormat="1" x14ac:dyDescent="0.45"/>
    <row r="328" spans="1:14" ht="14.65" thickBot="1" x14ac:dyDescent="0.5"/>
    <row r="329" spans="1:14" ht="28.9" thickBot="1" x14ac:dyDescent="0.5">
      <c r="A329" s="187" t="s">
        <v>76</v>
      </c>
      <c r="B329" s="186">
        <v>3</v>
      </c>
      <c r="C329" s="109"/>
      <c r="D329" s="109"/>
    </row>
    <row r="330" spans="1:14" ht="14.45" customHeight="1" x14ac:dyDescent="0.45">
      <c r="A330" s="443" t="s">
        <v>27</v>
      </c>
      <c r="B330" s="448">
        <f>Name3</f>
        <v>0</v>
      </c>
      <c r="C330" s="449"/>
      <c r="D330" s="450"/>
      <c r="I330" s="204"/>
      <c r="J330" s="204"/>
      <c r="K330" s="204"/>
      <c r="L330" s="204"/>
      <c r="M330" s="204"/>
      <c r="N330" s="204"/>
    </row>
    <row r="331" spans="1:14" x14ac:dyDescent="0.45">
      <c r="A331" s="444"/>
      <c r="B331" s="448"/>
      <c r="C331" s="449"/>
      <c r="D331" s="450"/>
      <c r="I331" s="204"/>
      <c r="J331" s="204"/>
      <c r="K331" s="204"/>
      <c r="L331" s="204"/>
      <c r="M331" s="204"/>
      <c r="N331" s="204"/>
    </row>
    <row r="332" spans="1:14" x14ac:dyDescent="0.45">
      <c r="A332" s="445"/>
      <c r="B332" s="388"/>
      <c r="C332" s="451"/>
      <c r="D332" s="452"/>
      <c r="I332" s="204"/>
      <c r="J332" s="204"/>
      <c r="K332" s="204"/>
      <c r="L332" s="204"/>
      <c r="M332" s="204"/>
      <c r="N332" s="204"/>
    </row>
    <row r="333" spans="1:14" ht="14.45" customHeight="1" x14ac:dyDescent="0.45">
      <c r="A333" s="443" t="s">
        <v>155</v>
      </c>
      <c r="B333" s="453">
        <f>GapA3</f>
        <v>0</v>
      </c>
      <c r="C333" s="454"/>
      <c r="D333" s="455"/>
      <c r="I333" s="204"/>
      <c r="J333" s="204"/>
      <c r="K333" s="204"/>
      <c r="L333" s="204"/>
      <c r="M333" s="204"/>
      <c r="N333" s="204"/>
    </row>
    <row r="334" spans="1:14" x14ac:dyDescent="0.45">
      <c r="A334" s="444"/>
      <c r="B334" s="448"/>
      <c r="C334" s="449"/>
      <c r="D334" s="450"/>
      <c r="I334" s="204"/>
      <c r="J334" s="204"/>
      <c r="K334" s="204"/>
      <c r="L334" s="204"/>
      <c r="M334" s="204"/>
      <c r="N334" s="204"/>
    </row>
    <row r="335" spans="1:14" x14ac:dyDescent="0.45">
      <c r="A335" s="445"/>
      <c r="B335" s="388"/>
      <c r="C335" s="451"/>
      <c r="D335" s="452"/>
      <c r="I335" s="204"/>
      <c r="J335" s="204"/>
      <c r="K335" s="204"/>
      <c r="L335" s="204"/>
      <c r="M335" s="204"/>
      <c r="N335" s="204"/>
    </row>
    <row r="336" spans="1:14" ht="14.45" customHeight="1" x14ac:dyDescent="0.45">
      <c r="A336" s="443" t="s">
        <v>159</v>
      </c>
      <c r="B336" s="453">
        <f>Objective3</f>
        <v>0</v>
      </c>
      <c r="C336" s="454"/>
      <c r="D336" s="455"/>
      <c r="I336" s="204"/>
      <c r="J336" s="204"/>
      <c r="K336" s="204"/>
      <c r="L336" s="204"/>
      <c r="M336" s="204"/>
      <c r="N336" s="204"/>
    </row>
    <row r="337" spans="1:14" x14ac:dyDescent="0.45">
      <c r="A337" s="444"/>
      <c r="B337" s="448"/>
      <c r="C337" s="449"/>
      <c r="D337" s="450"/>
      <c r="I337" s="204"/>
      <c r="J337" s="204"/>
      <c r="K337" s="204"/>
      <c r="L337" s="204"/>
      <c r="M337" s="204"/>
      <c r="N337" s="204"/>
    </row>
    <row r="338" spans="1:14" x14ac:dyDescent="0.45">
      <c r="A338" s="445"/>
      <c r="B338" s="388"/>
      <c r="C338" s="451"/>
      <c r="D338" s="452"/>
      <c r="I338" s="204"/>
      <c r="J338" s="204"/>
      <c r="K338" s="204"/>
      <c r="L338" s="204"/>
      <c r="M338" s="204"/>
      <c r="N338" s="204"/>
    </row>
    <row r="339" spans="1:14" ht="14.45" customHeight="1" x14ac:dyDescent="0.45">
      <c r="A339" s="446" t="s">
        <v>166</v>
      </c>
      <c r="B339" s="454">
        <f>Capacity3</f>
        <v>0</v>
      </c>
      <c r="C339" s="454"/>
      <c r="D339" s="455"/>
      <c r="I339" s="204"/>
      <c r="J339" s="204"/>
      <c r="K339" s="204"/>
      <c r="L339" s="204"/>
      <c r="M339" s="204"/>
      <c r="N339" s="204"/>
    </row>
    <row r="340" spans="1:14" x14ac:dyDescent="0.45">
      <c r="A340" s="447"/>
      <c r="B340" s="449"/>
      <c r="C340" s="449"/>
      <c r="D340" s="450"/>
      <c r="I340" s="204"/>
      <c r="J340" s="204"/>
      <c r="K340" s="204"/>
      <c r="L340" s="204"/>
      <c r="M340" s="204"/>
      <c r="N340" s="204"/>
    </row>
    <row r="341" spans="1:14" ht="14.65" thickBot="1" x14ac:dyDescent="0.5">
      <c r="A341" s="464"/>
      <c r="B341" s="456"/>
      <c r="C341" s="456"/>
      <c r="D341" s="457"/>
      <c r="I341" s="204"/>
      <c r="J341" s="204"/>
      <c r="K341" s="204"/>
      <c r="L341" s="204"/>
      <c r="M341" s="204"/>
      <c r="N341" s="204"/>
    </row>
    <row r="343" spans="1:14" ht="14.65" thickBot="1" x14ac:dyDescent="0.5">
      <c r="A343" s="90"/>
      <c r="B343" s="90"/>
      <c r="C343" s="90"/>
      <c r="D343" s="90"/>
      <c r="E343" s="90"/>
      <c r="F343" s="90"/>
      <c r="G343" s="90"/>
      <c r="H343" s="90"/>
      <c r="I343" s="90"/>
      <c r="J343" s="90"/>
      <c r="K343" s="90"/>
      <c r="L343" s="90"/>
      <c r="M343" s="90"/>
      <c r="N343" s="90"/>
    </row>
    <row r="344" spans="1:14" ht="21.75" customHeight="1" x14ac:dyDescent="0.45">
      <c r="A344" s="458" t="s">
        <v>135</v>
      </c>
      <c r="B344" s="459"/>
      <c r="C344" s="459"/>
      <c r="D344" s="459"/>
      <c r="E344" s="459"/>
      <c r="F344" s="459"/>
      <c r="G344" s="459"/>
      <c r="H344" s="459"/>
      <c r="I344" s="459"/>
      <c r="J344" s="459"/>
      <c r="K344" s="459"/>
      <c r="L344" s="460"/>
    </row>
    <row r="345" spans="1:14" ht="29" customHeight="1" thickBot="1" x14ac:dyDescent="0.5">
      <c r="A345" s="93" t="s">
        <v>74</v>
      </c>
      <c r="B345" s="94" t="s">
        <v>28</v>
      </c>
      <c r="C345" s="95" t="s">
        <v>320</v>
      </c>
      <c r="D345" s="95" t="s">
        <v>127</v>
      </c>
      <c r="E345" s="114" t="s">
        <v>90</v>
      </c>
      <c r="F345" s="95" t="s">
        <v>175</v>
      </c>
      <c r="G345" s="95" t="s">
        <v>176</v>
      </c>
      <c r="H345" s="95" t="s">
        <v>156</v>
      </c>
      <c r="I345" s="95" t="s">
        <v>157</v>
      </c>
      <c r="J345" s="189" t="s">
        <v>321</v>
      </c>
      <c r="K345" s="190" t="s">
        <v>29</v>
      </c>
      <c r="L345" s="191" t="s">
        <v>322</v>
      </c>
    </row>
    <row r="346" spans="1:14" x14ac:dyDescent="0.45">
      <c r="A346" s="461">
        <v>1</v>
      </c>
      <c r="B346" s="440">
        <v>1</v>
      </c>
      <c r="C346" s="192">
        <v>1</v>
      </c>
      <c r="D346" s="79"/>
      <c r="E346" s="96"/>
      <c r="F346" s="96"/>
      <c r="G346" s="96"/>
      <c r="H346" s="96"/>
      <c r="I346" s="96"/>
      <c r="J346" s="96"/>
      <c r="K346" s="96"/>
      <c r="L346" s="193"/>
    </row>
    <row r="347" spans="1:14" x14ac:dyDescent="0.45">
      <c r="A347" s="462"/>
      <c r="B347" s="441"/>
      <c r="C347" s="194">
        <v>2</v>
      </c>
      <c r="D347" s="80"/>
      <c r="E347" s="97"/>
      <c r="F347" s="97"/>
      <c r="G347" s="97"/>
      <c r="H347" s="97"/>
      <c r="I347" s="97"/>
      <c r="J347" s="97"/>
      <c r="K347" s="97"/>
      <c r="L347" s="195"/>
    </row>
    <row r="348" spans="1:14" x14ac:dyDescent="0.45">
      <c r="A348" s="462"/>
      <c r="B348" s="441"/>
      <c r="C348" s="194">
        <v>3</v>
      </c>
      <c r="D348" s="80"/>
      <c r="E348" s="97"/>
      <c r="F348" s="97"/>
      <c r="G348" s="97"/>
      <c r="H348" s="97"/>
      <c r="I348" s="97"/>
      <c r="J348" s="97"/>
      <c r="K348" s="97"/>
      <c r="L348" s="195"/>
    </row>
    <row r="349" spans="1:14" x14ac:dyDescent="0.45">
      <c r="A349" s="462"/>
      <c r="B349" s="441"/>
      <c r="C349" s="194">
        <v>4</v>
      </c>
      <c r="D349" s="80"/>
      <c r="E349" s="97"/>
      <c r="F349" s="97"/>
      <c r="G349" s="97"/>
      <c r="H349" s="97"/>
      <c r="I349" s="97"/>
      <c r="J349" s="97"/>
      <c r="K349" s="97"/>
      <c r="L349" s="195"/>
    </row>
    <row r="350" spans="1:14" x14ac:dyDescent="0.45">
      <c r="A350" s="462"/>
      <c r="B350" s="441"/>
      <c r="C350" s="194">
        <v>5</v>
      </c>
      <c r="D350" s="80"/>
      <c r="E350" s="97"/>
      <c r="F350" s="97"/>
      <c r="G350" s="97"/>
      <c r="H350" s="97"/>
      <c r="I350" s="97"/>
      <c r="J350" s="97"/>
      <c r="K350" s="97"/>
      <c r="L350" s="195"/>
    </row>
    <row r="351" spans="1:14" x14ac:dyDescent="0.45">
      <c r="A351" s="462"/>
      <c r="B351" s="441"/>
      <c r="C351" s="194">
        <v>6</v>
      </c>
      <c r="D351" s="80"/>
      <c r="E351" s="97"/>
      <c r="F351" s="97"/>
      <c r="G351" s="97"/>
      <c r="H351" s="97"/>
      <c r="I351" s="97"/>
      <c r="J351" s="97"/>
      <c r="K351" s="97"/>
      <c r="L351" s="195"/>
    </row>
    <row r="352" spans="1:14" x14ac:dyDescent="0.45">
      <c r="A352" s="462"/>
      <c r="B352" s="441"/>
      <c r="C352" s="194">
        <v>7</v>
      </c>
      <c r="D352" s="80"/>
      <c r="E352" s="97"/>
      <c r="F352" s="97"/>
      <c r="G352" s="97"/>
      <c r="H352" s="97"/>
      <c r="I352" s="97"/>
      <c r="J352" s="97"/>
      <c r="K352" s="97"/>
      <c r="L352" s="195"/>
    </row>
    <row r="353" spans="1:14" x14ac:dyDescent="0.45">
      <c r="A353" s="462"/>
      <c r="B353" s="441"/>
      <c r="C353" s="194">
        <v>8</v>
      </c>
      <c r="D353" s="80"/>
      <c r="E353" s="97"/>
      <c r="F353" s="97"/>
      <c r="G353" s="97"/>
      <c r="H353" s="97"/>
      <c r="I353" s="97"/>
      <c r="J353" s="97"/>
      <c r="K353" s="97"/>
      <c r="L353" s="195"/>
    </row>
    <row r="354" spans="1:14" x14ac:dyDescent="0.45">
      <c r="A354" s="462"/>
      <c r="B354" s="441"/>
      <c r="C354" s="194">
        <v>9</v>
      </c>
      <c r="D354" s="80"/>
      <c r="E354" s="97"/>
      <c r="F354" s="97"/>
      <c r="G354" s="97"/>
      <c r="H354" s="97"/>
      <c r="I354" s="97"/>
      <c r="J354" s="97"/>
      <c r="K354" s="97"/>
      <c r="L354" s="195"/>
    </row>
    <row r="355" spans="1:14" x14ac:dyDescent="0.45">
      <c r="A355" s="462"/>
      <c r="B355" s="441"/>
      <c r="C355" s="194">
        <v>10</v>
      </c>
      <c r="D355" s="80"/>
      <c r="E355" s="97"/>
      <c r="F355" s="97"/>
      <c r="G355" s="97"/>
      <c r="H355" s="97"/>
      <c r="I355" s="97"/>
      <c r="J355" s="97"/>
      <c r="K355" s="97"/>
      <c r="L355" s="195"/>
    </row>
    <row r="356" spans="1:14" x14ac:dyDescent="0.45">
      <c r="A356" s="462"/>
      <c r="B356" s="441"/>
      <c r="C356" s="194">
        <v>11</v>
      </c>
      <c r="D356" s="81"/>
      <c r="E356" s="98"/>
      <c r="F356" s="98"/>
      <c r="G356" s="98"/>
      <c r="H356" s="98"/>
      <c r="I356" s="98"/>
      <c r="J356" s="98"/>
      <c r="K356" s="98"/>
      <c r="L356" s="196"/>
    </row>
    <row r="357" spans="1:14" s="90" customFormat="1" ht="14.65" thickBot="1" x14ac:dyDescent="0.5">
      <c r="A357" s="462"/>
      <c r="B357" s="442"/>
      <c r="C357" s="197">
        <v>12</v>
      </c>
      <c r="D357" s="82"/>
      <c r="E357" s="99"/>
      <c r="F357" s="99"/>
      <c r="G357" s="99"/>
      <c r="H357" s="99"/>
      <c r="I357" s="99"/>
      <c r="J357" s="99"/>
      <c r="K357" s="99"/>
      <c r="L357" s="198"/>
      <c r="M357" s="61"/>
      <c r="N357" s="61"/>
    </row>
    <row r="358" spans="1:14" x14ac:dyDescent="0.45">
      <c r="A358" s="462"/>
      <c r="B358" s="440">
        <v>2</v>
      </c>
      <c r="C358" s="192">
        <v>1</v>
      </c>
      <c r="D358" s="79"/>
      <c r="E358" s="96"/>
      <c r="F358" s="96"/>
      <c r="G358" s="96"/>
      <c r="H358" s="96"/>
      <c r="I358" s="96"/>
      <c r="J358" s="96"/>
      <c r="K358" s="96"/>
      <c r="L358" s="193"/>
    </row>
    <row r="359" spans="1:14" x14ac:dyDescent="0.45">
      <c r="A359" s="462"/>
      <c r="B359" s="441"/>
      <c r="C359" s="194">
        <v>2</v>
      </c>
      <c r="D359" s="80"/>
      <c r="E359" s="97"/>
      <c r="F359" s="97"/>
      <c r="G359" s="97"/>
      <c r="H359" s="97"/>
      <c r="I359" s="97"/>
      <c r="J359" s="97"/>
      <c r="K359" s="97"/>
      <c r="L359" s="195"/>
    </row>
    <row r="360" spans="1:14" x14ac:dyDescent="0.45">
      <c r="A360" s="462"/>
      <c r="B360" s="441"/>
      <c r="C360" s="194">
        <v>3</v>
      </c>
      <c r="D360" s="80"/>
      <c r="E360" s="97"/>
      <c r="F360" s="97"/>
      <c r="G360" s="97"/>
      <c r="H360" s="97"/>
      <c r="I360" s="97"/>
      <c r="J360" s="97"/>
      <c r="K360" s="97"/>
      <c r="L360" s="195"/>
    </row>
    <row r="361" spans="1:14" x14ac:dyDescent="0.45">
      <c r="A361" s="462"/>
      <c r="B361" s="441"/>
      <c r="C361" s="194">
        <v>4</v>
      </c>
      <c r="D361" s="80"/>
      <c r="E361" s="97"/>
      <c r="F361" s="97"/>
      <c r="G361" s="97"/>
      <c r="H361" s="97"/>
      <c r="I361" s="97"/>
      <c r="J361" s="97"/>
      <c r="K361" s="97"/>
      <c r="L361" s="195"/>
    </row>
    <row r="362" spans="1:14" x14ac:dyDescent="0.45">
      <c r="A362" s="462"/>
      <c r="B362" s="441"/>
      <c r="C362" s="194">
        <v>5</v>
      </c>
      <c r="D362" s="80"/>
      <c r="E362" s="97"/>
      <c r="F362" s="97"/>
      <c r="G362" s="97"/>
      <c r="H362" s="97"/>
      <c r="I362" s="97"/>
      <c r="J362" s="97"/>
      <c r="K362" s="97"/>
      <c r="L362" s="195"/>
    </row>
    <row r="363" spans="1:14" x14ac:dyDescent="0.45">
      <c r="A363" s="462"/>
      <c r="B363" s="441"/>
      <c r="C363" s="194">
        <v>6</v>
      </c>
      <c r="D363" s="80"/>
      <c r="E363" s="97"/>
      <c r="F363" s="97"/>
      <c r="G363" s="97"/>
      <c r="H363" s="97"/>
      <c r="I363" s="97"/>
      <c r="J363" s="97"/>
      <c r="K363" s="97"/>
      <c r="L363" s="195"/>
    </row>
    <row r="364" spans="1:14" x14ac:dyDescent="0.45">
      <c r="A364" s="462"/>
      <c r="B364" s="441"/>
      <c r="C364" s="194">
        <v>7</v>
      </c>
      <c r="D364" s="80"/>
      <c r="E364" s="97"/>
      <c r="F364" s="97"/>
      <c r="G364" s="97"/>
      <c r="H364" s="97"/>
      <c r="I364" s="97"/>
      <c r="J364" s="97"/>
      <c r="K364" s="97"/>
      <c r="L364" s="195"/>
    </row>
    <row r="365" spans="1:14" x14ac:dyDescent="0.45">
      <c r="A365" s="462"/>
      <c r="B365" s="441"/>
      <c r="C365" s="194">
        <v>8</v>
      </c>
      <c r="D365" s="80"/>
      <c r="E365" s="97"/>
      <c r="F365" s="97"/>
      <c r="G365" s="97"/>
      <c r="H365" s="97"/>
      <c r="I365" s="97"/>
      <c r="J365" s="97"/>
      <c r="K365" s="97"/>
      <c r="L365" s="195"/>
    </row>
    <row r="366" spans="1:14" x14ac:dyDescent="0.45">
      <c r="A366" s="462"/>
      <c r="B366" s="441"/>
      <c r="C366" s="194">
        <v>9</v>
      </c>
      <c r="D366" s="80"/>
      <c r="E366" s="97"/>
      <c r="F366" s="97"/>
      <c r="G366" s="97"/>
      <c r="H366" s="97"/>
      <c r="I366" s="97"/>
      <c r="J366" s="97"/>
      <c r="K366" s="97"/>
      <c r="L366" s="195"/>
    </row>
    <row r="367" spans="1:14" x14ac:dyDescent="0.45">
      <c r="A367" s="462"/>
      <c r="B367" s="441"/>
      <c r="C367" s="194">
        <v>10</v>
      </c>
      <c r="D367" s="80"/>
      <c r="E367" s="97"/>
      <c r="F367" s="97"/>
      <c r="G367" s="97"/>
      <c r="H367" s="97"/>
      <c r="I367" s="97"/>
      <c r="J367" s="97"/>
      <c r="K367" s="97"/>
      <c r="L367" s="195"/>
    </row>
    <row r="368" spans="1:14" x14ac:dyDescent="0.45">
      <c r="A368" s="462"/>
      <c r="B368" s="441"/>
      <c r="C368" s="194">
        <v>11</v>
      </c>
      <c r="D368" s="81"/>
      <c r="E368" s="98"/>
      <c r="F368" s="98"/>
      <c r="G368" s="98"/>
      <c r="H368" s="98"/>
      <c r="I368" s="98"/>
      <c r="J368" s="98"/>
      <c r="K368" s="98"/>
      <c r="L368" s="196"/>
    </row>
    <row r="369" spans="1:12" ht="14.65" thickBot="1" x14ac:dyDescent="0.5">
      <c r="A369" s="462"/>
      <c r="B369" s="442"/>
      <c r="C369" s="197">
        <v>12</v>
      </c>
      <c r="D369" s="82"/>
      <c r="E369" s="99"/>
      <c r="F369" s="99"/>
      <c r="G369" s="99"/>
      <c r="H369" s="99"/>
      <c r="I369" s="99"/>
      <c r="J369" s="99"/>
      <c r="K369" s="99"/>
      <c r="L369" s="198"/>
    </row>
    <row r="370" spans="1:12" x14ac:dyDescent="0.45">
      <c r="A370" s="462"/>
      <c r="B370" s="440">
        <v>3</v>
      </c>
      <c r="C370" s="192">
        <v>1</v>
      </c>
      <c r="D370" s="79"/>
      <c r="E370" s="96"/>
      <c r="F370" s="96"/>
      <c r="G370" s="96"/>
      <c r="H370" s="96"/>
      <c r="I370" s="96"/>
      <c r="J370" s="96"/>
      <c r="K370" s="96"/>
      <c r="L370" s="193"/>
    </row>
    <row r="371" spans="1:12" x14ac:dyDescent="0.45">
      <c r="A371" s="462"/>
      <c r="B371" s="441"/>
      <c r="C371" s="194">
        <v>2</v>
      </c>
      <c r="D371" s="80"/>
      <c r="E371" s="97"/>
      <c r="F371" s="97"/>
      <c r="G371" s="97"/>
      <c r="H371" s="97"/>
      <c r="I371" s="97"/>
      <c r="J371" s="97"/>
      <c r="K371" s="97"/>
      <c r="L371" s="195"/>
    </row>
    <row r="372" spans="1:12" x14ac:dyDescent="0.45">
      <c r="A372" s="462"/>
      <c r="B372" s="441"/>
      <c r="C372" s="194">
        <v>3</v>
      </c>
      <c r="D372" s="80"/>
      <c r="E372" s="97"/>
      <c r="F372" s="97"/>
      <c r="G372" s="97"/>
      <c r="H372" s="97"/>
      <c r="I372" s="97"/>
      <c r="J372" s="97"/>
      <c r="K372" s="97"/>
      <c r="L372" s="195"/>
    </row>
    <row r="373" spans="1:12" x14ac:dyDescent="0.45">
      <c r="A373" s="462"/>
      <c r="B373" s="441"/>
      <c r="C373" s="194">
        <v>4</v>
      </c>
      <c r="D373" s="80"/>
      <c r="E373" s="97"/>
      <c r="F373" s="97"/>
      <c r="G373" s="97"/>
      <c r="H373" s="97"/>
      <c r="I373" s="97"/>
      <c r="J373" s="97"/>
      <c r="K373" s="97"/>
      <c r="L373" s="195"/>
    </row>
    <row r="374" spans="1:12" x14ac:dyDescent="0.45">
      <c r="A374" s="462"/>
      <c r="B374" s="441"/>
      <c r="C374" s="194">
        <v>5</v>
      </c>
      <c r="D374" s="80"/>
      <c r="E374" s="97"/>
      <c r="F374" s="97"/>
      <c r="G374" s="97"/>
      <c r="H374" s="97"/>
      <c r="I374" s="97"/>
      <c r="J374" s="97"/>
      <c r="K374" s="97"/>
      <c r="L374" s="195"/>
    </row>
    <row r="375" spans="1:12" x14ac:dyDescent="0.45">
      <c r="A375" s="462"/>
      <c r="B375" s="441"/>
      <c r="C375" s="194">
        <v>6</v>
      </c>
      <c r="D375" s="80"/>
      <c r="E375" s="97"/>
      <c r="F375" s="97"/>
      <c r="G375" s="97"/>
      <c r="H375" s="97"/>
      <c r="I375" s="97"/>
      <c r="J375" s="97"/>
      <c r="K375" s="97"/>
      <c r="L375" s="195"/>
    </row>
    <row r="376" spans="1:12" x14ac:dyDescent="0.45">
      <c r="A376" s="462"/>
      <c r="B376" s="441"/>
      <c r="C376" s="194">
        <v>7</v>
      </c>
      <c r="D376" s="80"/>
      <c r="E376" s="97"/>
      <c r="F376" s="97"/>
      <c r="G376" s="97"/>
      <c r="H376" s="97"/>
      <c r="I376" s="97"/>
      <c r="J376" s="97"/>
      <c r="K376" s="97"/>
      <c r="L376" s="195"/>
    </row>
    <row r="377" spans="1:12" x14ac:dyDescent="0.45">
      <c r="A377" s="462"/>
      <c r="B377" s="441"/>
      <c r="C377" s="194">
        <v>8</v>
      </c>
      <c r="D377" s="80"/>
      <c r="E377" s="97"/>
      <c r="F377" s="97"/>
      <c r="G377" s="97"/>
      <c r="H377" s="97"/>
      <c r="I377" s="97"/>
      <c r="J377" s="97"/>
      <c r="K377" s="97"/>
      <c r="L377" s="195"/>
    </row>
    <row r="378" spans="1:12" x14ac:dyDescent="0.45">
      <c r="A378" s="462"/>
      <c r="B378" s="441"/>
      <c r="C378" s="194">
        <v>9</v>
      </c>
      <c r="D378" s="80"/>
      <c r="E378" s="97"/>
      <c r="F378" s="97"/>
      <c r="G378" s="97"/>
      <c r="H378" s="97"/>
      <c r="I378" s="97"/>
      <c r="J378" s="97"/>
      <c r="K378" s="97"/>
      <c r="L378" s="195"/>
    </row>
    <row r="379" spans="1:12" x14ac:dyDescent="0.45">
      <c r="A379" s="462"/>
      <c r="B379" s="441"/>
      <c r="C379" s="194">
        <v>10</v>
      </c>
      <c r="D379" s="80"/>
      <c r="E379" s="97"/>
      <c r="F379" s="97"/>
      <c r="G379" s="97"/>
      <c r="H379" s="97"/>
      <c r="I379" s="97"/>
      <c r="J379" s="97"/>
      <c r="K379" s="97"/>
      <c r="L379" s="195"/>
    </row>
    <row r="380" spans="1:12" x14ac:dyDescent="0.45">
      <c r="A380" s="462"/>
      <c r="B380" s="441"/>
      <c r="C380" s="194">
        <v>11</v>
      </c>
      <c r="D380" s="81"/>
      <c r="E380" s="98"/>
      <c r="F380" s="98"/>
      <c r="G380" s="98"/>
      <c r="H380" s="98"/>
      <c r="I380" s="98"/>
      <c r="J380" s="98"/>
      <c r="K380" s="98"/>
      <c r="L380" s="196"/>
    </row>
    <row r="381" spans="1:12" ht="14.65" thickBot="1" x14ac:dyDescent="0.5">
      <c r="A381" s="462"/>
      <c r="B381" s="442"/>
      <c r="C381" s="197">
        <v>12</v>
      </c>
      <c r="D381" s="82"/>
      <c r="E381" s="99"/>
      <c r="F381" s="99"/>
      <c r="G381" s="99"/>
      <c r="H381" s="99"/>
      <c r="I381" s="99"/>
      <c r="J381" s="99"/>
      <c r="K381" s="99"/>
      <c r="L381" s="198"/>
    </row>
    <row r="382" spans="1:12" x14ac:dyDescent="0.45">
      <c r="A382" s="462"/>
      <c r="B382" s="440">
        <v>4</v>
      </c>
      <c r="C382" s="192">
        <v>1</v>
      </c>
      <c r="D382" s="79"/>
      <c r="E382" s="96"/>
      <c r="F382" s="96"/>
      <c r="G382" s="96"/>
      <c r="H382" s="96"/>
      <c r="I382" s="96"/>
      <c r="J382" s="96"/>
      <c r="K382" s="96"/>
      <c r="L382" s="193"/>
    </row>
    <row r="383" spans="1:12" x14ac:dyDescent="0.45">
      <c r="A383" s="462"/>
      <c r="B383" s="441"/>
      <c r="C383" s="194">
        <v>2</v>
      </c>
      <c r="D383" s="80"/>
      <c r="E383" s="97"/>
      <c r="F383" s="97"/>
      <c r="G383" s="97"/>
      <c r="H383" s="97"/>
      <c r="I383" s="97"/>
      <c r="J383" s="97"/>
      <c r="K383" s="97"/>
      <c r="L383" s="195"/>
    </row>
    <row r="384" spans="1:12" x14ac:dyDescent="0.45">
      <c r="A384" s="462"/>
      <c r="B384" s="441"/>
      <c r="C384" s="194">
        <v>3</v>
      </c>
      <c r="D384" s="80"/>
      <c r="E384" s="97"/>
      <c r="F384" s="97"/>
      <c r="G384" s="97"/>
      <c r="H384" s="97"/>
      <c r="I384" s="97"/>
      <c r="J384" s="97"/>
      <c r="K384" s="97"/>
      <c r="L384" s="195"/>
    </row>
    <row r="385" spans="1:12" x14ac:dyDescent="0.45">
      <c r="A385" s="462"/>
      <c r="B385" s="441"/>
      <c r="C385" s="194">
        <v>4</v>
      </c>
      <c r="D385" s="80"/>
      <c r="E385" s="97"/>
      <c r="F385" s="97"/>
      <c r="G385" s="97"/>
      <c r="H385" s="97"/>
      <c r="I385" s="97"/>
      <c r="J385" s="97"/>
      <c r="K385" s="97"/>
      <c r="L385" s="195"/>
    </row>
    <row r="386" spans="1:12" x14ac:dyDescent="0.45">
      <c r="A386" s="462"/>
      <c r="B386" s="441"/>
      <c r="C386" s="194">
        <v>5</v>
      </c>
      <c r="D386" s="80"/>
      <c r="E386" s="97"/>
      <c r="F386" s="97"/>
      <c r="G386" s="97"/>
      <c r="H386" s="97"/>
      <c r="I386" s="97"/>
      <c r="J386" s="97"/>
      <c r="K386" s="97"/>
      <c r="L386" s="195"/>
    </row>
    <row r="387" spans="1:12" x14ac:dyDescent="0.45">
      <c r="A387" s="462"/>
      <c r="B387" s="441"/>
      <c r="C387" s="194">
        <v>6</v>
      </c>
      <c r="D387" s="80"/>
      <c r="E387" s="97"/>
      <c r="F387" s="97"/>
      <c r="G387" s="97"/>
      <c r="H387" s="97"/>
      <c r="I387" s="97"/>
      <c r="J387" s="97"/>
      <c r="K387" s="97"/>
      <c r="L387" s="195"/>
    </row>
    <row r="388" spans="1:12" x14ac:dyDescent="0.45">
      <c r="A388" s="462"/>
      <c r="B388" s="441"/>
      <c r="C388" s="194">
        <v>7</v>
      </c>
      <c r="D388" s="80"/>
      <c r="E388" s="97"/>
      <c r="F388" s="97"/>
      <c r="G388" s="97"/>
      <c r="H388" s="97"/>
      <c r="I388" s="97"/>
      <c r="J388" s="97"/>
      <c r="K388" s="97"/>
      <c r="L388" s="195"/>
    </row>
    <row r="389" spans="1:12" x14ac:dyDescent="0.45">
      <c r="A389" s="462"/>
      <c r="B389" s="441"/>
      <c r="C389" s="194">
        <v>8</v>
      </c>
      <c r="D389" s="80"/>
      <c r="E389" s="97"/>
      <c r="F389" s="97"/>
      <c r="G389" s="97"/>
      <c r="H389" s="97"/>
      <c r="I389" s="97"/>
      <c r="J389" s="97"/>
      <c r="K389" s="97"/>
      <c r="L389" s="195"/>
    </row>
    <row r="390" spans="1:12" x14ac:dyDescent="0.45">
      <c r="A390" s="462"/>
      <c r="B390" s="441"/>
      <c r="C390" s="194">
        <v>9</v>
      </c>
      <c r="D390" s="80"/>
      <c r="E390" s="97"/>
      <c r="F390" s="97"/>
      <c r="G390" s="97"/>
      <c r="H390" s="97"/>
      <c r="I390" s="97"/>
      <c r="J390" s="97"/>
      <c r="K390" s="97"/>
      <c r="L390" s="195"/>
    </row>
    <row r="391" spans="1:12" x14ac:dyDescent="0.45">
      <c r="A391" s="462"/>
      <c r="B391" s="441"/>
      <c r="C391" s="194">
        <v>10</v>
      </c>
      <c r="D391" s="80"/>
      <c r="E391" s="97"/>
      <c r="F391" s="97"/>
      <c r="G391" s="97"/>
      <c r="H391" s="97"/>
      <c r="I391" s="97"/>
      <c r="J391" s="97"/>
      <c r="K391" s="97"/>
      <c r="L391" s="195"/>
    </row>
    <row r="392" spans="1:12" x14ac:dyDescent="0.45">
      <c r="A392" s="462"/>
      <c r="B392" s="441"/>
      <c r="C392" s="194">
        <v>11</v>
      </c>
      <c r="D392" s="81"/>
      <c r="E392" s="98"/>
      <c r="F392" s="98"/>
      <c r="G392" s="98"/>
      <c r="H392" s="98"/>
      <c r="I392" s="98"/>
      <c r="J392" s="98"/>
      <c r="K392" s="98"/>
      <c r="L392" s="196"/>
    </row>
    <row r="393" spans="1:12" ht="14.65" thickBot="1" x14ac:dyDescent="0.5">
      <c r="A393" s="463"/>
      <c r="B393" s="442"/>
      <c r="C393" s="197">
        <v>12</v>
      </c>
      <c r="D393" s="82"/>
      <c r="E393" s="99"/>
      <c r="F393" s="99"/>
      <c r="G393" s="99"/>
      <c r="H393" s="99"/>
      <c r="I393" s="99"/>
      <c r="J393" s="99"/>
      <c r="K393" s="99"/>
      <c r="L393" s="198"/>
    </row>
    <row r="394" spans="1:12" x14ac:dyDescent="0.45">
      <c r="A394" s="461">
        <v>2</v>
      </c>
      <c r="B394" s="440">
        <v>5</v>
      </c>
      <c r="C394" s="192">
        <v>1</v>
      </c>
      <c r="D394" s="79"/>
      <c r="E394" s="96"/>
      <c r="F394" s="96"/>
      <c r="G394" s="96"/>
      <c r="H394" s="96"/>
      <c r="I394" s="96"/>
      <c r="J394" s="96"/>
      <c r="K394" s="96"/>
      <c r="L394" s="193"/>
    </row>
    <row r="395" spans="1:12" x14ac:dyDescent="0.45">
      <c r="A395" s="462"/>
      <c r="B395" s="441"/>
      <c r="C395" s="194">
        <v>2</v>
      </c>
      <c r="D395" s="80"/>
      <c r="E395" s="97"/>
      <c r="F395" s="97"/>
      <c r="G395" s="97"/>
      <c r="H395" s="97"/>
      <c r="I395" s="97"/>
      <c r="J395" s="97"/>
      <c r="K395" s="97"/>
      <c r="L395" s="195"/>
    </row>
    <row r="396" spans="1:12" x14ac:dyDescent="0.45">
      <c r="A396" s="462"/>
      <c r="B396" s="441"/>
      <c r="C396" s="194">
        <v>3</v>
      </c>
      <c r="D396" s="80"/>
      <c r="E396" s="97"/>
      <c r="F396" s="97"/>
      <c r="G396" s="97"/>
      <c r="H396" s="97"/>
      <c r="I396" s="97"/>
      <c r="J396" s="97"/>
      <c r="K396" s="97"/>
      <c r="L396" s="195"/>
    </row>
    <row r="397" spans="1:12" x14ac:dyDescent="0.45">
      <c r="A397" s="462"/>
      <c r="B397" s="441"/>
      <c r="C397" s="194">
        <v>4</v>
      </c>
      <c r="D397" s="80"/>
      <c r="E397" s="97"/>
      <c r="F397" s="97"/>
      <c r="G397" s="97"/>
      <c r="H397" s="97"/>
      <c r="I397" s="97"/>
      <c r="J397" s="97"/>
      <c r="K397" s="97"/>
      <c r="L397" s="195"/>
    </row>
    <row r="398" spans="1:12" x14ac:dyDescent="0.45">
      <c r="A398" s="462"/>
      <c r="B398" s="441"/>
      <c r="C398" s="194">
        <v>5</v>
      </c>
      <c r="D398" s="80"/>
      <c r="E398" s="97"/>
      <c r="F398" s="97"/>
      <c r="G398" s="97"/>
      <c r="H398" s="97"/>
      <c r="I398" s="97"/>
      <c r="J398" s="97"/>
      <c r="K398" s="97"/>
      <c r="L398" s="195"/>
    </row>
    <row r="399" spans="1:12" x14ac:dyDescent="0.45">
      <c r="A399" s="462"/>
      <c r="B399" s="441"/>
      <c r="C399" s="194">
        <v>6</v>
      </c>
      <c r="D399" s="80"/>
      <c r="E399" s="97"/>
      <c r="F399" s="97"/>
      <c r="G399" s="97"/>
      <c r="H399" s="97"/>
      <c r="I399" s="97"/>
      <c r="J399" s="97"/>
      <c r="K399" s="97"/>
      <c r="L399" s="195"/>
    </row>
    <row r="400" spans="1:12" x14ac:dyDescent="0.45">
      <c r="A400" s="462"/>
      <c r="B400" s="441"/>
      <c r="C400" s="194">
        <v>7</v>
      </c>
      <c r="D400" s="80"/>
      <c r="E400" s="97"/>
      <c r="F400" s="97"/>
      <c r="G400" s="97"/>
      <c r="H400" s="97"/>
      <c r="I400" s="97"/>
      <c r="J400" s="97"/>
      <c r="K400" s="97"/>
      <c r="L400" s="195"/>
    </row>
    <row r="401" spans="1:12" x14ac:dyDescent="0.45">
      <c r="A401" s="462"/>
      <c r="B401" s="441"/>
      <c r="C401" s="194">
        <v>8</v>
      </c>
      <c r="D401" s="80"/>
      <c r="E401" s="97"/>
      <c r="F401" s="97"/>
      <c r="G401" s="97"/>
      <c r="H401" s="97"/>
      <c r="I401" s="97"/>
      <c r="J401" s="97"/>
      <c r="K401" s="97"/>
      <c r="L401" s="195"/>
    </row>
    <row r="402" spans="1:12" x14ac:dyDescent="0.45">
      <c r="A402" s="462"/>
      <c r="B402" s="441"/>
      <c r="C402" s="194">
        <v>9</v>
      </c>
      <c r="D402" s="80"/>
      <c r="E402" s="97"/>
      <c r="F402" s="97"/>
      <c r="G402" s="97"/>
      <c r="H402" s="97"/>
      <c r="I402" s="97"/>
      <c r="J402" s="97"/>
      <c r="K402" s="97"/>
      <c r="L402" s="195"/>
    </row>
    <row r="403" spans="1:12" x14ac:dyDescent="0.45">
      <c r="A403" s="462"/>
      <c r="B403" s="441"/>
      <c r="C403" s="194">
        <v>10</v>
      </c>
      <c r="D403" s="80"/>
      <c r="E403" s="97"/>
      <c r="F403" s="97"/>
      <c r="G403" s="97"/>
      <c r="H403" s="97"/>
      <c r="I403" s="97"/>
      <c r="J403" s="97"/>
      <c r="K403" s="97"/>
      <c r="L403" s="195"/>
    </row>
    <row r="404" spans="1:12" x14ac:dyDescent="0.45">
      <c r="A404" s="462"/>
      <c r="B404" s="441"/>
      <c r="C404" s="194">
        <v>11</v>
      </c>
      <c r="D404" s="81"/>
      <c r="E404" s="98"/>
      <c r="F404" s="98"/>
      <c r="G404" s="98"/>
      <c r="H404" s="98"/>
      <c r="I404" s="98"/>
      <c r="J404" s="98"/>
      <c r="K404" s="98"/>
      <c r="L404" s="196"/>
    </row>
    <row r="405" spans="1:12" ht="14.65" thickBot="1" x14ac:dyDescent="0.5">
      <c r="A405" s="462"/>
      <c r="B405" s="442"/>
      <c r="C405" s="197">
        <v>12</v>
      </c>
      <c r="D405" s="82"/>
      <c r="E405" s="99"/>
      <c r="F405" s="99"/>
      <c r="G405" s="99"/>
      <c r="H405" s="99"/>
      <c r="I405" s="99"/>
      <c r="J405" s="99"/>
      <c r="K405" s="99"/>
      <c r="L405" s="198"/>
    </row>
    <row r="406" spans="1:12" x14ac:dyDescent="0.45">
      <c r="A406" s="462"/>
      <c r="B406" s="440">
        <v>6</v>
      </c>
      <c r="C406" s="192">
        <v>1</v>
      </c>
      <c r="D406" s="79"/>
      <c r="E406" s="96"/>
      <c r="F406" s="96"/>
      <c r="G406" s="96"/>
      <c r="H406" s="96"/>
      <c r="I406" s="96"/>
      <c r="J406" s="96"/>
      <c r="K406" s="96"/>
      <c r="L406" s="193"/>
    </row>
    <row r="407" spans="1:12" x14ac:dyDescent="0.45">
      <c r="A407" s="462"/>
      <c r="B407" s="441"/>
      <c r="C407" s="194">
        <v>2</v>
      </c>
      <c r="D407" s="80"/>
      <c r="E407" s="97"/>
      <c r="F407" s="97"/>
      <c r="G407" s="97"/>
      <c r="H407" s="97"/>
      <c r="I407" s="97"/>
      <c r="J407" s="97"/>
      <c r="K407" s="97"/>
      <c r="L407" s="195"/>
    </row>
    <row r="408" spans="1:12" x14ac:dyDescent="0.45">
      <c r="A408" s="462"/>
      <c r="B408" s="441"/>
      <c r="C408" s="194">
        <v>3</v>
      </c>
      <c r="D408" s="80"/>
      <c r="E408" s="97"/>
      <c r="F408" s="97"/>
      <c r="G408" s="97"/>
      <c r="H408" s="97"/>
      <c r="I408" s="97"/>
      <c r="J408" s="97"/>
      <c r="K408" s="97"/>
      <c r="L408" s="195"/>
    </row>
    <row r="409" spans="1:12" x14ac:dyDescent="0.45">
      <c r="A409" s="462"/>
      <c r="B409" s="441"/>
      <c r="C409" s="194">
        <v>4</v>
      </c>
      <c r="D409" s="80"/>
      <c r="E409" s="97"/>
      <c r="F409" s="97"/>
      <c r="G409" s="97"/>
      <c r="H409" s="97"/>
      <c r="I409" s="97"/>
      <c r="J409" s="97"/>
      <c r="K409" s="97"/>
      <c r="L409" s="195"/>
    </row>
    <row r="410" spans="1:12" x14ac:dyDescent="0.45">
      <c r="A410" s="462"/>
      <c r="B410" s="441"/>
      <c r="C410" s="194">
        <v>5</v>
      </c>
      <c r="D410" s="80"/>
      <c r="E410" s="97"/>
      <c r="F410" s="97"/>
      <c r="G410" s="97"/>
      <c r="H410" s="97"/>
      <c r="I410" s="97"/>
      <c r="J410" s="97"/>
      <c r="K410" s="97"/>
      <c r="L410" s="195"/>
    </row>
    <row r="411" spans="1:12" x14ac:dyDescent="0.45">
      <c r="A411" s="462"/>
      <c r="B411" s="441"/>
      <c r="C411" s="194">
        <v>6</v>
      </c>
      <c r="D411" s="80"/>
      <c r="E411" s="97"/>
      <c r="F411" s="97"/>
      <c r="G411" s="97"/>
      <c r="H411" s="97"/>
      <c r="I411" s="97"/>
      <c r="J411" s="97"/>
      <c r="K411" s="97"/>
      <c r="L411" s="195"/>
    </row>
    <row r="412" spans="1:12" x14ac:dyDescent="0.45">
      <c r="A412" s="462"/>
      <c r="B412" s="441"/>
      <c r="C412" s="194">
        <v>7</v>
      </c>
      <c r="D412" s="80"/>
      <c r="E412" s="97"/>
      <c r="F412" s="97"/>
      <c r="G412" s="97"/>
      <c r="H412" s="97"/>
      <c r="I412" s="97"/>
      <c r="J412" s="97"/>
      <c r="K412" s="97"/>
      <c r="L412" s="195"/>
    </row>
    <row r="413" spans="1:12" x14ac:dyDescent="0.45">
      <c r="A413" s="462"/>
      <c r="B413" s="441"/>
      <c r="C413" s="194">
        <v>8</v>
      </c>
      <c r="D413" s="80"/>
      <c r="E413" s="97"/>
      <c r="F413" s="97"/>
      <c r="G413" s="97"/>
      <c r="H413" s="97"/>
      <c r="I413" s="97"/>
      <c r="J413" s="97"/>
      <c r="K413" s="97"/>
      <c r="L413" s="195"/>
    </row>
    <row r="414" spans="1:12" x14ac:dyDescent="0.45">
      <c r="A414" s="462"/>
      <c r="B414" s="441"/>
      <c r="C414" s="194">
        <v>9</v>
      </c>
      <c r="D414" s="80"/>
      <c r="E414" s="97"/>
      <c r="F414" s="97"/>
      <c r="G414" s="97"/>
      <c r="H414" s="97"/>
      <c r="I414" s="97"/>
      <c r="J414" s="97"/>
      <c r="K414" s="97"/>
      <c r="L414" s="195"/>
    </row>
    <row r="415" spans="1:12" x14ac:dyDescent="0.45">
      <c r="A415" s="462"/>
      <c r="B415" s="441"/>
      <c r="C415" s="194">
        <v>10</v>
      </c>
      <c r="D415" s="80"/>
      <c r="E415" s="97"/>
      <c r="F415" s="97"/>
      <c r="G415" s="97"/>
      <c r="H415" s="97"/>
      <c r="I415" s="97"/>
      <c r="J415" s="97"/>
      <c r="K415" s="97"/>
      <c r="L415" s="195"/>
    </row>
    <row r="416" spans="1:12" x14ac:dyDescent="0.45">
      <c r="A416" s="462"/>
      <c r="B416" s="441"/>
      <c r="C416" s="194">
        <v>11</v>
      </c>
      <c r="D416" s="81"/>
      <c r="E416" s="98"/>
      <c r="F416" s="98"/>
      <c r="G416" s="98"/>
      <c r="H416" s="98"/>
      <c r="I416" s="98"/>
      <c r="J416" s="98"/>
      <c r="K416" s="98"/>
      <c r="L416" s="196"/>
    </row>
    <row r="417" spans="1:12" ht="14.65" thickBot="1" x14ac:dyDescent="0.5">
      <c r="A417" s="462"/>
      <c r="B417" s="442"/>
      <c r="C417" s="197">
        <v>12</v>
      </c>
      <c r="D417" s="82"/>
      <c r="E417" s="99"/>
      <c r="F417" s="99"/>
      <c r="G417" s="99"/>
      <c r="H417" s="99"/>
      <c r="I417" s="99"/>
      <c r="J417" s="99"/>
      <c r="K417" s="99"/>
      <c r="L417" s="198"/>
    </row>
    <row r="418" spans="1:12" x14ac:dyDescent="0.45">
      <c r="A418" s="462"/>
      <c r="B418" s="440">
        <v>7</v>
      </c>
      <c r="C418" s="192">
        <v>1</v>
      </c>
      <c r="D418" s="79"/>
      <c r="E418" s="96"/>
      <c r="F418" s="96"/>
      <c r="G418" s="96"/>
      <c r="H418" s="96"/>
      <c r="I418" s="96"/>
      <c r="J418" s="96"/>
      <c r="K418" s="96"/>
      <c r="L418" s="193"/>
    </row>
    <row r="419" spans="1:12" x14ac:dyDescent="0.45">
      <c r="A419" s="462"/>
      <c r="B419" s="441"/>
      <c r="C419" s="194">
        <v>2</v>
      </c>
      <c r="D419" s="80"/>
      <c r="E419" s="97"/>
      <c r="F419" s="97"/>
      <c r="G419" s="97"/>
      <c r="H419" s="97"/>
      <c r="I419" s="97"/>
      <c r="J419" s="97"/>
      <c r="K419" s="97"/>
      <c r="L419" s="195"/>
    </row>
    <row r="420" spans="1:12" x14ac:dyDescent="0.45">
      <c r="A420" s="462"/>
      <c r="B420" s="441"/>
      <c r="C420" s="194">
        <v>3</v>
      </c>
      <c r="D420" s="80"/>
      <c r="E420" s="97"/>
      <c r="F420" s="97"/>
      <c r="G420" s="97"/>
      <c r="H420" s="97"/>
      <c r="I420" s="97"/>
      <c r="J420" s="97"/>
      <c r="K420" s="97"/>
      <c r="L420" s="195"/>
    </row>
    <row r="421" spans="1:12" x14ac:dyDescent="0.45">
      <c r="A421" s="462"/>
      <c r="B421" s="441"/>
      <c r="C421" s="194">
        <v>4</v>
      </c>
      <c r="D421" s="80"/>
      <c r="E421" s="97"/>
      <c r="F421" s="97"/>
      <c r="G421" s="97"/>
      <c r="H421" s="97"/>
      <c r="I421" s="97"/>
      <c r="J421" s="97"/>
      <c r="K421" s="97"/>
      <c r="L421" s="195"/>
    </row>
    <row r="422" spans="1:12" x14ac:dyDescent="0.45">
      <c r="A422" s="462"/>
      <c r="B422" s="441"/>
      <c r="C422" s="194">
        <v>5</v>
      </c>
      <c r="D422" s="80"/>
      <c r="E422" s="97"/>
      <c r="F422" s="97"/>
      <c r="G422" s="97"/>
      <c r="H422" s="97"/>
      <c r="I422" s="97"/>
      <c r="J422" s="97"/>
      <c r="K422" s="97"/>
      <c r="L422" s="195"/>
    </row>
    <row r="423" spans="1:12" x14ac:dyDescent="0.45">
      <c r="A423" s="462"/>
      <c r="B423" s="441"/>
      <c r="C423" s="194">
        <v>6</v>
      </c>
      <c r="D423" s="80"/>
      <c r="E423" s="97"/>
      <c r="F423" s="97"/>
      <c r="G423" s="97"/>
      <c r="H423" s="97"/>
      <c r="I423" s="97"/>
      <c r="J423" s="97"/>
      <c r="K423" s="97"/>
      <c r="L423" s="195"/>
    </row>
    <row r="424" spans="1:12" x14ac:dyDescent="0.45">
      <c r="A424" s="462"/>
      <c r="B424" s="441"/>
      <c r="C424" s="194">
        <v>7</v>
      </c>
      <c r="D424" s="80"/>
      <c r="E424" s="97"/>
      <c r="F424" s="97"/>
      <c r="G424" s="97"/>
      <c r="H424" s="97"/>
      <c r="I424" s="97"/>
      <c r="J424" s="97"/>
      <c r="K424" s="97"/>
      <c r="L424" s="195"/>
    </row>
    <row r="425" spans="1:12" x14ac:dyDescent="0.45">
      <c r="A425" s="462"/>
      <c r="B425" s="441"/>
      <c r="C425" s="194">
        <v>8</v>
      </c>
      <c r="D425" s="80"/>
      <c r="E425" s="97"/>
      <c r="F425" s="97"/>
      <c r="G425" s="97"/>
      <c r="H425" s="97"/>
      <c r="I425" s="97"/>
      <c r="J425" s="97"/>
      <c r="K425" s="97"/>
      <c r="L425" s="195"/>
    </row>
    <row r="426" spans="1:12" x14ac:dyDescent="0.45">
      <c r="A426" s="462"/>
      <c r="B426" s="441"/>
      <c r="C426" s="194">
        <v>9</v>
      </c>
      <c r="D426" s="80"/>
      <c r="E426" s="97"/>
      <c r="F426" s="97"/>
      <c r="G426" s="97"/>
      <c r="H426" s="97"/>
      <c r="I426" s="97"/>
      <c r="J426" s="97"/>
      <c r="K426" s="97"/>
      <c r="L426" s="195"/>
    </row>
    <row r="427" spans="1:12" x14ac:dyDescent="0.45">
      <c r="A427" s="462"/>
      <c r="B427" s="441"/>
      <c r="C427" s="194">
        <v>10</v>
      </c>
      <c r="D427" s="80"/>
      <c r="E427" s="97"/>
      <c r="F427" s="97"/>
      <c r="G427" s="97"/>
      <c r="H427" s="97"/>
      <c r="I427" s="97"/>
      <c r="J427" s="97"/>
      <c r="K427" s="97"/>
      <c r="L427" s="195"/>
    </row>
    <row r="428" spans="1:12" x14ac:dyDescent="0.45">
      <c r="A428" s="462"/>
      <c r="B428" s="441"/>
      <c r="C428" s="194">
        <v>11</v>
      </c>
      <c r="D428" s="81"/>
      <c r="E428" s="98"/>
      <c r="F428" s="98"/>
      <c r="G428" s="98"/>
      <c r="H428" s="98"/>
      <c r="I428" s="98"/>
      <c r="J428" s="98"/>
      <c r="K428" s="98"/>
      <c r="L428" s="196"/>
    </row>
    <row r="429" spans="1:12" ht="14.65" thickBot="1" x14ac:dyDescent="0.5">
      <c r="A429" s="462"/>
      <c r="B429" s="442"/>
      <c r="C429" s="197">
        <v>12</v>
      </c>
      <c r="D429" s="82"/>
      <c r="E429" s="99"/>
      <c r="F429" s="99"/>
      <c r="G429" s="99"/>
      <c r="H429" s="99"/>
      <c r="I429" s="99"/>
      <c r="J429" s="99"/>
      <c r="K429" s="99"/>
      <c r="L429" s="198"/>
    </row>
    <row r="430" spans="1:12" x14ac:dyDescent="0.45">
      <c r="A430" s="462"/>
      <c r="B430" s="440">
        <v>8</v>
      </c>
      <c r="C430" s="192">
        <v>1</v>
      </c>
      <c r="D430" s="79"/>
      <c r="E430" s="96"/>
      <c r="F430" s="96"/>
      <c r="G430" s="96"/>
      <c r="H430" s="96"/>
      <c r="I430" s="96"/>
      <c r="J430" s="96"/>
      <c r="K430" s="96"/>
      <c r="L430" s="193"/>
    </row>
    <row r="431" spans="1:12" x14ac:dyDescent="0.45">
      <c r="A431" s="462"/>
      <c r="B431" s="441"/>
      <c r="C431" s="194">
        <v>2</v>
      </c>
      <c r="D431" s="80"/>
      <c r="E431" s="97"/>
      <c r="F431" s="97"/>
      <c r="G431" s="97"/>
      <c r="H431" s="97"/>
      <c r="I431" s="97"/>
      <c r="J431" s="97"/>
      <c r="K431" s="97"/>
      <c r="L431" s="195"/>
    </row>
    <row r="432" spans="1:12" x14ac:dyDescent="0.45">
      <c r="A432" s="462"/>
      <c r="B432" s="441"/>
      <c r="C432" s="194">
        <v>3</v>
      </c>
      <c r="D432" s="80"/>
      <c r="E432" s="97"/>
      <c r="F432" s="97"/>
      <c r="G432" s="97"/>
      <c r="H432" s="97"/>
      <c r="I432" s="97"/>
      <c r="J432" s="97"/>
      <c r="K432" s="97"/>
      <c r="L432" s="195"/>
    </row>
    <row r="433" spans="1:12" x14ac:dyDescent="0.45">
      <c r="A433" s="462"/>
      <c r="B433" s="441"/>
      <c r="C433" s="194">
        <v>4</v>
      </c>
      <c r="D433" s="80"/>
      <c r="E433" s="97"/>
      <c r="F433" s="97"/>
      <c r="G433" s="97"/>
      <c r="H433" s="97"/>
      <c r="I433" s="97"/>
      <c r="J433" s="97"/>
      <c r="K433" s="97"/>
      <c r="L433" s="195"/>
    </row>
    <row r="434" spans="1:12" x14ac:dyDescent="0.45">
      <c r="A434" s="462"/>
      <c r="B434" s="441"/>
      <c r="C434" s="194">
        <v>5</v>
      </c>
      <c r="D434" s="80"/>
      <c r="E434" s="97"/>
      <c r="F434" s="97"/>
      <c r="G434" s="97"/>
      <c r="H434" s="97"/>
      <c r="I434" s="97"/>
      <c r="J434" s="97"/>
      <c r="K434" s="97"/>
      <c r="L434" s="195"/>
    </row>
    <row r="435" spans="1:12" x14ac:dyDescent="0.45">
      <c r="A435" s="462"/>
      <c r="B435" s="441"/>
      <c r="C435" s="194">
        <v>6</v>
      </c>
      <c r="D435" s="80"/>
      <c r="E435" s="97"/>
      <c r="F435" s="97"/>
      <c r="G435" s="97"/>
      <c r="H435" s="97"/>
      <c r="I435" s="97"/>
      <c r="J435" s="97"/>
      <c r="K435" s="97"/>
      <c r="L435" s="195"/>
    </row>
    <row r="436" spans="1:12" x14ac:dyDescent="0.45">
      <c r="A436" s="462"/>
      <c r="B436" s="441"/>
      <c r="C436" s="194">
        <v>7</v>
      </c>
      <c r="D436" s="80"/>
      <c r="E436" s="97"/>
      <c r="F436" s="97"/>
      <c r="G436" s="97"/>
      <c r="H436" s="97"/>
      <c r="I436" s="97"/>
      <c r="J436" s="97"/>
      <c r="K436" s="97"/>
      <c r="L436" s="195"/>
    </row>
    <row r="437" spans="1:12" x14ac:dyDescent="0.45">
      <c r="A437" s="462"/>
      <c r="B437" s="441"/>
      <c r="C437" s="194">
        <v>8</v>
      </c>
      <c r="D437" s="80"/>
      <c r="E437" s="97"/>
      <c r="F437" s="97"/>
      <c r="G437" s="97"/>
      <c r="H437" s="97"/>
      <c r="I437" s="97"/>
      <c r="J437" s="97"/>
      <c r="K437" s="97"/>
      <c r="L437" s="195"/>
    </row>
    <row r="438" spans="1:12" x14ac:dyDescent="0.45">
      <c r="A438" s="462"/>
      <c r="B438" s="441"/>
      <c r="C438" s="194">
        <v>9</v>
      </c>
      <c r="D438" s="80"/>
      <c r="E438" s="97"/>
      <c r="F438" s="97"/>
      <c r="G438" s="97"/>
      <c r="H438" s="97"/>
      <c r="I438" s="97"/>
      <c r="J438" s="97"/>
      <c r="K438" s="97"/>
      <c r="L438" s="195"/>
    </row>
    <row r="439" spans="1:12" x14ac:dyDescent="0.45">
      <c r="A439" s="462"/>
      <c r="B439" s="441"/>
      <c r="C439" s="194">
        <v>10</v>
      </c>
      <c r="D439" s="80"/>
      <c r="E439" s="97"/>
      <c r="F439" s="97"/>
      <c r="G439" s="97"/>
      <c r="H439" s="97"/>
      <c r="I439" s="97"/>
      <c r="J439" s="97"/>
      <c r="K439" s="97"/>
      <c r="L439" s="195"/>
    </row>
    <row r="440" spans="1:12" x14ac:dyDescent="0.45">
      <c r="A440" s="462"/>
      <c r="B440" s="441"/>
      <c r="C440" s="194">
        <v>11</v>
      </c>
      <c r="D440" s="81"/>
      <c r="E440" s="98"/>
      <c r="F440" s="98"/>
      <c r="G440" s="98"/>
      <c r="H440" s="98"/>
      <c r="I440" s="98"/>
      <c r="J440" s="98"/>
      <c r="K440" s="98"/>
      <c r="L440" s="196"/>
    </row>
    <row r="441" spans="1:12" ht="14.65" thickBot="1" x14ac:dyDescent="0.5">
      <c r="A441" s="463"/>
      <c r="B441" s="442"/>
      <c r="C441" s="197">
        <v>12</v>
      </c>
      <c r="D441" s="82"/>
      <c r="E441" s="99"/>
      <c r="F441" s="99"/>
      <c r="G441" s="99"/>
      <c r="H441" s="99"/>
      <c r="I441" s="99"/>
      <c r="J441" s="99"/>
      <c r="K441" s="99"/>
      <c r="L441" s="198"/>
    </row>
    <row r="442" spans="1:12" x14ac:dyDescent="0.45">
      <c r="A442" s="461">
        <v>3</v>
      </c>
      <c r="B442" s="440">
        <v>9</v>
      </c>
      <c r="C442" s="192">
        <v>1</v>
      </c>
      <c r="D442" s="79"/>
      <c r="E442" s="96"/>
      <c r="F442" s="96"/>
      <c r="G442" s="96"/>
      <c r="H442" s="96"/>
      <c r="I442" s="96"/>
      <c r="J442" s="96"/>
      <c r="K442" s="96"/>
      <c r="L442" s="193"/>
    </row>
    <row r="443" spans="1:12" x14ac:dyDescent="0.45">
      <c r="A443" s="462"/>
      <c r="B443" s="441"/>
      <c r="C443" s="194">
        <v>2</v>
      </c>
      <c r="D443" s="80"/>
      <c r="E443" s="97"/>
      <c r="F443" s="97"/>
      <c r="G443" s="97"/>
      <c r="H443" s="97"/>
      <c r="I443" s="97"/>
      <c r="J443" s="97"/>
      <c r="K443" s="97"/>
      <c r="L443" s="195"/>
    </row>
    <row r="444" spans="1:12" x14ac:dyDescent="0.45">
      <c r="A444" s="462"/>
      <c r="B444" s="441"/>
      <c r="C444" s="194">
        <v>3</v>
      </c>
      <c r="D444" s="80"/>
      <c r="E444" s="97"/>
      <c r="F444" s="97"/>
      <c r="G444" s="97"/>
      <c r="H444" s="97"/>
      <c r="I444" s="97"/>
      <c r="J444" s="97"/>
      <c r="K444" s="97"/>
      <c r="L444" s="195"/>
    </row>
    <row r="445" spans="1:12" x14ac:dyDescent="0.45">
      <c r="A445" s="462"/>
      <c r="B445" s="441"/>
      <c r="C445" s="194">
        <v>4</v>
      </c>
      <c r="D445" s="80"/>
      <c r="E445" s="97"/>
      <c r="F445" s="97"/>
      <c r="G445" s="97"/>
      <c r="H445" s="97"/>
      <c r="I445" s="97"/>
      <c r="J445" s="97"/>
      <c r="K445" s="97"/>
      <c r="L445" s="195"/>
    </row>
    <row r="446" spans="1:12" x14ac:dyDescent="0.45">
      <c r="A446" s="462"/>
      <c r="B446" s="441"/>
      <c r="C446" s="194">
        <v>5</v>
      </c>
      <c r="D446" s="80"/>
      <c r="E446" s="97"/>
      <c r="F446" s="97"/>
      <c r="G446" s="97"/>
      <c r="H446" s="97"/>
      <c r="I446" s="97"/>
      <c r="J446" s="97"/>
      <c r="K446" s="97"/>
      <c r="L446" s="195"/>
    </row>
    <row r="447" spans="1:12" x14ac:dyDescent="0.45">
      <c r="A447" s="462"/>
      <c r="B447" s="441"/>
      <c r="C447" s="194">
        <v>6</v>
      </c>
      <c r="D447" s="80"/>
      <c r="E447" s="97"/>
      <c r="F447" s="97"/>
      <c r="G447" s="97"/>
      <c r="H447" s="97"/>
      <c r="I447" s="97"/>
      <c r="J447" s="97"/>
      <c r="K447" s="97"/>
      <c r="L447" s="195"/>
    </row>
    <row r="448" spans="1:12" x14ac:dyDescent="0.45">
      <c r="A448" s="462"/>
      <c r="B448" s="441"/>
      <c r="C448" s="194">
        <v>7</v>
      </c>
      <c r="D448" s="80"/>
      <c r="E448" s="97"/>
      <c r="F448" s="97"/>
      <c r="G448" s="97"/>
      <c r="H448" s="97"/>
      <c r="I448" s="97"/>
      <c r="J448" s="97"/>
      <c r="K448" s="97"/>
      <c r="L448" s="195"/>
    </row>
    <row r="449" spans="1:12" x14ac:dyDescent="0.45">
      <c r="A449" s="462"/>
      <c r="B449" s="441"/>
      <c r="C449" s="194">
        <v>8</v>
      </c>
      <c r="D449" s="80"/>
      <c r="E449" s="97"/>
      <c r="F449" s="97"/>
      <c r="G449" s="97"/>
      <c r="H449" s="97"/>
      <c r="I449" s="97"/>
      <c r="J449" s="97"/>
      <c r="K449" s="97"/>
      <c r="L449" s="195"/>
    </row>
    <row r="450" spans="1:12" x14ac:dyDescent="0.45">
      <c r="A450" s="462"/>
      <c r="B450" s="441"/>
      <c r="C450" s="194">
        <v>9</v>
      </c>
      <c r="D450" s="80"/>
      <c r="E450" s="97"/>
      <c r="F450" s="97"/>
      <c r="G450" s="97"/>
      <c r="H450" s="97"/>
      <c r="I450" s="97"/>
      <c r="J450" s="97"/>
      <c r="K450" s="97"/>
      <c r="L450" s="195"/>
    </row>
    <row r="451" spans="1:12" x14ac:dyDescent="0.45">
      <c r="A451" s="462"/>
      <c r="B451" s="441"/>
      <c r="C451" s="194">
        <v>10</v>
      </c>
      <c r="D451" s="80"/>
      <c r="E451" s="97"/>
      <c r="F451" s="97"/>
      <c r="G451" s="97"/>
      <c r="H451" s="97"/>
      <c r="I451" s="97"/>
      <c r="J451" s="97"/>
      <c r="K451" s="97"/>
      <c r="L451" s="195"/>
    </row>
    <row r="452" spans="1:12" x14ac:dyDescent="0.45">
      <c r="A452" s="462"/>
      <c r="B452" s="441"/>
      <c r="C452" s="194">
        <v>11</v>
      </c>
      <c r="D452" s="81"/>
      <c r="E452" s="98"/>
      <c r="F452" s="98"/>
      <c r="G452" s="98"/>
      <c r="H452" s="98"/>
      <c r="I452" s="98"/>
      <c r="J452" s="98"/>
      <c r="K452" s="98"/>
      <c r="L452" s="196"/>
    </row>
    <row r="453" spans="1:12" ht="14.65" thickBot="1" x14ac:dyDescent="0.5">
      <c r="A453" s="462"/>
      <c r="B453" s="442"/>
      <c r="C453" s="197">
        <v>12</v>
      </c>
      <c r="D453" s="82"/>
      <c r="E453" s="99"/>
      <c r="F453" s="99"/>
      <c r="G453" s="99"/>
      <c r="H453" s="99"/>
      <c r="I453" s="99"/>
      <c r="J453" s="99"/>
      <c r="K453" s="99"/>
      <c r="L453" s="198"/>
    </row>
    <row r="454" spans="1:12" x14ac:dyDescent="0.45">
      <c r="A454" s="462"/>
      <c r="B454" s="440">
        <v>10</v>
      </c>
      <c r="C454" s="192">
        <v>1</v>
      </c>
      <c r="D454" s="79"/>
      <c r="E454" s="96"/>
      <c r="F454" s="96"/>
      <c r="G454" s="96"/>
      <c r="H454" s="96"/>
      <c r="I454" s="96"/>
      <c r="J454" s="96"/>
      <c r="K454" s="96"/>
      <c r="L454" s="193"/>
    </row>
    <row r="455" spans="1:12" x14ac:dyDescent="0.45">
      <c r="A455" s="462"/>
      <c r="B455" s="441"/>
      <c r="C455" s="194">
        <v>2</v>
      </c>
      <c r="D455" s="80"/>
      <c r="E455" s="97"/>
      <c r="F455" s="97"/>
      <c r="G455" s="97"/>
      <c r="H455" s="97"/>
      <c r="I455" s="97"/>
      <c r="J455" s="97"/>
      <c r="K455" s="97"/>
      <c r="L455" s="195"/>
    </row>
    <row r="456" spans="1:12" x14ac:dyDescent="0.45">
      <c r="A456" s="462"/>
      <c r="B456" s="441"/>
      <c r="C456" s="194">
        <v>3</v>
      </c>
      <c r="D456" s="80"/>
      <c r="E456" s="97"/>
      <c r="F456" s="97"/>
      <c r="G456" s="97"/>
      <c r="H456" s="97"/>
      <c r="I456" s="97"/>
      <c r="J456" s="97"/>
      <c r="K456" s="97"/>
      <c r="L456" s="195"/>
    </row>
    <row r="457" spans="1:12" x14ac:dyDescent="0.45">
      <c r="A457" s="462"/>
      <c r="B457" s="441"/>
      <c r="C457" s="194">
        <v>4</v>
      </c>
      <c r="D457" s="80"/>
      <c r="E457" s="97"/>
      <c r="F457" s="97"/>
      <c r="G457" s="97"/>
      <c r="H457" s="97"/>
      <c r="I457" s="97"/>
      <c r="J457" s="97"/>
      <c r="K457" s="97"/>
      <c r="L457" s="195"/>
    </row>
    <row r="458" spans="1:12" x14ac:dyDescent="0.45">
      <c r="A458" s="462"/>
      <c r="B458" s="441"/>
      <c r="C458" s="194">
        <v>5</v>
      </c>
      <c r="D458" s="80"/>
      <c r="E458" s="97"/>
      <c r="F458" s="97"/>
      <c r="G458" s="97"/>
      <c r="H458" s="97"/>
      <c r="I458" s="97"/>
      <c r="J458" s="97"/>
      <c r="K458" s="97"/>
      <c r="L458" s="195"/>
    </row>
    <row r="459" spans="1:12" x14ac:dyDescent="0.45">
      <c r="A459" s="462"/>
      <c r="B459" s="441"/>
      <c r="C459" s="194">
        <v>6</v>
      </c>
      <c r="D459" s="80"/>
      <c r="E459" s="97"/>
      <c r="F459" s="97"/>
      <c r="G459" s="97"/>
      <c r="H459" s="97"/>
      <c r="I459" s="97"/>
      <c r="J459" s="97"/>
      <c r="K459" s="97"/>
      <c r="L459" s="195"/>
    </row>
    <row r="460" spans="1:12" x14ac:dyDescent="0.45">
      <c r="A460" s="462"/>
      <c r="B460" s="441"/>
      <c r="C460" s="194">
        <v>7</v>
      </c>
      <c r="D460" s="80"/>
      <c r="E460" s="97"/>
      <c r="F460" s="97"/>
      <c r="G460" s="97"/>
      <c r="H460" s="97"/>
      <c r="I460" s="97"/>
      <c r="J460" s="97"/>
      <c r="K460" s="97"/>
      <c r="L460" s="195"/>
    </row>
    <row r="461" spans="1:12" x14ac:dyDescent="0.45">
      <c r="A461" s="462"/>
      <c r="B461" s="441"/>
      <c r="C461" s="194">
        <v>8</v>
      </c>
      <c r="D461" s="80"/>
      <c r="E461" s="97"/>
      <c r="F461" s="97"/>
      <c r="G461" s="97"/>
      <c r="H461" s="97"/>
      <c r="I461" s="97"/>
      <c r="J461" s="97"/>
      <c r="K461" s="97"/>
      <c r="L461" s="195"/>
    </row>
    <row r="462" spans="1:12" x14ac:dyDescent="0.45">
      <c r="A462" s="462"/>
      <c r="B462" s="441"/>
      <c r="C462" s="194">
        <v>9</v>
      </c>
      <c r="D462" s="80"/>
      <c r="E462" s="97"/>
      <c r="F462" s="97"/>
      <c r="G462" s="97"/>
      <c r="H462" s="97"/>
      <c r="I462" s="97"/>
      <c r="J462" s="97"/>
      <c r="K462" s="97"/>
      <c r="L462" s="195"/>
    </row>
    <row r="463" spans="1:12" x14ac:dyDescent="0.45">
      <c r="A463" s="462"/>
      <c r="B463" s="441"/>
      <c r="C463" s="194">
        <v>10</v>
      </c>
      <c r="D463" s="80"/>
      <c r="E463" s="97"/>
      <c r="F463" s="97"/>
      <c r="G463" s="97"/>
      <c r="H463" s="97"/>
      <c r="I463" s="97"/>
      <c r="J463" s="97"/>
      <c r="K463" s="97"/>
      <c r="L463" s="195"/>
    </row>
    <row r="464" spans="1:12" x14ac:dyDescent="0.45">
      <c r="A464" s="462"/>
      <c r="B464" s="441"/>
      <c r="C464" s="194">
        <v>11</v>
      </c>
      <c r="D464" s="81"/>
      <c r="E464" s="98"/>
      <c r="F464" s="98"/>
      <c r="G464" s="98"/>
      <c r="H464" s="98"/>
      <c r="I464" s="98"/>
      <c r="J464" s="98"/>
      <c r="K464" s="98"/>
      <c r="L464" s="196"/>
    </row>
    <row r="465" spans="1:12" ht="14.65" thickBot="1" x14ac:dyDescent="0.5">
      <c r="A465" s="462"/>
      <c r="B465" s="442"/>
      <c r="C465" s="197">
        <v>12</v>
      </c>
      <c r="D465" s="82"/>
      <c r="E465" s="99"/>
      <c r="F465" s="99"/>
      <c r="G465" s="99"/>
      <c r="H465" s="99"/>
      <c r="I465" s="99"/>
      <c r="J465" s="99"/>
      <c r="K465" s="99"/>
      <c r="L465" s="198"/>
    </row>
    <row r="466" spans="1:12" x14ac:dyDescent="0.45">
      <c r="A466" s="462"/>
      <c r="B466" s="440">
        <v>11</v>
      </c>
      <c r="C466" s="192">
        <v>1</v>
      </c>
      <c r="D466" s="79"/>
      <c r="E466" s="96"/>
      <c r="F466" s="96"/>
      <c r="G466" s="96"/>
      <c r="H466" s="96"/>
      <c r="I466" s="96"/>
      <c r="J466" s="96"/>
      <c r="K466" s="96"/>
      <c r="L466" s="193"/>
    </row>
    <row r="467" spans="1:12" x14ac:dyDescent="0.45">
      <c r="A467" s="462"/>
      <c r="B467" s="441"/>
      <c r="C467" s="194">
        <v>2</v>
      </c>
      <c r="D467" s="80"/>
      <c r="E467" s="97"/>
      <c r="F467" s="97"/>
      <c r="G467" s="97"/>
      <c r="H467" s="97"/>
      <c r="I467" s="97"/>
      <c r="J467" s="97"/>
      <c r="K467" s="97"/>
      <c r="L467" s="195"/>
    </row>
    <row r="468" spans="1:12" x14ac:dyDescent="0.45">
      <c r="A468" s="462"/>
      <c r="B468" s="441"/>
      <c r="C468" s="194">
        <v>3</v>
      </c>
      <c r="D468" s="80"/>
      <c r="E468" s="97"/>
      <c r="F468" s="97"/>
      <c r="G468" s="97"/>
      <c r="H468" s="97"/>
      <c r="I468" s="97"/>
      <c r="J468" s="97"/>
      <c r="K468" s="97"/>
      <c r="L468" s="195"/>
    </row>
    <row r="469" spans="1:12" x14ac:dyDescent="0.45">
      <c r="A469" s="462"/>
      <c r="B469" s="441"/>
      <c r="C469" s="194">
        <v>4</v>
      </c>
      <c r="D469" s="80"/>
      <c r="E469" s="97"/>
      <c r="F469" s="97"/>
      <c r="G469" s="97"/>
      <c r="H469" s="97"/>
      <c r="I469" s="97"/>
      <c r="J469" s="97"/>
      <c r="K469" s="97"/>
      <c r="L469" s="195"/>
    </row>
    <row r="470" spans="1:12" x14ac:dyDescent="0.45">
      <c r="A470" s="462"/>
      <c r="B470" s="441"/>
      <c r="C470" s="194">
        <v>5</v>
      </c>
      <c r="D470" s="80"/>
      <c r="E470" s="97"/>
      <c r="F470" s="97"/>
      <c r="G470" s="97"/>
      <c r="H470" s="97"/>
      <c r="I470" s="97"/>
      <c r="J470" s="97"/>
      <c r="K470" s="97"/>
      <c r="L470" s="195"/>
    </row>
    <row r="471" spans="1:12" x14ac:dyDescent="0.45">
      <c r="A471" s="462"/>
      <c r="B471" s="441"/>
      <c r="C471" s="194">
        <v>6</v>
      </c>
      <c r="D471" s="80"/>
      <c r="E471" s="97"/>
      <c r="F471" s="97"/>
      <c r="G471" s="97"/>
      <c r="H471" s="97"/>
      <c r="I471" s="97"/>
      <c r="J471" s="97"/>
      <c r="K471" s="97"/>
      <c r="L471" s="195"/>
    </row>
    <row r="472" spans="1:12" x14ac:dyDescent="0.45">
      <c r="A472" s="462"/>
      <c r="B472" s="441"/>
      <c r="C472" s="194">
        <v>7</v>
      </c>
      <c r="D472" s="80"/>
      <c r="E472" s="97"/>
      <c r="F472" s="97"/>
      <c r="G472" s="97"/>
      <c r="H472" s="97"/>
      <c r="I472" s="97"/>
      <c r="J472" s="97"/>
      <c r="K472" s="97"/>
      <c r="L472" s="195"/>
    </row>
    <row r="473" spans="1:12" x14ac:dyDescent="0.45">
      <c r="A473" s="462"/>
      <c r="B473" s="441"/>
      <c r="C473" s="194">
        <v>8</v>
      </c>
      <c r="D473" s="80"/>
      <c r="E473" s="97"/>
      <c r="F473" s="97"/>
      <c r="G473" s="97"/>
      <c r="H473" s="97"/>
      <c r="I473" s="97"/>
      <c r="J473" s="97"/>
      <c r="K473" s="97"/>
      <c r="L473" s="195"/>
    </row>
    <row r="474" spans="1:12" x14ac:dyDescent="0.45">
      <c r="A474" s="462"/>
      <c r="B474" s="441"/>
      <c r="C474" s="194">
        <v>9</v>
      </c>
      <c r="D474" s="80"/>
      <c r="E474" s="97"/>
      <c r="F474" s="97"/>
      <c r="G474" s="97"/>
      <c r="H474" s="97"/>
      <c r="I474" s="97"/>
      <c r="J474" s="97"/>
      <c r="K474" s="97"/>
      <c r="L474" s="195"/>
    </row>
    <row r="475" spans="1:12" x14ac:dyDescent="0.45">
      <c r="A475" s="462"/>
      <c r="B475" s="441"/>
      <c r="C475" s="194">
        <v>10</v>
      </c>
      <c r="D475" s="80"/>
      <c r="E475" s="97"/>
      <c r="F475" s="97"/>
      <c r="G475" s="97"/>
      <c r="H475" s="97"/>
      <c r="I475" s="97"/>
      <c r="J475" s="97"/>
      <c r="K475" s="97"/>
      <c r="L475" s="195"/>
    </row>
    <row r="476" spans="1:12" x14ac:dyDescent="0.45">
      <c r="A476" s="462"/>
      <c r="B476" s="441"/>
      <c r="C476" s="194">
        <v>11</v>
      </c>
      <c r="D476" s="81"/>
      <c r="E476" s="98"/>
      <c r="F476" s="98"/>
      <c r="G476" s="98"/>
      <c r="H476" s="98"/>
      <c r="I476" s="98"/>
      <c r="J476" s="98"/>
      <c r="K476" s="98"/>
      <c r="L476" s="196"/>
    </row>
    <row r="477" spans="1:12" ht="14.65" thickBot="1" x14ac:dyDescent="0.5">
      <c r="A477" s="462"/>
      <c r="B477" s="442"/>
      <c r="C477" s="197">
        <v>12</v>
      </c>
      <c r="D477" s="82"/>
      <c r="E477" s="99"/>
      <c r="F477" s="99"/>
      <c r="G477" s="99"/>
      <c r="H477" s="99"/>
      <c r="I477" s="99"/>
      <c r="J477" s="99"/>
      <c r="K477" s="99"/>
      <c r="L477" s="198"/>
    </row>
    <row r="478" spans="1:12" x14ac:dyDescent="0.45">
      <c r="A478" s="462"/>
      <c r="B478" s="440">
        <v>12</v>
      </c>
      <c r="C478" s="192">
        <v>1</v>
      </c>
      <c r="D478" s="79"/>
      <c r="E478" s="96"/>
      <c r="F478" s="96"/>
      <c r="G478" s="96"/>
      <c r="H478" s="96"/>
      <c r="I478" s="96"/>
      <c r="J478" s="96"/>
      <c r="K478" s="96"/>
      <c r="L478" s="193"/>
    </row>
    <row r="479" spans="1:12" x14ac:dyDescent="0.45">
      <c r="A479" s="462"/>
      <c r="B479" s="441"/>
      <c r="C479" s="194">
        <v>2</v>
      </c>
      <c r="D479" s="80"/>
      <c r="E479" s="97"/>
      <c r="F479" s="97"/>
      <c r="G479" s="97"/>
      <c r="H479" s="97"/>
      <c r="I479" s="97"/>
      <c r="J479" s="97"/>
      <c r="K479" s="97"/>
      <c r="L479" s="195"/>
    </row>
    <row r="480" spans="1:12" x14ac:dyDescent="0.45">
      <c r="A480" s="462"/>
      <c r="B480" s="441"/>
      <c r="C480" s="194">
        <v>3</v>
      </c>
      <c r="D480" s="80"/>
      <c r="E480" s="97"/>
      <c r="F480" s="97"/>
      <c r="G480" s="97"/>
      <c r="H480" s="97"/>
      <c r="I480" s="97"/>
      <c r="J480" s="97"/>
      <c r="K480" s="97"/>
      <c r="L480" s="195"/>
    </row>
    <row r="481" spans="1:14" x14ac:dyDescent="0.45">
      <c r="A481" s="462"/>
      <c r="B481" s="441"/>
      <c r="C481" s="194">
        <v>4</v>
      </c>
      <c r="D481" s="80"/>
      <c r="E481" s="97"/>
      <c r="F481" s="97"/>
      <c r="G481" s="97"/>
      <c r="H481" s="97"/>
      <c r="I481" s="97"/>
      <c r="J481" s="97"/>
      <c r="K481" s="97"/>
      <c r="L481" s="195"/>
    </row>
    <row r="482" spans="1:14" x14ac:dyDescent="0.45">
      <c r="A482" s="462"/>
      <c r="B482" s="441"/>
      <c r="C482" s="194">
        <v>5</v>
      </c>
      <c r="D482" s="80"/>
      <c r="E482" s="97"/>
      <c r="F482" s="97"/>
      <c r="G482" s="97"/>
      <c r="H482" s="97"/>
      <c r="I482" s="97"/>
      <c r="J482" s="97"/>
      <c r="K482" s="97"/>
      <c r="L482" s="195"/>
    </row>
    <row r="483" spans="1:14" x14ac:dyDescent="0.45">
      <c r="A483" s="462"/>
      <c r="B483" s="441"/>
      <c r="C483" s="194">
        <v>6</v>
      </c>
      <c r="D483" s="80"/>
      <c r="E483" s="97"/>
      <c r="F483" s="97"/>
      <c r="G483" s="97"/>
      <c r="H483" s="97"/>
      <c r="I483" s="97"/>
      <c r="J483" s="97"/>
      <c r="K483" s="97"/>
      <c r="L483" s="195"/>
    </row>
    <row r="484" spans="1:14" x14ac:dyDescent="0.45">
      <c r="A484" s="462"/>
      <c r="B484" s="441"/>
      <c r="C484" s="194">
        <v>7</v>
      </c>
      <c r="D484" s="80"/>
      <c r="E484" s="97"/>
      <c r="F484" s="97"/>
      <c r="G484" s="97"/>
      <c r="H484" s="97"/>
      <c r="I484" s="97"/>
      <c r="J484" s="97"/>
      <c r="K484" s="97"/>
      <c r="L484" s="195"/>
    </row>
    <row r="485" spans="1:14" x14ac:dyDescent="0.45">
      <c r="A485" s="462"/>
      <c r="B485" s="441"/>
      <c r="C485" s="194">
        <v>8</v>
      </c>
      <c r="D485" s="80"/>
      <c r="E485" s="97"/>
      <c r="F485" s="97"/>
      <c r="G485" s="97"/>
      <c r="H485" s="97"/>
      <c r="I485" s="97"/>
      <c r="J485" s="97"/>
      <c r="K485" s="97"/>
      <c r="L485" s="195"/>
    </row>
    <row r="486" spans="1:14" x14ac:dyDescent="0.45">
      <c r="A486" s="462"/>
      <c r="B486" s="441"/>
      <c r="C486" s="194">
        <v>9</v>
      </c>
      <c r="D486" s="80"/>
      <c r="E486" s="97"/>
      <c r="F486" s="97"/>
      <c r="G486" s="97"/>
      <c r="H486" s="97"/>
      <c r="I486" s="97"/>
      <c r="J486" s="97"/>
      <c r="K486" s="97"/>
      <c r="L486" s="195"/>
    </row>
    <row r="487" spans="1:14" x14ac:dyDescent="0.45">
      <c r="A487" s="462"/>
      <c r="B487" s="441"/>
      <c r="C487" s="194">
        <v>10</v>
      </c>
      <c r="D487" s="80"/>
      <c r="E487" s="97"/>
      <c r="F487" s="97"/>
      <c r="G487" s="97"/>
      <c r="H487" s="97"/>
      <c r="I487" s="97"/>
      <c r="J487" s="97"/>
      <c r="K487" s="97"/>
      <c r="L487" s="195"/>
    </row>
    <row r="488" spans="1:14" x14ac:dyDescent="0.45">
      <c r="A488" s="462"/>
      <c r="B488" s="441"/>
      <c r="C488" s="194">
        <v>11</v>
      </c>
      <c r="D488" s="81"/>
      <c r="E488" s="98"/>
      <c r="F488" s="98"/>
      <c r="G488" s="98"/>
      <c r="H488" s="98"/>
      <c r="I488" s="98"/>
      <c r="J488" s="98"/>
      <c r="K488" s="98"/>
      <c r="L488" s="196"/>
    </row>
    <row r="489" spans="1:14" ht="14.65" thickBot="1" x14ac:dyDescent="0.5">
      <c r="A489" s="463"/>
      <c r="B489" s="442"/>
      <c r="C489" s="199">
        <v>12</v>
      </c>
      <c r="D489" s="82"/>
      <c r="E489" s="99"/>
      <c r="F489" s="99"/>
      <c r="G489" s="99"/>
      <c r="H489" s="99"/>
      <c r="I489" s="99"/>
      <c r="J489" s="99"/>
      <c r="K489" s="99"/>
      <c r="L489" s="198"/>
    </row>
    <row r="491" spans="1:14" s="91" customFormat="1" x14ac:dyDescent="0.45"/>
    <row r="492" spans="1:14" ht="14.65" thickBot="1" x14ac:dyDescent="0.5"/>
    <row r="493" spans="1:14" ht="28.9" thickBot="1" x14ac:dyDescent="0.5">
      <c r="A493" s="187" t="s">
        <v>76</v>
      </c>
      <c r="B493" s="186">
        <v>4</v>
      </c>
      <c r="C493" s="109"/>
      <c r="D493" s="109"/>
    </row>
    <row r="494" spans="1:14" x14ac:dyDescent="0.45">
      <c r="A494" s="443" t="s">
        <v>27</v>
      </c>
      <c r="B494" s="448">
        <f>Name4</f>
        <v>0</v>
      </c>
      <c r="C494" s="449"/>
      <c r="D494" s="450"/>
      <c r="I494" s="204"/>
      <c r="J494" s="204"/>
      <c r="K494" s="204"/>
      <c r="L494" s="204"/>
      <c r="M494" s="204"/>
      <c r="N494" s="204"/>
    </row>
    <row r="495" spans="1:14" x14ac:dyDescent="0.45">
      <c r="A495" s="444"/>
      <c r="B495" s="448"/>
      <c r="C495" s="449"/>
      <c r="D495" s="450"/>
      <c r="I495" s="204"/>
      <c r="J495" s="204"/>
      <c r="K495" s="204"/>
      <c r="L495" s="204"/>
      <c r="M495" s="204"/>
      <c r="N495" s="204"/>
    </row>
    <row r="496" spans="1:14" x14ac:dyDescent="0.45">
      <c r="A496" s="445"/>
      <c r="B496" s="388"/>
      <c r="C496" s="451"/>
      <c r="D496" s="452"/>
      <c r="I496" s="204"/>
      <c r="J496" s="204"/>
      <c r="K496" s="204"/>
      <c r="L496" s="204"/>
      <c r="M496" s="204"/>
      <c r="N496" s="204"/>
    </row>
    <row r="497" spans="1:14" ht="14.45" customHeight="1" x14ac:dyDescent="0.45">
      <c r="A497" s="444" t="s">
        <v>155</v>
      </c>
      <c r="B497" s="453">
        <f>GapA4</f>
        <v>0</v>
      </c>
      <c r="C497" s="454"/>
      <c r="D497" s="455"/>
      <c r="I497" s="204"/>
      <c r="J497" s="204"/>
      <c r="K497" s="204"/>
      <c r="L497" s="204"/>
      <c r="M497" s="204"/>
      <c r="N497" s="204"/>
    </row>
    <row r="498" spans="1:14" x14ac:dyDescent="0.45">
      <c r="A498" s="444"/>
      <c r="B498" s="448"/>
      <c r="C498" s="449"/>
      <c r="D498" s="450"/>
      <c r="I498" s="204"/>
      <c r="J498" s="204"/>
      <c r="K498" s="204"/>
      <c r="L498" s="204"/>
      <c r="M498" s="204"/>
      <c r="N498" s="204"/>
    </row>
    <row r="499" spans="1:14" x14ac:dyDescent="0.45">
      <c r="A499" s="445"/>
      <c r="B499" s="388"/>
      <c r="C499" s="451"/>
      <c r="D499" s="452"/>
      <c r="I499" s="204"/>
      <c r="J499" s="204"/>
      <c r="K499" s="204"/>
      <c r="L499" s="204"/>
      <c r="M499" s="204"/>
      <c r="N499" s="204"/>
    </row>
    <row r="500" spans="1:14" x14ac:dyDescent="0.45">
      <c r="A500" s="444" t="s">
        <v>159</v>
      </c>
      <c r="B500" s="453">
        <f>Objective4</f>
        <v>0</v>
      </c>
      <c r="C500" s="454"/>
      <c r="D500" s="455"/>
      <c r="I500" s="204"/>
      <c r="J500" s="204"/>
      <c r="K500" s="204"/>
      <c r="L500" s="204"/>
      <c r="M500" s="204"/>
      <c r="N500" s="204"/>
    </row>
    <row r="501" spans="1:14" x14ac:dyDescent="0.45">
      <c r="A501" s="444"/>
      <c r="B501" s="448"/>
      <c r="C501" s="449"/>
      <c r="D501" s="450"/>
      <c r="I501" s="204"/>
      <c r="J501" s="204"/>
      <c r="K501" s="204"/>
      <c r="L501" s="204"/>
      <c r="M501" s="204"/>
      <c r="N501" s="204"/>
    </row>
    <row r="502" spans="1:14" x14ac:dyDescent="0.45">
      <c r="A502" s="445"/>
      <c r="B502" s="388"/>
      <c r="C502" s="451"/>
      <c r="D502" s="452"/>
      <c r="I502" s="204"/>
      <c r="J502" s="204"/>
      <c r="K502" s="204"/>
      <c r="L502" s="204"/>
      <c r="M502" s="204"/>
      <c r="N502" s="204"/>
    </row>
    <row r="503" spans="1:14" ht="14.45" customHeight="1" x14ac:dyDescent="0.45">
      <c r="A503" s="446" t="s">
        <v>166</v>
      </c>
      <c r="B503" s="454">
        <f>Capacity4</f>
        <v>0</v>
      </c>
      <c r="C503" s="454"/>
      <c r="D503" s="455"/>
      <c r="I503" s="204"/>
      <c r="J503" s="204"/>
      <c r="K503" s="204"/>
      <c r="L503" s="204"/>
      <c r="M503" s="204"/>
      <c r="N503" s="204"/>
    </row>
    <row r="504" spans="1:14" x14ac:dyDescent="0.45">
      <c r="A504" s="447"/>
      <c r="B504" s="449"/>
      <c r="C504" s="449"/>
      <c r="D504" s="450"/>
      <c r="I504" s="204"/>
      <c r="J504" s="204"/>
      <c r="K504" s="204"/>
      <c r="L504" s="204"/>
      <c r="M504" s="204"/>
      <c r="N504" s="204"/>
    </row>
    <row r="505" spans="1:14" ht="14.65" thickBot="1" x14ac:dyDescent="0.5">
      <c r="A505" s="464"/>
      <c r="B505" s="456"/>
      <c r="C505" s="456"/>
      <c r="D505" s="457"/>
      <c r="I505" s="204"/>
      <c r="J505" s="204"/>
      <c r="K505" s="204"/>
      <c r="L505" s="204"/>
      <c r="M505" s="204"/>
      <c r="N505" s="204"/>
    </row>
    <row r="507" spans="1:14" ht="14.65" thickBot="1" x14ac:dyDescent="0.5">
      <c r="A507" s="90"/>
      <c r="B507" s="90"/>
      <c r="C507" s="90"/>
      <c r="D507" s="90"/>
      <c r="E507" s="90"/>
      <c r="F507" s="90"/>
      <c r="G507" s="90"/>
      <c r="H507" s="90"/>
      <c r="I507" s="90"/>
      <c r="J507" s="90"/>
      <c r="K507" s="90"/>
      <c r="L507" s="90"/>
      <c r="M507" s="90"/>
      <c r="N507" s="90"/>
    </row>
    <row r="508" spans="1:14" ht="21.75" customHeight="1" x14ac:dyDescent="0.45">
      <c r="A508" s="458" t="s">
        <v>135</v>
      </c>
      <c r="B508" s="459"/>
      <c r="C508" s="459"/>
      <c r="D508" s="459"/>
      <c r="E508" s="459"/>
      <c r="F508" s="459"/>
      <c r="G508" s="459"/>
      <c r="H508" s="459"/>
      <c r="I508" s="459"/>
      <c r="J508" s="459"/>
      <c r="K508" s="459"/>
      <c r="L508" s="460"/>
    </row>
    <row r="509" spans="1:14" ht="29" customHeight="1" thickBot="1" x14ac:dyDescent="0.5">
      <c r="A509" s="93" t="s">
        <v>74</v>
      </c>
      <c r="B509" s="94" t="s">
        <v>28</v>
      </c>
      <c r="C509" s="95" t="s">
        <v>320</v>
      </c>
      <c r="D509" s="95" t="s">
        <v>127</v>
      </c>
      <c r="E509" s="114" t="s">
        <v>90</v>
      </c>
      <c r="F509" s="95" t="s">
        <v>175</v>
      </c>
      <c r="G509" s="95" t="s">
        <v>176</v>
      </c>
      <c r="H509" s="95" t="s">
        <v>156</v>
      </c>
      <c r="I509" s="95" t="s">
        <v>157</v>
      </c>
      <c r="J509" s="189" t="s">
        <v>321</v>
      </c>
      <c r="K509" s="190" t="s">
        <v>29</v>
      </c>
      <c r="L509" s="191" t="s">
        <v>322</v>
      </c>
    </row>
    <row r="510" spans="1:14" x14ac:dyDescent="0.45">
      <c r="A510" s="461">
        <v>1</v>
      </c>
      <c r="B510" s="440">
        <v>1</v>
      </c>
      <c r="C510" s="192">
        <v>1</v>
      </c>
      <c r="D510" s="79"/>
      <c r="E510" s="96"/>
      <c r="F510" s="96"/>
      <c r="G510" s="96"/>
      <c r="H510" s="96"/>
      <c r="I510" s="96"/>
      <c r="J510" s="96"/>
      <c r="K510" s="96"/>
      <c r="L510" s="193"/>
    </row>
    <row r="511" spans="1:14" x14ac:dyDescent="0.45">
      <c r="A511" s="462"/>
      <c r="B511" s="441"/>
      <c r="C511" s="194">
        <v>2</v>
      </c>
      <c r="D511" s="80"/>
      <c r="E511" s="97"/>
      <c r="F511" s="97"/>
      <c r="G511" s="97"/>
      <c r="H511" s="97"/>
      <c r="I511" s="97"/>
      <c r="J511" s="97"/>
      <c r="K511" s="97"/>
      <c r="L511" s="195"/>
    </row>
    <row r="512" spans="1:14" x14ac:dyDescent="0.45">
      <c r="A512" s="462"/>
      <c r="B512" s="441"/>
      <c r="C512" s="194">
        <v>3</v>
      </c>
      <c r="D512" s="80"/>
      <c r="E512" s="97"/>
      <c r="F512" s="97"/>
      <c r="G512" s="97"/>
      <c r="H512" s="97"/>
      <c r="I512" s="97"/>
      <c r="J512" s="97"/>
      <c r="K512" s="97"/>
      <c r="L512" s="195"/>
    </row>
    <row r="513" spans="1:14" x14ac:dyDescent="0.45">
      <c r="A513" s="462"/>
      <c r="B513" s="441"/>
      <c r="C513" s="194">
        <v>4</v>
      </c>
      <c r="D513" s="80"/>
      <c r="E513" s="97"/>
      <c r="F513" s="97"/>
      <c r="G513" s="97"/>
      <c r="H513" s="97"/>
      <c r="I513" s="97"/>
      <c r="J513" s="97"/>
      <c r="K513" s="97"/>
      <c r="L513" s="195"/>
    </row>
    <row r="514" spans="1:14" x14ac:dyDescent="0.45">
      <c r="A514" s="462"/>
      <c r="B514" s="441"/>
      <c r="C514" s="194">
        <v>5</v>
      </c>
      <c r="D514" s="80"/>
      <c r="E514" s="97"/>
      <c r="F514" s="97"/>
      <c r="G514" s="97"/>
      <c r="H514" s="97"/>
      <c r="I514" s="97"/>
      <c r="J514" s="97"/>
      <c r="K514" s="97"/>
      <c r="L514" s="195"/>
    </row>
    <row r="515" spans="1:14" x14ac:dyDescent="0.45">
      <c r="A515" s="462"/>
      <c r="B515" s="441"/>
      <c r="C515" s="194">
        <v>6</v>
      </c>
      <c r="D515" s="80"/>
      <c r="E515" s="97"/>
      <c r="F515" s="97"/>
      <c r="G515" s="97"/>
      <c r="H515" s="97"/>
      <c r="I515" s="97"/>
      <c r="J515" s="97"/>
      <c r="K515" s="97"/>
      <c r="L515" s="195"/>
    </row>
    <row r="516" spans="1:14" x14ac:dyDescent="0.45">
      <c r="A516" s="462"/>
      <c r="B516" s="441"/>
      <c r="C516" s="194">
        <v>7</v>
      </c>
      <c r="D516" s="80"/>
      <c r="E516" s="97"/>
      <c r="F516" s="97"/>
      <c r="G516" s="97"/>
      <c r="H516" s="97"/>
      <c r="I516" s="97"/>
      <c r="J516" s="97"/>
      <c r="K516" s="97"/>
      <c r="L516" s="195"/>
    </row>
    <row r="517" spans="1:14" x14ac:dyDescent="0.45">
      <c r="A517" s="462"/>
      <c r="B517" s="441"/>
      <c r="C517" s="194">
        <v>8</v>
      </c>
      <c r="D517" s="80"/>
      <c r="E517" s="97"/>
      <c r="F517" s="97"/>
      <c r="G517" s="97"/>
      <c r="H517" s="97"/>
      <c r="I517" s="97"/>
      <c r="J517" s="97"/>
      <c r="K517" s="97"/>
      <c r="L517" s="195"/>
    </row>
    <row r="518" spans="1:14" x14ac:dyDescent="0.45">
      <c r="A518" s="462"/>
      <c r="B518" s="441"/>
      <c r="C518" s="194">
        <v>9</v>
      </c>
      <c r="D518" s="80"/>
      <c r="E518" s="97"/>
      <c r="F518" s="97"/>
      <c r="G518" s="97"/>
      <c r="H518" s="97"/>
      <c r="I518" s="97"/>
      <c r="J518" s="97"/>
      <c r="K518" s="97"/>
      <c r="L518" s="195"/>
    </row>
    <row r="519" spans="1:14" x14ac:dyDescent="0.45">
      <c r="A519" s="462"/>
      <c r="B519" s="441"/>
      <c r="C519" s="194">
        <v>10</v>
      </c>
      <c r="D519" s="80"/>
      <c r="E519" s="97"/>
      <c r="F519" s="97"/>
      <c r="G519" s="97"/>
      <c r="H519" s="97"/>
      <c r="I519" s="97"/>
      <c r="J519" s="97"/>
      <c r="K519" s="97"/>
      <c r="L519" s="195"/>
    </row>
    <row r="520" spans="1:14" x14ac:dyDescent="0.45">
      <c r="A520" s="462"/>
      <c r="B520" s="441"/>
      <c r="C520" s="194">
        <v>11</v>
      </c>
      <c r="D520" s="81"/>
      <c r="E520" s="98"/>
      <c r="F520" s="98"/>
      <c r="G520" s="98"/>
      <c r="H520" s="98"/>
      <c r="I520" s="98"/>
      <c r="J520" s="98"/>
      <c r="K520" s="98"/>
      <c r="L520" s="196"/>
    </row>
    <row r="521" spans="1:14" s="90" customFormat="1" ht="14.65" thickBot="1" x14ac:dyDescent="0.5">
      <c r="A521" s="462"/>
      <c r="B521" s="442"/>
      <c r="C521" s="197">
        <v>12</v>
      </c>
      <c r="D521" s="82"/>
      <c r="E521" s="99"/>
      <c r="F521" s="99"/>
      <c r="G521" s="99"/>
      <c r="H521" s="99"/>
      <c r="I521" s="99"/>
      <c r="J521" s="99"/>
      <c r="K521" s="99"/>
      <c r="L521" s="198"/>
      <c r="M521" s="61"/>
      <c r="N521" s="61"/>
    </row>
    <row r="522" spans="1:14" x14ac:dyDescent="0.45">
      <c r="A522" s="462"/>
      <c r="B522" s="440">
        <v>2</v>
      </c>
      <c r="C522" s="192">
        <v>1</v>
      </c>
      <c r="D522" s="79"/>
      <c r="E522" s="96"/>
      <c r="F522" s="96"/>
      <c r="G522" s="96"/>
      <c r="H522" s="96"/>
      <c r="I522" s="96"/>
      <c r="J522" s="96"/>
      <c r="K522" s="96"/>
      <c r="L522" s="193"/>
    </row>
    <row r="523" spans="1:14" x14ac:dyDescent="0.45">
      <c r="A523" s="462"/>
      <c r="B523" s="441"/>
      <c r="C523" s="194">
        <v>2</v>
      </c>
      <c r="D523" s="80"/>
      <c r="E523" s="97"/>
      <c r="F523" s="97"/>
      <c r="G523" s="97"/>
      <c r="H523" s="97"/>
      <c r="I523" s="97"/>
      <c r="J523" s="97"/>
      <c r="K523" s="97"/>
      <c r="L523" s="195"/>
    </row>
    <row r="524" spans="1:14" x14ac:dyDescent="0.45">
      <c r="A524" s="462"/>
      <c r="B524" s="441"/>
      <c r="C524" s="194">
        <v>3</v>
      </c>
      <c r="D524" s="80"/>
      <c r="E524" s="97"/>
      <c r="F524" s="97"/>
      <c r="G524" s="97"/>
      <c r="H524" s="97"/>
      <c r="I524" s="97"/>
      <c r="J524" s="97"/>
      <c r="K524" s="97"/>
      <c r="L524" s="195"/>
    </row>
    <row r="525" spans="1:14" x14ac:dyDescent="0.45">
      <c r="A525" s="462"/>
      <c r="B525" s="441"/>
      <c r="C525" s="194">
        <v>4</v>
      </c>
      <c r="D525" s="80"/>
      <c r="E525" s="97"/>
      <c r="F525" s="97"/>
      <c r="G525" s="97"/>
      <c r="H525" s="97"/>
      <c r="I525" s="97"/>
      <c r="J525" s="97"/>
      <c r="K525" s="97"/>
      <c r="L525" s="195"/>
    </row>
    <row r="526" spans="1:14" x14ac:dyDescent="0.45">
      <c r="A526" s="462"/>
      <c r="B526" s="441"/>
      <c r="C526" s="194">
        <v>5</v>
      </c>
      <c r="D526" s="80"/>
      <c r="E526" s="97"/>
      <c r="F526" s="97"/>
      <c r="G526" s="97"/>
      <c r="H526" s="97"/>
      <c r="I526" s="97"/>
      <c r="J526" s="97"/>
      <c r="K526" s="97"/>
      <c r="L526" s="195"/>
    </row>
    <row r="527" spans="1:14" x14ac:dyDescent="0.45">
      <c r="A527" s="462"/>
      <c r="B527" s="441"/>
      <c r="C527" s="194">
        <v>6</v>
      </c>
      <c r="D527" s="80"/>
      <c r="E527" s="97"/>
      <c r="F527" s="97"/>
      <c r="G527" s="97"/>
      <c r="H527" s="97"/>
      <c r="I527" s="97"/>
      <c r="J527" s="97"/>
      <c r="K527" s="97"/>
      <c r="L527" s="195"/>
    </row>
    <row r="528" spans="1:14" x14ac:dyDescent="0.45">
      <c r="A528" s="462"/>
      <c r="B528" s="441"/>
      <c r="C528" s="194">
        <v>7</v>
      </c>
      <c r="D528" s="80"/>
      <c r="E528" s="97"/>
      <c r="F528" s="97"/>
      <c r="G528" s="97"/>
      <c r="H528" s="97"/>
      <c r="I528" s="97"/>
      <c r="J528" s="97"/>
      <c r="K528" s="97"/>
      <c r="L528" s="195"/>
    </row>
    <row r="529" spans="1:12" x14ac:dyDescent="0.45">
      <c r="A529" s="462"/>
      <c r="B529" s="441"/>
      <c r="C529" s="194">
        <v>8</v>
      </c>
      <c r="D529" s="80"/>
      <c r="E529" s="97"/>
      <c r="F529" s="97"/>
      <c r="G529" s="97"/>
      <c r="H529" s="97"/>
      <c r="I529" s="97"/>
      <c r="J529" s="97"/>
      <c r="K529" s="97"/>
      <c r="L529" s="195"/>
    </row>
    <row r="530" spans="1:12" x14ac:dyDescent="0.45">
      <c r="A530" s="462"/>
      <c r="B530" s="441"/>
      <c r="C530" s="194">
        <v>9</v>
      </c>
      <c r="D530" s="80"/>
      <c r="E530" s="97"/>
      <c r="F530" s="97"/>
      <c r="G530" s="97"/>
      <c r="H530" s="97"/>
      <c r="I530" s="97"/>
      <c r="J530" s="97"/>
      <c r="K530" s="97"/>
      <c r="L530" s="195"/>
    </row>
    <row r="531" spans="1:12" x14ac:dyDescent="0.45">
      <c r="A531" s="462"/>
      <c r="B531" s="441"/>
      <c r="C531" s="194">
        <v>10</v>
      </c>
      <c r="D531" s="80"/>
      <c r="E531" s="97"/>
      <c r="F531" s="97"/>
      <c r="G531" s="97"/>
      <c r="H531" s="97"/>
      <c r="I531" s="97"/>
      <c r="J531" s="97"/>
      <c r="K531" s="97"/>
      <c r="L531" s="195"/>
    </row>
    <row r="532" spans="1:12" x14ac:dyDescent="0.45">
      <c r="A532" s="462"/>
      <c r="B532" s="441"/>
      <c r="C532" s="194">
        <v>11</v>
      </c>
      <c r="D532" s="81"/>
      <c r="E532" s="98"/>
      <c r="F532" s="98"/>
      <c r="G532" s="98"/>
      <c r="H532" s="98"/>
      <c r="I532" s="98"/>
      <c r="J532" s="98"/>
      <c r="K532" s="98"/>
      <c r="L532" s="196"/>
    </row>
    <row r="533" spans="1:12" ht="14.65" thickBot="1" x14ac:dyDescent="0.5">
      <c r="A533" s="462"/>
      <c r="B533" s="442"/>
      <c r="C533" s="197">
        <v>12</v>
      </c>
      <c r="D533" s="82"/>
      <c r="E533" s="99"/>
      <c r="F533" s="99"/>
      <c r="G533" s="99"/>
      <c r="H533" s="99"/>
      <c r="I533" s="99"/>
      <c r="J533" s="99"/>
      <c r="K533" s="99"/>
      <c r="L533" s="198"/>
    </row>
    <row r="534" spans="1:12" x14ac:dyDescent="0.45">
      <c r="A534" s="462"/>
      <c r="B534" s="440">
        <v>3</v>
      </c>
      <c r="C534" s="192">
        <v>1</v>
      </c>
      <c r="D534" s="79"/>
      <c r="E534" s="96"/>
      <c r="F534" s="96"/>
      <c r="G534" s="96"/>
      <c r="H534" s="96"/>
      <c r="I534" s="96"/>
      <c r="J534" s="96"/>
      <c r="K534" s="96"/>
      <c r="L534" s="193"/>
    </row>
    <row r="535" spans="1:12" x14ac:dyDescent="0.45">
      <c r="A535" s="462"/>
      <c r="B535" s="441"/>
      <c r="C535" s="194">
        <v>2</v>
      </c>
      <c r="D535" s="80"/>
      <c r="E535" s="97"/>
      <c r="F535" s="97"/>
      <c r="G535" s="97"/>
      <c r="H535" s="97"/>
      <c r="I535" s="97"/>
      <c r="J535" s="97"/>
      <c r="K535" s="97"/>
      <c r="L535" s="195"/>
    </row>
    <row r="536" spans="1:12" x14ac:dyDescent="0.45">
      <c r="A536" s="462"/>
      <c r="B536" s="441"/>
      <c r="C536" s="194">
        <v>3</v>
      </c>
      <c r="D536" s="80"/>
      <c r="E536" s="97"/>
      <c r="F536" s="97"/>
      <c r="G536" s="97"/>
      <c r="H536" s="97"/>
      <c r="I536" s="97"/>
      <c r="J536" s="97"/>
      <c r="K536" s="97"/>
      <c r="L536" s="195"/>
    </row>
    <row r="537" spans="1:12" x14ac:dyDescent="0.45">
      <c r="A537" s="462"/>
      <c r="B537" s="441"/>
      <c r="C537" s="194">
        <v>4</v>
      </c>
      <c r="D537" s="80"/>
      <c r="E537" s="97"/>
      <c r="F537" s="97"/>
      <c r="G537" s="97"/>
      <c r="H537" s="97"/>
      <c r="I537" s="97"/>
      <c r="J537" s="97"/>
      <c r="K537" s="97"/>
      <c r="L537" s="195"/>
    </row>
    <row r="538" spans="1:12" x14ac:dyDescent="0.45">
      <c r="A538" s="462"/>
      <c r="B538" s="441"/>
      <c r="C538" s="194">
        <v>5</v>
      </c>
      <c r="D538" s="80"/>
      <c r="E538" s="97"/>
      <c r="F538" s="97"/>
      <c r="G538" s="97"/>
      <c r="H538" s="97"/>
      <c r="I538" s="97"/>
      <c r="J538" s="97"/>
      <c r="K538" s="97"/>
      <c r="L538" s="195"/>
    </row>
    <row r="539" spans="1:12" x14ac:dyDescent="0.45">
      <c r="A539" s="462"/>
      <c r="B539" s="441"/>
      <c r="C539" s="194">
        <v>6</v>
      </c>
      <c r="D539" s="80"/>
      <c r="E539" s="97"/>
      <c r="F539" s="97"/>
      <c r="G539" s="97"/>
      <c r="H539" s="97"/>
      <c r="I539" s="97"/>
      <c r="J539" s="97"/>
      <c r="K539" s="97"/>
      <c r="L539" s="195"/>
    </row>
    <row r="540" spans="1:12" x14ac:dyDescent="0.45">
      <c r="A540" s="462"/>
      <c r="B540" s="441"/>
      <c r="C540" s="194">
        <v>7</v>
      </c>
      <c r="D540" s="80"/>
      <c r="E540" s="97"/>
      <c r="F540" s="97"/>
      <c r="G540" s="97"/>
      <c r="H540" s="97"/>
      <c r="I540" s="97"/>
      <c r="J540" s="97"/>
      <c r="K540" s="97"/>
      <c r="L540" s="195"/>
    </row>
    <row r="541" spans="1:12" x14ac:dyDescent="0.45">
      <c r="A541" s="462"/>
      <c r="B541" s="441"/>
      <c r="C541" s="194">
        <v>8</v>
      </c>
      <c r="D541" s="80"/>
      <c r="E541" s="97"/>
      <c r="F541" s="97"/>
      <c r="G541" s="97"/>
      <c r="H541" s="97"/>
      <c r="I541" s="97"/>
      <c r="J541" s="97"/>
      <c r="K541" s="97"/>
      <c r="L541" s="195"/>
    </row>
    <row r="542" spans="1:12" x14ac:dyDescent="0.45">
      <c r="A542" s="462"/>
      <c r="B542" s="441"/>
      <c r="C542" s="194">
        <v>9</v>
      </c>
      <c r="D542" s="80"/>
      <c r="E542" s="97"/>
      <c r="F542" s="97"/>
      <c r="G542" s="97"/>
      <c r="H542" s="97"/>
      <c r="I542" s="97"/>
      <c r="J542" s="97"/>
      <c r="K542" s="97"/>
      <c r="L542" s="195"/>
    </row>
    <row r="543" spans="1:12" x14ac:dyDescent="0.45">
      <c r="A543" s="462"/>
      <c r="B543" s="441"/>
      <c r="C543" s="194">
        <v>10</v>
      </c>
      <c r="D543" s="80"/>
      <c r="E543" s="97"/>
      <c r="F543" s="97"/>
      <c r="G543" s="97"/>
      <c r="H543" s="97"/>
      <c r="I543" s="97"/>
      <c r="J543" s="97"/>
      <c r="K543" s="97"/>
      <c r="L543" s="195"/>
    </row>
    <row r="544" spans="1:12" x14ac:dyDescent="0.45">
      <c r="A544" s="462"/>
      <c r="B544" s="441"/>
      <c r="C544" s="194">
        <v>11</v>
      </c>
      <c r="D544" s="81"/>
      <c r="E544" s="98"/>
      <c r="F544" s="98"/>
      <c r="G544" s="98"/>
      <c r="H544" s="98"/>
      <c r="I544" s="98"/>
      <c r="J544" s="98"/>
      <c r="K544" s="98"/>
      <c r="L544" s="196"/>
    </row>
    <row r="545" spans="1:12" ht="14.65" thickBot="1" x14ac:dyDescent="0.5">
      <c r="A545" s="462"/>
      <c r="B545" s="442"/>
      <c r="C545" s="197">
        <v>12</v>
      </c>
      <c r="D545" s="82"/>
      <c r="E545" s="99"/>
      <c r="F545" s="99"/>
      <c r="G545" s="99"/>
      <c r="H545" s="99"/>
      <c r="I545" s="99"/>
      <c r="J545" s="99"/>
      <c r="K545" s="99"/>
      <c r="L545" s="198"/>
    </row>
    <row r="546" spans="1:12" x14ac:dyDescent="0.45">
      <c r="A546" s="462"/>
      <c r="B546" s="440">
        <v>4</v>
      </c>
      <c r="C546" s="192">
        <v>1</v>
      </c>
      <c r="D546" s="79"/>
      <c r="E546" s="96"/>
      <c r="F546" s="96"/>
      <c r="G546" s="96"/>
      <c r="H546" s="96"/>
      <c r="I546" s="96"/>
      <c r="J546" s="96"/>
      <c r="K546" s="96"/>
      <c r="L546" s="193"/>
    </row>
    <row r="547" spans="1:12" x14ac:dyDescent="0.45">
      <c r="A547" s="462"/>
      <c r="B547" s="441"/>
      <c r="C547" s="194">
        <v>2</v>
      </c>
      <c r="D547" s="80"/>
      <c r="E547" s="97"/>
      <c r="F547" s="97"/>
      <c r="G547" s="97"/>
      <c r="H547" s="97"/>
      <c r="I547" s="97"/>
      <c r="J547" s="97"/>
      <c r="K547" s="97"/>
      <c r="L547" s="195"/>
    </row>
    <row r="548" spans="1:12" x14ac:dyDescent="0.45">
      <c r="A548" s="462"/>
      <c r="B548" s="441"/>
      <c r="C548" s="194">
        <v>3</v>
      </c>
      <c r="D548" s="80"/>
      <c r="E548" s="97"/>
      <c r="F548" s="97"/>
      <c r="G548" s="97"/>
      <c r="H548" s="97"/>
      <c r="I548" s="97"/>
      <c r="J548" s="97"/>
      <c r="K548" s="97"/>
      <c r="L548" s="195"/>
    </row>
    <row r="549" spans="1:12" x14ac:dyDescent="0.45">
      <c r="A549" s="462"/>
      <c r="B549" s="441"/>
      <c r="C549" s="194">
        <v>4</v>
      </c>
      <c r="D549" s="80"/>
      <c r="E549" s="97"/>
      <c r="F549" s="97"/>
      <c r="G549" s="97"/>
      <c r="H549" s="97"/>
      <c r="I549" s="97"/>
      <c r="J549" s="97"/>
      <c r="K549" s="97"/>
      <c r="L549" s="195"/>
    </row>
    <row r="550" spans="1:12" x14ac:dyDescent="0.45">
      <c r="A550" s="462"/>
      <c r="B550" s="441"/>
      <c r="C550" s="194">
        <v>5</v>
      </c>
      <c r="D550" s="80"/>
      <c r="E550" s="97"/>
      <c r="F550" s="97"/>
      <c r="G550" s="97"/>
      <c r="H550" s="97"/>
      <c r="I550" s="97"/>
      <c r="J550" s="97"/>
      <c r="K550" s="97"/>
      <c r="L550" s="195"/>
    </row>
    <row r="551" spans="1:12" x14ac:dyDescent="0.45">
      <c r="A551" s="462"/>
      <c r="B551" s="441"/>
      <c r="C551" s="194">
        <v>6</v>
      </c>
      <c r="D551" s="80"/>
      <c r="E551" s="97"/>
      <c r="F551" s="97"/>
      <c r="G551" s="97"/>
      <c r="H551" s="97"/>
      <c r="I551" s="97"/>
      <c r="J551" s="97"/>
      <c r="K551" s="97"/>
      <c r="L551" s="195"/>
    </row>
    <row r="552" spans="1:12" x14ac:dyDescent="0.45">
      <c r="A552" s="462"/>
      <c r="B552" s="441"/>
      <c r="C552" s="194">
        <v>7</v>
      </c>
      <c r="D552" s="80"/>
      <c r="E552" s="97"/>
      <c r="F552" s="97"/>
      <c r="G552" s="97"/>
      <c r="H552" s="97"/>
      <c r="I552" s="97"/>
      <c r="J552" s="97"/>
      <c r="K552" s="97"/>
      <c r="L552" s="195"/>
    </row>
    <row r="553" spans="1:12" x14ac:dyDescent="0.45">
      <c r="A553" s="462"/>
      <c r="B553" s="441"/>
      <c r="C553" s="194">
        <v>8</v>
      </c>
      <c r="D553" s="80"/>
      <c r="E553" s="97"/>
      <c r="F553" s="97"/>
      <c r="G553" s="97"/>
      <c r="H553" s="97"/>
      <c r="I553" s="97"/>
      <c r="J553" s="97"/>
      <c r="K553" s="97"/>
      <c r="L553" s="195"/>
    </row>
    <row r="554" spans="1:12" x14ac:dyDescent="0.45">
      <c r="A554" s="462"/>
      <c r="B554" s="441"/>
      <c r="C554" s="194">
        <v>9</v>
      </c>
      <c r="D554" s="80"/>
      <c r="E554" s="97"/>
      <c r="F554" s="97"/>
      <c r="G554" s="97"/>
      <c r="H554" s="97"/>
      <c r="I554" s="97"/>
      <c r="J554" s="97"/>
      <c r="K554" s="97"/>
      <c r="L554" s="195"/>
    </row>
    <row r="555" spans="1:12" x14ac:dyDescent="0.45">
      <c r="A555" s="462"/>
      <c r="B555" s="441"/>
      <c r="C555" s="194">
        <v>10</v>
      </c>
      <c r="D555" s="80"/>
      <c r="E555" s="97"/>
      <c r="F555" s="97"/>
      <c r="G555" s="97"/>
      <c r="H555" s="97"/>
      <c r="I555" s="97"/>
      <c r="J555" s="97"/>
      <c r="K555" s="97"/>
      <c r="L555" s="195"/>
    </row>
    <row r="556" spans="1:12" x14ac:dyDescent="0.45">
      <c r="A556" s="462"/>
      <c r="B556" s="441"/>
      <c r="C556" s="194">
        <v>11</v>
      </c>
      <c r="D556" s="81"/>
      <c r="E556" s="98"/>
      <c r="F556" s="98"/>
      <c r="G556" s="98"/>
      <c r="H556" s="98"/>
      <c r="I556" s="98"/>
      <c r="J556" s="98"/>
      <c r="K556" s="98"/>
      <c r="L556" s="196"/>
    </row>
    <row r="557" spans="1:12" ht="14.65" thickBot="1" x14ac:dyDescent="0.5">
      <c r="A557" s="463"/>
      <c r="B557" s="442"/>
      <c r="C557" s="197">
        <v>12</v>
      </c>
      <c r="D557" s="82"/>
      <c r="E557" s="99"/>
      <c r="F557" s="99"/>
      <c r="G557" s="99"/>
      <c r="H557" s="99"/>
      <c r="I557" s="99"/>
      <c r="J557" s="99"/>
      <c r="K557" s="99"/>
      <c r="L557" s="198"/>
    </row>
    <row r="558" spans="1:12" x14ac:dyDescent="0.45">
      <c r="A558" s="461">
        <v>2</v>
      </c>
      <c r="B558" s="440">
        <v>5</v>
      </c>
      <c r="C558" s="192">
        <v>1</v>
      </c>
      <c r="D558" s="79"/>
      <c r="E558" s="96"/>
      <c r="F558" s="96"/>
      <c r="G558" s="96"/>
      <c r="H558" s="96"/>
      <c r="I558" s="96"/>
      <c r="J558" s="96"/>
      <c r="K558" s="96"/>
      <c r="L558" s="193"/>
    </row>
    <row r="559" spans="1:12" x14ac:dyDescent="0.45">
      <c r="A559" s="462"/>
      <c r="B559" s="441"/>
      <c r="C559" s="194">
        <v>2</v>
      </c>
      <c r="D559" s="80"/>
      <c r="E559" s="97"/>
      <c r="F559" s="97"/>
      <c r="G559" s="97"/>
      <c r="H559" s="97"/>
      <c r="I559" s="97"/>
      <c r="J559" s="97"/>
      <c r="K559" s="97"/>
      <c r="L559" s="195"/>
    </row>
    <row r="560" spans="1:12" x14ac:dyDescent="0.45">
      <c r="A560" s="462"/>
      <c r="B560" s="441"/>
      <c r="C560" s="194">
        <v>3</v>
      </c>
      <c r="D560" s="80"/>
      <c r="E560" s="97"/>
      <c r="F560" s="97"/>
      <c r="G560" s="97"/>
      <c r="H560" s="97"/>
      <c r="I560" s="97"/>
      <c r="J560" s="97"/>
      <c r="K560" s="97"/>
      <c r="L560" s="195"/>
    </row>
    <row r="561" spans="1:12" x14ac:dyDescent="0.45">
      <c r="A561" s="462"/>
      <c r="B561" s="441"/>
      <c r="C561" s="194">
        <v>4</v>
      </c>
      <c r="D561" s="80"/>
      <c r="E561" s="97"/>
      <c r="F561" s="97"/>
      <c r="G561" s="97"/>
      <c r="H561" s="97"/>
      <c r="I561" s="97"/>
      <c r="J561" s="97"/>
      <c r="K561" s="97"/>
      <c r="L561" s="195"/>
    </row>
    <row r="562" spans="1:12" x14ac:dyDescent="0.45">
      <c r="A562" s="462"/>
      <c r="B562" s="441"/>
      <c r="C562" s="194">
        <v>5</v>
      </c>
      <c r="D562" s="80"/>
      <c r="E562" s="97"/>
      <c r="F562" s="97"/>
      <c r="G562" s="97"/>
      <c r="H562" s="97"/>
      <c r="I562" s="97"/>
      <c r="J562" s="97"/>
      <c r="K562" s="97"/>
      <c r="L562" s="195"/>
    </row>
    <row r="563" spans="1:12" x14ac:dyDescent="0.45">
      <c r="A563" s="462"/>
      <c r="B563" s="441"/>
      <c r="C563" s="194">
        <v>6</v>
      </c>
      <c r="D563" s="80"/>
      <c r="E563" s="97"/>
      <c r="F563" s="97"/>
      <c r="G563" s="97"/>
      <c r="H563" s="97"/>
      <c r="I563" s="97"/>
      <c r="J563" s="97"/>
      <c r="K563" s="97"/>
      <c r="L563" s="195"/>
    </row>
    <row r="564" spans="1:12" x14ac:dyDescent="0.45">
      <c r="A564" s="462"/>
      <c r="B564" s="441"/>
      <c r="C564" s="194">
        <v>7</v>
      </c>
      <c r="D564" s="80"/>
      <c r="E564" s="97"/>
      <c r="F564" s="97"/>
      <c r="G564" s="97"/>
      <c r="H564" s="97"/>
      <c r="I564" s="97"/>
      <c r="J564" s="97"/>
      <c r="K564" s="97"/>
      <c r="L564" s="195"/>
    </row>
    <row r="565" spans="1:12" x14ac:dyDescent="0.45">
      <c r="A565" s="462"/>
      <c r="B565" s="441"/>
      <c r="C565" s="194">
        <v>8</v>
      </c>
      <c r="D565" s="80"/>
      <c r="E565" s="97"/>
      <c r="F565" s="97"/>
      <c r="G565" s="97"/>
      <c r="H565" s="97"/>
      <c r="I565" s="97"/>
      <c r="J565" s="97"/>
      <c r="K565" s="97"/>
      <c r="L565" s="195"/>
    </row>
    <row r="566" spans="1:12" x14ac:dyDescent="0.45">
      <c r="A566" s="462"/>
      <c r="B566" s="441"/>
      <c r="C566" s="194">
        <v>9</v>
      </c>
      <c r="D566" s="80"/>
      <c r="E566" s="97"/>
      <c r="F566" s="97"/>
      <c r="G566" s="97"/>
      <c r="H566" s="97"/>
      <c r="I566" s="97"/>
      <c r="J566" s="97"/>
      <c r="K566" s="97"/>
      <c r="L566" s="195"/>
    </row>
    <row r="567" spans="1:12" x14ac:dyDescent="0.45">
      <c r="A567" s="462"/>
      <c r="B567" s="441"/>
      <c r="C567" s="194">
        <v>10</v>
      </c>
      <c r="D567" s="80"/>
      <c r="E567" s="97"/>
      <c r="F567" s="97"/>
      <c r="G567" s="97"/>
      <c r="H567" s="97"/>
      <c r="I567" s="97"/>
      <c r="J567" s="97"/>
      <c r="K567" s="97"/>
      <c r="L567" s="195"/>
    </row>
    <row r="568" spans="1:12" x14ac:dyDescent="0.45">
      <c r="A568" s="462"/>
      <c r="B568" s="441"/>
      <c r="C568" s="194">
        <v>11</v>
      </c>
      <c r="D568" s="81"/>
      <c r="E568" s="98"/>
      <c r="F568" s="98"/>
      <c r="G568" s="98"/>
      <c r="H568" s="98"/>
      <c r="I568" s="98"/>
      <c r="J568" s="98"/>
      <c r="K568" s="98"/>
      <c r="L568" s="196"/>
    </row>
    <row r="569" spans="1:12" ht="14.65" thickBot="1" x14ac:dyDescent="0.5">
      <c r="A569" s="462"/>
      <c r="B569" s="442"/>
      <c r="C569" s="197">
        <v>12</v>
      </c>
      <c r="D569" s="82"/>
      <c r="E569" s="99"/>
      <c r="F569" s="99"/>
      <c r="G569" s="99"/>
      <c r="H569" s="99"/>
      <c r="I569" s="99"/>
      <c r="J569" s="99"/>
      <c r="K569" s="99"/>
      <c r="L569" s="198"/>
    </row>
    <row r="570" spans="1:12" x14ac:dyDescent="0.45">
      <c r="A570" s="462"/>
      <c r="B570" s="440">
        <v>6</v>
      </c>
      <c r="C570" s="192">
        <v>1</v>
      </c>
      <c r="D570" s="79"/>
      <c r="E570" s="96"/>
      <c r="F570" s="96"/>
      <c r="G570" s="96"/>
      <c r="H570" s="96"/>
      <c r="I570" s="96"/>
      <c r="J570" s="96"/>
      <c r="K570" s="96"/>
      <c r="L570" s="193"/>
    </row>
    <row r="571" spans="1:12" x14ac:dyDescent="0.45">
      <c r="A571" s="462"/>
      <c r="B571" s="441"/>
      <c r="C571" s="194">
        <v>2</v>
      </c>
      <c r="D571" s="80"/>
      <c r="E571" s="97"/>
      <c r="F571" s="97"/>
      <c r="G571" s="97"/>
      <c r="H571" s="97"/>
      <c r="I571" s="97"/>
      <c r="J571" s="97"/>
      <c r="K571" s="97"/>
      <c r="L571" s="195"/>
    </row>
    <row r="572" spans="1:12" x14ac:dyDescent="0.45">
      <c r="A572" s="462"/>
      <c r="B572" s="441"/>
      <c r="C572" s="194">
        <v>3</v>
      </c>
      <c r="D572" s="80"/>
      <c r="E572" s="97"/>
      <c r="F572" s="97"/>
      <c r="G572" s="97"/>
      <c r="H572" s="97"/>
      <c r="I572" s="97"/>
      <c r="J572" s="97"/>
      <c r="K572" s="97"/>
      <c r="L572" s="195"/>
    </row>
    <row r="573" spans="1:12" x14ac:dyDescent="0.45">
      <c r="A573" s="462"/>
      <c r="B573" s="441"/>
      <c r="C573" s="194">
        <v>4</v>
      </c>
      <c r="D573" s="80"/>
      <c r="E573" s="97"/>
      <c r="F573" s="97"/>
      <c r="G573" s="97"/>
      <c r="H573" s="97"/>
      <c r="I573" s="97"/>
      <c r="J573" s="97"/>
      <c r="K573" s="97"/>
      <c r="L573" s="195"/>
    </row>
    <row r="574" spans="1:12" x14ac:dyDescent="0.45">
      <c r="A574" s="462"/>
      <c r="B574" s="441"/>
      <c r="C574" s="194">
        <v>5</v>
      </c>
      <c r="D574" s="80"/>
      <c r="E574" s="97"/>
      <c r="F574" s="97"/>
      <c r="G574" s="97"/>
      <c r="H574" s="97"/>
      <c r="I574" s="97"/>
      <c r="J574" s="97"/>
      <c r="K574" s="97"/>
      <c r="L574" s="195"/>
    </row>
    <row r="575" spans="1:12" x14ac:dyDescent="0.45">
      <c r="A575" s="462"/>
      <c r="B575" s="441"/>
      <c r="C575" s="194">
        <v>6</v>
      </c>
      <c r="D575" s="80"/>
      <c r="E575" s="97"/>
      <c r="F575" s="97"/>
      <c r="G575" s="97"/>
      <c r="H575" s="97"/>
      <c r="I575" s="97"/>
      <c r="J575" s="97"/>
      <c r="K575" s="97"/>
      <c r="L575" s="195"/>
    </row>
    <row r="576" spans="1:12" x14ac:dyDescent="0.45">
      <c r="A576" s="462"/>
      <c r="B576" s="441"/>
      <c r="C576" s="194">
        <v>7</v>
      </c>
      <c r="D576" s="80"/>
      <c r="E576" s="97"/>
      <c r="F576" s="97"/>
      <c r="G576" s="97"/>
      <c r="H576" s="97"/>
      <c r="I576" s="97"/>
      <c r="J576" s="97"/>
      <c r="K576" s="97"/>
      <c r="L576" s="195"/>
    </row>
    <row r="577" spans="1:12" x14ac:dyDescent="0.45">
      <c r="A577" s="462"/>
      <c r="B577" s="441"/>
      <c r="C577" s="194">
        <v>8</v>
      </c>
      <c r="D577" s="80"/>
      <c r="E577" s="97"/>
      <c r="F577" s="97"/>
      <c r="G577" s="97"/>
      <c r="H577" s="97"/>
      <c r="I577" s="97"/>
      <c r="J577" s="97"/>
      <c r="K577" s="97"/>
      <c r="L577" s="195"/>
    </row>
    <row r="578" spans="1:12" x14ac:dyDescent="0.45">
      <c r="A578" s="462"/>
      <c r="B578" s="441"/>
      <c r="C578" s="194">
        <v>9</v>
      </c>
      <c r="D578" s="80"/>
      <c r="E578" s="97"/>
      <c r="F578" s="97"/>
      <c r="G578" s="97"/>
      <c r="H578" s="97"/>
      <c r="I578" s="97"/>
      <c r="J578" s="97"/>
      <c r="K578" s="97"/>
      <c r="L578" s="195"/>
    </row>
    <row r="579" spans="1:12" x14ac:dyDescent="0.45">
      <c r="A579" s="462"/>
      <c r="B579" s="441"/>
      <c r="C579" s="194">
        <v>10</v>
      </c>
      <c r="D579" s="80"/>
      <c r="E579" s="97"/>
      <c r="F579" s="97"/>
      <c r="G579" s="97"/>
      <c r="H579" s="97"/>
      <c r="I579" s="97"/>
      <c r="J579" s="97"/>
      <c r="K579" s="97"/>
      <c r="L579" s="195"/>
    </row>
    <row r="580" spans="1:12" x14ac:dyDescent="0.45">
      <c r="A580" s="462"/>
      <c r="B580" s="441"/>
      <c r="C580" s="194">
        <v>11</v>
      </c>
      <c r="D580" s="81"/>
      <c r="E580" s="98"/>
      <c r="F580" s="98"/>
      <c r="G580" s="98"/>
      <c r="H580" s="98"/>
      <c r="I580" s="98"/>
      <c r="J580" s="98"/>
      <c r="K580" s="98"/>
      <c r="L580" s="196"/>
    </row>
    <row r="581" spans="1:12" ht="14.65" thickBot="1" x14ac:dyDescent="0.5">
      <c r="A581" s="462"/>
      <c r="B581" s="442"/>
      <c r="C581" s="197">
        <v>12</v>
      </c>
      <c r="D581" s="82"/>
      <c r="E581" s="99"/>
      <c r="F581" s="99"/>
      <c r="G581" s="99"/>
      <c r="H581" s="99"/>
      <c r="I581" s="99"/>
      <c r="J581" s="99"/>
      <c r="K581" s="99"/>
      <c r="L581" s="198"/>
    </row>
    <row r="582" spans="1:12" x14ac:dyDescent="0.45">
      <c r="A582" s="462"/>
      <c r="B582" s="440">
        <v>7</v>
      </c>
      <c r="C582" s="192">
        <v>1</v>
      </c>
      <c r="D582" s="79"/>
      <c r="E582" s="96"/>
      <c r="F582" s="96"/>
      <c r="G582" s="96"/>
      <c r="H582" s="96"/>
      <c r="I582" s="96"/>
      <c r="J582" s="96"/>
      <c r="K582" s="96"/>
      <c r="L582" s="193"/>
    </row>
    <row r="583" spans="1:12" x14ac:dyDescent="0.45">
      <c r="A583" s="462"/>
      <c r="B583" s="441"/>
      <c r="C583" s="194">
        <v>2</v>
      </c>
      <c r="D583" s="80"/>
      <c r="E583" s="97"/>
      <c r="F583" s="97"/>
      <c r="G583" s="97"/>
      <c r="H583" s="97"/>
      <c r="I583" s="97"/>
      <c r="J583" s="97"/>
      <c r="K583" s="97"/>
      <c r="L583" s="195"/>
    </row>
    <row r="584" spans="1:12" x14ac:dyDescent="0.45">
      <c r="A584" s="462"/>
      <c r="B584" s="441"/>
      <c r="C584" s="194">
        <v>3</v>
      </c>
      <c r="D584" s="80"/>
      <c r="E584" s="97"/>
      <c r="F584" s="97"/>
      <c r="G584" s="97"/>
      <c r="H584" s="97"/>
      <c r="I584" s="97"/>
      <c r="J584" s="97"/>
      <c r="K584" s="97"/>
      <c r="L584" s="195"/>
    </row>
    <row r="585" spans="1:12" x14ac:dyDescent="0.45">
      <c r="A585" s="462"/>
      <c r="B585" s="441"/>
      <c r="C585" s="194">
        <v>4</v>
      </c>
      <c r="D585" s="80"/>
      <c r="E585" s="97"/>
      <c r="F585" s="97"/>
      <c r="G585" s="97"/>
      <c r="H585" s="97"/>
      <c r="I585" s="97"/>
      <c r="J585" s="97"/>
      <c r="K585" s="97"/>
      <c r="L585" s="195"/>
    </row>
    <row r="586" spans="1:12" x14ac:dyDescent="0.45">
      <c r="A586" s="462"/>
      <c r="B586" s="441"/>
      <c r="C586" s="194">
        <v>5</v>
      </c>
      <c r="D586" s="80"/>
      <c r="E586" s="97"/>
      <c r="F586" s="97"/>
      <c r="G586" s="97"/>
      <c r="H586" s="97"/>
      <c r="I586" s="97"/>
      <c r="J586" s="97"/>
      <c r="K586" s="97"/>
      <c r="L586" s="195"/>
    </row>
    <row r="587" spans="1:12" x14ac:dyDescent="0.45">
      <c r="A587" s="462"/>
      <c r="B587" s="441"/>
      <c r="C587" s="194">
        <v>6</v>
      </c>
      <c r="D587" s="80"/>
      <c r="E587" s="97"/>
      <c r="F587" s="97"/>
      <c r="G587" s="97"/>
      <c r="H587" s="97"/>
      <c r="I587" s="97"/>
      <c r="J587" s="97"/>
      <c r="K587" s="97"/>
      <c r="L587" s="195"/>
    </row>
    <row r="588" spans="1:12" x14ac:dyDescent="0.45">
      <c r="A588" s="462"/>
      <c r="B588" s="441"/>
      <c r="C588" s="194">
        <v>7</v>
      </c>
      <c r="D588" s="80"/>
      <c r="E588" s="97"/>
      <c r="F588" s="97"/>
      <c r="G588" s="97"/>
      <c r="H588" s="97"/>
      <c r="I588" s="97"/>
      <c r="J588" s="97"/>
      <c r="K588" s="97"/>
      <c r="L588" s="195"/>
    </row>
    <row r="589" spans="1:12" x14ac:dyDescent="0.45">
      <c r="A589" s="462"/>
      <c r="B589" s="441"/>
      <c r="C589" s="194">
        <v>8</v>
      </c>
      <c r="D589" s="80"/>
      <c r="E589" s="97"/>
      <c r="F589" s="97"/>
      <c r="G589" s="97"/>
      <c r="H589" s="97"/>
      <c r="I589" s="97"/>
      <c r="J589" s="97"/>
      <c r="K589" s="97"/>
      <c r="L589" s="195"/>
    </row>
    <row r="590" spans="1:12" x14ac:dyDescent="0.45">
      <c r="A590" s="462"/>
      <c r="B590" s="441"/>
      <c r="C590" s="194">
        <v>9</v>
      </c>
      <c r="D590" s="80"/>
      <c r="E590" s="97"/>
      <c r="F590" s="97"/>
      <c r="G590" s="97"/>
      <c r="H590" s="97"/>
      <c r="I590" s="97"/>
      <c r="J590" s="97"/>
      <c r="K590" s="97"/>
      <c r="L590" s="195"/>
    </row>
    <row r="591" spans="1:12" x14ac:dyDescent="0.45">
      <c r="A591" s="462"/>
      <c r="B591" s="441"/>
      <c r="C591" s="194">
        <v>10</v>
      </c>
      <c r="D591" s="80"/>
      <c r="E591" s="97"/>
      <c r="F591" s="97"/>
      <c r="G591" s="97"/>
      <c r="H591" s="97"/>
      <c r="I591" s="97"/>
      <c r="J591" s="97"/>
      <c r="K591" s="97"/>
      <c r="L591" s="195"/>
    </row>
    <row r="592" spans="1:12" x14ac:dyDescent="0.45">
      <c r="A592" s="462"/>
      <c r="B592" s="441"/>
      <c r="C592" s="194">
        <v>11</v>
      </c>
      <c r="D592" s="81"/>
      <c r="E592" s="98"/>
      <c r="F592" s="98"/>
      <c r="G592" s="98"/>
      <c r="H592" s="98"/>
      <c r="I592" s="98"/>
      <c r="J592" s="98"/>
      <c r="K592" s="98"/>
      <c r="L592" s="196"/>
    </row>
    <row r="593" spans="1:12" ht="14.65" thickBot="1" x14ac:dyDescent="0.5">
      <c r="A593" s="462"/>
      <c r="B593" s="442"/>
      <c r="C593" s="197">
        <v>12</v>
      </c>
      <c r="D593" s="82"/>
      <c r="E593" s="99"/>
      <c r="F593" s="99"/>
      <c r="G593" s="99"/>
      <c r="H593" s="99"/>
      <c r="I593" s="99"/>
      <c r="J593" s="99"/>
      <c r="K593" s="99"/>
      <c r="L593" s="198"/>
    </row>
    <row r="594" spans="1:12" x14ac:dyDescent="0.45">
      <c r="A594" s="462"/>
      <c r="B594" s="440">
        <v>8</v>
      </c>
      <c r="C594" s="192">
        <v>1</v>
      </c>
      <c r="D594" s="79"/>
      <c r="E594" s="96"/>
      <c r="F594" s="96"/>
      <c r="G594" s="96"/>
      <c r="H594" s="96"/>
      <c r="I594" s="96"/>
      <c r="J594" s="96"/>
      <c r="K594" s="96"/>
      <c r="L594" s="193"/>
    </row>
    <row r="595" spans="1:12" x14ac:dyDescent="0.45">
      <c r="A595" s="462"/>
      <c r="B595" s="441"/>
      <c r="C595" s="194">
        <v>2</v>
      </c>
      <c r="D595" s="80"/>
      <c r="E595" s="97"/>
      <c r="F595" s="97"/>
      <c r="G595" s="97"/>
      <c r="H595" s="97"/>
      <c r="I595" s="97"/>
      <c r="J595" s="97"/>
      <c r="K595" s="97"/>
      <c r="L595" s="195"/>
    </row>
    <row r="596" spans="1:12" x14ac:dyDescent="0.45">
      <c r="A596" s="462"/>
      <c r="B596" s="441"/>
      <c r="C596" s="194">
        <v>3</v>
      </c>
      <c r="D596" s="80"/>
      <c r="E596" s="97"/>
      <c r="F596" s="97"/>
      <c r="G596" s="97"/>
      <c r="H596" s="97"/>
      <c r="I596" s="97"/>
      <c r="J596" s="97"/>
      <c r="K596" s="97"/>
      <c r="L596" s="195"/>
    </row>
    <row r="597" spans="1:12" x14ac:dyDescent="0.45">
      <c r="A597" s="462"/>
      <c r="B597" s="441"/>
      <c r="C597" s="194">
        <v>4</v>
      </c>
      <c r="D597" s="80"/>
      <c r="E597" s="97"/>
      <c r="F597" s="97"/>
      <c r="G597" s="97"/>
      <c r="H597" s="97"/>
      <c r="I597" s="97"/>
      <c r="J597" s="97"/>
      <c r="K597" s="97"/>
      <c r="L597" s="195"/>
    </row>
    <row r="598" spans="1:12" x14ac:dyDescent="0.45">
      <c r="A598" s="462"/>
      <c r="B598" s="441"/>
      <c r="C598" s="194">
        <v>5</v>
      </c>
      <c r="D598" s="80"/>
      <c r="E598" s="97"/>
      <c r="F598" s="97"/>
      <c r="G598" s="97"/>
      <c r="H598" s="97"/>
      <c r="I598" s="97"/>
      <c r="J598" s="97"/>
      <c r="K598" s="97"/>
      <c r="L598" s="195"/>
    </row>
    <row r="599" spans="1:12" x14ac:dyDescent="0.45">
      <c r="A599" s="462"/>
      <c r="B599" s="441"/>
      <c r="C599" s="194">
        <v>6</v>
      </c>
      <c r="D599" s="80"/>
      <c r="E599" s="97"/>
      <c r="F599" s="97"/>
      <c r="G599" s="97"/>
      <c r="H599" s="97"/>
      <c r="I599" s="97"/>
      <c r="J599" s="97"/>
      <c r="K599" s="97"/>
      <c r="L599" s="195"/>
    </row>
    <row r="600" spans="1:12" x14ac:dyDescent="0.45">
      <c r="A600" s="462"/>
      <c r="B600" s="441"/>
      <c r="C600" s="194">
        <v>7</v>
      </c>
      <c r="D600" s="80"/>
      <c r="E600" s="97"/>
      <c r="F600" s="97"/>
      <c r="G600" s="97"/>
      <c r="H600" s="97"/>
      <c r="I600" s="97"/>
      <c r="J600" s="97"/>
      <c r="K600" s="97"/>
      <c r="L600" s="195"/>
    </row>
    <row r="601" spans="1:12" x14ac:dyDescent="0.45">
      <c r="A601" s="462"/>
      <c r="B601" s="441"/>
      <c r="C601" s="194">
        <v>8</v>
      </c>
      <c r="D601" s="80"/>
      <c r="E601" s="97"/>
      <c r="F601" s="97"/>
      <c r="G601" s="97"/>
      <c r="H601" s="97"/>
      <c r="I601" s="97"/>
      <c r="J601" s="97"/>
      <c r="K601" s="97"/>
      <c r="L601" s="195"/>
    </row>
    <row r="602" spans="1:12" x14ac:dyDescent="0.45">
      <c r="A602" s="462"/>
      <c r="B602" s="441"/>
      <c r="C602" s="194">
        <v>9</v>
      </c>
      <c r="D602" s="80"/>
      <c r="E602" s="97"/>
      <c r="F602" s="97"/>
      <c r="G602" s="97"/>
      <c r="H602" s="97"/>
      <c r="I602" s="97"/>
      <c r="J602" s="97"/>
      <c r="K602" s="97"/>
      <c r="L602" s="195"/>
    </row>
    <row r="603" spans="1:12" x14ac:dyDescent="0.45">
      <c r="A603" s="462"/>
      <c r="B603" s="441"/>
      <c r="C603" s="194">
        <v>10</v>
      </c>
      <c r="D603" s="80"/>
      <c r="E603" s="97"/>
      <c r="F603" s="97"/>
      <c r="G603" s="97"/>
      <c r="H603" s="97"/>
      <c r="I603" s="97"/>
      <c r="J603" s="97"/>
      <c r="K603" s="97"/>
      <c r="L603" s="195"/>
    </row>
    <row r="604" spans="1:12" x14ac:dyDescent="0.45">
      <c r="A604" s="462"/>
      <c r="B604" s="441"/>
      <c r="C604" s="194">
        <v>11</v>
      </c>
      <c r="D604" s="81"/>
      <c r="E604" s="98"/>
      <c r="F604" s="98"/>
      <c r="G604" s="98"/>
      <c r="H604" s="98"/>
      <c r="I604" s="98"/>
      <c r="J604" s="98"/>
      <c r="K604" s="98"/>
      <c r="L604" s="196"/>
    </row>
    <row r="605" spans="1:12" ht="14.65" thickBot="1" x14ac:dyDescent="0.5">
      <c r="A605" s="463"/>
      <c r="B605" s="442"/>
      <c r="C605" s="197">
        <v>12</v>
      </c>
      <c r="D605" s="82"/>
      <c r="E605" s="99"/>
      <c r="F605" s="99"/>
      <c r="G605" s="99"/>
      <c r="H605" s="99"/>
      <c r="I605" s="99"/>
      <c r="J605" s="99"/>
      <c r="K605" s="99"/>
      <c r="L605" s="198"/>
    </row>
    <row r="606" spans="1:12" x14ac:dyDescent="0.45">
      <c r="A606" s="461">
        <v>3</v>
      </c>
      <c r="B606" s="440">
        <v>9</v>
      </c>
      <c r="C606" s="192">
        <v>1</v>
      </c>
      <c r="D606" s="79"/>
      <c r="E606" s="96"/>
      <c r="F606" s="96"/>
      <c r="G606" s="96"/>
      <c r="H606" s="96"/>
      <c r="I606" s="96"/>
      <c r="J606" s="96"/>
      <c r="K606" s="96"/>
      <c r="L606" s="193"/>
    </row>
    <row r="607" spans="1:12" x14ac:dyDescent="0.45">
      <c r="A607" s="462"/>
      <c r="B607" s="441"/>
      <c r="C607" s="194">
        <v>2</v>
      </c>
      <c r="D607" s="80"/>
      <c r="E607" s="97"/>
      <c r="F607" s="97"/>
      <c r="G607" s="97"/>
      <c r="H607" s="97"/>
      <c r="I607" s="97"/>
      <c r="J607" s="97"/>
      <c r="K607" s="97"/>
      <c r="L607" s="195"/>
    </row>
    <row r="608" spans="1:12" x14ac:dyDescent="0.45">
      <c r="A608" s="462"/>
      <c r="B608" s="441"/>
      <c r="C608" s="194">
        <v>3</v>
      </c>
      <c r="D608" s="80"/>
      <c r="E608" s="97"/>
      <c r="F608" s="97"/>
      <c r="G608" s="97"/>
      <c r="H608" s="97"/>
      <c r="I608" s="97"/>
      <c r="J608" s="97"/>
      <c r="K608" s="97"/>
      <c r="L608" s="195"/>
    </row>
    <row r="609" spans="1:12" x14ac:dyDescent="0.45">
      <c r="A609" s="462"/>
      <c r="B609" s="441"/>
      <c r="C609" s="194">
        <v>4</v>
      </c>
      <c r="D609" s="80"/>
      <c r="E609" s="97"/>
      <c r="F609" s="97"/>
      <c r="G609" s="97"/>
      <c r="H609" s="97"/>
      <c r="I609" s="97"/>
      <c r="J609" s="97"/>
      <c r="K609" s="97"/>
      <c r="L609" s="195"/>
    </row>
    <row r="610" spans="1:12" x14ac:dyDescent="0.45">
      <c r="A610" s="462"/>
      <c r="B610" s="441"/>
      <c r="C610" s="194">
        <v>5</v>
      </c>
      <c r="D610" s="80"/>
      <c r="E610" s="97"/>
      <c r="F610" s="97"/>
      <c r="G610" s="97"/>
      <c r="H610" s="97"/>
      <c r="I610" s="97"/>
      <c r="J610" s="97"/>
      <c r="K610" s="97"/>
      <c r="L610" s="195"/>
    </row>
    <row r="611" spans="1:12" x14ac:dyDescent="0.45">
      <c r="A611" s="462"/>
      <c r="B611" s="441"/>
      <c r="C611" s="194">
        <v>6</v>
      </c>
      <c r="D611" s="80"/>
      <c r="E611" s="97"/>
      <c r="F611" s="97"/>
      <c r="G611" s="97"/>
      <c r="H611" s="97"/>
      <c r="I611" s="97"/>
      <c r="J611" s="97"/>
      <c r="K611" s="97"/>
      <c r="L611" s="195"/>
    </row>
    <row r="612" spans="1:12" x14ac:dyDescent="0.45">
      <c r="A612" s="462"/>
      <c r="B612" s="441"/>
      <c r="C612" s="194">
        <v>7</v>
      </c>
      <c r="D612" s="80"/>
      <c r="E612" s="97"/>
      <c r="F612" s="97"/>
      <c r="G612" s="97"/>
      <c r="H612" s="97"/>
      <c r="I612" s="97"/>
      <c r="J612" s="97"/>
      <c r="K612" s="97"/>
      <c r="L612" s="195"/>
    </row>
    <row r="613" spans="1:12" x14ac:dyDescent="0.45">
      <c r="A613" s="462"/>
      <c r="B613" s="441"/>
      <c r="C613" s="194">
        <v>8</v>
      </c>
      <c r="D613" s="80"/>
      <c r="E613" s="97"/>
      <c r="F613" s="97"/>
      <c r="G613" s="97"/>
      <c r="H613" s="97"/>
      <c r="I613" s="97"/>
      <c r="J613" s="97"/>
      <c r="K613" s="97"/>
      <c r="L613" s="195"/>
    </row>
    <row r="614" spans="1:12" x14ac:dyDescent="0.45">
      <c r="A614" s="462"/>
      <c r="B614" s="441"/>
      <c r="C614" s="194">
        <v>9</v>
      </c>
      <c r="D614" s="80"/>
      <c r="E614" s="97"/>
      <c r="F614" s="97"/>
      <c r="G614" s="97"/>
      <c r="H614" s="97"/>
      <c r="I614" s="97"/>
      <c r="J614" s="97"/>
      <c r="K614" s="97"/>
      <c r="L614" s="195"/>
    </row>
    <row r="615" spans="1:12" x14ac:dyDescent="0.45">
      <c r="A615" s="462"/>
      <c r="B615" s="441"/>
      <c r="C615" s="194">
        <v>10</v>
      </c>
      <c r="D615" s="80"/>
      <c r="E615" s="97"/>
      <c r="F615" s="97"/>
      <c r="G615" s="97"/>
      <c r="H615" s="97"/>
      <c r="I615" s="97"/>
      <c r="J615" s="97"/>
      <c r="K615" s="97"/>
      <c r="L615" s="195"/>
    </row>
    <row r="616" spans="1:12" x14ac:dyDescent="0.45">
      <c r="A616" s="462"/>
      <c r="B616" s="441"/>
      <c r="C616" s="194">
        <v>11</v>
      </c>
      <c r="D616" s="81"/>
      <c r="E616" s="98"/>
      <c r="F616" s="98"/>
      <c r="G616" s="98"/>
      <c r="H616" s="98"/>
      <c r="I616" s="98"/>
      <c r="J616" s="98"/>
      <c r="K616" s="98"/>
      <c r="L616" s="196"/>
    </row>
    <row r="617" spans="1:12" ht="14.65" thickBot="1" x14ac:dyDescent="0.5">
      <c r="A617" s="462"/>
      <c r="B617" s="442"/>
      <c r="C617" s="197">
        <v>12</v>
      </c>
      <c r="D617" s="82"/>
      <c r="E617" s="99"/>
      <c r="F617" s="99"/>
      <c r="G617" s="99"/>
      <c r="H617" s="99"/>
      <c r="I617" s="99"/>
      <c r="J617" s="99"/>
      <c r="K617" s="99"/>
      <c r="L617" s="198"/>
    </row>
    <row r="618" spans="1:12" x14ac:dyDescent="0.45">
      <c r="A618" s="462"/>
      <c r="B618" s="440">
        <v>10</v>
      </c>
      <c r="C618" s="192">
        <v>1</v>
      </c>
      <c r="D618" s="79"/>
      <c r="E618" s="96"/>
      <c r="F618" s="96"/>
      <c r="G618" s="96"/>
      <c r="H618" s="96"/>
      <c r="I618" s="96"/>
      <c r="J618" s="96"/>
      <c r="K618" s="96"/>
      <c r="L618" s="193"/>
    </row>
    <row r="619" spans="1:12" x14ac:dyDescent="0.45">
      <c r="A619" s="462"/>
      <c r="B619" s="441"/>
      <c r="C619" s="194">
        <v>2</v>
      </c>
      <c r="D619" s="80"/>
      <c r="E619" s="97"/>
      <c r="F619" s="97"/>
      <c r="G619" s="97"/>
      <c r="H619" s="97"/>
      <c r="I619" s="97"/>
      <c r="J619" s="97"/>
      <c r="K619" s="97"/>
      <c r="L619" s="195"/>
    </row>
    <row r="620" spans="1:12" x14ac:dyDescent="0.45">
      <c r="A620" s="462"/>
      <c r="B620" s="441"/>
      <c r="C620" s="194">
        <v>3</v>
      </c>
      <c r="D620" s="80"/>
      <c r="E620" s="97"/>
      <c r="F620" s="97"/>
      <c r="G620" s="97"/>
      <c r="H620" s="97"/>
      <c r="I620" s="97"/>
      <c r="J620" s="97"/>
      <c r="K620" s="97"/>
      <c r="L620" s="195"/>
    </row>
    <row r="621" spans="1:12" x14ac:dyDescent="0.45">
      <c r="A621" s="462"/>
      <c r="B621" s="441"/>
      <c r="C621" s="194">
        <v>4</v>
      </c>
      <c r="D621" s="80"/>
      <c r="E621" s="97"/>
      <c r="F621" s="97"/>
      <c r="G621" s="97"/>
      <c r="H621" s="97"/>
      <c r="I621" s="97"/>
      <c r="J621" s="97"/>
      <c r="K621" s="97"/>
      <c r="L621" s="195"/>
    </row>
    <row r="622" spans="1:12" x14ac:dyDescent="0.45">
      <c r="A622" s="462"/>
      <c r="B622" s="441"/>
      <c r="C622" s="194">
        <v>5</v>
      </c>
      <c r="D622" s="80"/>
      <c r="E622" s="97"/>
      <c r="F622" s="97"/>
      <c r="G622" s="97"/>
      <c r="H622" s="97"/>
      <c r="I622" s="97"/>
      <c r="J622" s="97"/>
      <c r="K622" s="97"/>
      <c r="L622" s="195"/>
    </row>
    <row r="623" spans="1:12" x14ac:dyDescent="0.45">
      <c r="A623" s="462"/>
      <c r="B623" s="441"/>
      <c r="C623" s="194">
        <v>6</v>
      </c>
      <c r="D623" s="80"/>
      <c r="E623" s="97"/>
      <c r="F623" s="97"/>
      <c r="G623" s="97"/>
      <c r="H623" s="97"/>
      <c r="I623" s="97"/>
      <c r="J623" s="97"/>
      <c r="K623" s="97"/>
      <c r="L623" s="195"/>
    </row>
    <row r="624" spans="1:12" x14ac:dyDescent="0.45">
      <c r="A624" s="462"/>
      <c r="B624" s="441"/>
      <c r="C624" s="194">
        <v>7</v>
      </c>
      <c r="D624" s="80"/>
      <c r="E624" s="97"/>
      <c r="F624" s="97"/>
      <c r="G624" s="97"/>
      <c r="H624" s="97"/>
      <c r="I624" s="97"/>
      <c r="J624" s="97"/>
      <c r="K624" s="97"/>
      <c r="L624" s="195"/>
    </row>
    <row r="625" spans="1:12" x14ac:dyDescent="0.45">
      <c r="A625" s="462"/>
      <c r="B625" s="441"/>
      <c r="C625" s="194">
        <v>8</v>
      </c>
      <c r="D625" s="80"/>
      <c r="E625" s="97"/>
      <c r="F625" s="97"/>
      <c r="G625" s="97"/>
      <c r="H625" s="97"/>
      <c r="I625" s="97"/>
      <c r="J625" s="97"/>
      <c r="K625" s="97"/>
      <c r="L625" s="195"/>
    </row>
    <row r="626" spans="1:12" x14ac:dyDescent="0.45">
      <c r="A626" s="462"/>
      <c r="B626" s="441"/>
      <c r="C626" s="194">
        <v>9</v>
      </c>
      <c r="D626" s="80"/>
      <c r="E626" s="97"/>
      <c r="F626" s="97"/>
      <c r="G626" s="97"/>
      <c r="H626" s="97"/>
      <c r="I626" s="97"/>
      <c r="J626" s="97"/>
      <c r="K626" s="97"/>
      <c r="L626" s="195"/>
    </row>
    <row r="627" spans="1:12" x14ac:dyDescent="0.45">
      <c r="A627" s="462"/>
      <c r="B627" s="441"/>
      <c r="C627" s="194">
        <v>10</v>
      </c>
      <c r="D627" s="80"/>
      <c r="E627" s="97"/>
      <c r="F627" s="97"/>
      <c r="G627" s="97"/>
      <c r="H627" s="97"/>
      <c r="I627" s="97"/>
      <c r="J627" s="97"/>
      <c r="K627" s="97"/>
      <c r="L627" s="195"/>
    </row>
    <row r="628" spans="1:12" x14ac:dyDescent="0.45">
      <c r="A628" s="462"/>
      <c r="B628" s="441"/>
      <c r="C628" s="194">
        <v>11</v>
      </c>
      <c r="D628" s="81"/>
      <c r="E628" s="98"/>
      <c r="F628" s="98"/>
      <c r="G628" s="98"/>
      <c r="H628" s="98"/>
      <c r="I628" s="98"/>
      <c r="J628" s="98"/>
      <c r="K628" s="98"/>
      <c r="L628" s="196"/>
    </row>
    <row r="629" spans="1:12" ht="14.65" thickBot="1" x14ac:dyDescent="0.5">
      <c r="A629" s="462"/>
      <c r="B629" s="442"/>
      <c r="C629" s="197">
        <v>12</v>
      </c>
      <c r="D629" s="82"/>
      <c r="E629" s="99"/>
      <c r="F629" s="99"/>
      <c r="G629" s="99"/>
      <c r="H629" s="99"/>
      <c r="I629" s="99"/>
      <c r="J629" s="99"/>
      <c r="K629" s="99"/>
      <c r="L629" s="198"/>
    </row>
    <row r="630" spans="1:12" x14ac:dyDescent="0.45">
      <c r="A630" s="462"/>
      <c r="B630" s="440">
        <v>11</v>
      </c>
      <c r="C630" s="192">
        <v>1</v>
      </c>
      <c r="D630" s="79"/>
      <c r="E630" s="96"/>
      <c r="F630" s="96"/>
      <c r="G630" s="96"/>
      <c r="H630" s="96"/>
      <c r="I630" s="96"/>
      <c r="J630" s="96"/>
      <c r="K630" s="96"/>
      <c r="L630" s="193"/>
    </row>
    <row r="631" spans="1:12" x14ac:dyDescent="0.45">
      <c r="A631" s="462"/>
      <c r="B631" s="441"/>
      <c r="C631" s="194">
        <v>2</v>
      </c>
      <c r="D631" s="80"/>
      <c r="E631" s="97"/>
      <c r="F631" s="97"/>
      <c r="G631" s="97"/>
      <c r="H631" s="97"/>
      <c r="I631" s="97"/>
      <c r="J631" s="97"/>
      <c r="K631" s="97"/>
      <c r="L631" s="195"/>
    </row>
    <row r="632" spans="1:12" x14ac:dyDescent="0.45">
      <c r="A632" s="462"/>
      <c r="B632" s="441"/>
      <c r="C632" s="194">
        <v>3</v>
      </c>
      <c r="D632" s="80"/>
      <c r="E632" s="97"/>
      <c r="F632" s="97"/>
      <c r="G632" s="97"/>
      <c r="H632" s="97"/>
      <c r="I632" s="97"/>
      <c r="J632" s="97"/>
      <c r="K632" s="97"/>
      <c r="L632" s="195"/>
    </row>
    <row r="633" spans="1:12" x14ac:dyDescent="0.45">
      <c r="A633" s="462"/>
      <c r="B633" s="441"/>
      <c r="C633" s="194">
        <v>4</v>
      </c>
      <c r="D633" s="80"/>
      <c r="E633" s="97"/>
      <c r="F633" s="97"/>
      <c r="G633" s="97"/>
      <c r="H633" s="97"/>
      <c r="I633" s="97"/>
      <c r="J633" s="97"/>
      <c r="K633" s="97"/>
      <c r="L633" s="195"/>
    </row>
    <row r="634" spans="1:12" x14ac:dyDescent="0.45">
      <c r="A634" s="462"/>
      <c r="B634" s="441"/>
      <c r="C634" s="194">
        <v>5</v>
      </c>
      <c r="D634" s="80"/>
      <c r="E634" s="97"/>
      <c r="F634" s="97"/>
      <c r="G634" s="97"/>
      <c r="H634" s="97"/>
      <c r="I634" s="97"/>
      <c r="J634" s="97"/>
      <c r="K634" s="97"/>
      <c r="L634" s="195"/>
    </row>
    <row r="635" spans="1:12" x14ac:dyDescent="0.45">
      <c r="A635" s="462"/>
      <c r="B635" s="441"/>
      <c r="C635" s="194">
        <v>6</v>
      </c>
      <c r="D635" s="80"/>
      <c r="E635" s="97"/>
      <c r="F635" s="97"/>
      <c r="G635" s="97"/>
      <c r="H635" s="97"/>
      <c r="I635" s="97"/>
      <c r="J635" s="97"/>
      <c r="K635" s="97"/>
      <c r="L635" s="195"/>
    </row>
    <row r="636" spans="1:12" x14ac:dyDescent="0.45">
      <c r="A636" s="462"/>
      <c r="B636" s="441"/>
      <c r="C636" s="194">
        <v>7</v>
      </c>
      <c r="D636" s="80"/>
      <c r="E636" s="97"/>
      <c r="F636" s="97"/>
      <c r="G636" s="97"/>
      <c r="H636" s="97"/>
      <c r="I636" s="97"/>
      <c r="J636" s="97"/>
      <c r="K636" s="97"/>
      <c r="L636" s="195"/>
    </row>
    <row r="637" spans="1:12" x14ac:dyDescent="0.45">
      <c r="A637" s="462"/>
      <c r="B637" s="441"/>
      <c r="C637" s="194">
        <v>8</v>
      </c>
      <c r="D637" s="80"/>
      <c r="E637" s="97"/>
      <c r="F637" s="97"/>
      <c r="G637" s="97"/>
      <c r="H637" s="97"/>
      <c r="I637" s="97"/>
      <c r="J637" s="97"/>
      <c r="K637" s="97"/>
      <c r="L637" s="195"/>
    </row>
    <row r="638" spans="1:12" x14ac:dyDescent="0.45">
      <c r="A638" s="462"/>
      <c r="B638" s="441"/>
      <c r="C638" s="194">
        <v>9</v>
      </c>
      <c r="D638" s="80"/>
      <c r="E638" s="97"/>
      <c r="F638" s="97"/>
      <c r="G638" s="97"/>
      <c r="H638" s="97"/>
      <c r="I638" s="97"/>
      <c r="J638" s="97"/>
      <c r="K638" s="97"/>
      <c r="L638" s="195"/>
    </row>
    <row r="639" spans="1:12" x14ac:dyDescent="0.45">
      <c r="A639" s="462"/>
      <c r="B639" s="441"/>
      <c r="C639" s="194">
        <v>10</v>
      </c>
      <c r="D639" s="80"/>
      <c r="E639" s="97"/>
      <c r="F639" s="97"/>
      <c r="G639" s="97"/>
      <c r="H639" s="97"/>
      <c r="I639" s="97"/>
      <c r="J639" s="97"/>
      <c r="K639" s="97"/>
      <c r="L639" s="195"/>
    </row>
    <row r="640" spans="1:12" x14ac:dyDescent="0.45">
      <c r="A640" s="462"/>
      <c r="B640" s="441"/>
      <c r="C640" s="194">
        <v>11</v>
      </c>
      <c r="D640" s="81"/>
      <c r="E640" s="98"/>
      <c r="F640" s="98"/>
      <c r="G640" s="98"/>
      <c r="H640" s="98"/>
      <c r="I640" s="98"/>
      <c r="J640" s="98"/>
      <c r="K640" s="98"/>
      <c r="L640" s="196"/>
    </row>
    <row r="641" spans="1:12" ht="14.65" thickBot="1" x14ac:dyDescent="0.5">
      <c r="A641" s="462"/>
      <c r="B641" s="442"/>
      <c r="C641" s="197">
        <v>12</v>
      </c>
      <c r="D641" s="82"/>
      <c r="E641" s="99"/>
      <c r="F641" s="99"/>
      <c r="G641" s="99"/>
      <c r="H641" s="99"/>
      <c r="I641" s="99"/>
      <c r="J641" s="99"/>
      <c r="K641" s="99"/>
      <c r="L641" s="198"/>
    </row>
    <row r="642" spans="1:12" x14ac:dyDescent="0.45">
      <c r="A642" s="462"/>
      <c r="B642" s="440">
        <v>12</v>
      </c>
      <c r="C642" s="192">
        <v>1</v>
      </c>
      <c r="D642" s="79"/>
      <c r="E642" s="96"/>
      <c r="F642" s="96"/>
      <c r="G642" s="96"/>
      <c r="H642" s="96"/>
      <c r="I642" s="96"/>
      <c r="J642" s="96"/>
      <c r="K642" s="96"/>
      <c r="L642" s="193"/>
    </row>
    <row r="643" spans="1:12" x14ac:dyDescent="0.45">
      <c r="A643" s="462"/>
      <c r="B643" s="441"/>
      <c r="C643" s="194">
        <v>2</v>
      </c>
      <c r="D643" s="80"/>
      <c r="E643" s="97"/>
      <c r="F643" s="97"/>
      <c r="G643" s="97"/>
      <c r="H643" s="97"/>
      <c r="I643" s="97"/>
      <c r="J643" s="97"/>
      <c r="K643" s="97"/>
      <c r="L643" s="195"/>
    </row>
    <row r="644" spans="1:12" x14ac:dyDescent="0.45">
      <c r="A644" s="462"/>
      <c r="B644" s="441"/>
      <c r="C644" s="194">
        <v>3</v>
      </c>
      <c r="D644" s="80"/>
      <c r="E644" s="97"/>
      <c r="F644" s="97"/>
      <c r="G644" s="97"/>
      <c r="H644" s="97"/>
      <c r="I644" s="97"/>
      <c r="J644" s="97"/>
      <c r="K644" s="97"/>
      <c r="L644" s="195"/>
    </row>
    <row r="645" spans="1:12" x14ac:dyDescent="0.45">
      <c r="A645" s="462"/>
      <c r="B645" s="441"/>
      <c r="C645" s="194">
        <v>4</v>
      </c>
      <c r="D645" s="80"/>
      <c r="E645" s="97"/>
      <c r="F645" s="97"/>
      <c r="G645" s="97"/>
      <c r="H645" s="97"/>
      <c r="I645" s="97"/>
      <c r="J645" s="97"/>
      <c r="K645" s="97"/>
      <c r="L645" s="195"/>
    </row>
    <row r="646" spans="1:12" x14ac:dyDescent="0.45">
      <c r="A646" s="462"/>
      <c r="B646" s="441"/>
      <c r="C646" s="194">
        <v>5</v>
      </c>
      <c r="D646" s="80"/>
      <c r="E646" s="97"/>
      <c r="F646" s="97"/>
      <c r="G646" s="97"/>
      <c r="H646" s="97"/>
      <c r="I646" s="97"/>
      <c r="J646" s="97"/>
      <c r="K646" s="97"/>
      <c r="L646" s="195"/>
    </row>
    <row r="647" spans="1:12" x14ac:dyDescent="0.45">
      <c r="A647" s="462"/>
      <c r="B647" s="441"/>
      <c r="C647" s="194">
        <v>6</v>
      </c>
      <c r="D647" s="80"/>
      <c r="E647" s="97"/>
      <c r="F647" s="97"/>
      <c r="G647" s="97"/>
      <c r="H647" s="97"/>
      <c r="I647" s="97"/>
      <c r="J647" s="97"/>
      <c r="K647" s="97"/>
      <c r="L647" s="195"/>
    </row>
    <row r="648" spans="1:12" x14ac:dyDescent="0.45">
      <c r="A648" s="462"/>
      <c r="B648" s="441"/>
      <c r="C648" s="194">
        <v>7</v>
      </c>
      <c r="D648" s="80"/>
      <c r="E648" s="97"/>
      <c r="F648" s="97"/>
      <c r="G648" s="97"/>
      <c r="H648" s="97"/>
      <c r="I648" s="97"/>
      <c r="J648" s="97"/>
      <c r="K648" s="97"/>
      <c r="L648" s="195"/>
    </row>
    <row r="649" spans="1:12" x14ac:dyDescent="0.45">
      <c r="A649" s="462"/>
      <c r="B649" s="441"/>
      <c r="C649" s="194">
        <v>8</v>
      </c>
      <c r="D649" s="80"/>
      <c r="E649" s="97"/>
      <c r="F649" s="97"/>
      <c r="G649" s="97"/>
      <c r="H649" s="97"/>
      <c r="I649" s="97"/>
      <c r="J649" s="97"/>
      <c r="K649" s="97"/>
      <c r="L649" s="195"/>
    </row>
    <row r="650" spans="1:12" x14ac:dyDescent="0.45">
      <c r="A650" s="462"/>
      <c r="B650" s="441"/>
      <c r="C650" s="194">
        <v>9</v>
      </c>
      <c r="D650" s="80"/>
      <c r="E650" s="97"/>
      <c r="F650" s="97"/>
      <c r="G650" s="97"/>
      <c r="H650" s="97"/>
      <c r="I650" s="97"/>
      <c r="J650" s="97"/>
      <c r="K650" s="97"/>
      <c r="L650" s="195"/>
    </row>
    <row r="651" spans="1:12" x14ac:dyDescent="0.45">
      <c r="A651" s="462"/>
      <c r="B651" s="441"/>
      <c r="C651" s="194">
        <v>10</v>
      </c>
      <c r="D651" s="80"/>
      <c r="E651" s="97"/>
      <c r="F651" s="97"/>
      <c r="G651" s="97"/>
      <c r="H651" s="97"/>
      <c r="I651" s="97"/>
      <c r="J651" s="97"/>
      <c r="K651" s="97"/>
      <c r="L651" s="195"/>
    </row>
    <row r="652" spans="1:12" x14ac:dyDescent="0.45">
      <c r="A652" s="462"/>
      <c r="B652" s="441"/>
      <c r="C652" s="194">
        <v>11</v>
      </c>
      <c r="D652" s="81"/>
      <c r="E652" s="98"/>
      <c r="F652" s="98"/>
      <c r="G652" s="98"/>
      <c r="H652" s="98"/>
      <c r="I652" s="98"/>
      <c r="J652" s="98"/>
      <c r="K652" s="98"/>
      <c r="L652" s="196"/>
    </row>
    <row r="653" spans="1:12" ht="14.65" thickBot="1" x14ac:dyDescent="0.5">
      <c r="A653" s="463"/>
      <c r="B653" s="442"/>
      <c r="C653" s="199">
        <v>12</v>
      </c>
      <c r="D653" s="82"/>
      <c r="E653" s="99"/>
      <c r="F653" s="99"/>
      <c r="G653" s="99"/>
      <c r="H653" s="99"/>
      <c r="I653" s="99"/>
      <c r="J653" s="99"/>
      <c r="K653" s="99"/>
      <c r="L653" s="198"/>
    </row>
    <row r="655" spans="1:12" s="91" customFormat="1" x14ac:dyDescent="0.45"/>
    <row r="656" spans="1:12" ht="14.65" thickBot="1" x14ac:dyDescent="0.5"/>
    <row r="657" spans="1:14" ht="28.9" thickBot="1" x14ac:dyDescent="0.5">
      <c r="A657" s="187" t="s">
        <v>76</v>
      </c>
      <c r="B657" s="186">
        <v>5</v>
      </c>
      <c r="C657" s="109"/>
      <c r="D657" s="109"/>
    </row>
    <row r="658" spans="1:14" x14ac:dyDescent="0.45">
      <c r="A658" s="443" t="s">
        <v>27</v>
      </c>
      <c r="B658" s="448">
        <f>Name5</f>
        <v>0</v>
      </c>
      <c r="C658" s="449"/>
      <c r="D658" s="450"/>
      <c r="I658" s="204"/>
      <c r="J658" s="204"/>
      <c r="K658" s="204"/>
      <c r="L658" s="204"/>
    </row>
    <row r="659" spans="1:14" x14ac:dyDescent="0.45">
      <c r="A659" s="444"/>
      <c r="B659" s="448"/>
      <c r="C659" s="449"/>
      <c r="D659" s="450"/>
      <c r="I659" s="204"/>
      <c r="J659" s="204"/>
      <c r="K659" s="204"/>
      <c r="L659" s="204"/>
    </row>
    <row r="660" spans="1:14" x14ac:dyDescent="0.45">
      <c r="A660" s="445"/>
      <c r="B660" s="388"/>
      <c r="C660" s="451"/>
      <c r="D660" s="452"/>
      <c r="I660" s="204"/>
      <c r="J660" s="204"/>
      <c r="K660" s="204"/>
      <c r="L660" s="204"/>
    </row>
    <row r="661" spans="1:14" ht="14.45" customHeight="1" x14ac:dyDescent="0.45">
      <c r="A661" s="444" t="s">
        <v>155</v>
      </c>
      <c r="B661" s="453">
        <f>GapA5</f>
        <v>0</v>
      </c>
      <c r="C661" s="454"/>
      <c r="D661" s="455"/>
      <c r="I661" s="204"/>
      <c r="J661" s="204"/>
      <c r="K661" s="204"/>
      <c r="L661" s="204"/>
    </row>
    <row r="662" spans="1:14" x14ac:dyDescent="0.45">
      <c r="A662" s="444"/>
      <c r="B662" s="448"/>
      <c r="C662" s="449"/>
      <c r="D662" s="450"/>
      <c r="I662" s="204"/>
      <c r="J662" s="204"/>
      <c r="K662" s="204"/>
      <c r="L662" s="204"/>
    </row>
    <row r="663" spans="1:14" x14ac:dyDescent="0.45">
      <c r="A663" s="445"/>
      <c r="B663" s="388"/>
      <c r="C663" s="451"/>
      <c r="D663" s="452"/>
      <c r="I663" s="204"/>
      <c r="J663" s="204"/>
      <c r="K663" s="204"/>
      <c r="L663" s="204"/>
    </row>
    <row r="664" spans="1:14" x14ac:dyDescent="0.45">
      <c r="A664" s="444" t="s">
        <v>159</v>
      </c>
      <c r="B664" s="453">
        <f>Objective5</f>
        <v>0</v>
      </c>
      <c r="C664" s="454"/>
      <c r="D664" s="455"/>
      <c r="I664" s="204"/>
      <c r="J664" s="204"/>
      <c r="K664" s="204"/>
      <c r="L664" s="204"/>
    </row>
    <row r="665" spans="1:14" x14ac:dyDescent="0.45">
      <c r="A665" s="444"/>
      <c r="B665" s="448"/>
      <c r="C665" s="449"/>
      <c r="D665" s="450"/>
      <c r="I665" s="204"/>
      <c r="J665" s="204"/>
      <c r="K665" s="204"/>
      <c r="L665" s="204"/>
    </row>
    <row r="666" spans="1:14" x14ac:dyDescent="0.45">
      <c r="A666" s="445"/>
      <c r="B666" s="388"/>
      <c r="C666" s="451"/>
      <c r="D666" s="452"/>
      <c r="I666" s="204"/>
      <c r="J666" s="204"/>
      <c r="K666" s="204"/>
      <c r="L666" s="204"/>
    </row>
    <row r="667" spans="1:14" ht="14.45" customHeight="1" x14ac:dyDescent="0.45">
      <c r="A667" s="446" t="s">
        <v>166</v>
      </c>
      <c r="B667" s="454">
        <f>Capacity5</f>
        <v>0</v>
      </c>
      <c r="C667" s="454"/>
      <c r="D667" s="455"/>
      <c r="I667" s="204"/>
      <c r="J667" s="204"/>
      <c r="K667" s="204"/>
      <c r="L667" s="204"/>
    </row>
    <row r="668" spans="1:14" x14ac:dyDescent="0.45">
      <c r="A668" s="447"/>
      <c r="B668" s="449"/>
      <c r="C668" s="449"/>
      <c r="D668" s="450"/>
      <c r="I668" s="204"/>
      <c r="J668" s="204"/>
      <c r="K668" s="204"/>
      <c r="L668" s="204"/>
    </row>
    <row r="669" spans="1:14" ht="14.65" thickBot="1" x14ac:dyDescent="0.5">
      <c r="A669" s="464"/>
      <c r="B669" s="456"/>
      <c r="C669" s="456"/>
      <c r="D669" s="457"/>
      <c r="I669" s="204"/>
      <c r="J669" s="204"/>
      <c r="K669" s="204"/>
      <c r="L669" s="204"/>
    </row>
    <row r="671" spans="1:14" ht="14.65" thickBot="1" x14ac:dyDescent="0.5">
      <c r="A671" s="90"/>
      <c r="B671" s="90"/>
      <c r="C671" s="90"/>
      <c r="D671" s="90"/>
      <c r="E671" s="90"/>
      <c r="F671" s="90"/>
      <c r="G671" s="90"/>
      <c r="H671" s="90"/>
      <c r="I671" s="90"/>
      <c r="J671" s="90"/>
      <c r="K671" s="90"/>
      <c r="L671" s="90"/>
      <c r="M671" s="204"/>
      <c r="N671" s="204"/>
    </row>
    <row r="672" spans="1:14" ht="21.75" customHeight="1" x14ac:dyDescent="0.45">
      <c r="A672" s="458" t="s">
        <v>135</v>
      </c>
      <c r="B672" s="459"/>
      <c r="C672" s="459"/>
      <c r="D672" s="459"/>
      <c r="E672" s="459"/>
      <c r="F672" s="459"/>
      <c r="G672" s="459"/>
      <c r="H672" s="459"/>
      <c r="I672" s="459"/>
      <c r="J672" s="459"/>
      <c r="K672" s="459"/>
      <c r="L672" s="460"/>
    </row>
    <row r="673" spans="1:14" ht="29" customHeight="1" thickBot="1" x14ac:dyDescent="0.5">
      <c r="A673" s="93" t="s">
        <v>74</v>
      </c>
      <c r="B673" s="94" t="s">
        <v>28</v>
      </c>
      <c r="C673" s="95" t="s">
        <v>320</v>
      </c>
      <c r="D673" s="95" t="s">
        <v>127</v>
      </c>
      <c r="E673" s="114" t="s">
        <v>90</v>
      </c>
      <c r="F673" s="95" t="s">
        <v>175</v>
      </c>
      <c r="G673" s="95" t="s">
        <v>176</v>
      </c>
      <c r="H673" s="95" t="s">
        <v>156</v>
      </c>
      <c r="I673" s="95" t="s">
        <v>157</v>
      </c>
      <c r="J673" s="189" t="s">
        <v>321</v>
      </c>
      <c r="K673" s="190" t="s">
        <v>29</v>
      </c>
      <c r="L673" s="191" t="s">
        <v>322</v>
      </c>
    </row>
    <row r="674" spans="1:14" x14ac:dyDescent="0.45">
      <c r="A674" s="461">
        <v>1</v>
      </c>
      <c r="B674" s="440">
        <v>1</v>
      </c>
      <c r="C674" s="192">
        <v>1</v>
      </c>
      <c r="D674" s="79"/>
      <c r="E674" s="96"/>
      <c r="F674" s="96"/>
      <c r="G674" s="96"/>
      <c r="H674" s="96"/>
      <c r="I674" s="96"/>
      <c r="J674" s="96"/>
      <c r="K674" s="96"/>
      <c r="L674" s="193"/>
    </row>
    <row r="675" spans="1:14" x14ac:dyDescent="0.45">
      <c r="A675" s="462"/>
      <c r="B675" s="441"/>
      <c r="C675" s="194">
        <v>2</v>
      </c>
      <c r="D675" s="80"/>
      <c r="E675" s="97"/>
      <c r="F675" s="97"/>
      <c r="G675" s="97"/>
      <c r="H675" s="97"/>
      <c r="I675" s="97"/>
      <c r="J675" s="97"/>
      <c r="K675" s="97"/>
      <c r="L675" s="195"/>
    </row>
    <row r="676" spans="1:14" x14ac:dyDescent="0.45">
      <c r="A676" s="462"/>
      <c r="B676" s="441"/>
      <c r="C676" s="194">
        <v>3</v>
      </c>
      <c r="D676" s="80"/>
      <c r="E676" s="97"/>
      <c r="F676" s="97"/>
      <c r="G676" s="97"/>
      <c r="H676" s="97"/>
      <c r="I676" s="97"/>
      <c r="J676" s="97"/>
      <c r="K676" s="97"/>
      <c r="L676" s="195"/>
    </row>
    <row r="677" spans="1:14" x14ac:dyDescent="0.45">
      <c r="A677" s="462"/>
      <c r="B677" s="441"/>
      <c r="C677" s="194">
        <v>4</v>
      </c>
      <c r="D677" s="80"/>
      <c r="E677" s="97"/>
      <c r="F677" s="97"/>
      <c r="G677" s="97"/>
      <c r="H677" s="97"/>
      <c r="I677" s="97"/>
      <c r="J677" s="97"/>
      <c r="K677" s="97"/>
      <c r="L677" s="195"/>
    </row>
    <row r="678" spans="1:14" x14ac:dyDescent="0.45">
      <c r="A678" s="462"/>
      <c r="B678" s="441"/>
      <c r="C678" s="194">
        <v>5</v>
      </c>
      <c r="D678" s="80"/>
      <c r="E678" s="97"/>
      <c r="F678" s="97"/>
      <c r="G678" s="97"/>
      <c r="H678" s="97"/>
      <c r="I678" s="97"/>
      <c r="J678" s="97"/>
      <c r="K678" s="97"/>
      <c r="L678" s="195"/>
    </row>
    <row r="679" spans="1:14" x14ac:dyDescent="0.45">
      <c r="A679" s="462"/>
      <c r="B679" s="441"/>
      <c r="C679" s="194">
        <v>6</v>
      </c>
      <c r="D679" s="80"/>
      <c r="E679" s="97"/>
      <c r="F679" s="97"/>
      <c r="G679" s="97"/>
      <c r="H679" s="97"/>
      <c r="I679" s="97"/>
      <c r="J679" s="97"/>
      <c r="K679" s="97"/>
      <c r="L679" s="195"/>
    </row>
    <row r="680" spans="1:14" x14ac:dyDescent="0.45">
      <c r="A680" s="462"/>
      <c r="B680" s="441"/>
      <c r="C680" s="194">
        <v>7</v>
      </c>
      <c r="D680" s="80"/>
      <c r="E680" s="97"/>
      <c r="F680" s="97"/>
      <c r="G680" s="97"/>
      <c r="H680" s="97"/>
      <c r="I680" s="97"/>
      <c r="J680" s="97"/>
      <c r="K680" s="97"/>
      <c r="L680" s="195"/>
    </row>
    <row r="681" spans="1:14" x14ac:dyDescent="0.45">
      <c r="A681" s="462"/>
      <c r="B681" s="441"/>
      <c r="C681" s="194">
        <v>8</v>
      </c>
      <c r="D681" s="80"/>
      <c r="E681" s="97"/>
      <c r="F681" s="97"/>
      <c r="G681" s="97"/>
      <c r="H681" s="97"/>
      <c r="I681" s="97"/>
      <c r="J681" s="97"/>
      <c r="K681" s="97"/>
      <c r="L681" s="195"/>
    </row>
    <row r="682" spans="1:14" x14ac:dyDescent="0.45">
      <c r="A682" s="462"/>
      <c r="B682" s="441"/>
      <c r="C682" s="194">
        <v>9</v>
      </c>
      <c r="D682" s="80"/>
      <c r="E682" s="97"/>
      <c r="F682" s="97"/>
      <c r="G682" s="97"/>
      <c r="H682" s="97"/>
      <c r="I682" s="97"/>
      <c r="J682" s="97"/>
      <c r="K682" s="97"/>
      <c r="L682" s="195"/>
    </row>
    <row r="683" spans="1:14" x14ac:dyDescent="0.45">
      <c r="A683" s="462"/>
      <c r="B683" s="441"/>
      <c r="C683" s="194">
        <v>10</v>
      </c>
      <c r="D683" s="80"/>
      <c r="E683" s="97"/>
      <c r="F683" s="97"/>
      <c r="G683" s="97"/>
      <c r="H683" s="97"/>
      <c r="I683" s="97"/>
      <c r="J683" s="97"/>
      <c r="K683" s="97"/>
      <c r="L683" s="195"/>
    </row>
    <row r="684" spans="1:14" x14ac:dyDescent="0.45">
      <c r="A684" s="462"/>
      <c r="B684" s="441"/>
      <c r="C684" s="194">
        <v>11</v>
      </c>
      <c r="D684" s="81"/>
      <c r="E684" s="98"/>
      <c r="F684" s="98"/>
      <c r="G684" s="98"/>
      <c r="H684" s="98"/>
      <c r="I684" s="98"/>
      <c r="J684" s="98"/>
      <c r="K684" s="98"/>
      <c r="L684" s="196"/>
    </row>
    <row r="685" spans="1:14" s="90" customFormat="1" ht="14.65" thickBot="1" x14ac:dyDescent="0.5">
      <c r="A685" s="462"/>
      <c r="B685" s="442"/>
      <c r="C685" s="197">
        <v>12</v>
      </c>
      <c r="D685" s="82"/>
      <c r="E685" s="99"/>
      <c r="F685" s="99"/>
      <c r="G685" s="99"/>
      <c r="H685" s="99"/>
      <c r="I685" s="99"/>
      <c r="J685" s="99"/>
      <c r="K685" s="99"/>
      <c r="L685" s="198"/>
      <c r="M685" s="61"/>
      <c r="N685" s="61"/>
    </row>
    <row r="686" spans="1:14" x14ac:dyDescent="0.45">
      <c r="A686" s="462"/>
      <c r="B686" s="440">
        <v>2</v>
      </c>
      <c r="C686" s="192">
        <v>1</v>
      </c>
      <c r="D686" s="79"/>
      <c r="E686" s="96"/>
      <c r="F686" s="96"/>
      <c r="G686" s="96"/>
      <c r="H686" s="96"/>
      <c r="I686" s="96"/>
      <c r="J686" s="96"/>
      <c r="K686" s="96"/>
      <c r="L686" s="193"/>
    </row>
    <row r="687" spans="1:14" x14ac:dyDescent="0.45">
      <c r="A687" s="462"/>
      <c r="B687" s="441"/>
      <c r="C687" s="194">
        <v>2</v>
      </c>
      <c r="D687" s="80"/>
      <c r="E687" s="97"/>
      <c r="F687" s="97"/>
      <c r="G687" s="97"/>
      <c r="H687" s="97"/>
      <c r="I687" s="97"/>
      <c r="J687" s="97"/>
      <c r="K687" s="97"/>
      <c r="L687" s="195"/>
    </row>
    <row r="688" spans="1:14" x14ac:dyDescent="0.45">
      <c r="A688" s="462"/>
      <c r="B688" s="441"/>
      <c r="C688" s="194">
        <v>3</v>
      </c>
      <c r="D688" s="80"/>
      <c r="E688" s="97"/>
      <c r="F688" s="97"/>
      <c r="G688" s="97"/>
      <c r="H688" s="97"/>
      <c r="I688" s="97"/>
      <c r="J688" s="97"/>
      <c r="K688" s="97"/>
      <c r="L688" s="195"/>
    </row>
    <row r="689" spans="1:12" x14ac:dyDescent="0.45">
      <c r="A689" s="462"/>
      <c r="B689" s="441"/>
      <c r="C689" s="194">
        <v>4</v>
      </c>
      <c r="D689" s="80"/>
      <c r="E689" s="97"/>
      <c r="F689" s="97"/>
      <c r="G689" s="97"/>
      <c r="H689" s="97"/>
      <c r="I689" s="97"/>
      <c r="J689" s="97"/>
      <c r="K689" s="97"/>
      <c r="L689" s="195"/>
    </row>
    <row r="690" spans="1:12" x14ac:dyDescent="0.45">
      <c r="A690" s="462"/>
      <c r="B690" s="441"/>
      <c r="C690" s="194">
        <v>5</v>
      </c>
      <c r="D690" s="80"/>
      <c r="E690" s="97"/>
      <c r="F690" s="97"/>
      <c r="G690" s="97"/>
      <c r="H690" s="97"/>
      <c r="I690" s="97"/>
      <c r="J690" s="97"/>
      <c r="K690" s="97"/>
      <c r="L690" s="195"/>
    </row>
    <row r="691" spans="1:12" x14ac:dyDescent="0.45">
      <c r="A691" s="462"/>
      <c r="B691" s="441"/>
      <c r="C691" s="194">
        <v>6</v>
      </c>
      <c r="D691" s="80"/>
      <c r="E691" s="97"/>
      <c r="F691" s="97"/>
      <c r="G691" s="97"/>
      <c r="H691" s="97"/>
      <c r="I691" s="97"/>
      <c r="J691" s="97"/>
      <c r="K691" s="97"/>
      <c r="L691" s="195"/>
    </row>
    <row r="692" spans="1:12" x14ac:dyDescent="0.45">
      <c r="A692" s="462"/>
      <c r="B692" s="441"/>
      <c r="C692" s="194">
        <v>7</v>
      </c>
      <c r="D692" s="80"/>
      <c r="E692" s="97"/>
      <c r="F692" s="97"/>
      <c r="G692" s="97"/>
      <c r="H692" s="97"/>
      <c r="I692" s="97"/>
      <c r="J692" s="97"/>
      <c r="K692" s="97"/>
      <c r="L692" s="195"/>
    </row>
    <row r="693" spans="1:12" x14ac:dyDescent="0.45">
      <c r="A693" s="462"/>
      <c r="B693" s="441"/>
      <c r="C693" s="194">
        <v>8</v>
      </c>
      <c r="D693" s="80"/>
      <c r="E693" s="97"/>
      <c r="F693" s="97"/>
      <c r="G693" s="97"/>
      <c r="H693" s="97"/>
      <c r="I693" s="97"/>
      <c r="J693" s="97"/>
      <c r="K693" s="97"/>
      <c r="L693" s="195"/>
    </row>
    <row r="694" spans="1:12" x14ac:dyDescent="0.45">
      <c r="A694" s="462"/>
      <c r="B694" s="441"/>
      <c r="C694" s="194">
        <v>9</v>
      </c>
      <c r="D694" s="80"/>
      <c r="E694" s="97"/>
      <c r="F694" s="97"/>
      <c r="G694" s="97"/>
      <c r="H694" s="97"/>
      <c r="I694" s="97"/>
      <c r="J694" s="97"/>
      <c r="K694" s="97"/>
      <c r="L694" s="195"/>
    </row>
    <row r="695" spans="1:12" x14ac:dyDescent="0.45">
      <c r="A695" s="462"/>
      <c r="B695" s="441"/>
      <c r="C695" s="194">
        <v>10</v>
      </c>
      <c r="D695" s="80"/>
      <c r="E695" s="97"/>
      <c r="F695" s="97"/>
      <c r="G695" s="97"/>
      <c r="H695" s="97"/>
      <c r="I695" s="97"/>
      <c r="J695" s="97"/>
      <c r="K695" s="97"/>
      <c r="L695" s="195"/>
    </row>
    <row r="696" spans="1:12" x14ac:dyDescent="0.45">
      <c r="A696" s="462"/>
      <c r="B696" s="441"/>
      <c r="C696" s="194">
        <v>11</v>
      </c>
      <c r="D696" s="81"/>
      <c r="E696" s="98"/>
      <c r="F696" s="98"/>
      <c r="G696" s="98"/>
      <c r="H696" s="98"/>
      <c r="I696" s="98"/>
      <c r="J696" s="98"/>
      <c r="K696" s="98"/>
      <c r="L696" s="196"/>
    </row>
    <row r="697" spans="1:12" ht="14.65" thickBot="1" x14ac:dyDescent="0.5">
      <c r="A697" s="462"/>
      <c r="B697" s="442"/>
      <c r="C697" s="197">
        <v>12</v>
      </c>
      <c r="D697" s="82"/>
      <c r="E697" s="99"/>
      <c r="F697" s="99"/>
      <c r="G697" s="99"/>
      <c r="H697" s="99"/>
      <c r="I697" s="99"/>
      <c r="J697" s="99"/>
      <c r="K697" s="99"/>
      <c r="L697" s="198"/>
    </row>
    <row r="698" spans="1:12" x14ac:dyDescent="0.45">
      <c r="A698" s="462"/>
      <c r="B698" s="440">
        <v>3</v>
      </c>
      <c r="C698" s="192">
        <v>1</v>
      </c>
      <c r="D698" s="79"/>
      <c r="E698" s="96"/>
      <c r="F698" s="96"/>
      <c r="G698" s="96"/>
      <c r="H698" s="96"/>
      <c r="I698" s="96"/>
      <c r="J698" s="96"/>
      <c r="K698" s="96"/>
      <c r="L698" s="193"/>
    </row>
    <row r="699" spans="1:12" x14ac:dyDescent="0.45">
      <c r="A699" s="462"/>
      <c r="B699" s="441"/>
      <c r="C699" s="194">
        <v>2</v>
      </c>
      <c r="D699" s="80"/>
      <c r="E699" s="97"/>
      <c r="F699" s="97"/>
      <c r="G699" s="97"/>
      <c r="H699" s="97"/>
      <c r="I699" s="97"/>
      <c r="J699" s="97"/>
      <c r="K699" s="97"/>
      <c r="L699" s="195"/>
    </row>
    <row r="700" spans="1:12" x14ac:dyDescent="0.45">
      <c r="A700" s="462"/>
      <c r="B700" s="441"/>
      <c r="C700" s="194">
        <v>3</v>
      </c>
      <c r="D700" s="80"/>
      <c r="E700" s="97"/>
      <c r="F700" s="97"/>
      <c r="G700" s="97"/>
      <c r="H700" s="97"/>
      <c r="I700" s="97"/>
      <c r="J700" s="97"/>
      <c r="K700" s="97"/>
      <c r="L700" s="195"/>
    </row>
    <row r="701" spans="1:12" x14ac:dyDescent="0.45">
      <c r="A701" s="462"/>
      <c r="B701" s="441"/>
      <c r="C701" s="194">
        <v>4</v>
      </c>
      <c r="D701" s="80"/>
      <c r="E701" s="97"/>
      <c r="F701" s="97"/>
      <c r="G701" s="97"/>
      <c r="H701" s="97"/>
      <c r="I701" s="97"/>
      <c r="J701" s="97"/>
      <c r="K701" s="97"/>
      <c r="L701" s="195"/>
    </row>
    <row r="702" spans="1:12" x14ac:dyDescent="0.45">
      <c r="A702" s="462"/>
      <c r="B702" s="441"/>
      <c r="C702" s="194">
        <v>5</v>
      </c>
      <c r="D702" s="80"/>
      <c r="E702" s="97"/>
      <c r="F702" s="97"/>
      <c r="G702" s="97"/>
      <c r="H702" s="97"/>
      <c r="I702" s="97"/>
      <c r="J702" s="97"/>
      <c r="K702" s="97"/>
      <c r="L702" s="195"/>
    </row>
    <row r="703" spans="1:12" x14ac:dyDescent="0.45">
      <c r="A703" s="462"/>
      <c r="B703" s="441"/>
      <c r="C703" s="194">
        <v>6</v>
      </c>
      <c r="D703" s="80"/>
      <c r="E703" s="97"/>
      <c r="F703" s="97"/>
      <c r="G703" s="97"/>
      <c r="H703" s="97"/>
      <c r="I703" s="97"/>
      <c r="J703" s="97"/>
      <c r="K703" s="97"/>
      <c r="L703" s="195"/>
    </row>
    <row r="704" spans="1:12" x14ac:dyDescent="0.45">
      <c r="A704" s="462"/>
      <c r="B704" s="441"/>
      <c r="C704" s="194">
        <v>7</v>
      </c>
      <c r="D704" s="80"/>
      <c r="E704" s="97"/>
      <c r="F704" s="97"/>
      <c r="G704" s="97"/>
      <c r="H704" s="97"/>
      <c r="I704" s="97"/>
      <c r="J704" s="97"/>
      <c r="K704" s="97"/>
      <c r="L704" s="195"/>
    </row>
    <row r="705" spans="1:12" x14ac:dyDescent="0.45">
      <c r="A705" s="462"/>
      <c r="B705" s="441"/>
      <c r="C705" s="194">
        <v>8</v>
      </c>
      <c r="D705" s="80"/>
      <c r="E705" s="97"/>
      <c r="F705" s="97"/>
      <c r="G705" s="97"/>
      <c r="H705" s="97"/>
      <c r="I705" s="97"/>
      <c r="J705" s="97"/>
      <c r="K705" s="97"/>
      <c r="L705" s="195"/>
    </row>
    <row r="706" spans="1:12" x14ac:dyDescent="0.45">
      <c r="A706" s="462"/>
      <c r="B706" s="441"/>
      <c r="C706" s="194">
        <v>9</v>
      </c>
      <c r="D706" s="80"/>
      <c r="E706" s="97"/>
      <c r="F706" s="97"/>
      <c r="G706" s="97"/>
      <c r="H706" s="97"/>
      <c r="I706" s="97"/>
      <c r="J706" s="97"/>
      <c r="K706" s="97"/>
      <c r="L706" s="195"/>
    </row>
    <row r="707" spans="1:12" x14ac:dyDescent="0.45">
      <c r="A707" s="462"/>
      <c r="B707" s="441"/>
      <c r="C707" s="194">
        <v>10</v>
      </c>
      <c r="D707" s="80"/>
      <c r="E707" s="97"/>
      <c r="F707" s="97"/>
      <c r="G707" s="97"/>
      <c r="H707" s="97"/>
      <c r="I707" s="97"/>
      <c r="J707" s="97"/>
      <c r="K707" s="97"/>
      <c r="L707" s="195"/>
    </row>
    <row r="708" spans="1:12" x14ac:dyDescent="0.45">
      <c r="A708" s="462"/>
      <c r="B708" s="441"/>
      <c r="C708" s="194">
        <v>11</v>
      </c>
      <c r="D708" s="81"/>
      <c r="E708" s="98"/>
      <c r="F708" s="98"/>
      <c r="G708" s="98"/>
      <c r="H708" s="98"/>
      <c r="I708" s="98"/>
      <c r="J708" s="98"/>
      <c r="K708" s="98"/>
      <c r="L708" s="196"/>
    </row>
    <row r="709" spans="1:12" ht="14.65" thickBot="1" x14ac:dyDescent="0.5">
      <c r="A709" s="462"/>
      <c r="B709" s="442"/>
      <c r="C709" s="197">
        <v>12</v>
      </c>
      <c r="D709" s="82"/>
      <c r="E709" s="99"/>
      <c r="F709" s="99"/>
      <c r="G709" s="99"/>
      <c r="H709" s="99"/>
      <c r="I709" s="99"/>
      <c r="J709" s="99"/>
      <c r="K709" s="99"/>
      <c r="L709" s="198"/>
    </row>
    <row r="710" spans="1:12" x14ac:dyDescent="0.45">
      <c r="A710" s="462"/>
      <c r="B710" s="440">
        <v>4</v>
      </c>
      <c r="C710" s="192">
        <v>1</v>
      </c>
      <c r="D710" s="79"/>
      <c r="E710" s="96"/>
      <c r="F710" s="96"/>
      <c r="G710" s="96"/>
      <c r="H710" s="96"/>
      <c r="I710" s="96"/>
      <c r="J710" s="96"/>
      <c r="K710" s="96"/>
      <c r="L710" s="193"/>
    </row>
    <row r="711" spans="1:12" x14ac:dyDescent="0.45">
      <c r="A711" s="462"/>
      <c r="B711" s="441"/>
      <c r="C711" s="194">
        <v>2</v>
      </c>
      <c r="D711" s="80"/>
      <c r="E711" s="97"/>
      <c r="F711" s="97"/>
      <c r="G711" s="97"/>
      <c r="H711" s="97"/>
      <c r="I711" s="97"/>
      <c r="J711" s="97"/>
      <c r="K711" s="97"/>
      <c r="L711" s="195"/>
    </row>
    <row r="712" spans="1:12" x14ac:dyDescent="0.45">
      <c r="A712" s="462"/>
      <c r="B712" s="441"/>
      <c r="C712" s="194">
        <v>3</v>
      </c>
      <c r="D712" s="80"/>
      <c r="E712" s="97"/>
      <c r="F712" s="97"/>
      <c r="G712" s="97"/>
      <c r="H712" s="97"/>
      <c r="I712" s="97"/>
      <c r="J712" s="97"/>
      <c r="K712" s="97"/>
      <c r="L712" s="195"/>
    </row>
    <row r="713" spans="1:12" x14ac:dyDescent="0.45">
      <c r="A713" s="462"/>
      <c r="B713" s="441"/>
      <c r="C713" s="194">
        <v>4</v>
      </c>
      <c r="D713" s="80"/>
      <c r="E713" s="97"/>
      <c r="F713" s="97"/>
      <c r="G713" s="97"/>
      <c r="H713" s="97"/>
      <c r="I713" s="97"/>
      <c r="J713" s="97"/>
      <c r="K713" s="97"/>
      <c r="L713" s="195"/>
    </row>
    <row r="714" spans="1:12" x14ac:dyDescent="0.45">
      <c r="A714" s="462"/>
      <c r="B714" s="441"/>
      <c r="C714" s="194">
        <v>5</v>
      </c>
      <c r="D714" s="80"/>
      <c r="E714" s="97"/>
      <c r="F714" s="97"/>
      <c r="G714" s="97"/>
      <c r="H714" s="97"/>
      <c r="I714" s="97"/>
      <c r="J714" s="97"/>
      <c r="K714" s="97"/>
      <c r="L714" s="195"/>
    </row>
    <row r="715" spans="1:12" x14ac:dyDescent="0.45">
      <c r="A715" s="462"/>
      <c r="B715" s="441"/>
      <c r="C715" s="194">
        <v>6</v>
      </c>
      <c r="D715" s="80"/>
      <c r="E715" s="97"/>
      <c r="F715" s="97"/>
      <c r="G715" s="97"/>
      <c r="H715" s="97"/>
      <c r="I715" s="97"/>
      <c r="J715" s="97"/>
      <c r="K715" s="97"/>
      <c r="L715" s="195"/>
    </row>
    <row r="716" spans="1:12" x14ac:dyDescent="0.45">
      <c r="A716" s="462"/>
      <c r="B716" s="441"/>
      <c r="C716" s="194">
        <v>7</v>
      </c>
      <c r="D716" s="80"/>
      <c r="E716" s="97"/>
      <c r="F716" s="97"/>
      <c r="G716" s="97"/>
      <c r="H716" s="97"/>
      <c r="I716" s="97"/>
      <c r="J716" s="97"/>
      <c r="K716" s="97"/>
      <c r="L716" s="195"/>
    </row>
    <row r="717" spans="1:12" x14ac:dyDescent="0.45">
      <c r="A717" s="462"/>
      <c r="B717" s="441"/>
      <c r="C717" s="194">
        <v>8</v>
      </c>
      <c r="D717" s="80"/>
      <c r="E717" s="97"/>
      <c r="F717" s="97"/>
      <c r="G717" s="97"/>
      <c r="H717" s="97"/>
      <c r="I717" s="97"/>
      <c r="J717" s="97"/>
      <c r="K717" s="97"/>
      <c r="L717" s="195"/>
    </row>
    <row r="718" spans="1:12" x14ac:dyDescent="0.45">
      <c r="A718" s="462"/>
      <c r="B718" s="441"/>
      <c r="C718" s="194">
        <v>9</v>
      </c>
      <c r="D718" s="80"/>
      <c r="E718" s="97"/>
      <c r="F718" s="97"/>
      <c r="G718" s="97"/>
      <c r="H718" s="97"/>
      <c r="I718" s="97"/>
      <c r="J718" s="97"/>
      <c r="K718" s="97"/>
      <c r="L718" s="195"/>
    </row>
    <row r="719" spans="1:12" x14ac:dyDescent="0.45">
      <c r="A719" s="462"/>
      <c r="B719" s="441"/>
      <c r="C719" s="194">
        <v>10</v>
      </c>
      <c r="D719" s="80"/>
      <c r="E719" s="97"/>
      <c r="F719" s="97"/>
      <c r="G719" s="97"/>
      <c r="H719" s="97"/>
      <c r="I719" s="97"/>
      <c r="J719" s="97"/>
      <c r="K719" s="97"/>
      <c r="L719" s="195"/>
    </row>
    <row r="720" spans="1:12" x14ac:dyDescent="0.45">
      <c r="A720" s="462"/>
      <c r="B720" s="441"/>
      <c r="C720" s="194">
        <v>11</v>
      </c>
      <c r="D720" s="81"/>
      <c r="E720" s="98"/>
      <c r="F720" s="98"/>
      <c r="G720" s="98"/>
      <c r="H720" s="98"/>
      <c r="I720" s="98"/>
      <c r="J720" s="98"/>
      <c r="K720" s="98"/>
      <c r="L720" s="196"/>
    </row>
    <row r="721" spans="1:12" ht="14.65" thickBot="1" x14ac:dyDescent="0.5">
      <c r="A721" s="463"/>
      <c r="B721" s="442"/>
      <c r="C721" s="197">
        <v>12</v>
      </c>
      <c r="D721" s="82"/>
      <c r="E721" s="99"/>
      <c r="F721" s="99"/>
      <c r="G721" s="99"/>
      <c r="H721" s="99"/>
      <c r="I721" s="99"/>
      <c r="J721" s="99"/>
      <c r="K721" s="99"/>
      <c r="L721" s="198"/>
    </row>
    <row r="722" spans="1:12" x14ac:dyDescent="0.45">
      <c r="A722" s="461">
        <v>2</v>
      </c>
      <c r="B722" s="440">
        <v>5</v>
      </c>
      <c r="C722" s="192">
        <v>1</v>
      </c>
      <c r="D722" s="79"/>
      <c r="E722" s="96"/>
      <c r="F722" s="96"/>
      <c r="G722" s="96"/>
      <c r="H722" s="96"/>
      <c r="I722" s="96"/>
      <c r="J722" s="96"/>
      <c r="K722" s="96"/>
      <c r="L722" s="193"/>
    </row>
    <row r="723" spans="1:12" x14ac:dyDescent="0.45">
      <c r="A723" s="462"/>
      <c r="B723" s="441"/>
      <c r="C723" s="194">
        <v>2</v>
      </c>
      <c r="D723" s="80"/>
      <c r="E723" s="97"/>
      <c r="F723" s="97"/>
      <c r="G723" s="97"/>
      <c r="H723" s="97"/>
      <c r="I723" s="97"/>
      <c r="J723" s="97"/>
      <c r="K723" s="97"/>
      <c r="L723" s="195"/>
    </row>
    <row r="724" spans="1:12" x14ac:dyDescent="0.45">
      <c r="A724" s="462"/>
      <c r="B724" s="441"/>
      <c r="C724" s="194">
        <v>3</v>
      </c>
      <c r="D724" s="80"/>
      <c r="E724" s="97"/>
      <c r="F724" s="97"/>
      <c r="G724" s="97"/>
      <c r="H724" s="97"/>
      <c r="I724" s="97"/>
      <c r="J724" s="97"/>
      <c r="K724" s="97"/>
      <c r="L724" s="195"/>
    </row>
    <row r="725" spans="1:12" x14ac:dyDescent="0.45">
      <c r="A725" s="462"/>
      <c r="B725" s="441"/>
      <c r="C725" s="194">
        <v>4</v>
      </c>
      <c r="D725" s="80"/>
      <c r="E725" s="97"/>
      <c r="F725" s="97"/>
      <c r="G725" s="97"/>
      <c r="H725" s="97"/>
      <c r="I725" s="97"/>
      <c r="J725" s="97"/>
      <c r="K725" s="97"/>
      <c r="L725" s="195"/>
    </row>
    <row r="726" spans="1:12" x14ac:dyDescent="0.45">
      <c r="A726" s="462"/>
      <c r="B726" s="441"/>
      <c r="C726" s="194">
        <v>5</v>
      </c>
      <c r="D726" s="80"/>
      <c r="E726" s="97"/>
      <c r="F726" s="97"/>
      <c r="G726" s="97"/>
      <c r="H726" s="97"/>
      <c r="I726" s="97"/>
      <c r="J726" s="97"/>
      <c r="K726" s="97"/>
      <c r="L726" s="195"/>
    </row>
    <row r="727" spans="1:12" x14ac:dyDescent="0.45">
      <c r="A727" s="462"/>
      <c r="B727" s="441"/>
      <c r="C727" s="194">
        <v>6</v>
      </c>
      <c r="D727" s="80"/>
      <c r="E727" s="97"/>
      <c r="F727" s="97"/>
      <c r="G727" s="97"/>
      <c r="H727" s="97"/>
      <c r="I727" s="97"/>
      <c r="J727" s="97"/>
      <c r="K727" s="97"/>
      <c r="L727" s="195"/>
    </row>
    <row r="728" spans="1:12" x14ac:dyDescent="0.45">
      <c r="A728" s="462"/>
      <c r="B728" s="441"/>
      <c r="C728" s="194">
        <v>7</v>
      </c>
      <c r="D728" s="80"/>
      <c r="E728" s="97"/>
      <c r="F728" s="97"/>
      <c r="G728" s="97"/>
      <c r="H728" s="97"/>
      <c r="I728" s="97"/>
      <c r="J728" s="97"/>
      <c r="K728" s="97"/>
      <c r="L728" s="195"/>
    </row>
    <row r="729" spans="1:12" x14ac:dyDescent="0.45">
      <c r="A729" s="462"/>
      <c r="B729" s="441"/>
      <c r="C729" s="194">
        <v>8</v>
      </c>
      <c r="D729" s="80"/>
      <c r="E729" s="97"/>
      <c r="F729" s="97"/>
      <c r="G729" s="97"/>
      <c r="H729" s="97"/>
      <c r="I729" s="97"/>
      <c r="J729" s="97"/>
      <c r="K729" s="97"/>
      <c r="L729" s="195"/>
    </row>
    <row r="730" spans="1:12" x14ac:dyDescent="0.45">
      <c r="A730" s="462"/>
      <c r="B730" s="441"/>
      <c r="C730" s="194">
        <v>9</v>
      </c>
      <c r="D730" s="80"/>
      <c r="E730" s="97"/>
      <c r="F730" s="97"/>
      <c r="G730" s="97"/>
      <c r="H730" s="97"/>
      <c r="I730" s="97"/>
      <c r="J730" s="97"/>
      <c r="K730" s="97"/>
      <c r="L730" s="195"/>
    </row>
    <row r="731" spans="1:12" x14ac:dyDescent="0.45">
      <c r="A731" s="462"/>
      <c r="B731" s="441"/>
      <c r="C731" s="194">
        <v>10</v>
      </c>
      <c r="D731" s="80"/>
      <c r="E731" s="97"/>
      <c r="F731" s="97"/>
      <c r="G731" s="97"/>
      <c r="H731" s="97"/>
      <c r="I731" s="97"/>
      <c r="J731" s="97"/>
      <c r="K731" s="97"/>
      <c r="L731" s="195"/>
    </row>
    <row r="732" spans="1:12" x14ac:dyDescent="0.45">
      <c r="A732" s="462"/>
      <c r="B732" s="441"/>
      <c r="C732" s="194">
        <v>11</v>
      </c>
      <c r="D732" s="81"/>
      <c r="E732" s="98"/>
      <c r="F732" s="98"/>
      <c r="G732" s="98"/>
      <c r="H732" s="98"/>
      <c r="I732" s="98"/>
      <c r="J732" s="98"/>
      <c r="K732" s="98"/>
      <c r="L732" s="196"/>
    </row>
    <row r="733" spans="1:12" ht="14.65" thickBot="1" x14ac:dyDescent="0.5">
      <c r="A733" s="462"/>
      <c r="B733" s="442"/>
      <c r="C733" s="197">
        <v>12</v>
      </c>
      <c r="D733" s="82"/>
      <c r="E733" s="99"/>
      <c r="F733" s="99"/>
      <c r="G733" s="99"/>
      <c r="H733" s="99"/>
      <c r="I733" s="99"/>
      <c r="J733" s="99"/>
      <c r="K733" s="99"/>
      <c r="L733" s="198"/>
    </row>
    <row r="734" spans="1:12" x14ac:dyDescent="0.45">
      <c r="A734" s="462"/>
      <c r="B734" s="440">
        <v>6</v>
      </c>
      <c r="C734" s="192">
        <v>1</v>
      </c>
      <c r="D734" s="79"/>
      <c r="E734" s="96"/>
      <c r="F734" s="96"/>
      <c r="G734" s="96"/>
      <c r="H734" s="96"/>
      <c r="I734" s="96"/>
      <c r="J734" s="96"/>
      <c r="K734" s="96"/>
      <c r="L734" s="193"/>
    </row>
    <row r="735" spans="1:12" x14ac:dyDescent="0.45">
      <c r="A735" s="462"/>
      <c r="B735" s="441"/>
      <c r="C735" s="194">
        <v>2</v>
      </c>
      <c r="D735" s="80"/>
      <c r="E735" s="97"/>
      <c r="F735" s="97"/>
      <c r="G735" s="97"/>
      <c r="H735" s="97"/>
      <c r="I735" s="97"/>
      <c r="J735" s="97"/>
      <c r="K735" s="97"/>
      <c r="L735" s="195"/>
    </row>
    <row r="736" spans="1:12" x14ac:dyDescent="0.45">
      <c r="A736" s="462"/>
      <c r="B736" s="441"/>
      <c r="C736" s="194">
        <v>3</v>
      </c>
      <c r="D736" s="80"/>
      <c r="E736" s="97"/>
      <c r="F736" s="97"/>
      <c r="G736" s="97"/>
      <c r="H736" s="97"/>
      <c r="I736" s="97"/>
      <c r="J736" s="97"/>
      <c r="K736" s="97"/>
      <c r="L736" s="195"/>
    </row>
    <row r="737" spans="1:12" x14ac:dyDescent="0.45">
      <c r="A737" s="462"/>
      <c r="B737" s="441"/>
      <c r="C737" s="194">
        <v>4</v>
      </c>
      <c r="D737" s="80"/>
      <c r="E737" s="97"/>
      <c r="F737" s="97"/>
      <c r="G737" s="97"/>
      <c r="H737" s="97"/>
      <c r="I737" s="97"/>
      <c r="J737" s="97"/>
      <c r="K737" s="97"/>
      <c r="L737" s="195"/>
    </row>
    <row r="738" spans="1:12" x14ac:dyDescent="0.45">
      <c r="A738" s="462"/>
      <c r="B738" s="441"/>
      <c r="C738" s="194">
        <v>5</v>
      </c>
      <c r="D738" s="80"/>
      <c r="E738" s="97"/>
      <c r="F738" s="97"/>
      <c r="G738" s="97"/>
      <c r="H738" s="97"/>
      <c r="I738" s="97"/>
      <c r="J738" s="97"/>
      <c r="K738" s="97"/>
      <c r="L738" s="195"/>
    </row>
    <row r="739" spans="1:12" x14ac:dyDescent="0.45">
      <c r="A739" s="462"/>
      <c r="B739" s="441"/>
      <c r="C739" s="194">
        <v>6</v>
      </c>
      <c r="D739" s="80"/>
      <c r="E739" s="97"/>
      <c r="F739" s="97"/>
      <c r="G739" s="97"/>
      <c r="H739" s="97"/>
      <c r="I739" s="97"/>
      <c r="J739" s="97"/>
      <c r="K739" s="97"/>
      <c r="L739" s="195"/>
    </row>
    <row r="740" spans="1:12" x14ac:dyDescent="0.45">
      <c r="A740" s="462"/>
      <c r="B740" s="441"/>
      <c r="C740" s="194">
        <v>7</v>
      </c>
      <c r="D740" s="80"/>
      <c r="E740" s="97"/>
      <c r="F740" s="97"/>
      <c r="G740" s="97"/>
      <c r="H740" s="97"/>
      <c r="I740" s="97"/>
      <c r="J740" s="97"/>
      <c r="K740" s="97"/>
      <c r="L740" s="195"/>
    </row>
    <row r="741" spans="1:12" x14ac:dyDescent="0.45">
      <c r="A741" s="462"/>
      <c r="B741" s="441"/>
      <c r="C741" s="194">
        <v>8</v>
      </c>
      <c r="D741" s="80"/>
      <c r="E741" s="97"/>
      <c r="F741" s="97"/>
      <c r="G741" s="97"/>
      <c r="H741" s="97"/>
      <c r="I741" s="97"/>
      <c r="J741" s="97"/>
      <c r="K741" s="97"/>
      <c r="L741" s="195"/>
    </row>
    <row r="742" spans="1:12" x14ac:dyDescent="0.45">
      <c r="A742" s="462"/>
      <c r="B742" s="441"/>
      <c r="C742" s="194">
        <v>9</v>
      </c>
      <c r="D742" s="80"/>
      <c r="E742" s="97"/>
      <c r="F742" s="97"/>
      <c r="G742" s="97"/>
      <c r="H742" s="97"/>
      <c r="I742" s="97"/>
      <c r="J742" s="97"/>
      <c r="K742" s="97"/>
      <c r="L742" s="195"/>
    </row>
    <row r="743" spans="1:12" x14ac:dyDescent="0.45">
      <c r="A743" s="462"/>
      <c r="B743" s="441"/>
      <c r="C743" s="194">
        <v>10</v>
      </c>
      <c r="D743" s="80"/>
      <c r="E743" s="97"/>
      <c r="F743" s="97"/>
      <c r="G743" s="97"/>
      <c r="H743" s="97"/>
      <c r="I743" s="97"/>
      <c r="J743" s="97"/>
      <c r="K743" s="97"/>
      <c r="L743" s="195"/>
    </row>
    <row r="744" spans="1:12" x14ac:dyDescent="0.45">
      <c r="A744" s="462"/>
      <c r="B744" s="441"/>
      <c r="C744" s="194">
        <v>11</v>
      </c>
      <c r="D744" s="81"/>
      <c r="E744" s="98"/>
      <c r="F744" s="98"/>
      <c r="G744" s="98"/>
      <c r="H744" s="98"/>
      <c r="I744" s="98"/>
      <c r="J744" s="98"/>
      <c r="K744" s="98"/>
      <c r="L744" s="196"/>
    </row>
    <row r="745" spans="1:12" ht="14.65" thickBot="1" x14ac:dyDescent="0.5">
      <c r="A745" s="462"/>
      <c r="B745" s="442"/>
      <c r="C745" s="197">
        <v>12</v>
      </c>
      <c r="D745" s="82"/>
      <c r="E745" s="99"/>
      <c r="F745" s="99"/>
      <c r="G745" s="99"/>
      <c r="H745" s="99"/>
      <c r="I745" s="99"/>
      <c r="J745" s="99"/>
      <c r="K745" s="99"/>
      <c r="L745" s="198"/>
    </row>
    <row r="746" spans="1:12" x14ac:dyDescent="0.45">
      <c r="A746" s="462"/>
      <c r="B746" s="440">
        <v>7</v>
      </c>
      <c r="C746" s="192">
        <v>1</v>
      </c>
      <c r="D746" s="79"/>
      <c r="E746" s="96"/>
      <c r="F746" s="96"/>
      <c r="G746" s="96"/>
      <c r="H746" s="96"/>
      <c r="I746" s="96"/>
      <c r="J746" s="96"/>
      <c r="K746" s="96"/>
      <c r="L746" s="193"/>
    </row>
    <row r="747" spans="1:12" x14ac:dyDescent="0.45">
      <c r="A747" s="462"/>
      <c r="B747" s="441"/>
      <c r="C747" s="194">
        <v>2</v>
      </c>
      <c r="D747" s="80"/>
      <c r="E747" s="97"/>
      <c r="F747" s="97"/>
      <c r="G747" s="97"/>
      <c r="H747" s="97"/>
      <c r="I747" s="97"/>
      <c r="J747" s="97"/>
      <c r="K747" s="97"/>
      <c r="L747" s="195"/>
    </row>
    <row r="748" spans="1:12" x14ac:dyDescent="0.45">
      <c r="A748" s="462"/>
      <c r="B748" s="441"/>
      <c r="C748" s="194">
        <v>3</v>
      </c>
      <c r="D748" s="80"/>
      <c r="E748" s="97"/>
      <c r="F748" s="97"/>
      <c r="G748" s="97"/>
      <c r="H748" s="97"/>
      <c r="I748" s="97"/>
      <c r="J748" s="97"/>
      <c r="K748" s="97"/>
      <c r="L748" s="195"/>
    </row>
    <row r="749" spans="1:12" x14ac:dyDescent="0.45">
      <c r="A749" s="462"/>
      <c r="B749" s="441"/>
      <c r="C749" s="194">
        <v>4</v>
      </c>
      <c r="D749" s="80"/>
      <c r="E749" s="97"/>
      <c r="F749" s="97"/>
      <c r="G749" s="97"/>
      <c r="H749" s="97"/>
      <c r="I749" s="97"/>
      <c r="J749" s="97"/>
      <c r="K749" s="97"/>
      <c r="L749" s="195"/>
    </row>
    <row r="750" spans="1:12" x14ac:dyDescent="0.45">
      <c r="A750" s="462"/>
      <c r="B750" s="441"/>
      <c r="C750" s="194">
        <v>5</v>
      </c>
      <c r="D750" s="80"/>
      <c r="E750" s="97"/>
      <c r="F750" s="97"/>
      <c r="G750" s="97"/>
      <c r="H750" s="97"/>
      <c r="I750" s="97"/>
      <c r="J750" s="97"/>
      <c r="K750" s="97"/>
      <c r="L750" s="195"/>
    </row>
    <row r="751" spans="1:12" x14ac:dyDescent="0.45">
      <c r="A751" s="462"/>
      <c r="B751" s="441"/>
      <c r="C751" s="194">
        <v>6</v>
      </c>
      <c r="D751" s="80"/>
      <c r="E751" s="97"/>
      <c r="F751" s="97"/>
      <c r="G751" s="97"/>
      <c r="H751" s="97"/>
      <c r="I751" s="97"/>
      <c r="J751" s="97"/>
      <c r="K751" s="97"/>
      <c r="L751" s="195"/>
    </row>
    <row r="752" spans="1:12" x14ac:dyDescent="0.45">
      <c r="A752" s="462"/>
      <c r="B752" s="441"/>
      <c r="C752" s="194">
        <v>7</v>
      </c>
      <c r="D752" s="80"/>
      <c r="E752" s="97"/>
      <c r="F752" s="97"/>
      <c r="G752" s="97"/>
      <c r="H752" s="97"/>
      <c r="I752" s="97"/>
      <c r="J752" s="97"/>
      <c r="K752" s="97"/>
      <c r="L752" s="195"/>
    </row>
    <row r="753" spans="1:12" x14ac:dyDescent="0.45">
      <c r="A753" s="462"/>
      <c r="B753" s="441"/>
      <c r="C753" s="194">
        <v>8</v>
      </c>
      <c r="D753" s="80"/>
      <c r="E753" s="97"/>
      <c r="F753" s="97"/>
      <c r="G753" s="97"/>
      <c r="H753" s="97"/>
      <c r="I753" s="97"/>
      <c r="J753" s="97"/>
      <c r="K753" s="97"/>
      <c r="L753" s="195"/>
    </row>
    <row r="754" spans="1:12" x14ac:dyDescent="0.45">
      <c r="A754" s="462"/>
      <c r="B754" s="441"/>
      <c r="C754" s="194">
        <v>9</v>
      </c>
      <c r="D754" s="80"/>
      <c r="E754" s="97"/>
      <c r="F754" s="97"/>
      <c r="G754" s="97"/>
      <c r="H754" s="97"/>
      <c r="I754" s="97"/>
      <c r="J754" s="97"/>
      <c r="K754" s="97"/>
      <c r="L754" s="195"/>
    </row>
    <row r="755" spans="1:12" x14ac:dyDescent="0.45">
      <c r="A755" s="462"/>
      <c r="B755" s="441"/>
      <c r="C755" s="194">
        <v>10</v>
      </c>
      <c r="D755" s="80"/>
      <c r="E755" s="97"/>
      <c r="F755" s="97"/>
      <c r="G755" s="97"/>
      <c r="H755" s="97"/>
      <c r="I755" s="97"/>
      <c r="J755" s="97"/>
      <c r="K755" s="97"/>
      <c r="L755" s="195"/>
    </row>
    <row r="756" spans="1:12" x14ac:dyDescent="0.45">
      <c r="A756" s="462"/>
      <c r="B756" s="441"/>
      <c r="C756" s="194">
        <v>11</v>
      </c>
      <c r="D756" s="81"/>
      <c r="E756" s="98"/>
      <c r="F756" s="98"/>
      <c r="G756" s="98"/>
      <c r="H756" s="98"/>
      <c r="I756" s="98"/>
      <c r="J756" s="98"/>
      <c r="K756" s="98"/>
      <c r="L756" s="196"/>
    </row>
    <row r="757" spans="1:12" ht="14.65" thickBot="1" x14ac:dyDescent="0.5">
      <c r="A757" s="462"/>
      <c r="B757" s="442"/>
      <c r="C757" s="197">
        <v>12</v>
      </c>
      <c r="D757" s="82"/>
      <c r="E757" s="99"/>
      <c r="F757" s="99"/>
      <c r="G757" s="99"/>
      <c r="H757" s="99"/>
      <c r="I757" s="99"/>
      <c r="J757" s="99"/>
      <c r="K757" s="99"/>
      <c r="L757" s="198"/>
    </row>
    <row r="758" spans="1:12" x14ac:dyDescent="0.45">
      <c r="A758" s="462"/>
      <c r="B758" s="440">
        <v>8</v>
      </c>
      <c r="C758" s="192">
        <v>1</v>
      </c>
      <c r="D758" s="79"/>
      <c r="E758" s="96"/>
      <c r="F758" s="96"/>
      <c r="G758" s="96"/>
      <c r="H758" s="96"/>
      <c r="I758" s="96"/>
      <c r="J758" s="96"/>
      <c r="K758" s="96"/>
      <c r="L758" s="193"/>
    </row>
    <row r="759" spans="1:12" x14ac:dyDescent="0.45">
      <c r="A759" s="462"/>
      <c r="B759" s="441"/>
      <c r="C759" s="194">
        <v>2</v>
      </c>
      <c r="D759" s="80"/>
      <c r="E759" s="97"/>
      <c r="F759" s="97"/>
      <c r="G759" s="97"/>
      <c r="H759" s="97"/>
      <c r="I759" s="97"/>
      <c r="J759" s="97"/>
      <c r="K759" s="97"/>
      <c r="L759" s="195"/>
    </row>
    <row r="760" spans="1:12" x14ac:dyDescent="0.45">
      <c r="A760" s="462"/>
      <c r="B760" s="441"/>
      <c r="C760" s="194">
        <v>3</v>
      </c>
      <c r="D760" s="80"/>
      <c r="E760" s="97"/>
      <c r="F760" s="97"/>
      <c r="G760" s="97"/>
      <c r="H760" s="97"/>
      <c r="I760" s="97"/>
      <c r="J760" s="97"/>
      <c r="K760" s="97"/>
      <c r="L760" s="195"/>
    </row>
    <row r="761" spans="1:12" x14ac:dyDescent="0.45">
      <c r="A761" s="462"/>
      <c r="B761" s="441"/>
      <c r="C761" s="194">
        <v>4</v>
      </c>
      <c r="D761" s="80"/>
      <c r="E761" s="97"/>
      <c r="F761" s="97"/>
      <c r="G761" s="97"/>
      <c r="H761" s="97"/>
      <c r="I761" s="97"/>
      <c r="J761" s="97"/>
      <c r="K761" s="97"/>
      <c r="L761" s="195"/>
    </row>
    <row r="762" spans="1:12" x14ac:dyDescent="0.45">
      <c r="A762" s="462"/>
      <c r="B762" s="441"/>
      <c r="C762" s="194">
        <v>5</v>
      </c>
      <c r="D762" s="80"/>
      <c r="E762" s="97"/>
      <c r="F762" s="97"/>
      <c r="G762" s="97"/>
      <c r="H762" s="97"/>
      <c r="I762" s="97"/>
      <c r="J762" s="97"/>
      <c r="K762" s="97"/>
      <c r="L762" s="195"/>
    </row>
    <row r="763" spans="1:12" x14ac:dyDescent="0.45">
      <c r="A763" s="462"/>
      <c r="B763" s="441"/>
      <c r="C763" s="194">
        <v>6</v>
      </c>
      <c r="D763" s="80"/>
      <c r="E763" s="97"/>
      <c r="F763" s="97"/>
      <c r="G763" s="97"/>
      <c r="H763" s="97"/>
      <c r="I763" s="97"/>
      <c r="J763" s="97"/>
      <c r="K763" s="97"/>
      <c r="L763" s="195"/>
    </row>
    <row r="764" spans="1:12" x14ac:dyDescent="0.45">
      <c r="A764" s="462"/>
      <c r="B764" s="441"/>
      <c r="C764" s="194">
        <v>7</v>
      </c>
      <c r="D764" s="80"/>
      <c r="E764" s="97"/>
      <c r="F764" s="97"/>
      <c r="G764" s="97"/>
      <c r="H764" s="97"/>
      <c r="I764" s="97"/>
      <c r="J764" s="97"/>
      <c r="K764" s="97"/>
      <c r="L764" s="195"/>
    </row>
    <row r="765" spans="1:12" x14ac:dyDescent="0.45">
      <c r="A765" s="462"/>
      <c r="B765" s="441"/>
      <c r="C765" s="194">
        <v>8</v>
      </c>
      <c r="D765" s="80"/>
      <c r="E765" s="97"/>
      <c r="F765" s="97"/>
      <c r="G765" s="97"/>
      <c r="H765" s="97"/>
      <c r="I765" s="97"/>
      <c r="J765" s="97"/>
      <c r="K765" s="97"/>
      <c r="L765" s="195"/>
    </row>
    <row r="766" spans="1:12" x14ac:dyDescent="0.45">
      <c r="A766" s="462"/>
      <c r="B766" s="441"/>
      <c r="C766" s="194">
        <v>9</v>
      </c>
      <c r="D766" s="80"/>
      <c r="E766" s="97"/>
      <c r="F766" s="97"/>
      <c r="G766" s="97"/>
      <c r="H766" s="97"/>
      <c r="I766" s="97"/>
      <c r="J766" s="97"/>
      <c r="K766" s="97"/>
      <c r="L766" s="195"/>
    </row>
    <row r="767" spans="1:12" x14ac:dyDescent="0.45">
      <c r="A767" s="462"/>
      <c r="B767" s="441"/>
      <c r="C767" s="194">
        <v>10</v>
      </c>
      <c r="D767" s="80"/>
      <c r="E767" s="97"/>
      <c r="F767" s="97"/>
      <c r="G767" s="97"/>
      <c r="H767" s="97"/>
      <c r="I767" s="97"/>
      <c r="J767" s="97"/>
      <c r="K767" s="97"/>
      <c r="L767" s="195"/>
    </row>
    <row r="768" spans="1:12" x14ac:dyDescent="0.45">
      <c r="A768" s="462"/>
      <c r="B768" s="441"/>
      <c r="C768" s="194">
        <v>11</v>
      </c>
      <c r="D768" s="81"/>
      <c r="E768" s="98"/>
      <c r="F768" s="98"/>
      <c r="G768" s="98"/>
      <c r="H768" s="98"/>
      <c r="I768" s="98"/>
      <c r="J768" s="98"/>
      <c r="K768" s="98"/>
      <c r="L768" s="196"/>
    </row>
    <row r="769" spans="1:12" ht="14.65" thickBot="1" x14ac:dyDescent="0.5">
      <c r="A769" s="463"/>
      <c r="B769" s="442"/>
      <c r="C769" s="197">
        <v>12</v>
      </c>
      <c r="D769" s="82"/>
      <c r="E769" s="99"/>
      <c r="F769" s="99"/>
      <c r="G769" s="99"/>
      <c r="H769" s="99"/>
      <c r="I769" s="99"/>
      <c r="J769" s="99"/>
      <c r="K769" s="99"/>
      <c r="L769" s="198"/>
    </row>
    <row r="770" spans="1:12" x14ac:dyDescent="0.45">
      <c r="A770" s="461">
        <v>3</v>
      </c>
      <c r="B770" s="440">
        <v>9</v>
      </c>
      <c r="C770" s="192">
        <v>1</v>
      </c>
      <c r="D770" s="79"/>
      <c r="E770" s="96"/>
      <c r="F770" s="96"/>
      <c r="G770" s="96"/>
      <c r="H770" s="96"/>
      <c r="I770" s="96"/>
      <c r="J770" s="96"/>
      <c r="K770" s="96"/>
      <c r="L770" s="193"/>
    </row>
    <row r="771" spans="1:12" x14ac:dyDescent="0.45">
      <c r="A771" s="462"/>
      <c r="B771" s="441"/>
      <c r="C771" s="194">
        <v>2</v>
      </c>
      <c r="D771" s="80"/>
      <c r="E771" s="97"/>
      <c r="F771" s="97"/>
      <c r="G771" s="97"/>
      <c r="H771" s="97"/>
      <c r="I771" s="97"/>
      <c r="J771" s="97"/>
      <c r="K771" s="97"/>
      <c r="L771" s="195"/>
    </row>
    <row r="772" spans="1:12" x14ac:dyDescent="0.45">
      <c r="A772" s="462"/>
      <c r="B772" s="441"/>
      <c r="C772" s="194">
        <v>3</v>
      </c>
      <c r="D772" s="80"/>
      <c r="E772" s="97"/>
      <c r="F772" s="97"/>
      <c r="G772" s="97"/>
      <c r="H772" s="97"/>
      <c r="I772" s="97"/>
      <c r="J772" s="97"/>
      <c r="K772" s="97"/>
      <c r="L772" s="195"/>
    </row>
    <row r="773" spans="1:12" x14ac:dyDescent="0.45">
      <c r="A773" s="462"/>
      <c r="B773" s="441"/>
      <c r="C773" s="194">
        <v>4</v>
      </c>
      <c r="D773" s="80"/>
      <c r="E773" s="97"/>
      <c r="F773" s="97"/>
      <c r="G773" s="97"/>
      <c r="H773" s="97"/>
      <c r="I773" s="97"/>
      <c r="J773" s="97"/>
      <c r="K773" s="97"/>
      <c r="L773" s="195"/>
    </row>
    <row r="774" spans="1:12" x14ac:dyDescent="0.45">
      <c r="A774" s="462"/>
      <c r="B774" s="441"/>
      <c r="C774" s="194">
        <v>5</v>
      </c>
      <c r="D774" s="80"/>
      <c r="E774" s="97"/>
      <c r="F774" s="97"/>
      <c r="G774" s="97"/>
      <c r="H774" s="97"/>
      <c r="I774" s="97"/>
      <c r="J774" s="97"/>
      <c r="K774" s="97"/>
      <c r="L774" s="195"/>
    </row>
    <row r="775" spans="1:12" x14ac:dyDescent="0.45">
      <c r="A775" s="462"/>
      <c r="B775" s="441"/>
      <c r="C775" s="194">
        <v>6</v>
      </c>
      <c r="D775" s="80"/>
      <c r="E775" s="97"/>
      <c r="F775" s="97"/>
      <c r="G775" s="97"/>
      <c r="H775" s="97"/>
      <c r="I775" s="97"/>
      <c r="J775" s="97"/>
      <c r="K775" s="97"/>
      <c r="L775" s="195"/>
    </row>
    <row r="776" spans="1:12" x14ac:dyDescent="0.45">
      <c r="A776" s="462"/>
      <c r="B776" s="441"/>
      <c r="C776" s="194">
        <v>7</v>
      </c>
      <c r="D776" s="80"/>
      <c r="E776" s="97"/>
      <c r="F776" s="97"/>
      <c r="G776" s="97"/>
      <c r="H776" s="97"/>
      <c r="I776" s="97"/>
      <c r="J776" s="97"/>
      <c r="K776" s="97"/>
      <c r="L776" s="195"/>
    </row>
    <row r="777" spans="1:12" x14ac:dyDescent="0.45">
      <c r="A777" s="462"/>
      <c r="B777" s="441"/>
      <c r="C777" s="194">
        <v>8</v>
      </c>
      <c r="D777" s="80"/>
      <c r="E777" s="97"/>
      <c r="F777" s="97"/>
      <c r="G777" s="97"/>
      <c r="H777" s="97"/>
      <c r="I777" s="97"/>
      <c r="J777" s="97"/>
      <c r="K777" s="97"/>
      <c r="L777" s="195"/>
    </row>
    <row r="778" spans="1:12" x14ac:dyDescent="0.45">
      <c r="A778" s="462"/>
      <c r="B778" s="441"/>
      <c r="C778" s="194">
        <v>9</v>
      </c>
      <c r="D778" s="80"/>
      <c r="E778" s="97"/>
      <c r="F778" s="97"/>
      <c r="G778" s="97"/>
      <c r="H778" s="97"/>
      <c r="I778" s="97"/>
      <c r="J778" s="97"/>
      <c r="K778" s="97"/>
      <c r="L778" s="195"/>
    </row>
    <row r="779" spans="1:12" x14ac:dyDescent="0.45">
      <c r="A779" s="462"/>
      <c r="B779" s="441"/>
      <c r="C779" s="194">
        <v>10</v>
      </c>
      <c r="D779" s="80"/>
      <c r="E779" s="97"/>
      <c r="F779" s="97"/>
      <c r="G779" s="97"/>
      <c r="H779" s="97"/>
      <c r="I779" s="97"/>
      <c r="J779" s="97"/>
      <c r="K779" s="97"/>
      <c r="L779" s="195"/>
    </row>
    <row r="780" spans="1:12" x14ac:dyDescent="0.45">
      <c r="A780" s="462"/>
      <c r="B780" s="441"/>
      <c r="C780" s="194">
        <v>11</v>
      </c>
      <c r="D780" s="81"/>
      <c r="E780" s="98"/>
      <c r="F780" s="98"/>
      <c r="G780" s="98"/>
      <c r="H780" s="98"/>
      <c r="I780" s="98"/>
      <c r="J780" s="98"/>
      <c r="K780" s="98"/>
      <c r="L780" s="196"/>
    </row>
    <row r="781" spans="1:12" ht="14.65" thickBot="1" x14ac:dyDescent="0.5">
      <c r="A781" s="462"/>
      <c r="B781" s="442"/>
      <c r="C781" s="197">
        <v>12</v>
      </c>
      <c r="D781" s="82"/>
      <c r="E781" s="99"/>
      <c r="F781" s="99"/>
      <c r="G781" s="99"/>
      <c r="H781" s="99"/>
      <c r="I781" s="99"/>
      <c r="J781" s="99"/>
      <c r="K781" s="99"/>
      <c r="L781" s="198"/>
    </row>
    <row r="782" spans="1:12" x14ac:dyDescent="0.45">
      <c r="A782" s="462"/>
      <c r="B782" s="440">
        <v>10</v>
      </c>
      <c r="C782" s="192">
        <v>1</v>
      </c>
      <c r="D782" s="79"/>
      <c r="E782" s="96"/>
      <c r="F782" s="96"/>
      <c r="G782" s="96"/>
      <c r="H782" s="96"/>
      <c r="I782" s="96"/>
      <c r="J782" s="96"/>
      <c r="K782" s="96"/>
      <c r="L782" s="193"/>
    </row>
    <row r="783" spans="1:12" x14ac:dyDescent="0.45">
      <c r="A783" s="462"/>
      <c r="B783" s="441"/>
      <c r="C783" s="194">
        <v>2</v>
      </c>
      <c r="D783" s="80"/>
      <c r="E783" s="97"/>
      <c r="F783" s="97"/>
      <c r="G783" s="97"/>
      <c r="H783" s="97"/>
      <c r="I783" s="97"/>
      <c r="J783" s="97"/>
      <c r="K783" s="97"/>
      <c r="L783" s="195"/>
    </row>
    <row r="784" spans="1:12" x14ac:dyDescent="0.45">
      <c r="A784" s="462"/>
      <c r="B784" s="441"/>
      <c r="C784" s="194">
        <v>3</v>
      </c>
      <c r="D784" s="80"/>
      <c r="E784" s="97"/>
      <c r="F784" s="97"/>
      <c r="G784" s="97"/>
      <c r="H784" s="97"/>
      <c r="I784" s="97"/>
      <c r="J784" s="97"/>
      <c r="K784" s="97"/>
      <c r="L784" s="195"/>
    </row>
    <row r="785" spans="1:12" x14ac:dyDescent="0.45">
      <c r="A785" s="462"/>
      <c r="B785" s="441"/>
      <c r="C785" s="194">
        <v>4</v>
      </c>
      <c r="D785" s="80"/>
      <c r="E785" s="97"/>
      <c r="F785" s="97"/>
      <c r="G785" s="97"/>
      <c r="H785" s="97"/>
      <c r="I785" s="97"/>
      <c r="J785" s="97"/>
      <c r="K785" s="97"/>
      <c r="L785" s="195"/>
    </row>
    <row r="786" spans="1:12" x14ac:dyDescent="0.45">
      <c r="A786" s="462"/>
      <c r="B786" s="441"/>
      <c r="C786" s="194">
        <v>5</v>
      </c>
      <c r="D786" s="80"/>
      <c r="E786" s="97"/>
      <c r="F786" s="97"/>
      <c r="G786" s="97"/>
      <c r="H786" s="97"/>
      <c r="I786" s="97"/>
      <c r="J786" s="97"/>
      <c r="K786" s="97"/>
      <c r="L786" s="195"/>
    </row>
    <row r="787" spans="1:12" x14ac:dyDescent="0.45">
      <c r="A787" s="462"/>
      <c r="B787" s="441"/>
      <c r="C787" s="194">
        <v>6</v>
      </c>
      <c r="D787" s="80"/>
      <c r="E787" s="97"/>
      <c r="F787" s="97"/>
      <c r="G787" s="97"/>
      <c r="H787" s="97"/>
      <c r="I787" s="97"/>
      <c r="J787" s="97"/>
      <c r="K787" s="97"/>
      <c r="L787" s="195"/>
    </row>
    <row r="788" spans="1:12" x14ac:dyDescent="0.45">
      <c r="A788" s="462"/>
      <c r="B788" s="441"/>
      <c r="C788" s="194">
        <v>7</v>
      </c>
      <c r="D788" s="80"/>
      <c r="E788" s="97"/>
      <c r="F788" s="97"/>
      <c r="G788" s="97"/>
      <c r="H788" s="97"/>
      <c r="I788" s="97"/>
      <c r="J788" s="97"/>
      <c r="K788" s="97"/>
      <c r="L788" s="195"/>
    </row>
    <row r="789" spans="1:12" x14ac:dyDescent="0.45">
      <c r="A789" s="462"/>
      <c r="B789" s="441"/>
      <c r="C789" s="194">
        <v>8</v>
      </c>
      <c r="D789" s="80"/>
      <c r="E789" s="97"/>
      <c r="F789" s="97"/>
      <c r="G789" s="97"/>
      <c r="H789" s="97"/>
      <c r="I789" s="97"/>
      <c r="J789" s="97"/>
      <c r="K789" s="97"/>
      <c r="L789" s="195"/>
    </row>
    <row r="790" spans="1:12" x14ac:dyDescent="0.45">
      <c r="A790" s="462"/>
      <c r="B790" s="441"/>
      <c r="C790" s="194">
        <v>9</v>
      </c>
      <c r="D790" s="80"/>
      <c r="E790" s="97"/>
      <c r="F790" s="97"/>
      <c r="G790" s="97"/>
      <c r="H790" s="97"/>
      <c r="I790" s="97"/>
      <c r="J790" s="97"/>
      <c r="K790" s="97"/>
      <c r="L790" s="195"/>
    </row>
    <row r="791" spans="1:12" x14ac:dyDescent="0.45">
      <c r="A791" s="462"/>
      <c r="B791" s="441"/>
      <c r="C791" s="194">
        <v>10</v>
      </c>
      <c r="D791" s="80"/>
      <c r="E791" s="97"/>
      <c r="F791" s="97"/>
      <c r="G791" s="97"/>
      <c r="H791" s="97"/>
      <c r="I791" s="97"/>
      <c r="J791" s="97"/>
      <c r="K791" s="97"/>
      <c r="L791" s="195"/>
    </row>
    <row r="792" spans="1:12" x14ac:dyDescent="0.45">
      <c r="A792" s="462"/>
      <c r="B792" s="441"/>
      <c r="C792" s="194">
        <v>11</v>
      </c>
      <c r="D792" s="81"/>
      <c r="E792" s="98"/>
      <c r="F792" s="98"/>
      <c r="G792" s="98"/>
      <c r="H792" s="98"/>
      <c r="I792" s="98"/>
      <c r="J792" s="98"/>
      <c r="K792" s="98"/>
      <c r="L792" s="196"/>
    </row>
    <row r="793" spans="1:12" ht="14.65" thickBot="1" x14ac:dyDescent="0.5">
      <c r="A793" s="462"/>
      <c r="B793" s="442"/>
      <c r="C793" s="197">
        <v>12</v>
      </c>
      <c r="D793" s="82"/>
      <c r="E793" s="99"/>
      <c r="F793" s="99"/>
      <c r="G793" s="99"/>
      <c r="H793" s="99"/>
      <c r="I793" s="99"/>
      <c r="J793" s="99"/>
      <c r="K793" s="99"/>
      <c r="L793" s="198"/>
    </row>
    <row r="794" spans="1:12" x14ac:dyDescent="0.45">
      <c r="A794" s="462"/>
      <c r="B794" s="440">
        <v>11</v>
      </c>
      <c r="C794" s="192">
        <v>1</v>
      </c>
      <c r="D794" s="79"/>
      <c r="E794" s="96"/>
      <c r="F794" s="96"/>
      <c r="G794" s="96"/>
      <c r="H794" s="96"/>
      <c r="I794" s="96"/>
      <c r="J794" s="96"/>
      <c r="K794" s="96"/>
      <c r="L794" s="193"/>
    </row>
    <row r="795" spans="1:12" x14ac:dyDescent="0.45">
      <c r="A795" s="462"/>
      <c r="B795" s="441"/>
      <c r="C795" s="194">
        <v>2</v>
      </c>
      <c r="D795" s="80"/>
      <c r="E795" s="97"/>
      <c r="F795" s="97"/>
      <c r="G795" s="97"/>
      <c r="H795" s="97"/>
      <c r="I795" s="97"/>
      <c r="J795" s="97"/>
      <c r="K795" s="97"/>
      <c r="L795" s="195"/>
    </row>
    <row r="796" spans="1:12" x14ac:dyDescent="0.45">
      <c r="A796" s="462"/>
      <c r="B796" s="441"/>
      <c r="C796" s="194">
        <v>3</v>
      </c>
      <c r="D796" s="80"/>
      <c r="E796" s="97"/>
      <c r="F796" s="97"/>
      <c r="G796" s="97"/>
      <c r="H796" s="97"/>
      <c r="I796" s="97"/>
      <c r="J796" s="97"/>
      <c r="K796" s="97"/>
      <c r="L796" s="195"/>
    </row>
    <row r="797" spans="1:12" x14ac:dyDescent="0.45">
      <c r="A797" s="462"/>
      <c r="B797" s="441"/>
      <c r="C797" s="194">
        <v>4</v>
      </c>
      <c r="D797" s="80"/>
      <c r="E797" s="97"/>
      <c r="F797" s="97"/>
      <c r="G797" s="97"/>
      <c r="H797" s="97"/>
      <c r="I797" s="97"/>
      <c r="J797" s="97"/>
      <c r="K797" s="97"/>
      <c r="L797" s="195"/>
    </row>
    <row r="798" spans="1:12" x14ac:dyDescent="0.45">
      <c r="A798" s="462"/>
      <c r="B798" s="441"/>
      <c r="C798" s="194">
        <v>5</v>
      </c>
      <c r="D798" s="80"/>
      <c r="E798" s="97"/>
      <c r="F798" s="97"/>
      <c r="G798" s="97"/>
      <c r="H798" s="97"/>
      <c r="I798" s="97"/>
      <c r="J798" s="97"/>
      <c r="K798" s="97"/>
      <c r="L798" s="195"/>
    </row>
    <row r="799" spans="1:12" x14ac:dyDescent="0.45">
      <c r="A799" s="462"/>
      <c r="B799" s="441"/>
      <c r="C799" s="194">
        <v>6</v>
      </c>
      <c r="D799" s="80"/>
      <c r="E799" s="97"/>
      <c r="F799" s="97"/>
      <c r="G799" s="97"/>
      <c r="H799" s="97"/>
      <c r="I799" s="97"/>
      <c r="J799" s="97"/>
      <c r="K799" s="97"/>
      <c r="L799" s="195"/>
    </row>
    <row r="800" spans="1:12" x14ac:dyDescent="0.45">
      <c r="A800" s="462"/>
      <c r="B800" s="441"/>
      <c r="C800" s="194">
        <v>7</v>
      </c>
      <c r="D800" s="80"/>
      <c r="E800" s="97"/>
      <c r="F800" s="97"/>
      <c r="G800" s="97"/>
      <c r="H800" s="97"/>
      <c r="I800" s="97"/>
      <c r="J800" s="97"/>
      <c r="K800" s="97"/>
      <c r="L800" s="195"/>
    </row>
    <row r="801" spans="1:12" x14ac:dyDescent="0.45">
      <c r="A801" s="462"/>
      <c r="B801" s="441"/>
      <c r="C801" s="194">
        <v>8</v>
      </c>
      <c r="D801" s="80"/>
      <c r="E801" s="97"/>
      <c r="F801" s="97"/>
      <c r="G801" s="97"/>
      <c r="H801" s="97"/>
      <c r="I801" s="97"/>
      <c r="J801" s="97"/>
      <c r="K801" s="97"/>
      <c r="L801" s="195"/>
    </row>
    <row r="802" spans="1:12" x14ac:dyDescent="0.45">
      <c r="A802" s="462"/>
      <c r="B802" s="441"/>
      <c r="C802" s="194">
        <v>9</v>
      </c>
      <c r="D802" s="80"/>
      <c r="E802" s="97"/>
      <c r="F802" s="97"/>
      <c r="G802" s="97"/>
      <c r="H802" s="97"/>
      <c r="I802" s="97"/>
      <c r="J802" s="97"/>
      <c r="K802" s="97"/>
      <c r="L802" s="195"/>
    </row>
    <row r="803" spans="1:12" x14ac:dyDescent="0.45">
      <c r="A803" s="462"/>
      <c r="B803" s="441"/>
      <c r="C803" s="194">
        <v>10</v>
      </c>
      <c r="D803" s="80"/>
      <c r="E803" s="97"/>
      <c r="F803" s="97"/>
      <c r="G803" s="97"/>
      <c r="H803" s="97"/>
      <c r="I803" s="97"/>
      <c r="J803" s="97"/>
      <c r="K803" s="97"/>
      <c r="L803" s="195"/>
    </row>
    <row r="804" spans="1:12" x14ac:dyDescent="0.45">
      <c r="A804" s="462"/>
      <c r="B804" s="441"/>
      <c r="C804" s="194">
        <v>11</v>
      </c>
      <c r="D804" s="81"/>
      <c r="E804" s="98"/>
      <c r="F804" s="98"/>
      <c r="G804" s="98"/>
      <c r="H804" s="98"/>
      <c r="I804" s="98"/>
      <c r="J804" s="98"/>
      <c r="K804" s="98"/>
      <c r="L804" s="196"/>
    </row>
    <row r="805" spans="1:12" ht="14.65" thickBot="1" x14ac:dyDescent="0.5">
      <c r="A805" s="462"/>
      <c r="B805" s="442"/>
      <c r="C805" s="197">
        <v>12</v>
      </c>
      <c r="D805" s="82"/>
      <c r="E805" s="99"/>
      <c r="F805" s="99"/>
      <c r="G805" s="99"/>
      <c r="H805" s="99"/>
      <c r="I805" s="99"/>
      <c r="J805" s="99"/>
      <c r="K805" s="99"/>
      <c r="L805" s="198"/>
    </row>
    <row r="806" spans="1:12" x14ac:dyDescent="0.45">
      <c r="A806" s="462"/>
      <c r="B806" s="440">
        <v>12</v>
      </c>
      <c r="C806" s="192">
        <v>1</v>
      </c>
      <c r="D806" s="79"/>
      <c r="E806" s="96"/>
      <c r="F806" s="96"/>
      <c r="G806" s="96"/>
      <c r="H806" s="96"/>
      <c r="I806" s="96"/>
      <c r="J806" s="96"/>
      <c r="K806" s="96"/>
      <c r="L806" s="193"/>
    </row>
    <row r="807" spans="1:12" x14ac:dyDescent="0.45">
      <c r="A807" s="462"/>
      <c r="B807" s="441"/>
      <c r="C807" s="194">
        <v>2</v>
      </c>
      <c r="D807" s="80"/>
      <c r="E807" s="97"/>
      <c r="F807" s="97"/>
      <c r="G807" s="97"/>
      <c r="H807" s="97"/>
      <c r="I807" s="97"/>
      <c r="J807" s="97"/>
      <c r="K807" s="97"/>
      <c r="L807" s="195"/>
    </row>
    <row r="808" spans="1:12" x14ac:dyDescent="0.45">
      <c r="A808" s="462"/>
      <c r="B808" s="441"/>
      <c r="C808" s="194">
        <v>3</v>
      </c>
      <c r="D808" s="80"/>
      <c r="E808" s="97"/>
      <c r="F808" s="97"/>
      <c r="G808" s="97"/>
      <c r="H808" s="97"/>
      <c r="I808" s="97"/>
      <c r="J808" s="97"/>
      <c r="K808" s="97"/>
      <c r="L808" s="195"/>
    </row>
    <row r="809" spans="1:12" x14ac:dyDescent="0.45">
      <c r="A809" s="462"/>
      <c r="B809" s="441"/>
      <c r="C809" s="194">
        <v>4</v>
      </c>
      <c r="D809" s="80"/>
      <c r="E809" s="97"/>
      <c r="F809" s="97"/>
      <c r="G809" s="97"/>
      <c r="H809" s="97"/>
      <c r="I809" s="97"/>
      <c r="J809" s="97"/>
      <c r="K809" s="97"/>
      <c r="L809" s="195"/>
    </row>
    <row r="810" spans="1:12" x14ac:dyDescent="0.45">
      <c r="A810" s="462"/>
      <c r="B810" s="441"/>
      <c r="C810" s="194">
        <v>5</v>
      </c>
      <c r="D810" s="80"/>
      <c r="E810" s="97"/>
      <c r="F810" s="97"/>
      <c r="G810" s="97"/>
      <c r="H810" s="97"/>
      <c r="I810" s="97"/>
      <c r="J810" s="97"/>
      <c r="K810" s="97"/>
      <c r="L810" s="195"/>
    </row>
    <row r="811" spans="1:12" x14ac:dyDescent="0.45">
      <c r="A811" s="462"/>
      <c r="B811" s="441"/>
      <c r="C811" s="194">
        <v>6</v>
      </c>
      <c r="D811" s="80"/>
      <c r="E811" s="97"/>
      <c r="F811" s="97"/>
      <c r="G811" s="97"/>
      <c r="H811" s="97"/>
      <c r="I811" s="97"/>
      <c r="J811" s="97"/>
      <c r="K811" s="97"/>
      <c r="L811" s="195"/>
    </row>
    <row r="812" spans="1:12" x14ac:dyDescent="0.45">
      <c r="A812" s="462"/>
      <c r="B812" s="441"/>
      <c r="C812" s="194">
        <v>7</v>
      </c>
      <c r="D812" s="80"/>
      <c r="E812" s="97"/>
      <c r="F812" s="97"/>
      <c r="G812" s="97"/>
      <c r="H812" s="97"/>
      <c r="I812" s="97"/>
      <c r="J812" s="97"/>
      <c r="K812" s="97"/>
      <c r="L812" s="195"/>
    </row>
    <row r="813" spans="1:12" x14ac:dyDescent="0.45">
      <c r="A813" s="462"/>
      <c r="B813" s="441"/>
      <c r="C813" s="194">
        <v>8</v>
      </c>
      <c r="D813" s="80"/>
      <c r="E813" s="97"/>
      <c r="F813" s="97"/>
      <c r="G813" s="97"/>
      <c r="H813" s="97"/>
      <c r="I813" s="97"/>
      <c r="J813" s="97"/>
      <c r="K813" s="97"/>
      <c r="L813" s="195"/>
    </row>
    <row r="814" spans="1:12" x14ac:dyDescent="0.45">
      <c r="A814" s="462"/>
      <c r="B814" s="441"/>
      <c r="C814" s="194">
        <v>9</v>
      </c>
      <c r="D814" s="80"/>
      <c r="E814" s="97"/>
      <c r="F814" s="97"/>
      <c r="G814" s="97"/>
      <c r="H814" s="97"/>
      <c r="I814" s="97"/>
      <c r="J814" s="97"/>
      <c r="K814" s="97"/>
      <c r="L814" s="195"/>
    </row>
    <row r="815" spans="1:12" x14ac:dyDescent="0.45">
      <c r="A815" s="462"/>
      <c r="B815" s="441"/>
      <c r="C815" s="194">
        <v>10</v>
      </c>
      <c r="D815" s="80"/>
      <c r="E815" s="97"/>
      <c r="F815" s="97"/>
      <c r="G815" s="97"/>
      <c r="H815" s="97"/>
      <c r="I815" s="97"/>
      <c r="J815" s="97"/>
      <c r="K815" s="97"/>
      <c r="L815" s="195"/>
    </row>
    <row r="816" spans="1:12" x14ac:dyDescent="0.45">
      <c r="A816" s="462"/>
      <c r="B816" s="441"/>
      <c r="C816" s="194">
        <v>11</v>
      </c>
      <c r="D816" s="81"/>
      <c r="E816" s="98"/>
      <c r="F816" s="98"/>
      <c r="G816" s="98"/>
      <c r="H816" s="98"/>
      <c r="I816" s="98"/>
      <c r="J816" s="98"/>
      <c r="K816" s="98"/>
      <c r="L816" s="196"/>
    </row>
    <row r="817" spans="1:12" ht="14.65" thickBot="1" x14ac:dyDescent="0.5">
      <c r="A817" s="463"/>
      <c r="B817" s="442"/>
      <c r="C817" s="199">
        <v>12</v>
      </c>
      <c r="D817" s="82"/>
      <c r="E817" s="99"/>
      <c r="F817" s="99"/>
      <c r="G817" s="99"/>
      <c r="H817" s="99"/>
      <c r="I817" s="99"/>
      <c r="J817" s="99"/>
      <c r="K817" s="99"/>
      <c r="L817" s="198"/>
    </row>
    <row r="819" spans="1:12" s="91" customFormat="1" x14ac:dyDescent="0.45"/>
    <row r="820" spans="1:12" ht="14.65" thickBot="1" x14ac:dyDescent="0.5"/>
    <row r="821" spans="1:12" ht="28.9" thickBot="1" x14ac:dyDescent="0.5">
      <c r="A821" s="187" t="s">
        <v>76</v>
      </c>
      <c r="B821" s="186">
        <v>6</v>
      </c>
      <c r="C821" s="109"/>
      <c r="D821" s="109"/>
    </row>
    <row r="822" spans="1:12" x14ac:dyDescent="0.45">
      <c r="A822" s="443" t="s">
        <v>27</v>
      </c>
      <c r="B822" s="448">
        <f>Name6</f>
        <v>0</v>
      </c>
      <c r="C822" s="449"/>
      <c r="D822" s="450"/>
      <c r="I822" s="204"/>
      <c r="J822" s="204"/>
      <c r="K822" s="204"/>
      <c r="L822" s="204"/>
    </row>
    <row r="823" spans="1:12" x14ac:dyDescent="0.45">
      <c r="A823" s="444"/>
      <c r="B823" s="448"/>
      <c r="C823" s="449"/>
      <c r="D823" s="450"/>
      <c r="I823" s="204"/>
      <c r="J823" s="204"/>
      <c r="K823" s="204"/>
      <c r="L823" s="204"/>
    </row>
    <row r="824" spans="1:12" x14ac:dyDescent="0.45">
      <c r="A824" s="445"/>
      <c r="B824" s="388"/>
      <c r="C824" s="451"/>
      <c r="D824" s="452"/>
      <c r="I824" s="204"/>
      <c r="J824" s="204"/>
      <c r="K824" s="204"/>
      <c r="L824" s="204"/>
    </row>
    <row r="825" spans="1:12" ht="14.45" customHeight="1" x14ac:dyDescent="0.45">
      <c r="A825" s="444" t="s">
        <v>155</v>
      </c>
      <c r="B825" s="453">
        <f>GapA6</f>
        <v>0</v>
      </c>
      <c r="C825" s="454"/>
      <c r="D825" s="455"/>
      <c r="I825" s="204"/>
      <c r="J825" s="204"/>
      <c r="K825" s="204"/>
      <c r="L825" s="204"/>
    </row>
    <row r="826" spans="1:12" x14ac:dyDescent="0.45">
      <c r="A826" s="444"/>
      <c r="B826" s="448"/>
      <c r="C826" s="449"/>
      <c r="D826" s="450"/>
      <c r="I826" s="204"/>
      <c r="J826" s="204"/>
      <c r="K826" s="204"/>
      <c r="L826" s="204"/>
    </row>
    <row r="827" spans="1:12" x14ac:dyDescent="0.45">
      <c r="A827" s="445"/>
      <c r="B827" s="388"/>
      <c r="C827" s="451"/>
      <c r="D827" s="452"/>
      <c r="I827" s="204"/>
      <c r="J827" s="204"/>
      <c r="K827" s="204"/>
      <c r="L827" s="204"/>
    </row>
    <row r="828" spans="1:12" x14ac:dyDescent="0.45">
      <c r="A828" s="444" t="s">
        <v>159</v>
      </c>
      <c r="B828" s="453">
        <f>Objective6</f>
        <v>0</v>
      </c>
      <c r="C828" s="454"/>
      <c r="D828" s="455"/>
      <c r="I828" s="204"/>
      <c r="J828" s="204"/>
      <c r="K828" s="204"/>
      <c r="L828" s="204"/>
    </row>
    <row r="829" spans="1:12" x14ac:dyDescent="0.45">
      <c r="A829" s="444"/>
      <c r="B829" s="448"/>
      <c r="C829" s="449"/>
      <c r="D829" s="450"/>
      <c r="I829" s="204"/>
      <c r="J829" s="204"/>
      <c r="K829" s="204"/>
      <c r="L829" s="204"/>
    </row>
    <row r="830" spans="1:12" x14ac:dyDescent="0.45">
      <c r="A830" s="445"/>
      <c r="B830" s="388"/>
      <c r="C830" s="451"/>
      <c r="D830" s="452"/>
      <c r="I830" s="204"/>
      <c r="J830" s="204"/>
      <c r="K830" s="204"/>
      <c r="L830" s="204"/>
    </row>
    <row r="831" spans="1:12" ht="14.45" customHeight="1" x14ac:dyDescent="0.45">
      <c r="A831" s="446" t="s">
        <v>166</v>
      </c>
      <c r="B831" s="454">
        <f>Capacity6</f>
        <v>0</v>
      </c>
      <c r="C831" s="454"/>
      <c r="D831" s="455"/>
      <c r="I831" s="204"/>
      <c r="J831" s="204"/>
      <c r="K831" s="204"/>
      <c r="L831" s="204"/>
    </row>
    <row r="832" spans="1:12" x14ac:dyDescent="0.45">
      <c r="A832" s="447"/>
      <c r="B832" s="449"/>
      <c r="C832" s="449"/>
      <c r="D832" s="450"/>
      <c r="I832" s="204"/>
      <c r="J832" s="204"/>
      <c r="K832" s="204"/>
      <c r="L832" s="204"/>
    </row>
    <row r="833" spans="1:14" ht="14.65" thickBot="1" x14ac:dyDescent="0.5">
      <c r="A833" s="447"/>
      <c r="B833" s="456"/>
      <c r="C833" s="456"/>
      <c r="D833" s="457"/>
      <c r="I833" s="204"/>
      <c r="J833" s="204"/>
      <c r="K833" s="204"/>
      <c r="L833" s="204"/>
    </row>
    <row r="834" spans="1:14" x14ac:dyDescent="0.45">
      <c r="A834" s="188"/>
    </row>
    <row r="835" spans="1:14" ht="14.65" thickBot="1" x14ac:dyDescent="0.5">
      <c r="A835" s="90"/>
      <c r="B835" s="90"/>
      <c r="C835" s="90"/>
      <c r="D835" s="90"/>
      <c r="E835" s="90"/>
      <c r="F835" s="90"/>
      <c r="G835" s="90"/>
      <c r="H835" s="90"/>
      <c r="I835" s="90"/>
      <c r="J835" s="90"/>
      <c r="K835" s="90"/>
      <c r="L835" s="90"/>
      <c r="M835" s="204"/>
      <c r="N835" s="204"/>
    </row>
    <row r="836" spans="1:14" ht="21.75" customHeight="1" x14ac:dyDescent="0.45">
      <c r="A836" s="458" t="s">
        <v>135</v>
      </c>
      <c r="B836" s="459"/>
      <c r="C836" s="459"/>
      <c r="D836" s="459"/>
      <c r="E836" s="459"/>
      <c r="F836" s="459"/>
      <c r="G836" s="459"/>
      <c r="H836" s="459"/>
      <c r="I836" s="459"/>
      <c r="J836" s="459"/>
      <c r="K836" s="459"/>
      <c r="L836" s="460"/>
    </row>
    <row r="837" spans="1:14" ht="29" customHeight="1" thickBot="1" x14ac:dyDescent="0.5">
      <c r="A837" s="93" t="s">
        <v>74</v>
      </c>
      <c r="B837" s="94" t="s">
        <v>28</v>
      </c>
      <c r="C837" s="95" t="s">
        <v>320</v>
      </c>
      <c r="D837" s="95" t="s">
        <v>127</v>
      </c>
      <c r="E837" s="114" t="s">
        <v>90</v>
      </c>
      <c r="F837" s="95" t="s">
        <v>175</v>
      </c>
      <c r="G837" s="95" t="s">
        <v>176</v>
      </c>
      <c r="H837" s="95" t="s">
        <v>156</v>
      </c>
      <c r="I837" s="95" t="s">
        <v>157</v>
      </c>
      <c r="J837" s="189" t="s">
        <v>321</v>
      </c>
      <c r="K837" s="190" t="s">
        <v>29</v>
      </c>
      <c r="L837" s="191" t="s">
        <v>322</v>
      </c>
    </row>
    <row r="838" spans="1:14" x14ac:dyDescent="0.45">
      <c r="A838" s="461">
        <v>1</v>
      </c>
      <c r="B838" s="440">
        <v>1</v>
      </c>
      <c r="C838" s="192">
        <v>1</v>
      </c>
      <c r="D838" s="79"/>
      <c r="E838" s="96"/>
      <c r="F838" s="96"/>
      <c r="G838" s="96"/>
      <c r="H838" s="96"/>
      <c r="I838" s="96"/>
      <c r="J838" s="96"/>
      <c r="K838" s="96"/>
      <c r="L838" s="193"/>
    </row>
    <row r="839" spans="1:14" x14ac:dyDescent="0.45">
      <c r="A839" s="462"/>
      <c r="B839" s="441"/>
      <c r="C839" s="194">
        <v>2</v>
      </c>
      <c r="D839" s="80"/>
      <c r="E839" s="97"/>
      <c r="F839" s="97"/>
      <c r="G839" s="97"/>
      <c r="H839" s="97"/>
      <c r="I839" s="97"/>
      <c r="J839" s="97"/>
      <c r="K839" s="97"/>
      <c r="L839" s="195"/>
    </row>
    <row r="840" spans="1:14" x14ac:dyDescent="0.45">
      <c r="A840" s="462"/>
      <c r="B840" s="441"/>
      <c r="C840" s="194">
        <v>3</v>
      </c>
      <c r="D840" s="80"/>
      <c r="E840" s="97"/>
      <c r="F840" s="97"/>
      <c r="G840" s="97"/>
      <c r="H840" s="97"/>
      <c r="I840" s="97"/>
      <c r="J840" s="97"/>
      <c r="K840" s="97"/>
      <c r="L840" s="195"/>
    </row>
    <row r="841" spans="1:14" x14ac:dyDescent="0.45">
      <c r="A841" s="462"/>
      <c r="B841" s="441"/>
      <c r="C841" s="194">
        <v>4</v>
      </c>
      <c r="D841" s="80"/>
      <c r="E841" s="97"/>
      <c r="F841" s="97"/>
      <c r="G841" s="97"/>
      <c r="H841" s="97"/>
      <c r="I841" s="97"/>
      <c r="J841" s="97"/>
      <c r="K841" s="97"/>
      <c r="L841" s="195"/>
    </row>
    <row r="842" spans="1:14" x14ac:dyDescent="0.45">
      <c r="A842" s="462"/>
      <c r="B842" s="441"/>
      <c r="C842" s="194">
        <v>5</v>
      </c>
      <c r="D842" s="80"/>
      <c r="E842" s="97"/>
      <c r="F842" s="97"/>
      <c r="G842" s="97"/>
      <c r="H842" s="97"/>
      <c r="I842" s="97"/>
      <c r="J842" s="97"/>
      <c r="K842" s="97"/>
      <c r="L842" s="195"/>
    </row>
    <row r="843" spans="1:14" x14ac:dyDescent="0.45">
      <c r="A843" s="462"/>
      <c r="B843" s="441"/>
      <c r="C843" s="194">
        <v>6</v>
      </c>
      <c r="D843" s="80"/>
      <c r="E843" s="97"/>
      <c r="F843" s="97"/>
      <c r="G843" s="97"/>
      <c r="H843" s="97"/>
      <c r="I843" s="97"/>
      <c r="J843" s="97"/>
      <c r="K843" s="97"/>
      <c r="L843" s="195"/>
    </row>
    <row r="844" spans="1:14" x14ac:dyDescent="0.45">
      <c r="A844" s="462"/>
      <c r="B844" s="441"/>
      <c r="C844" s="194">
        <v>7</v>
      </c>
      <c r="D844" s="80"/>
      <c r="E844" s="97"/>
      <c r="F844" s="97"/>
      <c r="G844" s="97"/>
      <c r="H844" s="97"/>
      <c r="I844" s="97"/>
      <c r="J844" s="97"/>
      <c r="K844" s="97"/>
      <c r="L844" s="195"/>
    </row>
    <row r="845" spans="1:14" x14ac:dyDescent="0.45">
      <c r="A845" s="462"/>
      <c r="B845" s="441"/>
      <c r="C845" s="194">
        <v>8</v>
      </c>
      <c r="D845" s="80"/>
      <c r="E845" s="97"/>
      <c r="F845" s="97"/>
      <c r="G845" s="97"/>
      <c r="H845" s="97"/>
      <c r="I845" s="97"/>
      <c r="J845" s="97"/>
      <c r="K845" s="97"/>
      <c r="L845" s="195"/>
    </row>
    <row r="846" spans="1:14" x14ac:dyDescent="0.45">
      <c r="A846" s="462"/>
      <c r="B846" s="441"/>
      <c r="C846" s="194">
        <v>9</v>
      </c>
      <c r="D846" s="80"/>
      <c r="E846" s="97"/>
      <c r="F846" s="97"/>
      <c r="G846" s="97"/>
      <c r="H846" s="97"/>
      <c r="I846" s="97"/>
      <c r="J846" s="97"/>
      <c r="K846" s="97"/>
      <c r="L846" s="195"/>
    </row>
    <row r="847" spans="1:14" x14ac:dyDescent="0.45">
      <c r="A847" s="462"/>
      <c r="B847" s="441"/>
      <c r="C847" s="194">
        <v>10</v>
      </c>
      <c r="D847" s="80"/>
      <c r="E847" s="97"/>
      <c r="F847" s="97"/>
      <c r="G847" s="97"/>
      <c r="H847" s="97"/>
      <c r="I847" s="97"/>
      <c r="J847" s="97"/>
      <c r="K847" s="97"/>
      <c r="L847" s="195"/>
    </row>
    <row r="848" spans="1:14" x14ac:dyDescent="0.45">
      <c r="A848" s="462"/>
      <c r="B848" s="441"/>
      <c r="C848" s="194">
        <v>11</v>
      </c>
      <c r="D848" s="81"/>
      <c r="E848" s="98"/>
      <c r="F848" s="98"/>
      <c r="G848" s="98"/>
      <c r="H848" s="98"/>
      <c r="I848" s="98"/>
      <c r="J848" s="98"/>
      <c r="K848" s="98"/>
      <c r="L848" s="196"/>
    </row>
    <row r="849" spans="1:14" s="90" customFormat="1" ht="14.65" thickBot="1" x14ac:dyDescent="0.5">
      <c r="A849" s="462"/>
      <c r="B849" s="442"/>
      <c r="C849" s="197">
        <v>12</v>
      </c>
      <c r="D849" s="82"/>
      <c r="E849" s="99"/>
      <c r="F849" s="99"/>
      <c r="G849" s="99"/>
      <c r="H849" s="99"/>
      <c r="I849" s="99"/>
      <c r="J849" s="99"/>
      <c r="K849" s="99"/>
      <c r="L849" s="198"/>
      <c r="M849" s="61"/>
      <c r="N849" s="61"/>
    </row>
    <row r="850" spans="1:14" x14ac:dyDescent="0.45">
      <c r="A850" s="462"/>
      <c r="B850" s="440">
        <v>2</v>
      </c>
      <c r="C850" s="192">
        <v>1</v>
      </c>
      <c r="D850" s="79"/>
      <c r="E850" s="96"/>
      <c r="F850" s="96"/>
      <c r="G850" s="96"/>
      <c r="H850" s="96"/>
      <c r="I850" s="96"/>
      <c r="J850" s="96"/>
      <c r="K850" s="96"/>
      <c r="L850" s="193"/>
    </row>
    <row r="851" spans="1:14" x14ac:dyDescent="0.45">
      <c r="A851" s="462"/>
      <c r="B851" s="441"/>
      <c r="C851" s="194">
        <v>2</v>
      </c>
      <c r="D851" s="80"/>
      <c r="E851" s="97"/>
      <c r="F851" s="97"/>
      <c r="G851" s="97"/>
      <c r="H851" s="97"/>
      <c r="I851" s="97"/>
      <c r="J851" s="97"/>
      <c r="K851" s="97"/>
      <c r="L851" s="195"/>
    </row>
    <row r="852" spans="1:14" x14ac:dyDescent="0.45">
      <c r="A852" s="462"/>
      <c r="B852" s="441"/>
      <c r="C852" s="194">
        <v>3</v>
      </c>
      <c r="D852" s="80"/>
      <c r="E852" s="97"/>
      <c r="F852" s="97"/>
      <c r="G852" s="97"/>
      <c r="H852" s="97"/>
      <c r="I852" s="97"/>
      <c r="J852" s="97"/>
      <c r="K852" s="97"/>
      <c r="L852" s="195"/>
    </row>
    <row r="853" spans="1:14" x14ac:dyDescent="0.45">
      <c r="A853" s="462"/>
      <c r="B853" s="441"/>
      <c r="C853" s="194">
        <v>4</v>
      </c>
      <c r="D853" s="80"/>
      <c r="E853" s="97"/>
      <c r="F853" s="97"/>
      <c r="G853" s="97"/>
      <c r="H853" s="97"/>
      <c r="I853" s="97"/>
      <c r="J853" s="97"/>
      <c r="K853" s="97"/>
      <c r="L853" s="195"/>
    </row>
    <row r="854" spans="1:14" x14ac:dyDescent="0.45">
      <c r="A854" s="462"/>
      <c r="B854" s="441"/>
      <c r="C854" s="194">
        <v>5</v>
      </c>
      <c r="D854" s="80"/>
      <c r="E854" s="97"/>
      <c r="F854" s="97"/>
      <c r="G854" s="97"/>
      <c r="H854" s="97"/>
      <c r="I854" s="97"/>
      <c r="J854" s="97"/>
      <c r="K854" s="97"/>
      <c r="L854" s="195"/>
    </row>
    <row r="855" spans="1:14" x14ac:dyDescent="0.45">
      <c r="A855" s="462"/>
      <c r="B855" s="441"/>
      <c r="C855" s="194">
        <v>6</v>
      </c>
      <c r="D855" s="80"/>
      <c r="E855" s="97"/>
      <c r="F855" s="97"/>
      <c r="G855" s="97"/>
      <c r="H855" s="97"/>
      <c r="I855" s="97"/>
      <c r="J855" s="97"/>
      <c r="K855" s="97"/>
      <c r="L855" s="195"/>
    </row>
    <row r="856" spans="1:14" x14ac:dyDescent="0.45">
      <c r="A856" s="462"/>
      <c r="B856" s="441"/>
      <c r="C856" s="194">
        <v>7</v>
      </c>
      <c r="D856" s="80"/>
      <c r="E856" s="97"/>
      <c r="F856" s="97"/>
      <c r="G856" s="97"/>
      <c r="H856" s="97"/>
      <c r="I856" s="97"/>
      <c r="J856" s="97"/>
      <c r="K856" s="97"/>
      <c r="L856" s="195"/>
    </row>
    <row r="857" spans="1:14" x14ac:dyDescent="0.45">
      <c r="A857" s="462"/>
      <c r="B857" s="441"/>
      <c r="C857" s="194">
        <v>8</v>
      </c>
      <c r="D857" s="80"/>
      <c r="E857" s="97"/>
      <c r="F857" s="97"/>
      <c r="G857" s="97"/>
      <c r="H857" s="97"/>
      <c r="I857" s="97"/>
      <c r="J857" s="97"/>
      <c r="K857" s="97"/>
      <c r="L857" s="195"/>
    </row>
    <row r="858" spans="1:14" x14ac:dyDescent="0.45">
      <c r="A858" s="462"/>
      <c r="B858" s="441"/>
      <c r="C858" s="194">
        <v>9</v>
      </c>
      <c r="D858" s="80"/>
      <c r="E858" s="97"/>
      <c r="F858" s="97"/>
      <c r="G858" s="97"/>
      <c r="H858" s="97"/>
      <c r="I858" s="97"/>
      <c r="J858" s="97"/>
      <c r="K858" s="97"/>
      <c r="L858" s="195"/>
    </row>
    <row r="859" spans="1:14" x14ac:dyDescent="0.45">
      <c r="A859" s="462"/>
      <c r="B859" s="441"/>
      <c r="C859" s="194">
        <v>10</v>
      </c>
      <c r="D859" s="80"/>
      <c r="E859" s="97"/>
      <c r="F859" s="97"/>
      <c r="G859" s="97"/>
      <c r="H859" s="97"/>
      <c r="I859" s="97"/>
      <c r="J859" s="97"/>
      <c r="K859" s="97"/>
      <c r="L859" s="195"/>
    </row>
    <row r="860" spans="1:14" x14ac:dyDescent="0.45">
      <c r="A860" s="462"/>
      <c r="B860" s="441"/>
      <c r="C860" s="194">
        <v>11</v>
      </c>
      <c r="D860" s="81"/>
      <c r="E860" s="98"/>
      <c r="F860" s="98"/>
      <c r="G860" s="98"/>
      <c r="H860" s="98"/>
      <c r="I860" s="98"/>
      <c r="J860" s="98"/>
      <c r="K860" s="98"/>
      <c r="L860" s="196"/>
    </row>
    <row r="861" spans="1:14" ht="14.65" thickBot="1" x14ac:dyDescent="0.5">
      <c r="A861" s="462"/>
      <c r="B861" s="442"/>
      <c r="C861" s="197">
        <v>12</v>
      </c>
      <c r="D861" s="82"/>
      <c r="E861" s="99"/>
      <c r="F861" s="99"/>
      <c r="G861" s="99"/>
      <c r="H861" s="99"/>
      <c r="I861" s="99"/>
      <c r="J861" s="99"/>
      <c r="K861" s="99"/>
      <c r="L861" s="198"/>
    </row>
    <row r="862" spans="1:14" x14ac:dyDescent="0.45">
      <c r="A862" s="462"/>
      <c r="B862" s="440">
        <v>3</v>
      </c>
      <c r="C862" s="192">
        <v>1</v>
      </c>
      <c r="D862" s="79"/>
      <c r="E862" s="96"/>
      <c r="F862" s="96"/>
      <c r="G862" s="96"/>
      <c r="H862" s="96"/>
      <c r="I862" s="96"/>
      <c r="J862" s="96"/>
      <c r="K862" s="96"/>
      <c r="L862" s="193"/>
    </row>
    <row r="863" spans="1:14" x14ac:dyDescent="0.45">
      <c r="A863" s="462"/>
      <c r="B863" s="441"/>
      <c r="C863" s="194">
        <v>2</v>
      </c>
      <c r="D863" s="80"/>
      <c r="E863" s="97"/>
      <c r="F863" s="97"/>
      <c r="G863" s="97"/>
      <c r="H863" s="97"/>
      <c r="I863" s="97"/>
      <c r="J863" s="97"/>
      <c r="K863" s="97"/>
      <c r="L863" s="195"/>
    </row>
    <row r="864" spans="1:14" x14ac:dyDescent="0.45">
      <c r="A864" s="462"/>
      <c r="B864" s="441"/>
      <c r="C864" s="194">
        <v>3</v>
      </c>
      <c r="D864" s="80"/>
      <c r="E864" s="97"/>
      <c r="F864" s="97"/>
      <c r="G864" s="97"/>
      <c r="H864" s="97"/>
      <c r="I864" s="97"/>
      <c r="J864" s="97"/>
      <c r="K864" s="97"/>
      <c r="L864" s="195"/>
    </row>
    <row r="865" spans="1:12" x14ac:dyDescent="0.45">
      <c r="A865" s="462"/>
      <c r="B865" s="441"/>
      <c r="C865" s="194">
        <v>4</v>
      </c>
      <c r="D865" s="80"/>
      <c r="E865" s="97"/>
      <c r="F865" s="97"/>
      <c r="G865" s="97"/>
      <c r="H865" s="97"/>
      <c r="I865" s="97"/>
      <c r="J865" s="97"/>
      <c r="K865" s="97"/>
      <c r="L865" s="195"/>
    </row>
    <row r="866" spans="1:12" x14ac:dyDescent="0.45">
      <c r="A866" s="462"/>
      <c r="B866" s="441"/>
      <c r="C866" s="194">
        <v>5</v>
      </c>
      <c r="D866" s="80"/>
      <c r="E866" s="97"/>
      <c r="F866" s="97"/>
      <c r="G866" s="97"/>
      <c r="H866" s="97"/>
      <c r="I866" s="97"/>
      <c r="J866" s="97"/>
      <c r="K866" s="97"/>
      <c r="L866" s="195"/>
    </row>
    <row r="867" spans="1:12" x14ac:dyDescent="0.45">
      <c r="A867" s="462"/>
      <c r="B867" s="441"/>
      <c r="C867" s="194">
        <v>6</v>
      </c>
      <c r="D867" s="80"/>
      <c r="E867" s="97"/>
      <c r="F867" s="97"/>
      <c r="G867" s="97"/>
      <c r="H867" s="97"/>
      <c r="I867" s="97"/>
      <c r="J867" s="97"/>
      <c r="K867" s="97"/>
      <c r="L867" s="195"/>
    </row>
    <row r="868" spans="1:12" x14ac:dyDescent="0.45">
      <c r="A868" s="462"/>
      <c r="B868" s="441"/>
      <c r="C868" s="194">
        <v>7</v>
      </c>
      <c r="D868" s="80"/>
      <c r="E868" s="97"/>
      <c r="F868" s="97"/>
      <c r="G868" s="97"/>
      <c r="H868" s="97"/>
      <c r="I868" s="97"/>
      <c r="J868" s="97"/>
      <c r="K868" s="97"/>
      <c r="L868" s="195"/>
    </row>
    <row r="869" spans="1:12" x14ac:dyDescent="0.45">
      <c r="A869" s="462"/>
      <c r="B869" s="441"/>
      <c r="C869" s="194">
        <v>8</v>
      </c>
      <c r="D869" s="80"/>
      <c r="E869" s="97"/>
      <c r="F869" s="97"/>
      <c r="G869" s="97"/>
      <c r="H869" s="97"/>
      <c r="I869" s="97"/>
      <c r="J869" s="97"/>
      <c r="K869" s="97"/>
      <c r="L869" s="195"/>
    </row>
    <row r="870" spans="1:12" x14ac:dyDescent="0.45">
      <c r="A870" s="462"/>
      <c r="B870" s="441"/>
      <c r="C870" s="194">
        <v>9</v>
      </c>
      <c r="D870" s="80"/>
      <c r="E870" s="97"/>
      <c r="F870" s="97"/>
      <c r="G870" s="97"/>
      <c r="H870" s="97"/>
      <c r="I870" s="97"/>
      <c r="J870" s="97"/>
      <c r="K870" s="97"/>
      <c r="L870" s="195"/>
    </row>
    <row r="871" spans="1:12" x14ac:dyDescent="0.45">
      <c r="A871" s="462"/>
      <c r="B871" s="441"/>
      <c r="C871" s="194">
        <v>10</v>
      </c>
      <c r="D871" s="80"/>
      <c r="E871" s="97"/>
      <c r="F871" s="97"/>
      <c r="G871" s="97"/>
      <c r="H871" s="97"/>
      <c r="I871" s="97"/>
      <c r="J871" s="97"/>
      <c r="K871" s="97"/>
      <c r="L871" s="195"/>
    </row>
    <row r="872" spans="1:12" x14ac:dyDescent="0.45">
      <c r="A872" s="462"/>
      <c r="B872" s="441"/>
      <c r="C872" s="194">
        <v>11</v>
      </c>
      <c r="D872" s="81"/>
      <c r="E872" s="98"/>
      <c r="F872" s="98"/>
      <c r="G872" s="98"/>
      <c r="H872" s="98"/>
      <c r="I872" s="98"/>
      <c r="J872" s="98"/>
      <c r="K872" s="98"/>
      <c r="L872" s="196"/>
    </row>
    <row r="873" spans="1:12" ht="14.65" thickBot="1" x14ac:dyDescent="0.5">
      <c r="A873" s="462"/>
      <c r="B873" s="442"/>
      <c r="C873" s="197">
        <v>12</v>
      </c>
      <c r="D873" s="82"/>
      <c r="E873" s="99"/>
      <c r="F873" s="99"/>
      <c r="G873" s="99"/>
      <c r="H873" s="99"/>
      <c r="I873" s="99"/>
      <c r="J873" s="99"/>
      <c r="K873" s="99"/>
      <c r="L873" s="198"/>
    </row>
    <row r="874" spans="1:12" x14ac:dyDescent="0.45">
      <c r="A874" s="462"/>
      <c r="B874" s="440">
        <v>4</v>
      </c>
      <c r="C874" s="192">
        <v>1</v>
      </c>
      <c r="D874" s="79"/>
      <c r="E874" s="96"/>
      <c r="F874" s="96"/>
      <c r="G874" s="96"/>
      <c r="H874" s="96"/>
      <c r="I874" s="96"/>
      <c r="J874" s="96"/>
      <c r="K874" s="96"/>
      <c r="L874" s="193"/>
    </row>
    <row r="875" spans="1:12" x14ac:dyDescent="0.45">
      <c r="A875" s="462"/>
      <c r="B875" s="441"/>
      <c r="C875" s="194">
        <v>2</v>
      </c>
      <c r="D875" s="80"/>
      <c r="E875" s="97"/>
      <c r="F875" s="97"/>
      <c r="G875" s="97"/>
      <c r="H875" s="97"/>
      <c r="I875" s="97"/>
      <c r="J875" s="97"/>
      <c r="K875" s="97"/>
      <c r="L875" s="195"/>
    </row>
    <row r="876" spans="1:12" x14ac:dyDescent="0.45">
      <c r="A876" s="462"/>
      <c r="B876" s="441"/>
      <c r="C876" s="194">
        <v>3</v>
      </c>
      <c r="D876" s="80"/>
      <c r="E876" s="97"/>
      <c r="F876" s="97"/>
      <c r="G876" s="97"/>
      <c r="H876" s="97"/>
      <c r="I876" s="97"/>
      <c r="J876" s="97"/>
      <c r="K876" s="97"/>
      <c r="L876" s="195"/>
    </row>
    <row r="877" spans="1:12" x14ac:dyDescent="0.45">
      <c r="A877" s="462"/>
      <c r="B877" s="441"/>
      <c r="C877" s="194">
        <v>4</v>
      </c>
      <c r="D877" s="80"/>
      <c r="E877" s="97"/>
      <c r="F877" s="97"/>
      <c r="G877" s="97"/>
      <c r="H877" s="97"/>
      <c r="I877" s="97"/>
      <c r="J877" s="97"/>
      <c r="K877" s="97"/>
      <c r="L877" s="195"/>
    </row>
    <row r="878" spans="1:12" x14ac:dyDescent="0.45">
      <c r="A878" s="462"/>
      <c r="B878" s="441"/>
      <c r="C878" s="194">
        <v>5</v>
      </c>
      <c r="D878" s="80"/>
      <c r="E878" s="97"/>
      <c r="F878" s="97"/>
      <c r="G878" s="97"/>
      <c r="H878" s="97"/>
      <c r="I878" s="97"/>
      <c r="J878" s="97"/>
      <c r="K878" s="97"/>
      <c r="L878" s="195"/>
    </row>
    <row r="879" spans="1:12" x14ac:dyDescent="0.45">
      <c r="A879" s="462"/>
      <c r="B879" s="441"/>
      <c r="C879" s="194">
        <v>6</v>
      </c>
      <c r="D879" s="80"/>
      <c r="E879" s="97"/>
      <c r="F879" s="97"/>
      <c r="G879" s="97"/>
      <c r="H879" s="97"/>
      <c r="I879" s="97"/>
      <c r="J879" s="97"/>
      <c r="K879" s="97"/>
      <c r="L879" s="195"/>
    </row>
    <row r="880" spans="1:12" x14ac:dyDescent="0.45">
      <c r="A880" s="462"/>
      <c r="B880" s="441"/>
      <c r="C880" s="194">
        <v>7</v>
      </c>
      <c r="D880" s="80"/>
      <c r="E880" s="97"/>
      <c r="F880" s="97"/>
      <c r="G880" s="97"/>
      <c r="H880" s="97"/>
      <c r="I880" s="97"/>
      <c r="J880" s="97"/>
      <c r="K880" s="97"/>
      <c r="L880" s="195"/>
    </row>
    <row r="881" spans="1:12" x14ac:dyDescent="0.45">
      <c r="A881" s="462"/>
      <c r="B881" s="441"/>
      <c r="C881" s="194">
        <v>8</v>
      </c>
      <c r="D881" s="80"/>
      <c r="E881" s="97"/>
      <c r="F881" s="97"/>
      <c r="G881" s="97"/>
      <c r="H881" s="97"/>
      <c r="I881" s="97"/>
      <c r="J881" s="97"/>
      <c r="K881" s="97"/>
      <c r="L881" s="195"/>
    </row>
    <row r="882" spans="1:12" x14ac:dyDescent="0.45">
      <c r="A882" s="462"/>
      <c r="B882" s="441"/>
      <c r="C882" s="194">
        <v>9</v>
      </c>
      <c r="D882" s="80"/>
      <c r="E882" s="97"/>
      <c r="F882" s="97"/>
      <c r="G882" s="97"/>
      <c r="H882" s="97"/>
      <c r="I882" s="97"/>
      <c r="J882" s="97"/>
      <c r="K882" s="97"/>
      <c r="L882" s="195"/>
    </row>
    <row r="883" spans="1:12" x14ac:dyDescent="0.45">
      <c r="A883" s="462"/>
      <c r="B883" s="441"/>
      <c r="C883" s="194">
        <v>10</v>
      </c>
      <c r="D883" s="80"/>
      <c r="E883" s="97"/>
      <c r="F883" s="97"/>
      <c r="G883" s="97"/>
      <c r="H883" s="97"/>
      <c r="I883" s="97"/>
      <c r="J883" s="97"/>
      <c r="K883" s="97"/>
      <c r="L883" s="195"/>
    </row>
    <row r="884" spans="1:12" x14ac:dyDescent="0.45">
      <c r="A884" s="462"/>
      <c r="B884" s="441"/>
      <c r="C884" s="194">
        <v>11</v>
      </c>
      <c r="D884" s="81"/>
      <c r="E884" s="98"/>
      <c r="F884" s="98"/>
      <c r="G884" s="98"/>
      <c r="H884" s="98"/>
      <c r="I884" s="98"/>
      <c r="J884" s="98"/>
      <c r="K884" s="98"/>
      <c r="L884" s="196"/>
    </row>
    <row r="885" spans="1:12" ht="14.65" thickBot="1" x14ac:dyDescent="0.5">
      <c r="A885" s="463"/>
      <c r="B885" s="442"/>
      <c r="C885" s="197">
        <v>12</v>
      </c>
      <c r="D885" s="82"/>
      <c r="E885" s="99"/>
      <c r="F885" s="99"/>
      <c r="G885" s="99"/>
      <c r="H885" s="99"/>
      <c r="I885" s="99"/>
      <c r="J885" s="99"/>
      <c r="K885" s="99"/>
      <c r="L885" s="198"/>
    </row>
    <row r="886" spans="1:12" x14ac:dyDescent="0.45">
      <c r="A886" s="461">
        <v>2</v>
      </c>
      <c r="B886" s="440">
        <v>5</v>
      </c>
      <c r="C886" s="192">
        <v>1</v>
      </c>
      <c r="D886" s="79"/>
      <c r="E886" s="96"/>
      <c r="F886" s="96"/>
      <c r="G886" s="96"/>
      <c r="H886" s="96"/>
      <c r="I886" s="96"/>
      <c r="J886" s="96"/>
      <c r="K886" s="96"/>
      <c r="L886" s="193"/>
    </row>
    <row r="887" spans="1:12" x14ac:dyDescent="0.45">
      <c r="A887" s="462"/>
      <c r="B887" s="441"/>
      <c r="C887" s="194">
        <v>2</v>
      </c>
      <c r="D887" s="80"/>
      <c r="E887" s="97"/>
      <c r="F887" s="97"/>
      <c r="G887" s="97"/>
      <c r="H887" s="97"/>
      <c r="I887" s="97"/>
      <c r="J887" s="97"/>
      <c r="K887" s="97"/>
      <c r="L887" s="195"/>
    </row>
    <row r="888" spans="1:12" x14ac:dyDescent="0.45">
      <c r="A888" s="462"/>
      <c r="B888" s="441"/>
      <c r="C888" s="194">
        <v>3</v>
      </c>
      <c r="D888" s="80"/>
      <c r="E888" s="97"/>
      <c r="F888" s="97"/>
      <c r="G888" s="97"/>
      <c r="H888" s="97"/>
      <c r="I888" s="97"/>
      <c r="J888" s="97"/>
      <c r="K888" s="97"/>
      <c r="L888" s="195"/>
    </row>
    <row r="889" spans="1:12" x14ac:dyDescent="0.45">
      <c r="A889" s="462"/>
      <c r="B889" s="441"/>
      <c r="C889" s="194">
        <v>4</v>
      </c>
      <c r="D889" s="80"/>
      <c r="E889" s="97"/>
      <c r="F889" s="97"/>
      <c r="G889" s="97"/>
      <c r="H889" s="97"/>
      <c r="I889" s="97"/>
      <c r="J889" s="97"/>
      <c r="K889" s="97"/>
      <c r="L889" s="195"/>
    </row>
    <row r="890" spans="1:12" x14ac:dyDescent="0.45">
      <c r="A890" s="462"/>
      <c r="B890" s="441"/>
      <c r="C890" s="194">
        <v>5</v>
      </c>
      <c r="D890" s="80"/>
      <c r="E890" s="97"/>
      <c r="F890" s="97"/>
      <c r="G890" s="97"/>
      <c r="H890" s="97"/>
      <c r="I890" s="97"/>
      <c r="J890" s="97"/>
      <c r="K890" s="97"/>
      <c r="L890" s="195"/>
    </row>
    <row r="891" spans="1:12" x14ac:dyDescent="0.45">
      <c r="A891" s="462"/>
      <c r="B891" s="441"/>
      <c r="C891" s="194">
        <v>6</v>
      </c>
      <c r="D891" s="80"/>
      <c r="E891" s="97"/>
      <c r="F891" s="97"/>
      <c r="G891" s="97"/>
      <c r="H891" s="97"/>
      <c r="I891" s="97"/>
      <c r="J891" s="97"/>
      <c r="K891" s="97"/>
      <c r="L891" s="195"/>
    </row>
    <row r="892" spans="1:12" x14ac:dyDescent="0.45">
      <c r="A892" s="462"/>
      <c r="B892" s="441"/>
      <c r="C892" s="194">
        <v>7</v>
      </c>
      <c r="D892" s="80"/>
      <c r="E892" s="97"/>
      <c r="F892" s="97"/>
      <c r="G892" s="97"/>
      <c r="H892" s="97"/>
      <c r="I892" s="97"/>
      <c r="J892" s="97"/>
      <c r="K892" s="97"/>
      <c r="L892" s="195"/>
    </row>
    <row r="893" spans="1:12" x14ac:dyDescent="0.45">
      <c r="A893" s="462"/>
      <c r="B893" s="441"/>
      <c r="C893" s="194">
        <v>8</v>
      </c>
      <c r="D893" s="80"/>
      <c r="E893" s="97"/>
      <c r="F893" s="97"/>
      <c r="G893" s="97"/>
      <c r="H893" s="97"/>
      <c r="I893" s="97"/>
      <c r="J893" s="97"/>
      <c r="K893" s="97"/>
      <c r="L893" s="195"/>
    </row>
    <row r="894" spans="1:12" x14ac:dyDescent="0.45">
      <c r="A894" s="462"/>
      <c r="B894" s="441"/>
      <c r="C894" s="194">
        <v>9</v>
      </c>
      <c r="D894" s="80"/>
      <c r="E894" s="97"/>
      <c r="F894" s="97"/>
      <c r="G894" s="97"/>
      <c r="H894" s="97"/>
      <c r="I894" s="97"/>
      <c r="J894" s="97"/>
      <c r="K894" s="97"/>
      <c r="L894" s="195"/>
    </row>
    <row r="895" spans="1:12" x14ac:dyDescent="0.45">
      <c r="A895" s="462"/>
      <c r="B895" s="441"/>
      <c r="C895" s="194">
        <v>10</v>
      </c>
      <c r="D895" s="80"/>
      <c r="E895" s="97"/>
      <c r="F895" s="97"/>
      <c r="G895" s="97"/>
      <c r="H895" s="97"/>
      <c r="I895" s="97"/>
      <c r="J895" s="97"/>
      <c r="K895" s="97"/>
      <c r="L895" s="195"/>
    </row>
    <row r="896" spans="1:12" x14ac:dyDescent="0.45">
      <c r="A896" s="462"/>
      <c r="B896" s="441"/>
      <c r="C896" s="194">
        <v>11</v>
      </c>
      <c r="D896" s="81"/>
      <c r="E896" s="98"/>
      <c r="F896" s="98"/>
      <c r="G896" s="98"/>
      <c r="H896" s="98"/>
      <c r="I896" s="98"/>
      <c r="J896" s="98"/>
      <c r="K896" s="98"/>
      <c r="L896" s="196"/>
    </row>
    <row r="897" spans="1:12" ht="14.65" thickBot="1" x14ac:dyDescent="0.5">
      <c r="A897" s="462"/>
      <c r="B897" s="442"/>
      <c r="C897" s="197">
        <v>12</v>
      </c>
      <c r="D897" s="82"/>
      <c r="E897" s="99"/>
      <c r="F897" s="99"/>
      <c r="G897" s="99"/>
      <c r="H897" s="99"/>
      <c r="I897" s="99"/>
      <c r="J897" s="99"/>
      <c r="K897" s="99"/>
      <c r="L897" s="198"/>
    </row>
    <row r="898" spans="1:12" x14ac:dyDescent="0.45">
      <c r="A898" s="462"/>
      <c r="B898" s="440">
        <v>6</v>
      </c>
      <c r="C898" s="192">
        <v>1</v>
      </c>
      <c r="D898" s="79"/>
      <c r="E898" s="96"/>
      <c r="F898" s="96"/>
      <c r="G898" s="96"/>
      <c r="H898" s="96"/>
      <c r="I898" s="96"/>
      <c r="J898" s="96"/>
      <c r="K898" s="96"/>
      <c r="L898" s="193"/>
    </row>
    <row r="899" spans="1:12" x14ac:dyDescent="0.45">
      <c r="A899" s="462"/>
      <c r="B899" s="441"/>
      <c r="C899" s="194">
        <v>2</v>
      </c>
      <c r="D899" s="80"/>
      <c r="E899" s="97"/>
      <c r="F899" s="97"/>
      <c r="G899" s="97"/>
      <c r="H899" s="97"/>
      <c r="I899" s="97"/>
      <c r="J899" s="97"/>
      <c r="K899" s="97"/>
      <c r="L899" s="195"/>
    </row>
    <row r="900" spans="1:12" x14ac:dyDescent="0.45">
      <c r="A900" s="462"/>
      <c r="B900" s="441"/>
      <c r="C900" s="194">
        <v>3</v>
      </c>
      <c r="D900" s="80"/>
      <c r="E900" s="97"/>
      <c r="F900" s="97"/>
      <c r="G900" s="97"/>
      <c r="H900" s="97"/>
      <c r="I900" s="97"/>
      <c r="J900" s="97"/>
      <c r="K900" s="97"/>
      <c r="L900" s="195"/>
    </row>
    <row r="901" spans="1:12" x14ac:dyDescent="0.45">
      <c r="A901" s="462"/>
      <c r="B901" s="441"/>
      <c r="C901" s="194">
        <v>4</v>
      </c>
      <c r="D901" s="80"/>
      <c r="E901" s="97"/>
      <c r="F901" s="97"/>
      <c r="G901" s="97"/>
      <c r="H901" s="97"/>
      <c r="I901" s="97"/>
      <c r="J901" s="97"/>
      <c r="K901" s="97"/>
      <c r="L901" s="195"/>
    </row>
    <row r="902" spans="1:12" x14ac:dyDescent="0.45">
      <c r="A902" s="462"/>
      <c r="B902" s="441"/>
      <c r="C902" s="194">
        <v>5</v>
      </c>
      <c r="D902" s="80"/>
      <c r="E902" s="97"/>
      <c r="F902" s="97"/>
      <c r="G902" s="97"/>
      <c r="H902" s="97"/>
      <c r="I902" s="97"/>
      <c r="J902" s="97"/>
      <c r="K902" s="97"/>
      <c r="L902" s="195"/>
    </row>
    <row r="903" spans="1:12" x14ac:dyDescent="0.45">
      <c r="A903" s="462"/>
      <c r="B903" s="441"/>
      <c r="C903" s="194">
        <v>6</v>
      </c>
      <c r="D903" s="80"/>
      <c r="E903" s="97"/>
      <c r="F903" s="97"/>
      <c r="G903" s="97"/>
      <c r="H903" s="97"/>
      <c r="I903" s="97"/>
      <c r="J903" s="97"/>
      <c r="K903" s="97"/>
      <c r="L903" s="195"/>
    </row>
    <row r="904" spans="1:12" x14ac:dyDescent="0.45">
      <c r="A904" s="462"/>
      <c r="B904" s="441"/>
      <c r="C904" s="194">
        <v>7</v>
      </c>
      <c r="D904" s="80"/>
      <c r="E904" s="97"/>
      <c r="F904" s="97"/>
      <c r="G904" s="97"/>
      <c r="H904" s="97"/>
      <c r="I904" s="97"/>
      <c r="J904" s="97"/>
      <c r="K904" s="97"/>
      <c r="L904" s="195"/>
    </row>
    <row r="905" spans="1:12" x14ac:dyDescent="0.45">
      <c r="A905" s="462"/>
      <c r="B905" s="441"/>
      <c r="C905" s="194">
        <v>8</v>
      </c>
      <c r="D905" s="80"/>
      <c r="E905" s="97"/>
      <c r="F905" s="97"/>
      <c r="G905" s="97"/>
      <c r="H905" s="97"/>
      <c r="I905" s="97"/>
      <c r="J905" s="97"/>
      <c r="K905" s="97"/>
      <c r="L905" s="195"/>
    </row>
    <row r="906" spans="1:12" x14ac:dyDescent="0.45">
      <c r="A906" s="462"/>
      <c r="B906" s="441"/>
      <c r="C906" s="194">
        <v>9</v>
      </c>
      <c r="D906" s="80"/>
      <c r="E906" s="97"/>
      <c r="F906" s="97"/>
      <c r="G906" s="97"/>
      <c r="H906" s="97"/>
      <c r="I906" s="97"/>
      <c r="J906" s="97"/>
      <c r="K906" s="97"/>
      <c r="L906" s="195"/>
    </row>
    <row r="907" spans="1:12" x14ac:dyDescent="0.45">
      <c r="A907" s="462"/>
      <c r="B907" s="441"/>
      <c r="C907" s="194">
        <v>10</v>
      </c>
      <c r="D907" s="80"/>
      <c r="E907" s="97"/>
      <c r="F907" s="97"/>
      <c r="G907" s="97"/>
      <c r="H907" s="97"/>
      <c r="I907" s="97"/>
      <c r="J907" s="97"/>
      <c r="K907" s="97"/>
      <c r="L907" s="195"/>
    </row>
    <row r="908" spans="1:12" x14ac:dyDescent="0.45">
      <c r="A908" s="462"/>
      <c r="B908" s="441"/>
      <c r="C908" s="194">
        <v>11</v>
      </c>
      <c r="D908" s="81"/>
      <c r="E908" s="98"/>
      <c r="F908" s="98"/>
      <c r="G908" s="98"/>
      <c r="H908" s="98"/>
      <c r="I908" s="98"/>
      <c r="J908" s="98"/>
      <c r="K908" s="98"/>
      <c r="L908" s="196"/>
    </row>
    <row r="909" spans="1:12" ht="14.65" thickBot="1" x14ac:dyDescent="0.5">
      <c r="A909" s="462"/>
      <c r="B909" s="442"/>
      <c r="C909" s="197">
        <v>12</v>
      </c>
      <c r="D909" s="82"/>
      <c r="E909" s="99"/>
      <c r="F909" s="99"/>
      <c r="G909" s="99"/>
      <c r="H909" s="99"/>
      <c r="I909" s="99"/>
      <c r="J909" s="99"/>
      <c r="K909" s="99"/>
      <c r="L909" s="198"/>
    </row>
    <row r="910" spans="1:12" x14ac:dyDescent="0.45">
      <c r="A910" s="462"/>
      <c r="B910" s="440">
        <v>7</v>
      </c>
      <c r="C910" s="192">
        <v>1</v>
      </c>
      <c r="D910" s="79"/>
      <c r="E910" s="96"/>
      <c r="F910" s="96"/>
      <c r="G910" s="96"/>
      <c r="H910" s="96"/>
      <c r="I910" s="96"/>
      <c r="J910" s="96"/>
      <c r="K910" s="96"/>
      <c r="L910" s="193"/>
    </row>
    <row r="911" spans="1:12" x14ac:dyDescent="0.45">
      <c r="A911" s="462"/>
      <c r="B911" s="441"/>
      <c r="C911" s="194">
        <v>2</v>
      </c>
      <c r="D911" s="80"/>
      <c r="E911" s="97"/>
      <c r="F911" s="97"/>
      <c r="G911" s="97"/>
      <c r="H911" s="97"/>
      <c r="I911" s="97"/>
      <c r="J911" s="97"/>
      <c r="K911" s="97"/>
      <c r="L911" s="195"/>
    </row>
    <row r="912" spans="1:12" x14ac:dyDescent="0.45">
      <c r="A912" s="462"/>
      <c r="B912" s="441"/>
      <c r="C912" s="194">
        <v>3</v>
      </c>
      <c r="D912" s="80"/>
      <c r="E912" s="97"/>
      <c r="F912" s="97"/>
      <c r="G912" s="97"/>
      <c r="H912" s="97"/>
      <c r="I912" s="97"/>
      <c r="J912" s="97"/>
      <c r="K912" s="97"/>
      <c r="L912" s="195"/>
    </row>
    <row r="913" spans="1:12" x14ac:dyDescent="0.45">
      <c r="A913" s="462"/>
      <c r="B913" s="441"/>
      <c r="C913" s="194">
        <v>4</v>
      </c>
      <c r="D913" s="80"/>
      <c r="E913" s="97"/>
      <c r="F913" s="97"/>
      <c r="G913" s="97"/>
      <c r="H913" s="97"/>
      <c r="I913" s="97"/>
      <c r="J913" s="97"/>
      <c r="K913" s="97"/>
      <c r="L913" s="195"/>
    </row>
    <row r="914" spans="1:12" x14ac:dyDescent="0.45">
      <c r="A914" s="462"/>
      <c r="B914" s="441"/>
      <c r="C914" s="194">
        <v>5</v>
      </c>
      <c r="D914" s="80"/>
      <c r="E914" s="97"/>
      <c r="F914" s="97"/>
      <c r="G914" s="97"/>
      <c r="H914" s="97"/>
      <c r="I914" s="97"/>
      <c r="J914" s="97"/>
      <c r="K914" s="97"/>
      <c r="L914" s="195"/>
    </row>
    <row r="915" spans="1:12" x14ac:dyDescent="0.45">
      <c r="A915" s="462"/>
      <c r="B915" s="441"/>
      <c r="C915" s="194">
        <v>6</v>
      </c>
      <c r="D915" s="80"/>
      <c r="E915" s="97"/>
      <c r="F915" s="97"/>
      <c r="G915" s="97"/>
      <c r="H915" s="97"/>
      <c r="I915" s="97"/>
      <c r="J915" s="97"/>
      <c r="K915" s="97"/>
      <c r="L915" s="195"/>
    </row>
    <row r="916" spans="1:12" x14ac:dyDescent="0.45">
      <c r="A916" s="462"/>
      <c r="B916" s="441"/>
      <c r="C916" s="194">
        <v>7</v>
      </c>
      <c r="D916" s="80"/>
      <c r="E916" s="97"/>
      <c r="F916" s="97"/>
      <c r="G916" s="97"/>
      <c r="H916" s="97"/>
      <c r="I916" s="97"/>
      <c r="J916" s="97"/>
      <c r="K916" s="97"/>
      <c r="L916" s="195"/>
    </row>
    <row r="917" spans="1:12" x14ac:dyDescent="0.45">
      <c r="A917" s="462"/>
      <c r="B917" s="441"/>
      <c r="C917" s="194">
        <v>8</v>
      </c>
      <c r="D917" s="80"/>
      <c r="E917" s="97"/>
      <c r="F917" s="97"/>
      <c r="G917" s="97"/>
      <c r="H917" s="97"/>
      <c r="I917" s="97"/>
      <c r="J917" s="97"/>
      <c r="K917" s="97"/>
      <c r="L917" s="195"/>
    </row>
    <row r="918" spans="1:12" x14ac:dyDescent="0.45">
      <c r="A918" s="462"/>
      <c r="B918" s="441"/>
      <c r="C918" s="194">
        <v>9</v>
      </c>
      <c r="D918" s="80"/>
      <c r="E918" s="97"/>
      <c r="F918" s="97"/>
      <c r="G918" s="97"/>
      <c r="H918" s="97"/>
      <c r="I918" s="97"/>
      <c r="J918" s="97"/>
      <c r="K918" s="97"/>
      <c r="L918" s="195"/>
    </row>
    <row r="919" spans="1:12" x14ac:dyDescent="0.45">
      <c r="A919" s="462"/>
      <c r="B919" s="441"/>
      <c r="C919" s="194">
        <v>10</v>
      </c>
      <c r="D919" s="80"/>
      <c r="E919" s="97"/>
      <c r="F919" s="97"/>
      <c r="G919" s="97"/>
      <c r="H919" s="97"/>
      <c r="I919" s="97"/>
      <c r="J919" s="97"/>
      <c r="K919" s="97"/>
      <c r="L919" s="195"/>
    </row>
    <row r="920" spans="1:12" x14ac:dyDescent="0.45">
      <c r="A920" s="462"/>
      <c r="B920" s="441"/>
      <c r="C920" s="194">
        <v>11</v>
      </c>
      <c r="D920" s="81"/>
      <c r="E920" s="98"/>
      <c r="F920" s="98"/>
      <c r="G920" s="98"/>
      <c r="H920" s="98"/>
      <c r="I920" s="98"/>
      <c r="J920" s="98"/>
      <c r="K920" s="98"/>
      <c r="L920" s="196"/>
    </row>
    <row r="921" spans="1:12" ht="14.65" thickBot="1" x14ac:dyDescent="0.5">
      <c r="A921" s="462"/>
      <c r="B921" s="442"/>
      <c r="C921" s="197">
        <v>12</v>
      </c>
      <c r="D921" s="82"/>
      <c r="E921" s="99"/>
      <c r="F921" s="99"/>
      <c r="G921" s="99"/>
      <c r="H921" s="99"/>
      <c r="I921" s="99"/>
      <c r="J921" s="99"/>
      <c r="K921" s="99"/>
      <c r="L921" s="198"/>
    </row>
    <row r="922" spans="1:12" x14ac:dyDescent="0.45">
      <c r="A922" s="462"/>
      <c r="B922" s="440">
        <v>8</v>
      </c>
      <c r="C922" s="192">
        <v>1</v>
      </c>
      <c r="D922" s="79"/>
      <c r="E922" s="96"/>
      <c r="F922" s="96"/>
      <c r="G922" s="96"/>
      <c r="H922" s="96"/>
      <c r="I922" s="96"/>
      <c r="J922" s="96"/>
      <c r="K922" s="96"/>
      <c r="L922" s="193"/>
    </row>
    <row r="923" spans="1:12" x14ac:dyDescent="0.45">
      <c r="A923" s="462"/>
      <c r="B923" s="441"/>
      <c r="C923" s="194">
        <v>2</v>
      </c>
      <c r="D923" s="80"/>
      <c r="E923" s="97"/>
      <c r="F923" s="97"/>
      <c r="G923" s="97"/>
      <c r="H923" s="97"/>
      <c r="I923" s="97"/>
      <c r="J923" s="97"/>
      <c r="K923" s="97"/>
      <c r="L923" s="195"/>
    </row>
    <row r="924" spans="1:12" x14ac:dyDescent="0.45">
      <c r="A924" s="462"/>
      <c r="B924" s="441"/>
      <c r="C924" s="194">
        <v>3</v>
      </c>
      <c r="D924" s="80"/>
      <c r="E924" s="97"/>
      <c r="F924" s="97"/>
      <c r="G924" s="97"/>
      <c r="H924" s="97"/>
      <c r="I924" s="97"/>
      <c r="J924" s="97"/>
      <c r="K924" s="97"/>
      <c r="L924" s="195"/>
    </row>
    <row r="925" spans="1:12" x14ac:dyDescent="0.45">
      <c r="A925" s="462"/>
      <c r="B925" s="441"/>
      <c r="C925" s="194">
        <v>4</v>
      </c>
      <c r="D925" s="80"/>
      <c r="E925" s="97"/>
      <c r="F925" s="97"/>
      <c r="G925" s="97"/>
      <c r="H925" s="97"/>
      <c r="I925" s="97"/>
      <c r="J925" s="97"/>
      <c r="K925" s="97"/>
      <c r="L925" s="195"/>
    </row>
    <row r="926" spans="1:12" x14ac:dyDescent="0.45">
      <c r="A926" s="462"/>
      <c r="B926" s="441"/>
      <c r="C926" s="194">
        <v>5</v>
      </c>
      <c r="D926" s="80"/>
      <c r="E926" s="97"/>
      <c r="F926" s="97"/>
      <c r="G926" s="97"/>
      <c r="H926" s="97"/>
      <c r="I926" s="97"/>
      <c r="J926" s="97"/>
      <c r="K926" s="97"/>
      <c r="L926" s="195"/>
    </row>
    <row r="927" spans="1:12" x14ac:dyDescent="0.45">
      <c r="A927" s="462"/>
      <c r="B927" s="441"/>
      <c r="C927" s="194">
        <v>6</v>
      </c>
      <c r="D927" s="80"/>
      <c r="E927" s="97"/>
      <c r="F927" s="97"/>
      <c r="G927" s="97"/>
      <c r="H927" s="97"/>
      <c r="I927" s="97"/>
      <c r="J927" s="97"/>
      <c r="K927" s="97"/>
      <c r="L927" s="195"/>
    </row>
    <row r="928" spans="1:12" x14ac:dyDescent="0.45">
      <c r="A928" s="462"/>
      <c r="B928" s="441"/>
      <c r="C928" s="194">
        <v>7</v>
      </c>
      <c r="D928" s="80"/>
      <c r="E928" s="97"/>
      <c r="F928" s="97"/>
      <c r="G928" s="97"/>
      <c r="H928" s="97"/>
      <c r="I928" s="97"/>
      <c r="J928" s="97"/>
      <c r="K928" s="97"/>
      <c r="L928" s="195"/>
    </row>
    <row r="929" spans="1:12" x14ac:dyDescent="0.45">
      <c r="A929" s="462"/>
      <c r="B929" s="441"/>
      <c r="C929" s="194">
        <v>8</v>
      </c>
      <c r="D929" s="80"/>
      <c r="E929" s="97"/>
      <c r="F929" s="97"/>
      <c r="G929" s="97"/>
      <c r="H929" s="97"/>
      <c r="I929" s="97"/>
      <c r="J929" s="97"/>
      <c r="K929" s="97"/>
      <c r="L929" s="195"/>
    </row>
    <row r="930" spans="1:12" x14ac:dyDescent="0.45">
      <c r="A930" s="462"/>
      <c r="B930" s="441"/>
      <c r="C930" s="194">
        <v>9</v>
      </c>
      <c r="D930" s="80"/>
      <c r="E930" s="97"/>
      <c r="F930" s="97"/>
      <c r="G930" s="97"/>
      <c r="H930" s="97"/>
      <c r="I930" s="97"/>
      <c r="J930" s="97"/>
      <c r="K930" s="97"/>
      <c r="L930" s="195"/>
    </row>
    <row r="931" spans="1:12" x14ac:dyDescent="0.45">
      <c r="A931" s="462"/>
      <c r="B931" s="441"/>
      <c r="C931" s="194">
        <v>10</v>
      </c>
      <c r="D931" s="80"/>
      <c r="E931" s="97"/>
      <c r="F931" s="97"/>
      <c r="G931" s="97"/>
      <c r="H931" s="97"/>
      <c r="I931" s="97"/>
      <c r="J931" s="97"/>
      <c r="K931" s="97"/>
      <c r="L931" s="195"/>
    </row>
    <row r="932" spans="1:12" x14ac:dyDescent="0.45">
      <c r="A932" s="462"/>
      <c r="B932" s="441"/>
      <c r="C932" s="194">
        <v>11</v>
      </c>
      <c r="D932" s="81"/>
      <c r="E932" s="98"/>
      <c r="F932" s="98"/>
      <c r="G932" s="98"/>
      <c r="H932" s="98"/>
      <c r="I932" s="98"/>
      <c r="J932" s="98"/>
      <c r="K932" s="98"/>
      <c r="L932" s="196"/>
    </row>
    <row r="933" spans="1:12" ht="14.65" thickBot="1" x14ac:dyDescent="0.5">
      <c r="A933" s="463"/>
      <c r="B933" s="442"/>
      <c r="C933" s="197">
        <v>12</v>
      </c>
      <c r="D933" s="82"/>
      <c r="E933" s="99"/>
      <c r="F933" s="99"/>
      <c r="G933" s="99"/>
      <c r="H933" s="99"/>
      <c r="I933" s="99"/>
      <c r="J933" s="99"/>
      <c r="K933" s="99"/>
      <c r="L933" s="198"/>
    </row>
    <row r="934" spans="1:12" x14ac:dyDescent="0.45">
      <c r="A934" s="461">
        <v>3</v>
      </c>
      <c r="B934" s="440">
        <v>9</v>
      </c>
      <c r="C934" s="192">
        <v>1</v>
      </c>
      <c r="D934" s="79"/>
      <c r="E934" s="96"/>
      <c r="F934" s="96"/>
      <c r="G934" s="96"/>
      <c r="H934" s="96"/>
      <c r="I934" s="96"/>
      <c r="J934" s="96"/>
      <c r="K934" s="96"/>
      <c r="L934" s="193"/>
    </row>
    <row r="935" spans="1:12" x14ac:dyDescent="0.45">
      <c r="A935" s="462"/>
      <c r="B935" s="441"/>
      <c r="C935" s="194">
        <v>2</v>
      </c>
      <c r="D935" s="80"/>
      <c r="E935" s="97"/>
      <c r="F935" s="97"/>
      <c r="G935" s="97"/>
      <c r="H935" s="97"/>
      <c r="I935" s="97"/>
      <c r="J935" s="97"/>
      <c r="K935" s="97"/>
      <c r="L935" s="195"/>
    </row>
    <row r="936" spans="1:12" x14ac:dyDescent="0.45">
      <c r="A936" s="462"/>
      <c r="B936" s="441"/>
      <c r="C936" s="194">
        <v>3</v>
      </c>
      <c r="D936" s="80"/>
      <c r="E936" s="97"/>
      <c r="F936" s="97"/>
      <c r="G936" s="97"/>
      <c r="H936" s="97"/>
      <c r="I936" s="97"/>
      <c r="J936" s="97"/>
      <c r="K936" s="97"/>
      <c r="L936" s="195"/>
    </row>
    <row r="937" spans="1:12" x14ac:dyDescent="0.45">
      <c r="A937" s="462"/>
      <c r="B937" s="441"/>
      <c r="C937" s="194">
        <v>4</v>
      </c>
      <c r="D937" s="80"/>
      <c r="E937" s="97"/>
      <c r="F937" s="97"/>
      <c r="G937" s="97"/>
      <c r="H937" s="97"/>
      <c r="I937" s="97"/>
      <c r="J937" s="97"/>
      <c r="K937" s="97"/>
      <c r="L937" s="195"/>
    </row>
    <row r="938" spans="1:12" x14ac:dyDescent="0.45">
      <c r="A938" s="462"/>
      <c r="B938" s="441"/>
      <c r="C938" s="194">
        <v>5</v>
      </c>
      <c r="D938" s="80"/>
      <c r="E938" s="97"/>
      <c r="F938" s="97"/>
      <c r="G938" s="97"/>
      <c r="H938" s="97"/>
      <c r="I938" s="97"/>
      <c r="J938" s="97"/>
      <c r="K938" s="97"/>
      <c r="L938" s="195"/>
    </row>
    <row r="939" spans="1:12" x14ac:dyDescent="0.45">
      <c r="A939" s="462"/>
      <c r="B939" s="441"/>
      <c r="C939" s="194">
        <v>6</v>
      </c>
      <c r="D939" s="80"/>
      <c r="E939" s="97"/>
      <c r="F939" s="97"/>
      <c r="G939" s="97"/>
      <c r="H939" s="97"/>
      <c r="I939" s="97"/>
      <c r="J939" s="97"/>
      <c r="K939" s="97"/>
      <c r="L939" s="195"/>
    </row>
    <row r="940" spans="1:12" x14ac:dyDescent="0.45">
      <c r="A940" s="462"/>
      <c r="B940" s="441"/>
      <c r="C940" s="194">
        <v>7</v>
      </c>
      <c r="D940" s="80"/>
      <c r="E940" s="97"/>
      <c r="F940" s="97"/>
      <c r="G940" s="97"/>
      <c r="H940" s="97"/>
      <c r="I940" s="97"/>
      <c r="J940" s="97"/>
      <c r="K940" s="97"/>
      <c r="L940" s="195"/>
    </row>
    <row r="941" spans="1:12" x14ac:dyDescent="0.45">
      <c r="A941" s="462"/>
      <c r="B941" s="441"/>
      <c r="C941" s="194">
        <v>8</v>
      </c>
      <c r="D941" s="80"/>
      <c r="E941" s="97"/>
      <c r="F941" s="97"/>
      <c r="G941" s="97"/>
      <c r="H941" s="97"/>
      <c r="I941" s="97"/>
      <c r="J941" s="97"/>
      <c r="K941" s="97"/>
      <c r="L941" s="195"/>
    </row>
    <row r="942" spans="1:12" x14ac:dyDescent="0.45">
      <c r="A942" s="462"/>
      <c r="B942" s="441"/>
      <c r="C942" s="194">
        <v>9</v>
      </c>
      <c r="D942" s="80"/>
      <c r="E942" s="97"/>
      <c r="F942" s="97"/>
      <c r="G942" s="97"/>
      <c r="H942" s="97"/>
      <c r="I942" s="97"/>
      <c r="J942" s="97"/>
      <c r="K942" s="97"/>
      <c r="L942" s="195"/>
    </row>
    <row r="943" spans="1:12" x14ac:dyDescent="0.45">
      <c r="A943" s="462"/>
      <c r="B943" s="441"/>
      <c r="C943" s="194">
        <v>10</v>
      </c>
      <c r="D943" s="80"/>
      <c r="E943" s="97"/>
      <c r="F943" s="97"/>
      <c r="G943" s="97"/>
      <c r="H943" s="97"/>
      <c r="I943" s="97"/>
      <c r="J943" s="97"/>
      <c r="K943" s="97"/>
      <c r="L943" s="195"/>
    </row>
    <row r="944" spans="1:12" x14ac:dyDescent="0.45">
      <c r="A944" s="462"/>
      <c r="B944" s="441"/>
      <c r="C944" s="194">
        <v>11</v>
      </c>
      <c r="D944" s="81"/>
      <c r="E944" s="98"/>
      <c r="F944" s="98"/>
      <c r="G944" s="98"/>
      <c r="H944" s="98"/>
      <c r="I944" s="98"/>
      <c r="J944" s="98"/>
      <c r="K944" s="98"/>
      <c r="L944" s="196"/>
    </row>
    <row r="945" spans="1:12" ht="14.65" thickBot="1" x14ac:dyDescent="0.5">
      <c r="A945" s="462"/>
      <c r="B945" s="442"/>
      <c r="C945" s="197">
        <v>12</v>
      </c>
      <c r="D945" s="82"/>
      <c r="E945" s="99"/>
      <c r="F945" s="99"/>
      <c r="G945" s="99"/>
      <c r="H945" s="99"/>
      <c r="I945" s="99"/>
      <c r="J945" s="99"/>
      <c r="K945" s="99"/>
      <c r="L945" s="198"/>
    </row>
    <row r="946" spans="1:12" x14ac:dyDescent="0.45">
      <c r="A946" s="462"/>
      <c r="B946" s="440">
        <v>10</v>
      </c>
      <c r="C946" s="192">
        <v>1</v>
      </c>
      <c r="D946" s="79"/>
      <c r="E946" s="96"/>
      <c r="F946" s="96"/>
      <c r="G946" s="96"/>
      <c r="H946" s="96"/>
      <c r="I946" s="96"/>
      <c r="J946" s="96"/>
      <c r="K946" s="96"/>
      <c r="L946" s="193"/>
    </row>
    <row r="947" spans="1:12" x14ac:dyDescent="0.45">
      <c r="A947" s="462"/>
      <c r="B947" s="441"/>
      <c r="C947" s="194">
        <v>2</v>
      </c>
      <c r="D947" s="80"/>
      <c r="E947" s="97"/>
      <c r="F947" s="97"/>
      <c r="G947" s="97"/>
      <c r="H947" s="97"/>
      <c r="I947" s="97"/>
      <c r="J947" s="97"/>
      <c r="K947" s="97"/>
      <c r="L947" s="195"/>
    </row>
    <row r="948" spans="1:12" x14ac:dyDescent="0.45">
      <c r="A948" s="462"/>
      <c r="B948" s="441"/>
      <c r="C948" s="194">
        <v>3</v>
      </c>
      <c r="D948" s="80"/>
      <c r="E948" s="97"/>
      <c r="F948" s="97"/>
      <c r="G948" s="97"/>
      <c r="H948" s="97"/>
      <c r="I948" s="97"/>
      <c r="J948" s="97"/>
      <c r="K948" s="97"/>
      <c r="L948" s="195"/>
    </row>
    <row r="949" spans="1:12" x14ac:dyDescent="0.45">
      <c r="A949" s="462"/>
      <c r="B949" s="441"/>
      <c r="C949" s="194">
        <v>4</v>
      </c>
      <c r="D949" s="80"/>
      <c r="E949" s="97"/>
      <c r="F949" s="97"/>
      <c r="G949" s="97"/>
      <c r="H949" s="97"/>
      <c r="I949" s="97"/>
      <c r="J949" s="97"/>
      <c r="K949" s="97"/>
      <c r="L949" s="195"/>
    </row>
    <row r="950" spans="1:12" x14ac:dyDescent="0.45">
      <c r="A950" s="462"/>
      <c r="B950" s="441"/>
      <c r="C950" s="194">
        <v>5</v>
      </c>
      <c r="D950" s="80"/>
      <c r="E950" s="97"/>
      <c r="F950" s="97"/>
      <c r="G950" s="97"/>
      <c r="H950" s="97"/>
      <c r="I950" s="97"/>
      <c r="J950" s="97"/>
      <c r="K950" s="97"/>
      <c r="L950" s="195"/>
    </row>
    <row r="951" spans="1:12" x14ac:dyDescent="0.45">
      <c r="A951" s="462"/>
      <c r="B951" s="441"/>
      <c r="C951" s="194">
        <v>6</v>
      </c>
      <c r="D951" s="80"/>
      <c r="E951" s="97"/>
      <c r="F951" s="97"/>
      <c r="G951" s="97"/>
      <c r="H951" s="97"/>
      <c r="I951" s="97"/>
      <c r="J951" s="97"/>
      <c r="K951" s="97"/>
      <c r="L951" s="195"/>
    </row>
    <row r="952" spans="1:12" x14ac:dyDescent="0.45">
      <c r="A952" s="462"/>
      <c r="B952" s="441"/>
      <c r="C952" s="194">
        <v>7</v>
      </c>
      <c r="D952" s="80"/>
      <c r="E952" s="97"/>
      <c r="F952" s="97"/>
      <c r="G952" s="97"/>
      <c r="H952" s="97"/>
      <c r="I952" s="97"/>
      <c r="J952" s="97"/>
      <c r="K952" s="97"/>
      <c r="L952" s="195"/>
    </row>
    <row r="953" spans="1:12" x14ac:dyDescent="0.45">
      <c r="A953" s="462"/>
      <c r="B953" s="441"/>
      <c r="C953" s="194">
        <v>8</v>
      </c>
      <c r="D953" s="80"/>
      <c r="E953" s="97"/>
      <c r="F953" s="97"/>
      <c r="G953" s="97"/>
      <c r="H953" s="97"/>
      <c r="I953" s="97"/>
      <c r="J953" s="97"/>
      <c r="K953" s="97"/>
      <c r="L953" s="195"/>
    </row>
    <row r="954" spans="1:12" x14ac:dyDescent="0.45">
      <c r="A954" s="462"/>
      <c r="B954" s="441"/>
      <c r="C954" s="194">
        <v>9</v>
      </c>
      <c r="D954" s="80"/>
      <c r="E954" s="97"/>
      <c r="F954" s="97"/>
      <c r="G954" s="97"/>
      <c r="H954" s="97"/>
      <c r="I954" s="97"/>
      <c r="J954" s="97"/>
      <c r="K954" s="97"/>
      <c r="L954" s="195"/>
    </row>
    <row r="955" spans="1:12" x14ac:dyDescent="0.45">
      <c r="A955" s="462"/>
      <c r="B955" s="441"/>
      <c r="C955" s="194">
        <v>10</v>
      </c>
      <c r="D955" s="80"/>
      <c r="E955" s="97"/>
      <c r="F955" s="97"/>
      <c r="G955" s="97"/>
      <c r="H955" s="97"/>
      <c r="I955" s="97"/>
      <c r="J955" s="97"/>
      <c r="K955" s="97"/>
      <c r="L955" s="195"/>
    </row>
    <row r="956" spans="1:12" x14ac:dyDescent="0.45">
      <c r="A956" s="462"/>
      <c r="B956" s="441"/>
      <c r="C956" s="194">
        <v>11</v>
      </c>
      <c r="D956" s="81"/>
      <c r="E956" s="98"/>
      <c r="F956" s="98"/>
      <c r="G956" s="98"/>
      <c r="H956" s="98"/>
      <c r="I956" s="98"/>
      <c r="J956" s="98"/>
      <c r="K956" s="98"/>
      <c r="L956" s="196"/>
    </row>
    <row r="957" spans="1:12" ht="14.65" thickBot="1" x14ac:dyDescent="0.5">
      <c r="A957" s="462"/>
      <c r="B957" s="442"/>
      <c r="C957" s="197">
        <v>12</v>
      </c>
      <c r="D957" s="82"/>
      <c r="E957" s="99"/>
      <c r="F957" s="99"/>
      <c r="G957" s="99"/>
      <c r="H957" s="99"/>
      <c r="I957" s="99"/>
      <c r="J957" s="99"/>
      <c r="K957" s="99"/>
      <c r="L957" s="198"/>
    </row>
    <row r="958" spans="1:12" x14ac:dyDescent="0.45">
      <c r="A958" s="462"/>
      <c r="B958" s="440">
        <v>11</v>
      </c>
      <c r="C958" s="192">
        <v>1</v>
      </c>
      <c r="D958" s="79"/>
      <c r="E958" s="96"/>
      <c r="F958" s="96"/>
      <c r="G958" s="96"/>
      <c r="H958" s="96"/>
      <c r="I958" s="96"/>
      <c r="J958" s="96"/>
      <c r="K958" s="96"/>
      <c r="L958" s="193"/>
    </row>
    <row r="959" spans="1:12" x14ac:dyDescent="0.45">
      <c r="A959" s="462"/>
      <c r="B959" s="441"/>
      <c r="C959" s="194">
        <v>2</v>
      </c>
      <c r="D959" s="80"/>
      <c r="E959" s="97"/>
      <c r="F959" s="97"/>
      <c r="G959" s="97"/>
      <c r="H959" s="97"/>
      <c r="I959" s="97"/>
      <c r="J959" s="97"/>
      <c r="K959" s="97"/>
      <c r="L959" s="195"/>
    </row>
    <row r="960" spans="1:12" x14ac:dyDescent="0.45">
      <c r="A960" s="462"/>
      <c r="B960" s="441"/>
      <c r="C960" s="194">
        <v>3</v>
      </c>
      <c r="D960" s="80"/>
      <c r="E960" s="97"/>
      <c r="F960" s="97"/>
      <c r="G960" s="97"/>
      <c r="H960" s="97"/>
      <c r="I960" s="97"/>
      <c r="J960" s="97"/>
      <c r="K960" s="97"/>
      <c r="L960" s="195"/>
    </row>
    <row r="961" spans="1:12" x14ac:dyDescent="0.45">
      <c r="A961" s="462"/>
      <c r="B961" s="441"/>
      <c r="C961" s="194">
        <v>4</v>
      </c>
      <c r="D961" s="80"/>
      <c r="E961" s="97"/>
      <c r="F961" s="97"/>
      <c r="G961" s="97"/>
      <c r="H961" s="97"/>
      <c r="I961" s="97"/>
      <c r="J961" s="97"/>
      <c r="K961" s="97"/>
      <c r="L961" s="195"/>
    </row>
    <row r="962" spans="1:12" x14ac:dyDescent="0.45">
      <c r="A962" s="462"/>
      <c r="B962" s="441"/>
      <c r="C962" s="194">
        <v>5</v>
      </c>
      <c r="D962" s="80"/>
      <c r="E962" s="97"/>
      <c r="F962" s="97"/>
      <c r="G962" s="97"/>
      <c r="H962" s="97"/>
      <c r="I962" s="97"/>
      <c r="J962" s="97"/>
      <c r="K962" s="97"/>
      <c r="L962" s="195"/>
    </row>
    <row r="963" spans="1:12" x14ac:dyDescent="0.45">
      <c r="A963" s="462"/>
      <c r="B963" s="441"/>
      <c r="C963" s="194">
        <v>6</v>
      </c>
      <c r="D963" s="80"/>
      <c r="E963" s="97"/>
      <c r="F963" s="97"/>
      <c r="G963" s="97"/>
      <c r="H963" s="97"/>
      <c r="I963" s="97"/>
      <c r="J963" s="97"/>
      <c r="K963" s="97"/>
      <c r="L963" s="195"/>
    </row>
    <row r="964" spans="1:12" x14ac:dyDescent="0.45">
      <c r="A964" s="462"/>
      <c r="B964" s="441"/>
      <c r="C964" s="194">
        <v>7</v>
      </c>
      <c r="D964" s="80"/>
      <c r="E964" s="97"/>
      <c r="F964" s="97"/>
      <c r="G964" s="97"/>
      <c r="H964" s="97"/>
      <c r="I964" s="97"/>
      <c r="J964" s="97"/>
      <c r="K964" s="97"/>
      <c r="L964" s="195"/>
    </row>
    <row r="965" spans="1:12" x14ac:dyDescent="0.45">
      <c r="A965" s="462"/>
      <c r="B965" s="441"/>
      <c r="C965" s="194">
        <v>8</v>
      </c>
      <c r="D965" s="80"/>
      <c r="E965" s="97"/>
      <c r="F965" s="97"/>
      <c r="G965" s="97"/>
      <c r="H965" s="97"/>
      <c r="I965" s="97"/>
      <c r="J965" s="97"/>
      <c r="K965" s="97"/>
      <c r="L965" s="195"/>
    </row>
    <row r="966" spans="1:12" x14ac:dyDescent="0.45">
      <c r="A966" s="462"/>
      <c r="B966" s="441"/>
      <c r="C966" s="194">
        <v>9</v>
      </c>
      <c r="D966" s="80"/>
      <c r="E966" s="97"/>
      <c r="F966" s="97"/>
      <c r="G966" s="97"/>
      <c r="H966" s="97"/>
      <c r="I966" s="97"/>
      <c r="J966" s="97"/>
      <c r="K966" s="97"/>
      <c r="L966" s="195"/>
    </row>
    <row r="967" spans="1:12" x14ac:dyDescent="0.45">
      <c r="A967" s="462"/>
      <c r="B967" s="441"/>
      <c r="C967" s="194">
        <v>10</v>
      </c>
      <c r="D967" s="80"/>
      <c r="E967" s="97"/>
      <c r="F967" s="97"/>
      <c r="G967" s="97"/>
      <c r="H967" s="97"/>
      <c r="I967" s="97"/>
      <c r="J967" s="97"/>
      <c r="K967" s="97"/>
      <c r="L967" s="195"/>
    </row>
    <row r="968" spans="1:12" x14ac:dyDescent="0.45">
      <c r="A968" s="462"/>
      <c r="B968" s="441"/>
      <c r="C968" s="194">
        <v>11</v>
      </c>
      <c r="D968" s="81"/>
      <c r="E968" s="98"/>
      <c r="F968" s="98"/>
      <c r="G968" s="98"/>
      <c r="H968" s="98"/>
      <c r="I968" s="98"/>
      <c r="J968" s="98"/>
      <c r="K968" s="98"/>
      <c r="L968" s="196"/>
    </row>
    <row r="969" spans="1:12" ht="14.65" thickBot="1" x14ac:dyDescent="0.5">
      <c r="A969" s="462"/>
      <c r="B969" s="442"/>
      <c r="C969" s="197">
        <v>12</v>
      </c>
      <c r="D969" s="82"/>
      <c r="E969" s="99"/>
      <c r="F969" s="99"/>
      <c r="G969" s="99"/>
      <c r="H969" s="99"/>
      <c r="I969" s="99"/>
      <c r="J969" s="99"/>
      <c r="K969" s="99"/>
      <c r="L969" s="198"/>
    </row>
    <row r="970" spans="1:12" x14ac:dyDescent="0.45">
      <c r="A970" s="462"/>
      <c r="B970" s="440">
        <v>12</v>
      </c>
      <c r="C970" s="192">
        <v>1</v>
      </c>
      <c r="D970" s="79"/>
      <c r="E970" s="96"/>
      <c r="F970" s="96"/>
      <c r="G970" s="96"/>
      <c r="H970" s="96"/>
      <c r="I970" s="96"/>
      <c r="J970" s="96"/>
      <c r="K970" s="96"/>
      <c r="L970" s="193"/>
    </row>
    <row r="971" spans="1:12" x14ac:dyDescent="0.45">
      <c r="A971" s="462"/>
      <c r="B971" s="441"/>
      <c r="C971" s="194">
        <v>2</v>
      </c>
      <c r="D971" s="80"/>
      <c r="E971" s="97"/>
      <c r="F971" s="97"/>
      <c r="G971" s="97"/>
      <c r="H971" s="97"/>
      <c r="I971" s="97"/>
      <c r="J971" s="97"/>
      <c r="K971" s="97"/>
      <c r="L971" s="195"/>
    </row>
    <row r="972" spans="1:12" x14ac:dyDescent="0.45">
      <c r="A972" s="462"/>
      <c r="B972" s="441"/>
      <c r="C972" s="194">
        <v>3</v>
      </c>
      <c r="D972" s="80"/>
      <c r="E972" s="97"/>
      <c r="F972" s="97"/>
      <c r="G972" s="97"/>
      <c r="H972" s="97"/>
      <c r="I972" s="97"/>
      <c r="J972" s="97"/>
      <c r="K972" s="97"/>
      <c r="L972" s="195"/>
    </row>
    <row r="973" spans="1:12" x14ac:dyDescent="0.45">
      <c r="A973" s="462"/>
      <c r="B973" s="441"/>
      <c r="C973" s="194">
        <v>4</v>
      </c>
      <c r="D973" s="80"/>
      <c r="E973" s="97"/>
      <c r="F973" s="97"/>
      <c r="G973" s="97"/>
      <c r="H973" s="97"/>
      <c r="I973" s="97"/>
      <c r="J973" s="97"/>
      <c r="K973" s="97"/>
      <c r="L973" s="195"/>
    </row>
    <row r="974" spans="1:12" x14ac:dyDescent="0.45">
      <c r="A974" s="462"/>
      <c r="B974" s="441"/>
      <c r="C974" s="194">
        <v>5</v>
      </c>
      <c r="D974" s="80"/>
      <c r="E974" s="97"/>
      <c r="F974" s="97"/>
      <c r="G974" s="97"/>
      <c r="H974" s="97"/>
      <c r="I974" s="97"/>
      <c r="J974" s="97"/>
      <c r="K974" s="97"/>
      <c r="L974" s="195"/>
    </row>
    <row r="975" spans="1:12" x14ac:dyDescent="0.45">
      <c r="A975" s="462"/>
      <c r="B975" s="441"/>
      <c r="C975" s="194">
        <v>6</v>
      </c>
      <c r="D975" s="80"/>
      <c r="E975" s="97"/>
      <c r="F975" s="97"/>
      <c r="G975" s="97"/>
      <c r="H975" s="97"/>
      <c r="I975" s="97"/>
      <c r="J975" s="97"/>
      <c r="K975" s="97"/>
      <c r="L975" s="195"/>
    </row>
    <row r="976" spans="1:12" x14ac:dyDescent="0.45">
      <c r="A976" s="462"/>
      <c r="B976" s="441"/>
      <c r="C976" s="194">
        <v>7</v>
      </c>
      <c r="D976" s="80"/>
      <c r="E976" s="97"/>
      <c r="F976" s="97"/>
      <c r="G976" s="97"/>
      <c r="H976" s="97"/>
      <c r="I976" s="97"/>
      <c r="J976" s="97"/>
      <c r="K976" s="97"/>
      <c r="L976" s="195"/>
    </row>
    <row r="977" spans="1:12" x14ac:dyDescent="0.45">
      <c r="A977" s="462"/>
      <c r="B977" s="441"/>
      <c r="C977" s="194">
        <v>8</v>
      </c>
      <c r="D977" s="80"/>
      <c r="E977" s="97"/>
      <c r="F977" s="97"/>
      <c r="G977" s="97"/>
      <c r="H977" s="97"/>
      <c r="I977" s="97"/>
      <c r="J977" s="97"/>
      <c r="K977" s="97"/>
      <c r="L977" s="195"/>
    </row>
    <row r="978" spans="1:12" x14ac:dyDescent="0.45">
      <c r="A978" s="462"/>
      <c r="B978" s="441"/>
      <c r="C978" s="194">
        <v>9</v>
      </c>
      <c r="D978" s="80"/>
      <c r="E978" s="97"/>
      <c r="F978" s="97"/>
      <c r="G978" s="97"/>
      <c r="H978" s="97"/>
      <c r="I978" s="97"/>
      <c r="J978" s="97"/>
      <c r="K978" s="97"/>
      <c r="L978" s="195"/>
    </row>
    <row r="979" spans="1:12" x14ac:dyDescent="0.45">
      <c r="A979" s="462"/>
      <c r="B979" s="441"/>
      <c r="C979" s="194">
        <v>10</v>
      </c>
      <c r="D979" s="80"/>
      <c r="E979" s="97"/>
      <c r="F979" s="97"/>
      <c r="G979" s="97"/>
      <c r="H979" s="97"/>
      <c r="I979" s="97"/>
      <c r="J979" s="97"/>
      <c r="K979" s="97"/>
      <c r="L979" s="195"/>
    </row>
    <row r="980" spans="1:12" x14ac:dyDescent="0.45">
      <c r="A980" s="462"/>
      <c r="B980" s="441"/>
      <c r="C980" s="194">
        <v>11</v>
      </c>
      <c r="D980" s="81"/>
      <c r="E980" s="98"/>
      <c r="F980" s="98"/>
      <c r="G980" s="98"/>
      <c r="H980" s="98"/>
      <c r="I980" s="98"/>
      <c r="J980" s="98"/>
      <c r="K980" s="98"/>
      <c r="L980" s="196"/>
    </row>
    <row r="981" spans="1:12" ht="14.65" thickBot="1" x14ac:dyDescent="0.5">
      <c r="A981" s="463"/>
      <c r="B981" s="442"/>
      <c r="C981" s="199">
        <v>12</v>
      </c>
      <c r="D981" s="82"/>
      <c r="E981" s="99"/>
      <c r="F981" s="99"/>
      <c r="G981" s="99"/>
      <c r="H981" s="99"/>
      <c r="I981" s="99"/>
      <c r="J981" s="99"/>
      <c r="K981" s="99"/>
      <c r="L981" s="198"/>
    </row>
    <row r="983" spans="1:12" s="91" customFormat="1" x14ac:dyDescent="0.45"/>
    <row r="984" spans="1:12" ht="14.65" thickBot="1" x14ac:dyDescent="0.5"/>
    <row r="985" spans="1:12" ht="28.9" thickBot="1" x14ac:dyDescent="0.5">
      <c r="A985" s="187" t="s">
        <v>76</v>
      </c>
      <c r="B985" s="186">
        <v>7</v>
      </c>
      <c r="C985" s="109"/>
      <c r="D985" s="109"/>
    </row>
    <row r="986" spans="1:12" x14ac:dyDescent="0.45">
      <c r="A986" s="443" t="s">
        <v>27</v>
      </c>
      <c r="B986" s="448">
        <f>Name7</f>
        <v>0</v>
      </c>
      <c r="C986" s="449"/>
      <c r="D986" s="450"/>
      <c r="I986" s="204"/>
      <c r="J986" s="204"/>
      <c r="K986" s="204"/>
      <c r="L986" s="204"/>
    </row>
    <row r="987" spans="1:12" x14ac:dyDescent="0.45">
      <c r="A987" s="444"/>
      <c r="B987" s="448"/>
      <c r="C987" s="449"/>
      <c r="D987" s="450"/>
      <c r="I987" s="204"/>
      <c r="J987" s="204"/>
      <c r="K987" s="204"/>
      <c r="L987" s="204"/>
    </row>
    <row r="988" spans="1:12" x14ac:dyDescent="0.45">
      <c r="A988" s="445"/>
      <c r="B988" s="388"/>
      <c r="C988" s="451"/>
      <c r="D988" s="452"/>
      <c r="I988" s="204"/>
      <c r="J988" s="204"/>
      <c r="K988" s="204"/>
      <c r="L988" s="204"/>
    </row>
    <row r="989" spans="1:12" ht="14.45" customHeight="1" x14ac:dyDescent="0.45">
      <c r="A989" s="444" t="s">
        <v>155</v>
      </c>
      <c r="B989" s="453">
        <f>GapA7</f>
        <v>0</v>
      </c>
      <c r="C989" s="454"/>
      <c r="D989" s="455"/>
      <c r="I989" s="204"/>
      <c r="J989" s="204"/>
      <c r="K989" s="204"/>
      <c r="L989" s="204"/>
    </row>
    <row r="990" spans="1:12" x14ac:dyDescent="0.45">
      <c r="A990" s="444"/>
      <c r="B990" s="448"/>
      <c r="C990" s="449"/>
      <c r="D990" s="450"/>
      <c r="I990" s="204"/>
      <c r="J990" s="204"/>
      <c r="K990" s="204"/>
      <c r="L990" s="204"/>
    </row>
    <row r="991" spans="1:12" x14ac:dyDescent="0.45">
      <c r="A991" s="445"/>
      <c r="B991" s="388"/>
      <c r="C991" s="451"/>
      <c r="D991" s="452"/>
      <c r="I991" s="204"/>
      <c r="J991" s="204"/>
      <c r="K991" s="204"/>
      <c r="L991" s="204"/>
    </row>
    <row r="992" spans="1:12" x14ac:dyDescent="0.45">
      <c r="A992" s="444" t="s">
        <v>159</v>
      </c>
      <c r="B992" s="453">
        <f>Objective7</f>
        <v>0</v>
      </c>
      <c r="C992" s="454"/>
      <c r="D992" s="455"/>
      <c r="I992" s="204"/>
      <c r="J992" s="204"/>
      <c r="K992" s="204"/>
      <c r="L992" s="204"/>
    </row>
    <row r="993" spans="1:14" x14ac:dyDescent="0.45">
      <c r="A993" s="444"/>
      <c r="B993" s="448"/>
      <c r="C993" s="449"/>
      <c r="D993" s="450"/>
      <c r="I993" s="204"/>
      <c r="J993" s="204"/>
      <c r="K993" s="204"/>
      <c r="L993" s="204"/>
    </row>
    <row r="994" spans="1:14" x14ac:dyDescent="0.45">
      <c r="A994" s="445"/>
      <c r="B994" s="388"/>
      <c r="C994" s="451"/>
      <c r="D994" s="452"/>
      <c r="I994" s="204"/>
      <c r="J994" s="204"/>
      <c r="K994" s="204"/>
      <c r="L994" s="204"/>
    </row>
    <row r="995" spans="1:14" ht="14.45" customHeight="1" x14ac:dyDescent="0.45">
      <c r="A995" s="446" t="s">
        <v>166</v>
      </c>
      <c r="B995" s="454">
        <f>Capacity7</f>
        <v>0</v>
      </c>
      <c r="C995" s="454"/>
      <c r="D995" s="455"/>
      <c r="I995" s="204"/>
      <c r="J995" s="204"/>
      <c r="K995" s="204"/>
      <c r="L995" s="204"/>
    </row>
    <row r="996" spans="1:14" x14ac:dyDescent="0.45">
      <c r="A996" s="447"/>
      <c r="B996" s="449"/>
      <c r="C996" s="449"/>
      <c r="D996" s="450"/>
      <c r="I996" s="204"/>
      <c r="J996" s="204"/>
      <c r="K996" s="204"/>
      <c r="L996" s="204"/>
    </row>
    <row r="997" spans="1:14" ht="14.65" thickBot="1" x14ac:dyDescent="0.5">
      <c r="A997" s="464"/>
      <c r="B997" s="456"/>
      <c r="C997" s="456"/>
      <c r="D997" s="457"/>
      <c r="I997" s="204"/>
      <c r="J997" s="204"/>
      <c r="K997" s="204"/>
      <c r="L997" s="204"/>
    </row>
    <row r="999" spans="1:14" ht="14.65" thickBot="1" x14ac:dyDescent="0.5">
      <c r="A999" s="90"/>
      <c r="B999" s="90"/>
      <c r="C999" s="90"/>
      <c r="D999" s="90"/>
      <c r="E999" s="90"/>
      <c r="F999" s="90"/>
      <c r="G999" s="90"/>
      <c r="H999" s="90"/>
      <c r="I999" s="90"/>
      <c r="J999" s="90"/>
      <c r="K999" s="90"/>
      <c r="L999" s="90"/>
      <c r="M999" s="204"/>
      <c r="N999" s="204"/>
    </row>
    <row r="1000" spans="1:14" ht="21.75" customHeight="1" x14ac:dyDescent="0.45">
      <c r="A1000" s="458" t="s">
        <v>135</v>
      </c>
      <c r="B1000" s="459"/>
      <c r="C1000" s="459"/>
      <c r="D1000" s="459"/>
      <c r="E1000" s="459"/>
      <c r="F1000" s="459"/>
      <c r="G1000" s="459"/>
      <c r="H1000" s="459"/>
      <c r="I1000" s="459"/>
      <c r="J1000" s="459"/>
      <c r="K1000" s="459"/>
      <c r="L1000" s="460"/>
    </row>
    <row r="1001" spans="1:14" ht="29" customHeight="1" thickBot="1" x14ac:dyDescent="0.5">
      <c r="A1001" s="93" t="s">
        <v>74</v>
      </c>
      <c r="B1001" s="94" t="s">
        <v>28</v>
      </c>
      <c r="C1001" s="95" t="s">
        <v>320</v>
      </c>
      <c r="D1001" s="95" t="s">
        <v>127</v>
      </c>
      <c r="E1001" s="114" t="s">
        <v>90</v>
      </c>
      <c r="F1001" s="95" t="s">
        <v>175</v>
      </c>
      <c r="G1001" s="95" t="s">
        <v>176</v>
      </c>
      <c r="H1001" s="95" t="s">
        <v>156</v>
      </c>
      <c r="I1001" s="95" t="s">
        <v>157</v>
      </c>
      <c r="J1001" s="189" t="s">
        <v>321</v>
      </c>
      <c r="K1001" s="190" t="s">
        <v>29</v>
      </c>
      <c r="L1001" s="191" t="s">
        <v>322</v>
      </c>
    </row>
    <row r="1002" spans="1:14" x14ac:dyDescent="0.45">
      <c r="A1002" s="461">
        <v>1</v>
      </c>
      <c r="B1002" s="440">
        <v>1</v>
      </c>
      <c r="C1002" s="192">
        <v>1</v>
      </c>
      <c r="D1002" s="79"/>
      <c r="E1002" s="96"/>
      <c r="F1002" s="96"/>
      <c r="G1002" s="96"/>
      <c r="H1002" s="96"/>
      <c r="I1002" s="96"/>
      <c r="J1002" s="96"/>
      <c r="K1002" s="96"/>
      <c r="L1002" s="193"/>
    </row>
    <row r="1003" spans="1:14" x14ac:dyDescent="0.45">
      <c r="A1003" s="462"/>
      <c r="B1003" s="441"/>
      <c r="C1003" s="194">
        <v>2</v>
      </c>
      <c r="D1003" s="80"/>
      <c r="E1003" s="97"/>
      <c r="F1003" s="97"/>
      <c r="G1003" s="97"/>
      <c r="H1003" s="97"/>
      <c r="I1003" s="97"/>
      <c r="J1003" s="97"/>
      <c r="K1003" s="97"/>
      <c r="L1003" s="195"/>
    </row>
    <row r="1004" spans="1:14" x14ac:dyDescent="0.45">
      <c r="A1004" s="462"/>
      <c r="B1004" s="441"/>
      <c r="C1004" s="194">
        <v>3</v>
      </c>
      <c r="D1004" s="80"/>
      <c r="E1004" s="97"/>
      <c r="F1004" s="97"/>
      <c r="G1004" s="97"/>
      <c r="H1004" s="97"/>
      <c r="I1004" s="97"/>
      <c r="J1004" s="97"/>
      <c r="K1004" s="97"/>
      <c r="L1004" s="195"/>
    </row>
    <row r="1005" spans="1:14" x14ac:dyDescent="0.45">
      <c r="A1005" s="462"/>
      <c r="B1005" s="441"/>
      <c r="C1005" s="194">
        <v>4</v>
      </c>
      <c r="D1005" s="80"/>
      <c r="E1005" s="97"/>
      <c r="F1005" s="97"/>
      <c r="G1005" s="97"/>
      <c r="H1005" s="97"/>
      <c r="I1005" s="97"/>
      <c r="J1005" s="97"/>
      <c r="K1005" s="97"/>
      <c r="L1005" s="195"/>
    </row>
    <row r="1006" spans="1:14" x14ac:dyDescent="0.45">
      <c r="A1006" s="462"/>
      <c r="B1006" s="441"/>
      <c r="C1006" s="194">
        <v>5</v>
      </c>
      <c r="D1006" s="80"/>
      <c r="E1006" s="97"/>
      <c r="F1006" s="97"/>
      <c r="G1006" s="97"/>
      <c r="H1006" s="97"/>
      <c r="I1006" s="97"/>
      <c r="J1006" s="97"/>
      <c r="K1006" s="97"/>
      <c r="L1006" s="195"/>
    </row>
    <row r="1007" spans="1:14" x14ac:dyDescent="0.45">
      <c r="A1007" s="462"/>
      <c r="B1007" s="441"/>
      <c r="C1007" s="194">
        <v>6</v>
      </c>
      <c r="D1007" s="80"/>
      <c r="E1007" s="97"/>
      <c r="F1007" s="97"/>
      <c r="G1007" s="97"/>
      <c r="H1007" s="97"/>
      <c r="I1007" s="97"/>
      <c r="J1007" s="97"/>
      <c r="K1007" s="97"/>
      <c r="L1007" s="195"/>
    </row>
    <row r="1008" spans="1:14" x14ac:dyDescent="0.45">
      <c r="A1008" s="462"/>
      <c r="B1008" s="441"/>
      <c r="C1008" s="194">
        <v>7</v>
      </c>
      <c r="D1008" s="80"/>
      <c r="E1008" s="97"/>
      <c r="F1008" s="97"/>
      <c r="G1008" s="97"/>
      <c r="H1008" s="97"/>
      <c r="I1008" s="97"/>
      <c r="J1008" s="97"/>
      <c r="K1008" s="97"/>
      <c r="L1008" s="195"/>
    </row>
    <row r="1009" spans="1:14" x14ac:dyDescent="0.45">
      <c r="A1009" s="462"/>
      <c r="B1009" s="441"/>
      <c r="C1009" s="194">
        <v>8</v>
      </c>
      <c r="D1009" s="80"/>
      <c r="E1009" s="97"/>
      <c r="F1009" s="97"/>
      <c r="G1009" s="97"/>
      <c r="H1009" s="97"/>
      <c r="I1009" s="97"/>
      <c r="J1009" s="97"/>
      <c r="K1009" s="97"/>
      <c r="L1009" s="195"/>
    </row>
    <row r="1010" spans="1:14" x14ac:dyDescent="0.45">
      <c r="A1010" s="462"/>
      <c r="B1010" s="441"/>
      <c r="C1010" s="194">
        <v>9</v>
      </c>
      <c r="D1010" s="80"/>
      <c r="E1010" s="97"/>
      <c r="F1010" s="97"/>
      <c r="G1010" s="97"/>
      <c r="H1010" s="97"/>
      <c r="I1010" s="97"/>
      <c r="J1010" s="97"/>
      <c r="K1010" s="97"/>
      <c r="L1010" s="195"/>
    </row>
    <row r="1011" spans="1:14" x14ac:dyDescent="0.45">
      <c r="A1011" s="462"/>
      <c r="B1011" s="441"/>
      <c r="C1011" s="194">
        <v>10</v>
      </c>
      <c r="D1011" s="80"/>
      <c r="E1011" s="97"/>
      <c r="F1011" s="97"/>
      <c r="G1011" s="97"/>
      <c r="H1011" s="97"/>
      <c r="I1011" s="97"/>
      <c r="J1011" s="97"/>
      <c r="K1011" s="97"/>
      <c r="L1011" s="195"/>
    </row>
    <row r="1012" spans="1:14" x14ac:dyDescent="0.45">
      <c r="A1012" s="462"/>
      <c r="B1012" s="441"/>
      <c r="C1012" s="194">
        <v>11</v>
      </c>
      <c r="D1012" s="81"/>
      <c r="E1012" s="98"/>
      <c r="F1012" s="98"/>
      <c r="G1012" s="98"/>
      <c r="H1012" s="98"/>
      <c r="I1012" s="98"/>
      <c r="J1012" s="98"/>
      <c r="K1012" s="98"/>
      <c r="L1012" s="196"/>
    </row>
    <row r="1013" spans="1:14" s="90" customFormat="1" ht="14.65" thickBot="1" x14ac:dyDescent="0.5">
      <c r="A1013" s="462"/>
      <c r="B1013" s="442"/>
      <c r="C1013" s="197">
        <v>12</v>
      </c>
      <c r="D1013" s="82"/>
      <c r="E1013" s="99"/>
      <c r="F1013" s="99"/>
      <c r="G1013" s="99"/>
      <c r="H1013" s="99"/>
      <c r="I1013" s="99"/>
      <c r="J1013" s="99"/>
      <c r="K1013" s="99"/>
      <c r="L1013" s="198"/>
      <c r="M1013" s="61"/>
      <c r="N1013" s="61"/>
    </row>
    <row r="1014" spans="1:14" x14ac:dyDescent="0.45">
      <c r="A1014" s="462"/>
      <c r="B1014" s="440">
        <v>2</v>
      </c>
      <c r="C1014" s="192">
        <v>1</v>
      </c>
      <c r="D1014" s="79"/>
      <c r="E1014" s="96"/>
      <c r="F1014" s="96"/>
      <c r="G1014" s="96"/>
      <c r="H1014" s="96"/>
      <c r="I1014" s="96"/>
      <c r="J1014" s="96"/>
      <c r="K1014" s="96"/>
      <c r="L1014" s="193"/>
    </row>
    <row r="1015" spans="1:14" x14ac:dyDescent="0.45">
      <c r="A1015" s="462"/>
      <c r="B1015" s="441"/>
      <c r="C1015" s="194">
        <v>2</v>
      </c>
      <c r="D1015" s="80"/>
      <c r="E1015" s="97"/>
      <c r="F1015" s="97"/>
      <c r="G1015" s="97"/>
      <c r="H1015" s="97"/>
      <c r="I1015" s="97"/>
      <c r="J1015" s="97"/>
      <c r="K1015" s="97"/>
      <c r="L1015" s="195"/>
    </row>
    <row r="1016" spans="1:14" x14ac:dyDescent="0.45">
      <c r="A1016" s="462"/>
      <c r="B1016" s="441"/>
      <c r="C1016" s="194">
        <v>3</v>
      </c>
      <c r="D1016" s="80"/>
      <c r="E1016" s="97"/>
      <c r="F1016" s="97"/>
      <c r="G1016" s="97"/>
      <c r="H1016" s="97"/>
      <c r="I1016" s="97"/>
      <c r="J1016" s="97"/>
      <c r="K1016" s="97"/>
      <c r="L1016" s="195"/>
    </row>
    <row r="1017" spans="1:14" x14ac:dyDescent="0.45">
      <c r="A1017" s="462"/>
      <c r="B1017" s="441"/>
      <c r="C1017" s="194">
        <v>4</v>
      </c>
      <c r="D1017" s="80"/>
      <c r="E1017" s="97"/>
      <c r="F1017" s="97"/>
      <c r="G1017" s="97"/>
      <c r="H1017" s="97"/>
      <c r="I1017" s="97"/>
      <c r="J1017" s="97"/>
      <c r="K1017" s="97"/>
      <c r="L1017" s="195"/>
    </row>
    <row r="1018" spans="1:14" x14ac:dyDescent="0.45">
      <c r="A1018" s="462"/>
      <c r="B1018" s="441"/>
      <c r="C1018" s="194">
        <v>5</v>
      </c>
      <c r="D1018" s="80"/>
      <c r="E1018" s="97"/>
      <c r="F1018" s="97"/>
      <c r="G1018" s="97"/>
      <c r="H1018" s="97"/>
      <c r="I1018" s="97"/>
      <c r="J1018" s="97"/>
      <c r="K1018" s="97"/>
      <c r="L1018" s="195"/>
    </row>
    <row r="1019" spans="1:14" x14ac:dyDescent="0.45">
      <c r="A1019" s="462"/>
      <c r="B1019" s="441"/>
      <c r="C1019" s="194">
        <v>6</v>
      </c>
      <c r="D1019" s="80"/>
      <c r="E1019" s="97"/>
      <c r="F1019" s="97"/>
      <c r="G1019" s="97"/>
      <c r="H1019" s="97"/>
      <c r="I1019" s="97"/>
      <c r="J1019" s="97"/>
      <c r="K1019" s="97"/>
      <c r="L1019" s="195"/>
    </row>
    <row r="1020" spans="1:14" x14ac:dyDescent="0.45">
      <c r="A1020" s="462"/>
      <c r="B1020" s="441"/>
      <c r="C1020" s="194">
        <v>7</v>
      </c>
      <c r="D1020" s="80"/>
      <c r="E1020" s="97"/>
      <c r="F1020" s="97"/>
      <c r="G1020" s="97"/>
      <c r="H1020" s="97"/>
      <c r="I1020" s="97"/>
      <c r="J1020" s="97"/>
      <c r="K1020" s="97"/>
      <c r="L1020" s="195"/>
    </row>
    <row r="1021" spans="1:14" x14ac:dyDescent="0.45">
      <c r="A1021" s="462"/>
      <c r="B1021" s="441"/>
      <c r="C1021" s="194">
        <v>8</v>
      </c>
      <c r="D1021" s="80"/>
      <c r="E1021" s="97"/>
      <c r="F1021" s="97"/>
      <c r="G1021" s="97"/>
      <c r="H1021" s="97"/>
      <c r="I1021" s="97"/>
      <c r="J1021" s="97"/>
      <c r="K1021" s="97"/>
      <c r="L1021" s="195"/>
    </row>
    <row r="1022" spans="1:14" x14ac:dyDescent="0.45">
      <c r="A1022" s="462"/>
      <c r="B1022" s="441"/>
      <c r="C1022" s="194">
        <v>9</v>
      </c>
      <c r="D1022" s="80"/>
      <c r="E1022" s="97"/>
      <c r="F1022" s="97"/>
      <c r="G1022" s="97"/>
      <c r="H1022" s="97"/>
      <c r="I1022" s="97"/>
      <c r="J1022" s="97"/>
      <c r="K1022" s="97"/>
      <c r="L1022" s="195"/>
    </row>
    <row r="1023" spans="1:14" x14ac:dyDescent="0.45">
      <c r="A1023" s="462"/>
      <c r="B1023" s="441"/>
      <c r="C1023" s="194">
        <v>10</v>
      </c>
      <c r="D1023" s="80"/>
      <c r="E1023" s="97"/>
      <c r="F1023" s="97"/>
      <c r="G1023" s="97"/>
      <c r="H1023" s="97"/>
      <c r="I1023" s="97"/>
      <c r="J1023" s="97"/>
      <c r="K1023" s="97"/>
      <c r="L1023" s="195"/>
    </row>
    <row r="1024" spans="1:14" x14ac:dyDescent="0.45">
      <c r="A1024" s="462"/>
      <c r="B1024" s="441"/>
      <c r="C1024" s="194">
        <v>11</v>
      </c>
      <c r="D1024" s="81"/>
      <c r="E1024" s="98"/>
      <c r="F1024" s="98"/>
      <c r="G1024" s="98"/>
      <c r="H1024" s="98"/>
      <c r="I1024" s="98"/>
      <c r="J1024" s="98"/>
      <c r="K1024" s="98"/>
      <c r="L1024" s="196"/>
    </row>
    <row r="1025" spans="1:12" ht="14.65" thickBot="1" x14ac:dyDescent="0.5">
      <c r="A1025" s="462"/>
      <c r="B1025" s="442"/>
      <c r="C1025" s="197">
        <v>12</v>
      </c>
      <c r="D1025" s="82"/>
      <c r="E1025" s="99"/>
      <c r="F1025" s="99"/>
      <c r="G1025" s="99"/>
      <c r="H1025" s="99"/>
      <c r="I1025" s="99"/>
      <c r="J1025" s="99"/>
      <c r="K1025" s="99"/>
      <c r="L1025" s="198"/>
    </row>
    <row r="1026" spans="1:12" x14ac:dyDescent="0.45">
      <c r="A1026" s="462"/>
      <c r="B1026" s="440">
        <v>3</v>
      </c>
      <c r="C1026" s="192">
        <v>1</v>
      </c>
      <c r="D1026" s="79"/>
      <c r="E1026" s="96"/>
      <c r="F1026" s="96"/>
      <c r="G1026" s="96"/>
      <c r="H1026" s="96"/>
      <c r="I1026" s="96"/>
      <c r="J1026" s="96"/>
      <c r="K1026" s="96"/>
      <c r="L1026" s="193"/>
    </row>
    <row r="1027" spans="1:12" x14ac:dyDescent="0.45">
      <c r="A1027" s="462"/>
      <c r="B1027" s="441"/>
      <c r="C1027" s="194">
        <v>2</v>
      </c>
      <c r="D1027" s="80"/>
      <c r="E1027" s="97"/>
      <c r="F1027" s="97"/>
      <c r="G1027" s="97"/>
      <c r="H1027" s="97"/>
      <c r="I1027" s="97"/>
      <c r="J1027" s="97"/>
      <c r="K1027" s="97"/>
      <c r="L1027" s="195"/>
    </row>
    <row r="1028" spans="1:12" x14ac:dyDescent="0.45">
      <c r="A1028" s="462"/>
      <c r="B1028" s="441"/>
      <c r="C1028" s="194">
        <v>3</v>
      </c>
      <c r="D1028" s="80"/>
      <c r="E1028" s="97"/>
      <c r="F1028" s="97"/>
      <c r="G1028" s="97"/>
      <c r="H1028" s="97"/>
      <c r="I1028" s="97"/>
      <c r="J1028" s="97"/>
      <c r="K1028" s="97"/>
      <c r="L1028" s="195"/>
    </row>
    <row r="1029" spans="1:12" x14ac:dyDescent="0.45">
      <c r="A1029" s="462"/>
      <c r="B1029" s="441"/>
      <c r="C1029" s="194">
        <v>4</v>
      </c>
      <c r="D1029" s="80"/>
      <c r="E1029" s="97"/>
      <c r="F1029" s="97"/>
      <c r="G1029" s="97"/>
      <c r="H1029" s="97"/>
      <c r="I1029" s="97"/>
      <c r="J1029" s="97"/>
      <c r="K1029" s="97"/>
      <c r="L1029" s="195"/>
    </row>
    <row r="1030" spans="1:12" x14ac:dyDescent="0.45">
      <c r="A1030" s="462"/>
      <c r="B1030" s="441"/>
      <c r="C1030" s="194">
        <v>5</v>
      </c>
      <c r="D1030" s="80"/>
      <c r="E1030" s="97"/>
      <c r="F1030" s="97"/>
      <c r="G1030" s="97"/>
      <c r="H1030" s="97"/>
      <c r="I1030" s="97"/>
      <c r="J1030" s="97"/>
      <c r="K1030" s="97"/>
      <c r="L1030" s="195"/>
    </row>
    <row r="1031" spans="1:12" x14ac:dyDescent="0.45">
      <c r="A1031" s="462"/>
      <c r="B1031" s="441"/>
      <c r="C1031" s="194">
        <v>6</v>
      </c>
      <c r="D1031" s="80"/>
      <c r="E1031" s="97"/>
      <c r="F1031" s="97"/>
      <c r="G1031" s="97"/>
      <c r="H1031" s="97"/>
      <c r="I1031" s="97"/>
      <c r="J1031" s="97"/>
      <c r="K1031" s="97"/>
      <c r="L1031" s="195"/>
    </row>
    <row r="1032" spans="1:12" x14ac:dyDescent="0.45">
      <c r="A1032" s="462"/>
      <c r="B1032" s="441"/>
      <c r="C1032" s="194">
        <v>7</v>
      </c>
      <c r="D1032" s="80"/>
      <c r="E1032" s="97"/>
      <c r="F1032" s="97"/>
      <c r="G1032" s="97"/>
      <c r="H1032" s="97"/>
      <c r="I1032" s="97"/>
      <c r="J1032" s="97"/>
      <c r="K1032" s="97"/>
      <c r="L1032" s="195"/>
    </row>
    <row r="1033" spans="1:12" x14ac:dyDescent="0.45">
      <c r="A1033" s="462"/>
      <c r="B1033" s="441"/>
      <c r="C1033" s="194">
        <v>8</v>
      </c>
      <c r="D1033" s="80"/>
      <c r="E1033" s="97"/>
      <c r="F1033" s="97"/>
      <c r="G1033" s="97"/>
      <c r="H1033" s="97"/>
      <c r="I1033" s="97"/>
      <c r="J1033" s="97"/>
      <c r="K1033" s="97"/>
      <c r="L1033" s="195"/>
    </row>
    <row r="1034" spans="1:12" x14ac:dyDescent="0.45">
      <c r="A1034" s="462"/>
      <c r="B1034" s="441"/>
      <c r="C1034" s="194">
        <v>9</v>
      </c>
      <c r="D1034" s="80"/>
      <c r="E1034" s="97"/>
      <c r="F1034" s="97"/>
      <c r="G1034" s="97"/>
      <c r="H1034" s="97"/>
      <c r="I1034" s="97"/>
      <c r="J1034" s="97"/>
      <c r="K1034" s="97"/>
      <c r="L1034" s="195"/>
    </row>
    <row r="1035" spans="1:12" x14ac:dyDescent="0.45">
      <c r="A1035" s="462"/>
      <c r="B1035" s="441"/>
      <c r="C1035" s="194">
        <v>10</v>
      </c>
      <c r="D1035" s="80"/>
      <c r="E1035" s="97"/>
      <c r="F1035" s="97"/>
      <c r="G1035" s="97"/>
      <c r="H1035" s="97"/>
      <c r="I1035" s="97"/>
      <c r="J1035" s="97"/>
      <c r="K1035" s="97"/>
      <c r="L1035" s="195"/>
    </row>
    <row r="1036" spans="1:12" x14ac:dyDescent="0.45">
      <c r="A1036" s="462"/>
      <c r="B1036" s="441"/>
      <c r="C1036" s="194">
        <v>11</v>
      </c>
      <c r="D1036" s="81"/>
      <c r="E1036" s="98"/>
      <c r="F1036" s="98"/>
      <c r="G1036" s="98"/>
      <c r="H1036" s="98"/>
      <c r="I1036" s="98"/>
      <c r="J1036" s="98"/>
      <c r="K1036" s="98"/>
      <c r="L1036" s="196"/>
    </row>
    <row r="1037" spans="1:12" ht="14.65" thickBot="1" x14ac:dyDescent="0.5">
      <c r="A1037" s="462"/>
      <c r="B1037" s="442"/>
      <c r="C1037" s="197">
        <v>12</v>
      </c>
      <c r="D1037" s="82"/>
      <c r="E1037" s="99"/>
      <c r="F1037" s="99"/>
      <c r="G1037" s="99"/>
      <c r="H1037" s="99"/>
      <c r="I1037" s="99"/>
      <c r="J1037" s="99"/>
      <c r="K1037" s="99"/>
      <c r="L1037" s="198"/>
    </row>
    <row r="1038" spans="1:12" x14ac:dyDescent="0.45">
      <c r="A1038" s="462"/>
      <c r="B1038" s="440">
        <v>4</v>
      </c>
      <c r="C1038" s="192">
        <v>1</v>
      </c>
      <c r="D1038" s="79"/>
      <c r="E1038" s="96"/>
      <c r="F1038" s="96"/>
      <c r="G1038" s="96"/>
      <c r="H1038" s="96"/>
      <c r="I1038" s="96"/>
      <c r="J1038" s="96"/>
      <c r="K1038" s="96"/>
      <c r="L1038" s="193"/>
    </row>
    <row r="1039" spans="1:12" x14ac:dyDescent="0.45">
      <c r="A1039" s="462"/>
      <c r="B1039" s="441"/>
      <c r="C1039" s="194">
        <v>2</v>
      </c>
      <c r="D1039" s="80"/>
      <c r="E1039" s="97"/>
      <c r="F1039" s="97"/>
      <c r="G1039" s="97"/>
      <c r="H1039" s="97"/>
      <c r="I1039" s="97"/>
      <c r="J1039" s="97"/>
      <c r="K1039" s="97"/>
      <c r="L1039" s="195"/>
    </row>
    <row r="1040" spans="1:12" x14ac:dyDescent="0.45">
      <c r="A1040" s="462"/>
      <c r="B1040" s="441"/>
      <c r="C1040" s="194">
        <v>3</v>
      </c>
      <c r="D1040" s="80"/>
      <c r="E1040" s="97"/>
      <c r="F1040" s="97"/>
      <c r="G1040" s="97"/>
      <c r="H1040" s="97"/>
      <c r="I1040" s="97"/>
      <c r="J1040" s="97"/>
      <c r="K1040" s="97"/>
      <c r="L1040" s="195"/>
    </row>
    <row r="1041" spans="1:12" x14ac:dyDescent="0.45">
      <c r="A1041" s="462"/>
      <c r="B1041" s="441"/>
      <c r="C1041" s="194">
        <v>4</v>
      </c>
      <c r="D1041" s="80"/>
      <c r="E1041" s="97"/>
      <c r="F1041" s="97"/>
      <c r="G1041" s="97"/>
      <c r="H1041" s="97"/>
      <c r="I1041" s="97"/>
      <c r="J1041" s="97"/>
      <c r="K1041" s="97"/>
      <c r="L1041" s="195"/>
    </row>
    <row r="1042" spans="1:12" x14ac:dyDescent="0.45">
      <c r="A1042" s="462"/>
      <c r="B1042" s="441"/>
      <c r="C1042" s="194">
        <v>5</v>
      </c>
      <c r="D1042" s="80"/>
      <c r="E1042" s="97"/>
      <c r="F1042" s="97"/>
      <c r="G1042" s="97"/>
      <c r="H1042" s="97"/>
      <c r="I1042" s="97"/>
      <c r="J1042" s="97"/>
      <c r="K1042" s="97"/>
      <c r="L1042" s="195"/>
    </row>
    <row r="1043" spans="1:12" x14ac:dyDescent="0.45">
      <c r="A1043" s="462"/>
      <c r="B1043" s="441"/>
      <c r="C1043" s="194">
        <v>6</v>
      </c>
      <c r="D1043" s="80"/>
      <c r="E1043" s="97"/>
      <c r="F1043" s="97"/>
      <c r="G1043" s="97"/>
      <c r="H1043" s="97"/>
      <c r="I1043" s="97"/>
      <c r="J1043" s="97"/>
      <c r="K1043" s="97"/>
      <c r="L1043" s="195"/>
    </row>
    <row r="1044" spans="1:12" x14ac:dyDescent="0.45">
      <c r="A1044" s="462"/>
      <c r="B1044" s="441"/>
      <c r="C1044" s="194">
        <v>7</v>
      </c>
      <c r="D1044" s="80"/>
      <c r="E1044" s="97"/>
      <c r="F1044" s="97"/>
      <c r="G1044" s="97"/>
      <c r="H1044" s="97"/>
      <c r="I1044" s="97"/>
      <c r="J1044" s="97"/>
      <c r="K1044" s="97"/>
      <c r="L1044" s="195"/>
    </row>
    <row r="1045" spans="1:12" x14ac:dyDescent="0.45">
      <c r="A1045" s="462"/>
      <c r="B1045" s="441"/>
      <c r="C1045" s="194">
        <v>8</v>
      </c>
      <c r="D1045" s="80"/>
      <c r="E1045" s="97"/>
      <c r="F1045" s="97"/>
      <c r="G1045" s="97"/>
      <c r="H1045" s="97"/>
      <c r="I1045" s="97"/>
      <c r="J1045" s="97"/>
      <c r="K1045" s="97"/>
      <c r="L1045" s="195"/>
    </row>
    <row r="1046" spans="1:12" x14ac:dyDescent="0.45">
      <c r="A1046" s="462"/>
      <c r="B1046" s="441"/>
      <c r="C1046" s="194">
        <v>9</v>
      </c>
      <c r="D1046" s="80"/>
      <c r="E1046" s="97"/>
      <c r="F1046" s="97"/>
      <c r="G1046" s="97"/>
      <c r="H1046" s="97"/>
      <c r="I1046" s="97"/>
      <c r="J1046" s="97"/>
      <c r="K1046" s="97"/>
      <c r="L1046" s="195"/>
    </row>
    <row r="1047" spans="1:12" x14ac:dyDescent="0.45">
      <c r="A1047" s="462"/>
      <c r="B1047" s="441"/>
      <c r="C1047" s="194">
        <v>10</v>
      </c>
      <c r="D1047" s="80"/>
      <c r="E1047" s="97"/>
      <c r="F1047" s="97"/>
      <c r="G1047" s="97"/>
      <c r="H1047" s="97"/>
      <c r="I1047" s="97"/>
      <c r="J1047" s="97"/>
      <c r="K1047" s="97"/>
      <c r="L1047" s="195"/>
    </row>
    <row r="1048" spans="1:12" x14ac:dyDescent="0.45">
      <c r="A1048" s="462"/>
      <c r="B1048" s="441"/>
      <c r="C1048" s="194">
        <v>11</v>
      </c>
      <c r="D1048" s="81"/>
      <c r="E1048" s="98"/>
      <c r="F1048" s="98"/>
      <c r="G1048" s="98"/>
      <c r="H1048" s="98"/>
      <c r="I1048" s="98"/>
      <c r="J1048" s="98"/>
      <c r="K1048" s="98"/>
      <c r="L1048" s="196"/>
    </row>
    <row r="1049" spans="1:12" ht="14.65" thickBot="1" x14ac:dyDescent="0.5">
      <c r="A1049" s="463"/>
      <c r="B1049" s="442"/>
      <c r="C1049" s="197">
        <v>12</v>
      </c>
      <c r="D1049" s="82"/>
      <c r="E1049" s="99"/>
      <c r="F1049" s="99"/>
      <c r="G1049" s="99"/>
      <c r="H1049" s="99"/>
      <c r="I1049" s="99"/>
      <c r="J1049" s="99"/>
      <c r="K1049" s="99"/>
      <c r="L1049" s="198"/>
    </row>
    <row r="1050" spans="1:12" x14ac:dyDescent="0.45">
      <c r="A1050" s="461">
        <v>2</v>
      </c>
      <c r="B1050" s="440">
        <v>5</v>
      </c>
      <c r="C1050" s="192">
        <v>1</v>
      </c>
      <c r="D1050" s="79"/>
      <c r="E1050" s="96"/>
      <c r="F1050" s="96"/>
      <c r="G1050" s="96"/>
      <c r="H1050" s="96"/>
      <c r="I1050" s="96"/>
      <c r="J1050" s="96"/>
      <c r="K1050" s="96"/>
      <c r="L1050" s="193"/>
    </row>
    <row r="1051" spans="1:12" x14ac:dyDescent="0.45">
      <c r="A1051" s="462"/>
      <c r="B1051" s="441"/>
      <c r="C1051" s="194">
        <v>2</v>
      </c>
      <c r="D1051" s="80"/>
      <c r="E1051" s="97"/>
      <c r="F1051" s="97"/>
      <c r="G1051" s="97"/>
      <c r="H1051" s="97"/>
      <c r="I1051" s="97"/>
      <c r="J1051" s="97"/>
      <c r="K1051" s="97"/>
      <c r="L1051" s="195"/>
    </row>
    <row r="1052" spans="1:12" x14ac:dyDescent="0.45">
      <c r="A1052" s="462"/>
      <c r="B1052" s="441"/>
      <c r="C1052" s="194">
        <v>3</v>
      </c>
      <c r="D1052" s="80"/>
      <c r="E1052" s="97"/>
      <c r="F1052" s="97"/>
      <c r="G1052" s="97"/>
      <c r="H1052" s="97"/>
      <c r="I1052" s="97"/>
      <c r="J1052" s="97"/>
      <c r="K1052" s="97"/>
      <c r="L1052" s="195"/>
    </row>
    <row r="1053" spans="1:12" x14ac:dyDescent="0.45">
      <c r="A1053" s="462"/>
      <c r="B1053" s="441"/>
      <c r="C1053" s="194">
        <v>4</v>
      </c>
      <c r="D1053" s="80"/>
      <c r="E1053" s="97"/>
      <c r="F1053" s="97"/>
      <c r="G1053" s="97"/>
      <c r="H1053" s="97"/>
      <c r="I1053" s="97"/>
      <c r="J1053" s="97"/>
      <c r="K1053" s="97"/>
      <c r="L1053" s="195"/>
    </row>
    <row r="1054" spans="1:12" x14ac:dyDescent="0.45">
      <c r="A1054" s="462"/>
      <c r="B1054" s="441"/>
      <c r="C1054" s="194">
        <v>5</v>
      </c>
      <c r="D1054" s="80"/>
      <c r="E1054" s="97"/>
      <c r="F1054" s="97"/>
      <c r="G1054" s="97"/>
      <c r="H1054" s="97"/>
      <c r="I1054" s="97"/>
      <c r="J1054" s="97"/>
      <c r="K1054" s="97"/>
      <c r="L1054" s="195"/>
    </row>
    <row r="1055" spans="1:12" x14ac:dyDescent="0.45">
      <c r="A1055" s="462"/>
      <c r="B1055" s="441"/>
      <c r="C1055" s="194">
        <v>6</v>
      </c>
      <c r="D1055" s="80"/>
      <c r="E1055" s="97"/>
      <c r="F1055" s="97"/>
      <c r="G1055" s="97"/>
      <c r="H1055" s="97"/>
      <c r="I1055" s="97"/>
      <c r="J1055" s="97"/>
      <c r="K1055" s="97"/>
      <c r="L1055" s="195"/>
    </row>
    <row r="1056" spans="1:12" x14ac:dyDescent="0.45">
      <c r="A1056" s="462"/>
      <c r="B1056" s="441"/>
      <c r="C1056" s="194">
        <v>7</v>
      </c>
      <c r="D1056" s="80"/>
      <c r="E1056" s="97"/>
      <c r="F1056" s="97"/>
      <c r="G1056" s="97"/>
      <c r="H1056" s="97"/>
      <c r="I1056" s="97"/>
      <c r="J1056" s="97"/>
      <c r="K1056" s="97"/>
      <c r="L1056" s="195"/>
    </row>
    <row r="1057" spans="1:12" x14ac:dyDescent="0.45">
      <c r="A1057" s="462"/>
      <c r="B1057" s="441"/>
      <c r="C1057" s="194">
        <v>8</v>
      </c>
      <c r="D1057" s="80"/>
      <c r="E1057" s="97"/>
      <c r="F1057" s="97"/>
      <c r="G1057" s="97"/>
      <c r="H1057" s="97"/>
      <c r="I1057" s="97"/>
      <c r="J1057" s="97"/>
      <c r="K1057" s="97"/>
      <c r="L1057" s="195"/>
    </row>
    <row r="1058" spans="1:12" x14ac:dyDescent="0.45">
      <c r="A1058" s="462"/>
      <c r="B1058" s="441"/>
      <c r="C1058" s="194">
        <v>9</v>
      </c>
      <c r="D1058" s="80"/>
      <c r="E1058" s="97"/>
      <c r="F1058" s="97"/>
      <c r="G1058" s="97"/>
      <c r="H1058" s="97"/>
      <c r="I1058" s="97"/>
      <c r="J1058" s="97"/>
      <c r="K1058" s="97"/>
      <c r="L1058" s="195"/>
    </row>
    <row r="1059" spans="1:12" x14ac:dyDescent="0.45">
      <c r="A1059" s="462"/>
      <c r="B1059" s="441"/>
      <c r="C1059" s="194">
        <v>10</v>
      </c>
      <c r="D1059" s="80"/>
      <c r="E1059" s="97"/>
      <c r="F1059" s="97"/>
      <c r="G1059" s="97"/>
      <c r="H1059" s="97"/>
      <c r="I1059" s="97"/>
      <c r="J1059" s="97"/>
      <c r="K1059" s="97"/>
      <c r="L1059" s="195"/>
    </row>
    <row r="1060" spans="1:12" x14ac:dyDescent="0.45">
      <c r="A1060" s="462"/>
      <c r="B1060" s="441"/>
      <c r="C1060" s="194">
        <v>11</v>
      </c>
      <c r="D1060" s="81"/>
      <c r="E1060" s="98"/>
      <c r="F1060" s="98"/>
      <c r="G1060" s="98"/>
      <c r="H1060" s="98"/>
      <c r="I1060" s="98"/>
      <c r="J1060" s="98"/>
      <c r="K1060" s="98"/>
      <c r="L1060" s="196"/>
    </row>
    <row r="1061" spans="1:12" ht="14.65" thickBot="1" x14ac:dyDescent="0.5">
      <c r="A1061" s="462"/>
      <c r="B1061" s="442"/>
      <c r="C1061" s="197">
        <v>12</v>
      </c>
      <c r="D1061" s="82"/>
      <c r="E1061" s="99"/>
      <c r="F1061" s="99"/>
      <c r="G1061" s="99"/>
      <c r="H1061" s="99"/>
      <c r="I1061" s="99"/>
      <c r="J1061" s="99"/>
      <c r="K1061" s="99"/>
      <c r="L1061" s="198"/>
    </row>
    <row r="1062" spans="1:12" x14ac:dyDescent="0.45">
      <c r="A1062" s="462"/>
      <c r="B1062" s="440">
        <v>6</v>
      </c>
      <c r="C1062" s="192">
        <v>1</v>
      </c>
      <c r="D1062" s="79"/>
      <c r="E1062" s="96"/>
      <c r="F1062" s="96"/>
      <c r="G1062" s="96"/>
      <c r="H1062" s="96"/>
      <c r="I1062" s="96"/>
      <c r="J1062" s="96"/>
      <c r="K1062" s="96"/>
      <c r="L1062" s="193"/>
    </row>
    <row r="1063" spans="1:12" x14ac:dyDescent="0.45">
      <c r="A1063" s="462"/>
      <c r="B1063" s="441"/>
      <c r="C1063" s="194">
        <v>2</v>
      </c>
      <c r="D1063" s="80"/>
      <c r="E1063" s="97"/>
      <c r="F1063" s="97"/>
      <c r="G1063" s="97"/>
      <c r="H1063" s="97"/>
      <c r="I1063" s="97"/>
      <c r="J1063" s="97"/>
      <c r="K1063" s="97"/>
      <c r="L1063" s="195"/>
    </row>
    <row r="1064" spans="1:12" x14ac:dyDescent="0.45">
      <c r="A1064" s="462"/>
      <c r="B1064" s="441"/>
      <c r="C1064" s="194">
        <v>3</v>
      </c>
      <c r="D1064" s="80"/>
      <c r="E1064" s="97"/>
      <c r="F1064" s="97"/>
      <c r="G1064" s="97"/>
      <c r="H1064" s="97"/>
      <c r="I1064" s="97"/>
      <c r="J1064" s="97"/>
      <c r="K1064" s="97"/>
      <c r="L1064" s="195"/>
    </row>
    <row r="1065" spans="1:12" x14ac:dyDescent="0.45">
      <c r="A1065" s="462"/>
      <c r="B1065" s="441"/>
      <c r="C1065" s="194">
        <v>4</v>
      </c>
      <c r="D1065" s="80"/>
      <c r="E1065" s="97"/>
      <c r="F1065" s="97"/>
      <c r="G1065" s="97"/>
      <c r="H1065" s="97"/>
      <c r="I1065" s="97"/>
      <c r="J1065" s="97"/>
      <c r="K1065" s="97"/>
      <c r="L1065" s="195"/>
    </row>
    <row r="1066" spans="1:12" x14ac:dyDescent="0.45">
      <c r="A1066" s="462"/>
      <c r="B1066" s="441"/>
      <c r="C1066" s="194">
        <v>5</v>
      </c>
      <c r="D1066" s="80"/>
      <c r="E1066" s="97"/>
      <c r="F1066" s="97"/>
      <c r="G1066" s="97"/>
      <c r="H1066" s="97"/>
      <c r="I1066" s="97"/>
      <c r="J1066" s="97"/>
      <c r="K1066" s="97"/>
      <c r="L1066" s="195"/>
    </row>
    <row r="1067" spans="1:12" x14ac:dyDescent="0.45">
      <c r="A1067" s="462"/>
      <c r="B1067" s="441"/>
      <c r="C1067" s="194">
        <v>6</v>
      </c>
      <c r="D1067" s="80"/>
      <c r="E1067" s="97"/>
      <c r="F1067" s="97"/>
      <c r="G1067" s="97"/>
      <c r="H1067" s="97"/>
      <c r="I1067" s="97"/>
      <c r="J1067" s="97"/>
      <c r="K1067" s="97"/>
      <c r="L1067" s="195"/>
    </row>
    <row r="1068" spans="1:12" x14ac:dyDescent="0.45">
      <c r="A1068" s="462"/>
      <c r="B1068" s="441"/>
      <c r="C1068" s="194">
        <v>7</v>
      </c>
      <c r="D1068" s="80"/>
      <c r="E1068" s="97"/>
      <c r="F1068" s="97"/>
      <c r="G1068" s="97"/>
      <c r="H1068" s="97"/>
      <c r="I1068" s="97"/>
      <c r="J1068" s="97"/>
      <c r="K1068" s="97"/>
      <c r="L1068" s="195"/>
    </row>
    <row r="1069" spans="1:12" x14ac:dyDescent="0.45">
      <c r="A1069" s="462"/>
      <c r="B1069" s="441"/>
      <c r="C1069" s="194">
        <v>8</v>
      </c>
      <c r="D1069" s="80"/>
      <c r="E1069" s="97"/>
      <c r="F1069" s="97"/>
      <c r="G1069" s="97"/>
      <c r="H1069" s="97"/>
      <c r="I1069" s="97"/>
      <c r="J1069" s="97"/>
      <c r="K1069" s="97"/>
      <c r="L1069" s="195"/>
    </row>
    <row r="1070" spans="1:12" x14ac:dyDescent="0.45">
      <c r="A1070" s="462"/>
      <c r="B1070" s="441"/>
      <c r="C1070" s="194">
        <v>9</v>
      </c>
      <c r="D1070" s="80"/>
      <c r="E1070" s="97"/>
      <c r="F1070" s="97"/>
      <c r="G1070" s="97"/>
      <c r="H1070" s="97"/>
      <c r="I1070" s="97"/>
      <c r="J1070" s="97"/>
      <c r="K1070" s="97"/>
      <c r="L1070" s="195"/>
    </row>
    <row r="1071" spans="1:12" x14ac:dyDescent="0.45">
      <c r="A1071" s="462"/>
      <c r="B1071" s="441"/>
      <c r="C1071" s="194">
        <v>10</v>
      </c>
      <c r="D1071" s="80"/>
      <c r="E1071" s="97"/>
      <c r="F1071" s="97"/>
      <c r="G1071" s="97"/>
      <c r="H1071" s="97"/>
      <c r="I1071" s="97"/>
      <c r="J1071" s="97"/>
      <c r="K1071" s="97"/>
      <c r="L1071" s="195"/>
    </row>
    <row r="1072" spans="1:12" x14ac:dyDescent="0.45">
      <c r="A1072" s="462"/>
      <c r="B1072" s="441"/>
      <c r="C1072" s="194">
        <v>11</v>
      </c>
      <c r="D1072" s="81"/>
      <c r="E1072" s="98"/>
      <c r="F1072" s="98"/>
      <c r="G1072" s="98"/>
      <c r="H1072" s="98"/>
      <c r="I1072" s="98"/>
      <c r="J1072" s="98"/>
      <c r="K1072" s="98"/>
      <c r="L1072" s="196"/>
    </row>
    <row r="1073" spans="1:12" ht="14.65" thickBot="1" x14ac:dyDescent="0.5">
      <c r="A1073" s="462"/>
      <c r="B1073" s="442"/>
      <c r="C1073" s="197">
        <v>12</v>
      </c>
      <c r="D1073" s="82"/>
      <c r="E1073" s="99"/>
      <c r="F1073" s="99"/>
      <c r="G1073" s="99"/>
      <c r="H1073" s="99"/>
      <c r="I1073" s="99"/>
      <c r="J1073" s="99"/>
      <c r="K1073" s="99"/>
      <c r="L1073" s="198"/>
    </row>
    <row r="1074" spans="1:12" x14ac:dyDescent="0.45">
      <c r="A1074" s="462"/>
      <c r="B1074" s="440">
        <v>7</v>
      </c>
      <c r="C1074" s="192">
        <v>1</v>
      </c>
      <c r="D1074" s="79"/>
      <c r="E1074" s="96"/>
      <c r="F1074" s="96"/>
      <c r="G1074" s="96"/>
      <c r="H1074" s="96"/>
      <c r="I1074" s="96"/>
      <c r="J1074" s="96"/>
      <c r="K1074" s="96"/>
      <c r="L1074" s="193"/>
    </row>
    <row r="1075" spans="1:12" x14ac:dyDescent="0.45">
      <c r="A1075" s="462"/>
      <c r="B1075" s="441"/>
      <c r="C1075" s="194">
        <v>2</v>
      </c>
      <c r="D1075" s="80"/>
      <c r="E1075" s="97"/>
      <c r="F1075" s="97"/>
      <c r="G1075" s="97"/>
      <c r="H1075" s="97"/>
      <c r="I1075" s="97"/>
      <c r="J1075" s="97"/>
      <c r="K1075" s="97"/>
      <c r="L1075" s="195"/>
    </row>
    <row r="1076" spans="1:12" x14ac:dyDescent="0.45">
      <c r="A1076" s="462"/>
      <c r="B1076" s="441"/>
      <c r="C1076" s="194">
        <v>3</v>
      </c>
      <c r="D1076" s="80"/>
      <c r="E1076" s="97"/>
      <c r="F1076" s="97"/>
      <c r="G1076" s="97"/>
      <c r="H1076" s="97"/>
      <c r="I1076" s="97"/>
      <c r="J1076" s="97"/>
      <c r="K1076" s="97"/>
      <c r="L1076" s="195"/>
    </row>
    <row r="1077" spans="1:12" x14ac:dyDescent="0.45">
      <c r="A1077" s="462"/>
      <c r="B1077" s="441"/>
      <c r="C1077" s="194">
        <v>4</v>
      </c>
      <c r="D1077" s="80"/>
      <c r="E1077" s="97"/>
      <c r="F1077" s="97"/>
      <c r="G1077" s="97"/>
      <c r="H1077" s="97"/>
      <c r="I1077" s="97"/>
      <c r="J1077" s="97"/>
      <c r="K1077" s="97"/>
      <c r="L1077" s="195"/>
    </row>
    <row r="1078" spans="1:12" x14ac:dyDescent="0.45">
      <c r="A1078" s="462"/>
      <c r="B1078" s="441"/>
      <c r="C1078" s="194">
        <v>5</v>
      </c>
      <c r="D1078" s="80"/>
      <c r="E1078" s="97"/>
      <c r="F1078" s="97"/>
      <c r="G1078" s="97"/>
      <c r="H1078" s="97"/>
      <c r="I1078" s="97"/>
      <c r="J1078" s="97"/>
      <c r="K1078" s="97"/>
      <c r="L1078" s="195"/>
    </row>
    <row r="1079" spans="1:12" x14ac:dyDescent="0.45">
      <c r="A1079" s="462"/>
      <c r="B1079" s="441"/>
      <c r="C1079" s="194">
        <v>6</v>
      </c>
      <c r="D1079" s="80"/>
      <c r="E1079" s="97"/>
      <c r="F1079" s="97"/>
      <c r="G1079" s="97"/>
      <c r="H1079" s="97"/>
      <c r="I1079" s="97"/>
      <c r="J1079" s="97"/>
      <c r="K1079" s="97"/>
      <c r="L1079" s="195"/>
    </row>
    <row r="1080" spans="1:12" x14ac:dyDescent="0.45">
      <c r="A1080" s="462"/>
      <c r="B1080" s="441"/>
      <c r="C1080" s="194">
        <v>7</v>
      </c>
      <c r="D1080" s="80"/>
      <c r="E1080" s="97"/>
      <c r="F1080" s="97"/>
      <c r="G1080" s="97"/>
      <c r="H1080" s="97"/>
      <c r="I1080" s="97"/>
      <c r="J1080" s="97"/>
      <c r="K1080" s="97"/>
      <c r="L1080" s="195"/>
    </row>
    <row r="1081" spans="1:12" x14ac:dyDescent="0.45">
      <c r="A1081" s="462"/>
      <c r="B1081" s="441"/>
      <c r="C1081" s="194">
        <v>8</v>
      </c>
      <c r="D1081" s="80"/>
      <c r="E1081" s="97"/>
      <c r="F1081" s="97"/>
      <c r="G1081" s="97"/>
      <c r="H1081" s="97"/>
      <c r="I1081" s="97"/>
      <c r="J1081" s="97"/>
      <c r="K1081" s="97"/>
      <c r="L1081" s="195"/>
    </row>
    <row r="1082" spans="1:12" x14ac:dyDescent="0.45">
      <c r="A1082" s="462"/>
      <c r="B1082" s="441"/>
      <c r="C1082" s="194">
        <v>9</v>
      </c>
      <c r="D1082" s="80"/>
      <c r="E1082" s="97"/>
      <c r="F1082" s="97"/>
      <c r="G1082" s="97"/>
      <c r="H1082" s="97"/>
      <c r="I1082" s="97"/>
      <c r="J1082" s="97"/>
      <c r="K1082" s="97"/>
      <c r="L1082" s="195"/>
    </row>
    <row r="1083" spans="1:12" x14ac:dyDescent="0.45">
      <c r="A1083" s="462"/>
      <c r="B1083" s="441"/>
      <c r="C1083" s="194">
        <v>10</v>
      </c>
      <c r="D1083" s="80"/>
      <c r="E1083" s="97"/>
      <c r="F1083" s="97"/>
      <c r="G1083" s="97"/>
      <c r="H1083" s="97"/>
      <c r="I1083" s="97"/>
      <c r="J1083" s="97"/>
      <c r="K1083" s="97"/>
      <c r="L1083" s="195"/>
    </row>
    <row r="1084" spans="1:12" x14ac:dyDescent="0.45">
      <c r="A1084" s="462"/>
      <c r="B1084" s="441"/>
      <c r="C1084" s="194">
        <v>11</v>
      </c>
      <c r="D1084" s="81"/>
      <c r="E1084" s="98"/>
      <c r="F1084" s="98"/>
      <c r="G1084" s="98"/>
      <c r="H1084" s="98"/>
      <c r="I1084" s="98"/>
      <c r="J1084" s="98"/>
      <c r="K1084" s="98"/>
      <c r="L1084" s="196"/>
    </row>
    <row r="1085" spans="1:12" ht="14.65" thickBot="1" x14ac:dyDescent="0.5">
      <c r="A1085" s="462"/>
      <c r="B1085" s="442"/>
      <c r="C1085" s="197">
        <v>12</v>
      </c>
      <c r="D1085" s="82"/>
      <c r="E1085" s="99"/>
      <c r="F1085" s="99"/>
      <c r="G1085" s="99"/>
      <c r="H1085" s="99"/>
      <c r="I1085" s="99"/>
      <c r="J1085" s="99"/>
      <c r="K1085" s="99"/>
      <c r="L1085" s="198"/>
    </row>
    <row r="1086" spans="1:12" x14ac:dyDescent="0.45">
      <c r="A1086" s="462"/>
      <c r="B1086" s="440">
        <v>8</v>
      </c>
      <c r="C1086" s="192">
        <v>1</v>
      </c>
      <c r="D1086" s="79"/>
      <c r="E1086" s="96"/>
      <c r="F1086" s="96"/>
      <c r="G1086" s="96"/>
      <c r="H1086" s="96"/>
      <c r="I1086" s="96"/>
      <c r="J1086" s="96"/>
      <c r="K1086" s="96"/>
      <c r="L1086" s="193"/>
    </row>
    <row r="1087" spans="1:12" x14ac:dyDescent="0.45">
      <c r="A1087" s="462"/>
      <c r="B1087" s="441"/>
      <c r="C1087" s="194">
        <v>2</v>
      </c>
      <c r="D1087" s="80"/>
      <c r="E1087" s="97"/>
      <c r="F1087" s="97"/>
      <c r="G1087" s="97"/>
      <c r="H1087" s="97"/>
      <c r="I1087" s="97"/>
      <c r="J1087" s="97"/>
      <c r="K1087" s="97"/>
      <c r="L1087" s="195"/>
    </row>
    <row r="1088" spans="1:12" x14ac:dyDescent="0.45">
      <c r="A1088" s="462"/>
      <c r="B1088" s="441"/>
      <c r="C1088" s="194">
        <v>3</v>
      </c>
      <c r="D1088" s="80"/>
      <c r="E1088" s="97"/>
      <c r="F1088" s="97"/>
      <c r="G1088" s="97"/>
      <c r="H1088" s="97"/>
      <c r="I1088" s="97"/>
      <c r="J1088" s="97"/>
      <c r="K1088" s="97"/>
      <c r="L1088" s="195"/>
    </row>
    <row r="1089" spans="1:12" x14ac:dyDescent="0.45">
      <c r="A1089" s="462"/>
      <c r="B1089" s="441"/>
      <c r="C1089" s="194">
        <v>4</v>
      </c>
      <c r="D1089" s="80"/>
      <c r="E1089" s="97"/>
      <c r="F1089" s="97"/>
      <c r="G1089" s="97"/>
      <c r="H1089" s="97"/>
      <c r="I1089" s="97"/>
      <c r="J1089" s="97"/>
      <c r="K1089" s="97"/>
      <c r="L1089" s="195"/>
    </row>
    <row r="1090" spans="1:12" x14ac:dyDescent="0.45">
      <c r="A1090" s="462"/>
      <c r="B1090" s="441"/>
      <c r="C1090" s="194">
        <v>5</v>
      </c>
      <c r="D1090" s="80"/>
      <c r="E1090" s="97"/>
      <c r="F1090" s="97"/>
      <c r="G1090" s="97"/>
      <c r="H1090" s="97"/>
      <c r="I1090" s="97"/>
      <c r="J1090" s="97"/>
      <c r="K1090" s="97"/>
      <c r="L1090" s="195"/>
    </row>
    <row r="1091" spans="1:12" x14ac:dyDescent="0.45">
      <c r="A1091" s="462"/>
      <c r="B1091" s="441"/>
      <c r="C1091" s="194">
        <v>6</v>
      </c>
      <c r="D1091" s="80"/>
      <c r="E1091" s="97"/>
      <c r="F1091" s="97"/>
      <c r="G1091" s="97"/>
      <c r="H1091" s="97"/>
      <c r="I1091" s="97"/>
      <c r="J1091" s="97"/>
      <c r="K1091" s="97"/>
      <c r="L1091" s="195"/>
    </row>
    <row r="1092" spans="1:12" x14ac:dyDescent="0.45">
      <c r="A1092" s="462"/>
      <c r="B1092" s="441"/>
      <c r="C1092" s="194">
        <v>7</v>
      </c>
      <c r="D1092" s="80"/>
      <c r="E1092" s="97"/>
      <c r="F1092" s="97"/>
      <c r="G1092" s="97"/>
      <c r="H1092" s="97"/>
      <c r="I1092" s="97"/>
      <c r="J1092" s="97"/>
      <c r="K1092" s="97"/>
      <c r="L1092" s="195"/>
    </row>
    <row r="1093" spans="1:12" x14ac:dyDescent="0.45">
      <c r="A1093" s="462"/>
      <c r="B1093" s="441"/>
      <c r="C1093" s="194">
        <v>8</v>
      </c>
      <c r="D1093" s="80"/>
      <c r="E1093" s="97"/>
      <c r="F1093" s="97"/>
      <c r="G1093" s="97"/>
      <c r="H1093" s="97"/>
      <c r="I1093" s="97"/>
      <c r="J1093" s="97"/>
      <c r="K1093" s="97"/>
      <c r="L1093" s="195"/>
    </row>
    <row r="1094" spans="1:12" x14ac:dyDescent="0.45">
      <c r="A1094" s="462"/>
      <c r="B1094" s="441"/>
      <c r="C1094" s="194">
        <v>9</v>
      </c>
      <c r="D1094" s="80"/>
      <c r="E1094" s="97"/>
      <c r="F1094" s="97"/>
      <c r="G1094" s="97"/>
      <c r="H1094" s="97"/>
      <c r="I1094" s="97"/>
      <c r="J1094" s="97"/>
      <c r="K1094" s="97"/>
      <c r="L1094" s="195"/>
    </row>
    <row r="1095" spans="1:12" x14ac:dyDescent="0.45">
      <c r="A1095" s="462"/>
      <c r="B1095" s="441"/>
      <c r="C1095" s="194">
        <v>10</v>
      </c>
      <c r="D1095" s="80"/>
      <c r="E1095" s="97"/>
      <c r="F1095" s="97"/>
      <c r="G1095" s="97"/>
      <c r="H1095" s="97"/>
      <c r="I1095" s="97"/>
      <c r="J1095" s="97"/>
      <c r="K1095" s="97"/>
      <c r="L1095" s="195"/>
    </row>
    <row r="1096" spans="1:12" x14ac:dyDescent="0.45">
      <c r="A1096" s="462"/>
      <c r="B1096" s="441"/>
      <c r="C1096" s="194">
        <v>11</v>
      </c>
      <c r="D1096" s="81"/>
      <c r="E1096" s="98"/>
      <c r="F1096" s="98"/>
      <c r="G1096" s="98"/>
      <c r="H1096" s="98"/>
      <c r="I1096" s="98"/>
      <c r="J1096" s="98"/>
      <c r="K1096" s="98"/>
      <c r="L1096" s="196"/>
    </row>
    <row r="1097" spans="1:12" ht="14.65" thickBot="1" x14ac:dyDescent="0.5">
      <c r="A1097" s="463"/>
      <c r="B1097" s="442"/>
      <c r="C1097" s="197">
        <v>12</v>
      </c>
      <c r="D1097" s="82"/>
      <c r="E1097" s="99"/>
      <c r="F1097" s="99"/>
      <c r="G1097" s="99"/>
      <c r="H1097" s="99"/>
      <c r="I1097" s="99"/>
      <c r="J1097" s="99"/>
      <c r="K1097" s="99"/>
      <c r="L1097" s="198"/>
    </row>
    <row r="1098" spans="1:12" x14ac:dyDescent="0.45">
      <c r="A1098" s="461">
        <v>3</v>
      </c>
      <c r="B1098" s="440">
        <v>9</v>
      </c>
      <c r="C1098" s="192">
        <v>1</v>
      </c>
      <c r="D1098" s="79"/>
      <c r="E1098" s="96"/>
      <c r="F1098" s="96"/>
      <c r="G1098" s="96"/>
      <c r="H1098" s="96"/>
      <c r="I1098" s="96"/>
      <c r="J1098" s="96"/>
      <c r="K1098" s="96"/>
      <c r="L1098" s="193"/>
    </row>
    <row r="1099" spans="1:12" x14ac:dyDescent="0.45">
      <c r="A1099" s="462"/>
      <c r="B1099" s="441"/>
      <c r="C1099" s="194">
        <v>2</v>
      </c>
      <c r="D1099" s="80"/>
      <c r="E1099" s="97"/>
      <c r="F1099" s="97"/>
      <c r="G1099" s="97"/>
      <c r="H1099" s="97"/>
      <c r="I1099" s="97"/>
      <c r="J1099" s="97"/>
      <c r="K1099" s="97"/>
      <c r="L1099" s="195"/>
    </row>
    <row r="1100" spans="1:12" x14ac:dyDescent="0.45">
      <c r="A1100" s="462"/>
      <c r="B1100" s="441"/>
      <c r="C1100" s="194">
        <v>3</v>
      </c>
      <c r="D1100" s="80"/>
      <c r="E1100" s="97"/>
      <c r="F1100" s="97"/>
      <c r="G1100" s="97"/>
      <c r="H1100" s="97"/>
      <c r="I1100" s="97"/>
      <c r="J1100" s="97"/>
      <c r="K1100" s="97"/>
      <c r="L1100" s="195"/>
    </row>
    <row r="1101" spans="1:12" x14ac:dyDescent="0.45">
      <c r="A1101" s="462"/>
      <c r="B1101" s="441"/>
      <c r="C1101" s="194">
        <v>4</v>
      </c>
      <c r="D1101" s="80"/>
      <c r="E1101" s="97"/>
      <c r="F1101" s="97"/>
      <c r="G1101" s="97"/>
      <c r="H1101" s="97"/>
      <c r="I1101" s="97"/>
      <c r="J1101" s="97"/>
      <c r="K1101" s="97"/>
      <c r="L1101" s="195"/>
    </row>
    <row r="1102" spans="1:12" x14ac:dyDescent="0.45">
      <c r="A1102" s="462"/>
      <c r="B1102" s="441"/>
      <c r="C1102" s="194">
        <v>5</v>
      </c>
      <c r="D1102" s="80"/>
      <c r="E1102" s="97"/>
      <c r="F1102" s="97"/>
      <c r="G1102" s="97"/>
      <c r="H1102" s="97"/>
      <c r="I1102" s="97"/>
      <c r="J1102" s="97"/>
      <c r="K1102" s="97"/>
      <c r="L1102" s="195"/>
    </row>
    <row r="1103" spans="1:12" x14ac:dyDescent="0.45">
      <c r="A1103" s="462"/>
      <c r="B1103" s="441"/>
      <c r="C1103" s="194">
        <v>6</v>
      </c>
      <c r="D1103" s="80"/>
      <c r="E1103" s="97"/>
      <c r="F1103" s="97"/>
      <c r="G1103" s="97"/>
      <c r="H1103" s="97"/>
      <c r="I1103" s="97"/>
      <c r="J1103" s="97"/>
      <c r="K1103" s="97"/>
      <c r="L1103" s="195"/>
    </row>
    <row r="1104" spans="1:12" x14ac:dyDescent="0.45">
      <c r="A1104" s="462"/>
      <c r="B1104" s="441"/>
      <c r="C1104" s="194">
        <v>7</v>
      </c>
      <c r="D1104" s="80"/>
      <c r="E1104" s="97"/>
      <c r="F1104" s="97"/>
      <c r="G1104" s="97"/>
      <c r="H1104" s="97"/>
      <c r="I1104" s="97"/>
      <c r="J1104" s="97"/>
      <c r="K1104" s="97"/>
      <c r="L1104" s="195"/>
    </row>
    <row r="1105" spans="1:12" x14ac:dyDescent="0.45">
      <c r="A1105" s="462"/>
      <c r="B1105" s="441"/>
      <c r="C1105" s="194">
        <v>8</v>
      </c>
      <c r="D1105" s="80"/>
      <c r="E1105" s="97"/>
      <c r="F1105" s="97"/>
      <c r="G1105" s="97"/>
      <c r="H1105" s="97"/>
      <c r="I1105" s="97"/>
      <c r="J1105" s="97"/>
      <c r="K1105" s="97"/>
      <c r="L1105" s="195"/>
    </row>
    <row r="1106" spans="1:12" x14ac:dyDescent="0.45">
      <c r="A1106" s="462"/>
      <c r="B1106" s="441"/>
      <c r="C1106" s="194">
        <v>9</v>
      </c>
      <c r="D1106" s="80"/>
      <c r="E1106" s="97"/>
      <c r="F1106" s="97"/>
      <c r="G1106" s="97"/>
      <c r="H1106" s="97"/>
      <c r="I1106" s="97"/>
      <c r="J1106" s="97"/>
      <c r="K1106" s="97"/>
      <c r="L1106" s="195"/>
    </row>
    <row r="1107" spans="1:12" x14ac:dyDescent="0.45">
      <c r="A1107" s="462"/>
      <c r="B1107" s="441"/>
      <c r="C1107" s="194">
        <v>10</v>
      </c>
      <c r="D1107" s="80"/>
      <c r="E1107" s="97"/>
      <c r="F1107" s="97"/>
      <c r="G1107" s="97"/>
      <c r="H1107" s="97"/>
      <c r="I1107" s="97"/>
      <c r="J1107" s="97"/>
      <c r="K1107" s="97"/>
      <c r="L1107" s="195"/>
    </row>
    <row r="1108" spans="1:12" x14ac:dyDescent="0.45">
      <c r="A1108" s="462"/>
      <c r="B1108" s="441"/>
      <c r="C1108" s="194">
        <v>11</v>
      </c>
      <c r="D1108" s="81"/>
      <c r="E1108" s="98"/>
      <c r="F1108" s="98"/>
      <c r="G1108" s="98"/>
      <c r="H1108" s="98"/>
      <c r="I1108" s="98"/>
      <c r="J1108" s="98"/>
      <c r="K1108" s="98"/>
      <c r="L1108" s="196"/>
    </row>
    <row r="1109" spans="1:12" ht="14.65" thickBot="1" x14ac:dyDescent="0.5">
      <c r="A1109" s="462"/>
      <c r="B1109" s="442"/>
      <c r="C1109" s="197">
        <v>12</v>
      </c>
      <c r="D1109" s="82"/>
      <c r="E1109" s="99"/>
      <c r="F1109" s="99"/>
      <c r="G1109" s="99"/>
      <c r="H1109" s="99"/>
      <c r="I1109" s="99"/>
      <c r="J1109" s="99"/>
      <c r="K1109" s="99"/>
      <c r="L1109" s="198"/>
    </row>
    <row r="1110" spans="1:12" x14ac:dyDescent="0.45">
      <c r="A1110" s="462"/>
      <c r="B1110" s="440">
        <v>10</v>
      </c>
      <c r="C1110" s="192">
        <v>1</v>
      </c>
      <c r="D1110" s="79"/>
      <c r="E1110" s="96"/>
      <c r="F1110" s="96"/>
      <c r="G1110" s="96"/>
      <c r="H1110" s="96"/>
      <c r="I1110" s="96"/>
      <c r="J1110" s="96"/>
      <c r="K1110" s="96"/>
      <c r="L1110" s="193"/>
    </row>
    <row r="1111" spans="1:12" x14ac:dyDescent="0.45">
      <c r="A1111" s="462"/>
      <c r="B1111" s="441"/>
      <c r="C1111" s="194">
        <v>2</v>
      </c>
      <c r="D1111" s="80"/>
      <c r="E1111" s="97"/>
      <c r="F1111" s="97"/>
      <c r="G1111" s="97"/>
      <c r="H1111" s="97"/>
      <c r="I1111" s="97"/>
      <c r="J1111" s="97"/>
      <c r="K1111" s="97"/>
      <c r="L1111" s="195"/>
    </row>
    <row r="1112" spans="1:12" x14ac:dyDescent="0.45">
      <c r="A1112" s="462"/>
      <c r="B1112" s="441"/>
      <c r="C1112" s="194">
        <v>3</v>
      </c>
      <c r="D1112" s="80"/>
      <c r="E1112" s="97"/>
      <c r="F1112" s="97"/>
      <c r="G1112" s="97"/>
      <c r="H1112" s="97"/>
      <c r="I1112" s="97"/>
      <c r="J1112" s="97"/>
      <c r="K1112" s="97"/>
      <c r="L1112" s="195"/>
    </row>
    <row r="1113" spans="1:12" x14ac:dyDescent="0.45">
      <c r="A1113" s="462"/>
      <c r="B1113" s="441"/>
      <c r="C1113" s="194">
        <v>4</v>
      </c>
      <c r="D1113" s="80"/>
      <c r="E1113" s="97"/>
      <c r="F1113" s="97"/>
      <c r="G1113" s="97"/>
      <c r="H1113" s="97"/>
      <c r="I1113" s="97"/>
      <c r="J1113" s="97"/>
      <c r="K1113" s="97"/>
      <c r="L1113" s="195"/>
    </row>
    <row r="1114" spans="1:12" x14ac:dyDescent="0.45">
      <c r="A1114" s="462"/>
      <c r="B1114" s="441"/>
      <c r="C1114" s="194">
        <v>5</v>
      </c>
      <c r="D1114" s="80"/>
      <c r="E1114" s="97"/>
      <c r="F1114" s="97"/>
      <c r="G1114" s="97"/>
      <c r="H1114" s="97"/>
      <c r="I1114" s="97"/>
      <c r="J1114" s="97"/>
      <c r="K1114" s="97"/>
      <c r="L1114" s="195"/>
    </row>
    <row r="1115" spans="1:12" x14ac:dyDescent="0.45">
      <c r="A1115" s="462"/>
      <c r="B1115" s="441"/>
      <c r="C1115" s="194">
        <v>6</v>
      </c>
      <c r="D1115" s="80"/>
      <c r="E1115" s="97"/>
      <c r="F1115" s="97"/>
      <c r="G1115" s="97"/>
      <c r="H1115" s="97"/>
      <c r="I1115" s="97"/>
      <c r="J1115" s="97"/>
      <c r="K1115" s="97"/>
      <c r="L1115" s="195"/>
    </row>
    <row r="1116" spans="1:12" x14ac:dyDescent="0.45">
      <c r="A1116" s="462"/>
      <c r="B1116" s="441"/>
      <c r="C1116" s="194">
        <v>7</v>
      </c>
      <c r="D1116" s="80"/>
      <c r="E1116" s="97"/>
      <c r="F1116" s="97"/>
      <c r="G1116" s="97"/>
      <c r="H1116" s="97"/>
      <c r="I1116" s="97"/>
      <c r="J1116" s="97"/>
      <c r="K1116" s="97"/>
      <c r="L1116" s="195"/>
    </row>
    <row r="1117" spans="1:12" x14ac:dyDescent="0.45">
      <c r="A1117" s="462"/>
      <c r="B1117" s="441"/>
      <c r="C1117" s="194">
        <v>8</v>
      </c>
      <c r="D1117" s="80"/>
      <c r="E1117" s="97"/>
      <c r="F1117" s="97"/>
      <c r="G1117" s="97"/>
      <c r="H1117" s="97"/>
      <c r="I1117" s="97"/>
      <c r="J1117" s="97"/>
      <c r="K1117" s="97"/>
      <c r="L1117" s="195"/>
    </row>
    <row r="1118" spans="1:12" x14ac:dyDescent="0.45">
      <c r="A1118" s="462"/>
      <c r="B1118" s="441"/>
      <c r="C1118" s="194">
        <v>9</v>
      </c>
      <c r="D1118" s="80"/>
      <c r="E1118" s="97"/>
      <c r="F1118" s="97"/>
      <c r="G1118" s="97"/>
      <c r="H1118" s="97"/>
      <c r="I1118" s="97"/>
      <c r="J1118" s="97"/>
      <c r="K1118" s="97"/>
      <c r="L1118" s="195"/>
    </row>
    <row r="1119" spans="1:12" x14ac:dyDescent="0.45">
      <c r="A1119" s="462"/>
      <c r="B1119" s="441"/>
      <c r="C1119" s="194">
        <v>10</v>
      </c>
      <c r="D1119" s="80"/>
      <c r="E1119" s="97"/>
      <c r="F1119" s="97"/>
      <c r="G1119" s="97"/>
      <c r="H1119" s="97"/>
      <c r="I1119" s="97"/>
      <c r="J1119" s="97"/>
      <c r="K1119" s="97"/>
      <c r="L1119" s="195"/>
    </row>
    <row r="1120" spans="1:12" x14ac:dyDescent="0.45">
      <c r="A1120" s="462"/>
      <c r="B1120" s="441"/>
      <c r="C1120" s="194">
        <v>11</v>
      </c>
      <c r="D1120" s="81"/>
      <c r="E1120" s="98"/>
      <c r="F1120" s="98"/>
      <c r="G1120" s="98"/>
      <c r="H1120" s="98"/>
      <c r="I1120" s="98"/>
      <c r="J1120" s="98"/>
      <c r="K1120" s="98"/>
      <c r="L1120" s="196"/>
    </row>
    <row r="1121" spans="1:12" ht="14.65" thickBot="1" x14ac:dyDescent="0.5">
      <c r="A1121" s="462"/>
      <c r="B1121" s="442"/>
      <c r="C1121" s="197">
        <v>12</v>
      </c>
      <c r="D1121" s="82"/>
      <c r="E1121" s="99"/>
      <c r="F1121" s="99"/>
      <c r="G1121" s="99"/>
      <c r="H1121" s="99"/>
      <c r="I1121" s="99"/>
      <c r="J1121" s="99"/>
      <c r="K1121" s="99"/>
      <c r="L1121" s="198"/>
    </row>
    <row r="1122" spans="1:12" x14ac:dyDescent="0.45">
      <c r="A1122" s="462"/>
      <c r="B1122" s="440">
        <v>11</v>
      </c>
      <c r="C1122" s="192">
        <v>1</v>
      </c>
      <c r="D1122" s="79"/>
      <c r="E1122" s="96"/>
      <c r="F1122" s="96"/>
      <c r="G1122" s="96"/>
      <c r="H1122" s="96"/>
      <c r="I1122" s="96"/>
      <c r="J1122" s="96"/>
      <c r="K1122" s="96"/>
      <c r="L1122" s="193"/>
    </row>
    <row r="1123" spans="1:12" x14ac:dyDescent="0.45">
      <c r="A1123" s="462"/>
      <c r="B1123" s="441"/>
      <c r="C1123" s="194">
        <v>2</v>
      </c>
      <c r="D1123" s="80"/>
      <c r="E1123" s="97"/>
      <c r="F1123" s="97"/>
      <c r="G1123" s="97"/>
      <c r="H1123" s="97"/>
      <c r="I1123" s="97"/>
      <c r="J1123" s="97"/>
      <c r="K1123" s="97"/>
      <c r="L1123" s="195"/>
    </row>
    <row r="1124" spans="1:12" x14ac:dyDescent="0.45">
      <c r="A1124" s="462"/>
      <c r="B1124" s="441"/>
      <c r="C1124" s="194">
        <v>3</v>
      </c>
      <c r="D1124" s="80"/>
      <c r="E1124" s="97"/>
      <c r="F1124" s="97"/>
      <c r="G1124" s="97"/>
      <c r="H1124" s="97"/>
      <c r="I1124" s="97"/>
      <c r="J1124" s="97"/>
      <c r="K1124" s="97"/>
      <c r="L1124" s="195"/>
    </row>
    <row r="1125" spans="1:12" x14ac:dyDescent="0.45">
      <c r="A1125" s="462"/>
      <c r="B1125" s="441"/>
      <c r="C1125" s="194">
        <v>4</v>
      </c>
      <c r="D1125" s="80"/>
      <c r="E1125" s="97"/>
      <c r="F1125" s="97"/>
      <c r="G1125" s="97"/>
      <c r="H1125" s="97"/>
      <c r="I1125" s="97"/>
      <c r="J1125" s="97"/>
      <c r="K1125" s="97"/>
      <c r="L1125" s="195"/>
    </row>
    <row r="1126" spans="1:12" x14ac:dyDescent="0.45">
      <c r="A1126" s="462"/>
      <c r="B1126" s="441"/>
      <c r="C1126" s="194">
        <v>5</v>
      </c>
      <c r="D1126" s="80"/>
      <c r="E1126" s="97"/>
      <c r="F1126" s="97"/>
      <c r="G1126" s="97"/>
      <c r="H1126" s="97"/>
      <c r="I1126" s="97"/>
      <c r="J1126" s="97"/>
      <c r="K1126" s="97"/>
      <c r="L1126" s="195"/>
    </row>
    <row r="1127" spans="1:12" x14ac:dyDescent="0.45">
      <c r="A1127" s="462"/>
      <c r="B1127" s="441"/>
      <c r="C1127" s="194">
        <v>6</v>
      </c>
      <c r="D1127" s="80"/>
      <c r="E1127" s="97"/>
      <c r="F1127" s="97"/>
      <c r="G1127" s="97"/>
      <c r="H1127" s="97"/>
      <c r="I1127" s="97"/>
      <c r="J1127" s="97"/>
      <c r="K1127" s="97"/>
      <c r="L1127" s="195"/>
    </row>
    <row r="1128" spans="1:12" x14ac:dyDescent="0.45">
      <c r="A1128" s="462"/>
      <c r="B1128" s="441"/>
      <c r="C1128" s="194">
        <v>7</v>
      </c>
      <c r="D1128" s="80"/>
      <c r="E1128" s="97"/>
      <c r="F1128" s="97"/>
      <c r="G1128" s="97"/>
      <c r="H1128" s="97"/>
      <c r="I1128" s="97"/>
      <c r="J1128" s="97"/>
      <c r="K1128" s="97"/>
      <c r="L1128" s="195"/>
    </row>
    <row r="1129" spans="1:12" x14ac:dyDescent="0.45">
      <c r="A1129" s="462"/>
      <c r="B1129" s="441"/>
      <c r="C1129" s="194">
        <v>8</v>
      </c>
      <c r="D1129" s="80"/>
      <c r="E1129" s="97"/>
      <c r="F1129" s="97"/>
      <c r="G1129" s="97"/>
      <c r="H1129" s="97"/>
      <c r="I1129" s="97"/>
      <c r="J1129" s="97"/>
      <c r="K1129" s="97"/>
      <c r="L1129" s="195"/>
    </row>
    <row r="1130" spans="1:12" x14ac:dyDescent="0.45">
      <c r="A1130" s="462"/>
      <c r="B1130" s="441"/>
      <c r="C1130" s="194">
        <v>9</v>
      </c>
      <c r="D1130" s="80"/>
      <c r="E1130" s="97"/>
      <c r="F1130" s="97"/>
      <c r="G1130" s="97"/>
      <c r="H1130" s="97"/>
      <c r="I1130" s="97"/>
      <c r="J1130" s="97"/>
      <c r="K1130" s="97"/>
      <c r="L1130" s="195"/>
    </row>
    <row r="1131" spans="1:12" x14ac:dyDescent="0.45">
      <c r="A1131" s="462"/>
      <c r="B1131" s="441"/>
      <c r="C1131" s="194">
        <v>10</v>
      </c>
      <c r="D1131" s="80"/>
      <c r="E1131" s="97"/>
      <c r="F1131" s="97"/>
      <c r="G1131" s="97"/>
      <c r="H1131" s="97"/>
      <c r="I1131" s="97"/>
      <c r="J1131" s="97"/>
      <c r="K1131" s="97"/>
      <c r="L1131" s="195"/>
    </row>
    <row r="1132" spans="1:12" x14ac:dyDescent="0.45">
      <c r="A1132" s="462"/>
      <c r="B1132" s="441"/>
      <c r="C1132" s="194">
        <v>11</v>
      </c>
      <c r="D1132" s="81"/>
      <c r="E1132" s="98"/>
      <c r="F1132" s="98"/>
      <c r="G1132" s="98"/>
      <c r="H1132" s="98"/>
      <c r="I1132" s="98"/>
      <c r="J1132" s="98"/>
      <c r="K1132" s="98"/>
      <c r="L1132" s="196"/>
    </row>
    <row r="1133" spans="1:12" ht="14.65" thickBot="1" x14ac:dyDescent="0.5">
      <c r="A1133" s="462"/>
      <c r="B1133" s="442"/>
      <c r="C1133" s="197">
        <v>12</v>
      </c>
      <c r="D1133" s="82"/>
      <c r="E1133" s="99"/>
      <c r="F1133" s="99"/>
      <c r="G1133" s="99"/>
      <c r="H1133" s="99"/>
      <c r="I1133" s="99"/>
      <c r="J1133" s="99"/>
      <c r="K1133" s="99"/>
      <c r="L1133" s="198"/>
    </row>
    <row r="1134" spans="1:12" x14ac:dyDescent="0.45">
      <c r="A1134" s="462"/>
      <c r="B1134" s="440">
        <v>12</v>
      </c>
      <c r="C1134" s="192">
        <v>1</v>
      </c>
      <c r="D1134" s="79"/>
      <c r="E1134" s="96"/>
      <c r="F1134" s="96"/>
      <c r="G1134" s="96"/>
      <c r="H1134" s="96"/>
      <c r="I1134" s="96"/>
      <c r="J1134" s="96"/>
      <c r="K1134" s="96"/>
      <c r="L1134" s="193"/>
    </row>
    <row r="1135" spans="1:12" x14ac:dyDescent="0.45">
      <c r="A1135" s="462"/>
      <c r="B1135" s="441"/>
      <c r="C1135" s="194">
        <v>2</v>
      </c>
      <c r="D1135" s="80"/>
      <c r="E1135" s="97"/>
      <c r="F1135" s="97"/>
      <c r="G1135" s="97"/>
      <c r="H1135" s="97"/>
      <c r="I1135" s="97"/>
      <c r="J1135" s="97"/>
      <c r="K1135" s="97"/>
      <c r="L1135" s="195"/>
    </row>
    <row r="1136" spans="1:12" x14ac:dyDescent="0.45">
      <c r="A1136" s="462"/>
      <c r="B1136" s="441"/>
      <c r="C1136" s="194">
        <v>3</v>
      </c>
      <c r="D1136" s="80"/>
      <c r="E1136" s="97"/>
      <c r="F1136" s="97"/>
      <c r="G1136" s="97"/>
      <c r="H1136" s="97"/>
      <c r="I1136" s="97"/>
      <c r="J1136" s="97"/>
      <c r="K1136" s="97"/>
      <c r="L1136" s="195"/>
    </row>
    <row r="1137" spans="1:12" x14ac:dyDescent="0.45">
      <c r="A1137" s="462"/>
      <c r="B1137" s="441"/>
      <c r="C1137" s="194">
        <v>4</v>
      </c>
      <c r="D1137" s="80"/>
      <c r="E1137" s="97"/>
      <c r="F1137" s="97"/>
      <c r="G1137" s="97"/>
      <c r="H1137" s="97"/>
      <c r="I1137" s="97"/>
      <c r="J1137" s="97"/>
      <c r="K1137" s="97"/>
      <c r="L1137" s="195"/>
    </row>
    <row r="1138" spans="1:12" x14ac:dyDescent="0.45">
      <c r="A1138" s="462"/>
      <c r="B1138" s="441"/>
      <c r="C1138" s="194">
        <v>5</v>
      </c>
      <c r="D1138" s="80"/>
      <c r="E1138" s="97"/>
      <c r="F1138" s="97"/>
      <c r="G1138" s="97"/>
      <c r="H1138" s="97"/>
      <c r="I1138" s="97"/>
      <c r="J1138" s="97"/>
      <c r="K1138" s="97"/>
      <c r="L1138" s="195"/>
    </row>
    <row r="1139" spans="1:12" x14ac:dyDescent="0.45">
      <c r="A1139" s="462"/>
      <c r="B1139" s="441"/>
      <c r="C1139" s="194">
        <v>6</v>
      </c>
      <c r="D1139" s="80"/>
      <c r="E1139" s="97"/>
      <c r="F1139" s="97"/>
      <c r="G1139" s="97"/>
      <c r="H1139" s="97"/>
      <c r="I1139" s="97"/>
      <c r="J1139" s="97"/>
      <c r="K1139" s="97"/>
      <c r="L1139" s="195"/>
    </row>
    <row r="1140" spans="1:12" x14ac:dyDescent="0.45">
      <c r="A1140" s="462"/>
      <c r="B1140" s="441"/>
      <c r="C1140" s="194">
        <v>7</v>
      </c>
      <c r="D1140" s="80"/>
      <c r="E1140" s="97"/>
      <c r="F1140" s="97"/>
      <c r="G1140" s="97"/>
      <c r="H1140" s="97"/>
      <c r="I1140" s="97"/>
      <c r="J1140" s="97"/>
      <c r="K1140" s="97"/>
      <c r="L1140" s="195"/>
    </row>
    <row r="1141" spans="1:12" x14ac:dyDescent="0.45">
      <c r="A1141" s="462"/>
      <c r="B1141" s="441"/>
      <c r="C1141" s="194">
        <v>8</v>
      </c>
      <c r="D1141" s="80"/>
      <c r="E1141" s="97"/>
      <c r="F1141" s="97"/>
      <c r="G1141" s="97"/>
      <c r="H1141" s="97"/>
      <c r="I1141" s="97"/>
      <c r="J1141" s="97"/>
      <c r="K1141" s="97"/>
      <c r="L1141" s="195"/>
    </row>
    <row r="1142" spans="1:12" x14ac:dyDescent="0.45">
      <c r="A1142" s="462"/>
      <c r="B1142" s="441"/>
      <c r="C1142" s="194">
        <v>9</v>
      </c>
      <c r="D1142" s="80"/>
      <c r="E1142" s="97"/>
      <c r="F1142" s="97"/>
      <c r="G1142" s="97"/>
      <c r="H1142" s="97"/>
      <c r="I1142" s="97"/>
      <c r="J1142" s="97"/>
      <c r="K1142" s="97"/>
      <c r="L1142" s="195"/>
    </row>
    <row r="1143" spans="1:12" x14ac:dyDescent="0.45">
      <c r="A1143" s="462"/>
      <c r="B1143" s="441"/>
      <c r="C1143" s="194">
        <v>10</v>
      </c>
      <c r="D1143" s="80"/>
      <c r="E1143" s="97"/>
      <c r="F1143" s="97"/>
      <c r="G1143" s="97"/>
      <c r="H1143" s="97"/>
      <c r="I1143" s="97"/>
      <c r="J1143" s="97"/>
      <c r="K1143" s="97"/>
      <c r="L1143" s="195"/>
    </row>
    <row r="1144" spans="1:12" x14ac:dyDescent="0.45">
      <c r="A1144" s="462"/>
      <c r="B1144" s="441"/>
      <c r="C1144" s="194">
        <v>11</v>
      </c>
      <c r="D1144" s="81"/>
      <c r="E1144" s="98"/>
      <c r="F1144" s="98"/>
      <c r="G1144" s="98"/>
      <c r="H1144" s="98"/>
      <c r="I1144" s="98"/>
      <c r="J1144" s="98"/>
      <c r="K1144" s="98"/>
      <c r="L1144" s="196"/>
    </row>
    <row r="1145" spans="1:12" ht="14.65" thickBot="1" x14ac:dyDescent="0.5">
      <c r="A1145" s="463"/>
      <c r="B1145" s="442"/>
      <c r="C1145" s="199">
        <v>12</v>
      </c>
      <c r="D1145" s="82"/>
      <c r="E1145" s="99"/>
      <c r="F1145" s="99"/>
      <c r="G1145" s="99"/>
      <c r="H1145" s="99"/>
      <c r="I1145" s="99"/>
      <c r="J1145" s="99"/>
      <c r="K1145" s="99"/>
      <c r="L1145" s="198"/>
    </row>
    <row r="1147" spans="1:12" s="91" customFormat="1" x14ac:dyDescent="0.45"/>
    <row r="1148" spans="1:12" ht="14.65" thickBot="1" x14ac:dyDescent="0.5"/>
    <row r="1149" spans="1:12" ht="28.9" thickBot="1" x14ac:dyDescent="0.5">
      <c r="A1149" s="187" t="s">
        <v>76</v>
      </c>
      <c r="B1149" s="186">
        <v>8</v>
      </c>
      <c r="C1149" s="109"/>
      <c r="D1149" s="109"/>
    </row>
    <row r="1150" spans="1:12" x14ac:dyDescent="0.45">
      <c r="A1150" s="443" t="s">
        <v>27</v>
      </c>
      <c r="B1150" s="448">
        <f>Name8</f>
        <v>0</v>
      </c>
      <c r="C1150" s="449"/>
      <c r="D1150" s="450"/>
      <c r="I1150" s="204"/>
      <c r="J1150" s="204"/>
      <c r="K1150" s="204"/>
      <c r="L1150" s="204"/>
    </row>
    <row r="1151" spans="1:12" x14ac:dyDescent="0.45">
      <c r="A1151" s="444"/>
      <c r="B1151" s="448"/>
      <c r="C1151" s="449"/>
      <c r="D1151" s="450"/>
      <c r="I1151" s="204"/>
      <c r="J1151" s="204"/>
      <c r="K1151" s="204"/>
      <c r="L1151" s="204"/>
    </row>
    <row r="1152" spans="1:12" x14ac:dyDescent="0.45">
      <c r="A1152" s="445"/>
      <c r="B1152" s="388"/>
      <c r="C1152" s="451"/>
      <c r="D1152" s="452"/>
      <c r="I1152" s="204"/>
      <c r="J1152" s="204"/>
      <c r="K1152" s="204"/>
      <c r="L1152" s="204"/>
    </row>
    <row r="1153" spans="1:12" ht="14.45" customHeight="1" x14ac:dyDescent="0.45">
      <c r="A1153" s="444" t="s">
        <v>155</v>
      </c>
      <c r="B1153" s="453">
        <f>GapA8</f>
        <v>0</v>
      </c>
      <c r="C1153" s="454"/>
      <c r="D1153" s="455"/>
      <c r="I1153" s="204"/>
      <c r="J1153" s="204"/>
      <c r="K1153" s="204"/>
      <c r="L1153" s="204"/>
    </row>
    <row r="1154" spans="1:12" x14ac:dyDescent="0.45">
      <c r="A1154" s="444"/>
      <c r="B1154" s="448"/>
      <c r="C1154" s="449"/>
      <c r="D1154" s="450"/>
      <c r="I1154" s="204"/>
      <c r="J1154" s="204"/>
      <c r="K1154" s="204"/>
      <c r="L1154" s="204"/>
    </row>
    <row r="1155" spans="1:12" x14ac:dyDescent="0.45">
      <c r="A1155" s="445"/>
      <c r="B1155" s="388"/>
      <c r="C1155" s="451"/>
      <c r="D1155" s="452"/>
      <c r="I1155" s="204"/>
      <c r="J1155" s="204"/>
      <c r="K1155" s="204"/>
      <c r="L1155" s="204"/>
    </row>
    <row r="1156" spans="1:12" x14ac:dyDescent="0.45">
      <c r="A1156" s="444" t="s">
        <v>159</v>
      </c>
      <c r="B1156" s="453">
        <f>Objective8</f>
        <v>0</v>
      </c>
      <c r="C1156" s="454"/>
      <c r="D1156" s="455"/>
      <c r="I1156" s="204"/>
      <c r="J1156" s="204"/>
      <c r="K1156" s="204"/>
      <c r="L1156" s="204"/>
    </row>
    <row r="1157" spans="1:12" x14ac:dyDescent="0.45">
      <c r="A1157" s="444"/>
      <c r="B1157" s="448"/>
      <c r="C1157" s="449"/>
      <c r="D1157" s="450"/>
      <c r="I1157" s="204"/>
      <c r="J1157" s="204"/>
      <c r="K1157" s="204"/>
      <c r="L1157" s="204"/>
    </row>
    <row r="1158" spans="1:12" x14ac:dyDescent="0.45">
      <c r="A1158" s="445"/>
      <c r="B1158" s="388"/>
      <c r="C1158" s="451"/>
      <c r="D1158" s="452"/>
      <c r="I1158" s="204"/>
      <c r="J1158" s="204"/>
      <c r="K1158" s="204"/>
      <c r="L1158" s="204"/>
    </row>
    <row r="1159" spans="1:12" ht="14.45" customHeight="1" x14ac:dyDescent="0.45">
      <c r="A1159" s="446" t="s">
        <v>166</v>
      </c>
      <c r="B1159" s="454">
        <f>Capacity8</f>
        <v>0</v>
      </c>
      <c r="C1159" s="454"/>
      <c r="D1159" s="455"/>
      <c r="I1159" s="204"/>
      <c r="J1159" s="204"/>
      <c r="K1159" s="204"/>
      <c r="L1159" s="204"/>
    </row>
    <row r="1160" spans="1:12" x14ac:dyDescent="0.45">
      <c r="A1160" s="447"/>
      <c r="B1160" s="449"/>
      <c r="C1160" s="449"/>
      <c r="D1160" s="450"/>
      <c r="I1160" s="204"/>
      <c r="J1160" s="204"/>
      <c r="K1160" s="204"/>
      <c r="L1160" s="204"/>
    </row>
    <row r="1161" spans="1:12" ht="14.65" thickBot="1" x14ac:dyDescent="0.5">
      <c r="A1161" s="464"/>
      <c r="B1161" s="456"/>
      <c r="C1161" s="456"/>
      <c r="D1161" s="457"/>
      <c r="I1161" s="204"/>
      <c r="J1161" s="204"/>
      <c r="K1161" s="204"/>
      <c r="L1161" s="204"/>
    </row>
    <row r="1163" spans="1:12" ht="14.65" thickBot="1" x14ac:dyDescent="0.5">
      <c r="A1163" s="90"/>
      <c r="B1163" s="90"/>
      <c r="C1163" s="90"/>
      <c r="D1163" s="90"/>
      <c r="E1163" s="90"/>
      <c r="F1163" s="90"/>
      <c r="G1163" s="90"/>
      <c r="H1163" s="90"/>
      <c r="I1163" s="90"/>
      <c r="J1163" s="90"/>
      <c r="K1163" s="90"/>
      <c r="L1163" s="90"/>
    </row>
    <row r="1164" spans="1:12" ht="21.75" customHeight="1" x14ac:dyDescent="0.45">
      <c r="A1164" s="458" t="s">
        <v>135</v>
      </c>
      <c r="B1164" s="459"/>
      <c r="C1164" s="459"/>
      <c r="D1164" s="459"/>
      <c r="E1164" s="459"/>
      <c r="F1164" s="459"/>
      <c r="G1164" s="459"/>
      <c r="H1164" s="459"/>
      <c r="I1164" s="459"/>
      <c r="J1164" s="459"/>
      <c r="K1164" s="459"/>
      <c r="L1164" s="460"/>
    </row>
    <row r="1165" spans="1:12" ht="29" customHeight="1" thickBot="1" x14ac:dyDescent="0.5">
      <c r="A1165" s="93" t="s">
        <v>74</v>
      </c>
      <c r="B1165" s="94" t="s">
        <v>28</v>
      </c>
      <c r="C1165" s="95" t="s">
        <v>320</v>
      </c>
      <c r="D1165" s="95" t="s">
        <v>127</v>
      </c>
      <c r="E1165" s="114" t="s">
        <v>90</v>
      </c>
      <c r="F1165" s="95" t="s">
        <v>175</v>
      </c>
      <c r="G1165" s="95" t="s">
        <v>176</v>
      </c>
      <c r="H1165" s="95" t="s">
        <v>156</v>
      </c>
      <c r="I1165" s="95" t="s">
        <v>157</v>
      </c>
      <c r="J1165" s="189" t="s">
        <v>321</v>
      </c>
      <c r="K1165" s="190" t="s">
        <v>29</v>
      </c>
      <c r="L1165" s="191" t="s">
        <v>322</v>
      </c>
    </row>
    <row r="1166" spans="1:12" x14ac:dyDescent="0.45">
      <c r="A1166" s="461">
        <v>1</v>
      </c>
      <c r="B1166" s="440">
        <v>1</v>
      </c>
      <c r="C1166" s="192">
        <v>1</v>
      </c>
      <c r="D1166" s="79"/>
      <c r="E1166" s="96"/>
      <c r="F1166" s="96"/>
      <c r="G1166" s="96"/>
      <c r="H1166" s="96"/>
      <c r="I1166" s="96"/>
      <c r="J1166" s="96"/>
      <c r="K1166" s="96"/>
      <c r="L1166" s="193"/>
    </row>
    <row r="1167" spans="1:12" x14ac:dyDescent="0.45">
      <c r="A1167" s="462"/>
      <c r="B1167" s="441"/>
      <c r="C1167" s="194">
        <v>2</v>
      </c>
      <c r="D1167" s="80"/>
      <c r="E1167" s="97"/>
      <c r="F1167" s="97"/>
      <c r="G1167" s="97"/>
      <c r="H1167" s="97"/>
      <c r="I1167" s="97"/>
      <c r="J1167" s="97"/>
      <c r="K1167" s="97"/>
      <c r="L1167" s="195"/>
    </row>
    <row r="1168" spans="1:12" x14ac:dyDescent="0.45">
      <c r="A1168" s="462"/>
      <c r="B1168" s="441"/>
      <c r="C1168" s="194">
        <v>3</v>
      </c>
      <c r="D1168" s="80"/>
      <c r="E1168" s="97"/>
      <c r="F1168" s="97"/>
      <c r="G1168" s="97"/>
      <c r="H1168" s="97"/>
      <c r="I1168" s="97"/>
      <c r="J1168" s="97"/>
      <c r="K1168" s="97"/>
      <c r="L1168" s="195"/>
    </row>
    <row r="1169" spans="1:14" x14ac:dyDescent="0.45">
      <c r="A1169" s="462"/>
      <c r="B1169" s="441"/>
      <c r="C1169" s="194">
        <v>4</v>
      </c>
      <c r="D1169" s="80"/>
      <c r="E1169" s="97"/>
      <c r="F1169" s="97"/>
      <c r="G1169" s="97"/>
      <c r="H1169" s="97"/>
      <c r="I1169" s="97"/>
      <c r="J1169" s="97"/>
      <c r="K1169" s="97"/>
      <c r="L1169" s="195"/>
    </row>
    <row r="1170" spans="1:14" x14ac:dyDescent="0.45">
      <c r="A1170" s="462"/>
      <c r="B1170" s="441"/>
      <c r="C1170" s="194">
        <v>5</v>
      </c>
      <c r="D1170" s="80"/>
      <c r="E1170" s="97"/>
      <c r="F1170" s="97"/>
      <c r="G1170" s="97"/>
      <c r="H1170" s="97"/>
      <c r="I1170" s="97"/>
      <c r="J1170" s="97"/>
      <c r="K1170" s="97"/>
      <c r="L1170" s="195"/>
    </row>
    <row r="1171" spans="1:14" x14ac:dyDescent="0.45">
      <c r="A1171" s="462"/>
      <c r="B1171" s="441"/>
      <c r="C1171" s="194">
        <v>6</v>
      </c>
      <c r="D1171" s="80"/>
      <c r="E1171" s="97"/>
      <c r="F1171" s="97"/>
      <c r="G1171" s="97"/>
      <c r="H1171" s="97"/>
      <c r="I1171" s="97"/>
      <c r="J1171" s="97"/>
      <c r="K1171" s="97"/>
      <c r="L1171" s="195"/>
    </row>
    <row r="1172" spans="1:14" x14ac:dyDescent="0.45">
      <c r="A1172" s="462"/>
      <c r="B1172" s="441"/>
      <c r="C1172" s="194">
        <v>7</v>
      </c>
      <c r="D1172" s="80"/>
      <c r="E1172" s="97"/>
      <c r="F1172" s="97"/>
      <c r="G1172" s="97"/>
      <c r="H1172" s="97"/>
      <c r="I1172" s="97"/>
      <c r="J1172" s="97"/>
      <c r="K1172" s="97"/>
      <c r="L1172" s="195"/>
    </row>
    <row r="1173" spans="1:14" x14ac:dyDescent="0.45">
      <c r="A1173" s="462"/>
      <c r="B1173" s="441"/>
      <c r="C1173" s="194">
        <v>8</v>
      </c>
      <c r="D1173" s="80"/>
      <c r="E1173" s="97"/>
      <c r="F1173" s="97"/>
      <c r="G1173" s="97"/>
      <c r="H1173" s="97"/>
      <c r="I1173" s="97"/>
      <c r="J1173" s="97"/>
      <c r="K1173" s="97"/>
      <c r="L1173" s="195"/>
    </row>
    <row r="1174" spans="1:14" x14ac:dyDescent="0.45">
      <c r="A1174" s="462"/>
      <c r="B1174" s="441"/>
      <c r="C1174" s="194">
        <v>9</v>
      </c>
      <c r="D1174" s="80"/>
      <c r="E1174" s="97"/>
      <c r="F1174" s="97"/>
      <c r="G1174" s="97"/>
      <c r="H1174" s="97"/>
      <c r="I1174" s="97"/>
      <c r="J1174" s="97"/>
      <c r="K1174" s="97"/>
      <c r="L1174" s="195"/>
    </row>
    <row r="1175" spans="1:14" x14ac:dyDescent="0.45">
      <c r="A1175" s="462"/>
      <c r="B1175" s="441"/>
      <c r="C1175" s="194">
        <v>10</v>
      </c>
      <c r="D1175" s="80"/>
      <c r="E1175" s="97"/>
      <c r="F1175" s="97"/>
      <c r="G1175" s="97"/>
      <c r="H1175" s="97"/>
      <c r="I1175" s="97"/>
      <c r="J1175" s="97"/>
      <c r="K1175" s="97"/>
      <c r="L1175" s="195"/>
    </row>
    <row r="1176" spans="1:14" x14ac:dyDescent="0.45">
      <c r="A1176" s="462"/>
      <c r="B1176" s="441"/>
      <c r="C1176" s="194">
        <v>11</v>
      </c>
      <c r="D1176" s="81"/>
      <c r="E1176" s="98"/>
      <c r="F1176" s="98"/>
      <c r="G1176" s="98"/>
      <c r="H1176" s="98"/>
      <c r="I1176" s="98"/>
      <c r="J1176" s="98"/>
      <c r="K1176" s="98"/>
      <c r="L1176" s="196"/>
    </row>
    <row r="1177" spans="1:14" s="90" customFormat="1" ht="14.65" thickBot="1" x14ac:dyDescent="0.5">
      <c r="A1177" s="462"/>
      <c r="B1177" s="442"/>
      <c r="C1177" s="197">
        <v>12</v>
      </c>
      <c r="D1177" s="82"/>
      <c r="E1177" s="99"/>
      <c r="F1177" s="99"/>
      <c r="G1177" s="99"/>
      <c r="H1177" s="99"/>
      <c r="I1177" s="99"/>
      <c r="J1177" s="99"/>
      <c r="K1177" s="99"/>
      <c r="L1177" s="198"/>
      <c r="M1177" s="61"/>
      <c r="N1177" s="61"/>
    </row>
    <row r="1178" spans="1:14" x14ac:dyDescent="0.45">
      <c r="A1178" s="462"/>
      <c r="B1178" s="440">
        <v>2</v>
      </c>
      <c r="C1178" s="192">
        <v>1</v>
      </c>
      <c r="D1178" s="79"/>
      <c r="E1178" s="96"/>
      <c r="F1178" s="96"/>
      <c r="G1178" s="96"/>
      <c r="H1178" s="96"/>
      <c r="I1178" s="96"/>
      <c r="J1178" s="96"/>
      <c r="K1178" s="96"/>
      <c r="L1178" s="193"/>
    </row>
    <row r="1179" spans="1:14" x14ac:dyDescent="0.45">
      <c r="A1179" s="462"/>
      <c r="B1179" s="441"/>
      <c r="C1179" s="194">
        <v>2</v>
      </c>
      <c r="D1179" s="80"/>
      <c r="E1179" s="97"/>
      <c r="F1179" s="97"/>
      <c r="G1179" s="97"/>
      <c r="H1179" s="97"/>
      <c r="I1179" s="97"/>
      <c r="J1179" s="97"/>
      <c r="K1179" s="97"/>
      <c r="L1179" s="195"/>
    </row>
    <row r="1180" spans="1:14" x14ac:dyDescent="0.45">
      <c r="A1180" s="462"/>
      <c r="B1180" s="441"/>
      <c r="C1180" s="194">
        <v>3</v>
      </c>
      <c r="D1180" s="80"/>
      <c r="E1180" s="97"/>
      <c r="F1180" s="97"/>
      <c r="G1180" s="97"/>
      <c r="H1180" s="97"/>
      <c r="I1180" s="97"/>
      <c r="J1180" s="97"/>
      <c r="K1180" s="97"/>
      <c r="L1180" s="195"/>
    </row>
    <row r="1181" spans="1:14" x14ac:dyDescent="0.45">
      <c r="A1181" s="462"/>
      <c r="B1181" s="441"/>
      <c r="C1181" s="194">
        <v>4</v>
      </c>
      <c r="D1181" s="80"/>
      <c r="E1181" s="97"/>
      <c r="F1181" s="97"/>
      <c r="G1181" s="97"/>
      <c r="H1181" s="97"/>
      <c r="I1181" s="97"/>
      <c r="J1181" s="97"/>
      <c r="K1181" s="97"/>
      <c r="L1181" s="195"/>
    </row>
    <row r="1182" spans="1:14" x14ac:dyDescent="0.45">
      <c r="A1182" s="462"/>
      <c r="B1182" s="441"/>
      <c r="C1182" s="194">
        <v>5</v>
      </c>
      <c r="D1182" s="80"/>
      <c r="E1182" s="97"/>
      <c r="F1182" s="97"/>
      <c r="G1182" s="97"/>
      <c r="H1182" s="97"/>
      <c r="I1182" s="97"/>
      <c r="J1182" s="97"/>
      <c r="K1182" s="97"/>
      <c r="L1182" s="195"/>
    </row>
    <row r="1183" spans="1:14" x14ac:dyDescent="0.45">
      <c r="A1183" s="462"/>
      <c r="B1183" s="441"/>
      <c r="C1183" s="194">
        <v>6</v>
      </c>
      <c r="D1183" s="80"/>
      <c r="E1183" s="97"/>
      <c r="F1183" s="97"/>
      <c r="G1183" s="97"/>
      <c r="H1183" s="97"/>
      <c r="I1183" s="97"/>
      <c r="J1183" s="97"/>
      <c r="K1183" s="97"/>
      <c r="L1183" s="195"/>
    </row>
    <row r="1184" spans="1:14" x14ac:dyDescent="0.45">
      <c r="A1184" s="462"/>
      <c r="B1184" s="441"/>
      <c r="C1184" s="194">
        <v>7</v>
      </c>
      <c r="D1184" s="80"/>
      <c r="E1184" s="97"/>
      <c r="F1184" s="97"/>
      <c r="G1184" s="97"/>
      <c r="H1184" s="97"/>
      <c r="I1184" s="97"/>
      <c r="J1184" s="97"/>
      <c r="K1184" s="97"/>
      <c r="L1184" s="195"/>
    </row>
    <row r="1185" spans="1:12" x14ac:dyDescent="0.45">
      <c r="A1185" s="462"/>
      <c r="B1185" s="441"/>
      <c r="C1185" s="194">
        <v>8</v>
      </c>
      <c r="D1185" s="80"/>
      <c r="E1185" s="97"/>
      <c r="F1185" s="97"/>
      <c r="G1185" s="97"/>
      <c r="H1185" s="97"/>
      <c r="I1185" s="97"/>
      <c r="J1185" s="97"/>
      <c r="K1185" s="97"/>
      <c r="L1185" s="195"/>
    </row>
    <row r="1186" spans="1:12" x14ac:dyDescent="0.45">
      <c r="A1186" s="462"/>
      <c r="B1186" s="441"/>
      <c r="C1186" s="194">
        <v>9</v>
      </c>
      <c r="D1186" s="80"/>
      <c r="E1186" s="97"/>
      <c r="F1186" s="97"/>
      <c r="G1186" s="97"/>
      <c r="H1186" s="97"/>
      <c r="I1186" s="97"/>
      <c r="J1186" s="97"/>
      <c r="K1186" s="97"/>
      <c r="L1186" s="195"/>
    </row>
    <row r="1187" spans="1:12" x14ac:dyDescent="0.45">
      <c r="A1187" s="462"/>
      <c r="B1187" s="441"/>
      <c r="C1187" s="194">
        <v>10</v>
      </c>
      <c r="D1187" s="80"/>
      <c r="E1187" s="97"/>
      <c r="F1187" s="97"/>
      <c r="G1187" s="97"/>
      <c r="H1187" s="97"/>
      <c r="I1187" s="97"/>
      <c r="J1187" s="97"/>
      <c r="K1187" s="97"/>
      <c r="L1187" s="195"/>
    </row>
    <row r="1188" spans="1:12" x14ac:dyDescent="0.45">
      <c r="A1188" s="462"/>
      <c r="B1188" s="441"/>
      <c r="C1188" s="194">
        <v>11</v>
      </c>
      <c r="D1188" s="81"/>
      <c r="E1188" s="98"/>
      <c r="F1188" s="98"/>
      <c r="G1188" s="98"/>
      <c r="H1188" s="98"/>
      <c r="I1188" s="98"/>
      <c r="J1188" s="98"/>
      <c r="K1188" s="98"/>
      <c r="L1188" s="196"/>
    </row>
    <row r="1189" spans="1:12" ht="14.65" thickBot="1" x14ac:dyDescent="0.5">
      <c r="A1189" s="462"/>
      <c r="B1189" s="442"/>
      <c r="C1189" s="197">
        <v>12</v>
      </c>
      <c r="D1189" s="82"/>
      <c r="E1189" s="99"/>
      <c r="F1189" s="99"/>
      <c r="G1189" s="99"/>
      <c r="H1189" s="99"/>
      <c r="I1189" s="99"/>
      <c r="J1189" s="99"/>
      <c r="K1189" s="99"/>
      <c r="L1189" s="198"/>
    </row>
    <row r="1190" spans="1:12" x14ac:dyDescent="0.45">
      <c r="A1190" s="462"/>
      <c r="B1190" s="440">
        <v>3</v>
      </c>
      <c r="C1190" s="192">
        <v>1</v>
      </c>
      <c r="D1190" s="79"/>
      <c r="E1190" s="96"/>
      <c r="F1190" s="96"/>
      <c r="G1190" s="96"/>
      <c r="H1190" s="96"/>
      <c r="I1190" s="96"/>
      <c r="J1190" s="96"/>
      <c r="K1190" s="96"/>
      <c r="L1190" s="193"/>
    </row>
    <row r="1191" spans="1:12" x14ac:dyDescent="0.45">
      <c r="A1191" s="462"/>
      <c r="B1191" s="441"/>
      <c r="C1191" s="194">
        <v>2</v>
      </c>
      <c r="D1191" s="80"/>
      <c r="E1191" s="97"/>
      <c r="F1191" s="97"/>
      <c r="G1191" s="97"/>
      <c r="H1191" s="97"/>
      <c r="I1191" s="97"/>
      <c r="J1191" s="97"/>
      <c r="K1191" s="97"/>
      <c r="L1191" s="195"/>
    </row>
    <row r="1192" spans="1:12" x14ac:dyDescent="0.45">
      <c r="A1192" s="462"/>
      <c r="B1192" s="441"/>
      <c r="C1192" s="194">
        <v>3</v>
      </c>
      <c r="D1192" s="80"/>
      <c r="E1192" s="97"/>
      <c r="F1192" s="97"/>
      <c r="G1192" s="97"/>
      <c r="H1192" s="97"/>
      <c r="I1192" s="97"/>
      <c r="J1192" s="97"/>
      <c r="K1192" s="97"/>
      <c r="L1192" s="195"/>
    </row>
    <row r="1193" spans="1:12" x14ac:dyDescent="0.45">
      <c r="A1193" s="462"/>
      <c r="B1193" s="441"/>
      <c r="C1193" s="194">
        <v>4</v>
      </c>
      <c r="D1193" s="80"/>
      <c r="E1193" s="97"/>
      <c r="F1193" s="97"/>
      <c r="G1193" s="97"/>
      <c r="H1193" s="97"/>
      <c r="I1193" s="97"/>
      <c r="J1193" s="97"/>
      <c r="K1193" s="97"/>
      <c r="L1193" s="195"/>
    </row>
    <row r="1194" spans="1:12" x14ac:dyDescent="0.45">
      <c r="A1194" s="462"/>
      <c r="B1194" s="441"/>
      <c r="C1194" s="194">
        <v>5</v>
      </c>
      <c r="D1194" s="80"/>
      <c r="E1194" s="97"/>
      <c r="F1194" s="97"/>
      <c r="G1194" s="97"/>
      <c r="H1194" s="97"/>
      <c r="I1194" s="97"/>
      <c r="J1194" s="97"/>
      <c r="K1194" s="97"/>
      <c r="L1194" s="195"/>
    </row>
    <row r="1195" spans="1:12" x14ac:dyDescent="0.45">
      <c r="A1195" s="462"/>
      <c r="B1195" s="441"/>
      <c r="C1195" s="194">
        <v>6</v>
      </c>
      <c r="D1195" s="80"/>
      <c r="E1195" s="97"/>
      <c r="F1195" s="97"/>
      <c r="G1195" s="97"/>
      <c r="H1195" s="97"/>
      <c r="I1195" s="97"/>
      <c r="J1195" s="97"/>
      <c r="K1195" s="97"/>
      <c r="L1195" s="195"/>
    </row>
    <row r="1196" spans="1:12" x14ac:dyDescent="0.45">
      <c r="A1196" s="462"/>
      <c r="B1196" s="441"/>
      <c r="C1196" s="194">
        <v>7</v>
      </c>
      <c r="D1196" s="80"/>
      <c r="E1196" s="97"/>
      <c r="F1196" s="97"/>
      <c r="G1196" s="97"/>
      <c r="H1196" s="97"/>
      <c r="I1196" s="97"/>
      <c r="J1196" s="97"/>
      <c r="K1196" s="97"/>
      <c r="L1196" s="195"/>
    </row>
    <row r="1197" spans="1:12" x14ac:dyDescent="0.45">
      <c r="A1197" s="462"/>
      <c r="B1197" s="441"/>
      <c r="C1197" s="194">
        <v>8</v>
      </c>
      <c r="D1197" s="80"/>
      <c r="E1197" s="97"/>
      <c r="F1197" s="97"/>
      <c r="G1197" s="97"/>
      <c r="H1197" s="97"/>
      <c r="I1197" s="97"/>
      <c r="J1197" s="97"/>
      <c r="K1197" s="97"/>
      <c r="L1197" s="195"/>
    </row>
    <row r="1198" spans="1:12" x14ac:dyDescent="0.45">
      <c r="A1198" s="462"/>
      <c r="B1198" s="441"/>
      <c r="C1198" s="194">
        <v>9</v>
      </c>
      <c r="D1198" s="80"/>
      <c r="E1198" s="97"/>
      <c r="F1198" s="97"/>
      <c r="G1198" s="97"/>
      <c r="H1198" s="97"/>
      <c r="I1198" s="97"/>
      <c r="J1198" s="97"/>
      <c r="K1198" s="97"/>
      <c r="L1198" s="195"/>
    </row>
    <row r="1199" spans="1:12" x14ac:dyDescent="0.45">
      <c r="A1199" s="462"/>
      <c r="B1199" s="441"/>
      <c r="C1199" s="194">
        <v>10</v>
      </c>
      <c r="D1199" s="80"/>
      <c r="E1199" s="97"/>
      <c r="F1199" s="97"/>
      <c r="G1199" s="97"/>
      <c r="H1199" s="97"/>
      <c r="I1199" s="97"/>
      <c r="J1199" s="97"/>
      <c r="K1199" s="97"/>
      <c r="L1199" s="195"/>
    </row>
    <row r="1200" spans="1:12" x14ac:dyDescent="0.45">
      <c r="A1200" s="462"/>
      <c r="B1200" s="441"/>
      <c r="C1200" s="194">
        <v>11</v>
      </c>
      <c r="D1200" s="81"/>
      <c r="E1200" s="98"/>
      <c r="F1200" s="98"/>
      <c r="G1200" s="98"/>
      <c r="H1200" s="98"/>
      <c r="I1200" s="98"/>
      <c r="J1200" s="98"/>
      <c r="K1200" s="98"/>
      <c r="L1200" s="196"/>
    </row>
    <row r="1201" spans="1:12" ht="14.65" thickBot="1" x14ac:dyDescent="0.5">
      <c r="A1201" s="462"/>
      <c r="B1201" s="442"/>
      <c r="C1201" s="197">
        <v>12</v>
      </c>
      <c r="D1201" s="82"/>
      <c r="E1201" s="99"/>
      <c r="F1201" s="99"/>
      <c r="G1201" s="99"/>
      <c r="H1201" s="99"/>
      <c r="I1201" s="99"/>
      <c r="J1201" s="99"/>
      <c r="K1201" s="99"/>
      <c r="L1201" s="198"/>
    </row>
    <row r="1202" spans="1:12" x14ac:dyDescent="0.45">
      <c r="A1202" s="462"/>
      <c r="B1202" s="440">
        <v>4</v>
      </c>
      <c r="C1202" s="192">
        <v>1</v>
      </c>
      <c r="D1202" s="79"/>
      <c r="E1202" s="96"/>
      <c r="F1202" s="96"/>
      <c r="G1202" s="96"/>
      <c r="H1202" s="96"/>
      <c r="I1202" s="96"/>
      <c r="J1202" s="96"/>
      <c r="K1202" s="96"/>
      <c r="L1202" s="193"/>
    </row>
    <row r="1203" spans="1:12" x14ac:dyDescent="0.45">
      <c r="A1203" s="462"/>
      <c r="B1203" s="441"/>
      <c r="C1203" s="194">
        <v>2</v>
      </c>
      <c r="D1203" s="80"/>
      <c r="E1203" s="97"/>
      <c r="F1203" s="97"/>
      <c r="G1203" s="97"/>
      <c r="H1203" s="97"/>
      <c r="I1203" s="97"/>
      <c r="J1203" s="97"/>
      <c r="K1203" s="97"/>
      <c r="L1203" s="195"/>
    </row>
    <row r="1204" spans="1:12" x14ac:dyDescent="0.45">
      <c r="A1204" s="462"/>
      <c r="B1204" s="441"/>
      <c r="C1204" s="194">
        <v>3</v>
      </c>
      <c r="D1204" s="80"/>
      <c r="E1204" s="97"/>
      <c r="F1204" s="97"/>
      <c r="G1204" s="97"/>
      <c r="H1204" s="97"/>
      <c r="I1204" s="97"/>
      <c r="J1204" s="97"/>
      <c r="K1204" s="97"/>
      <c r="L1204" s="195"/>
    </row>
    <row r="1205" spans="1:12" x14ac:dyDescent="0.45">
      <c r="A1205" s="462"/>
      <c r="B1205" s="441"/>
      <c r="C1205" s="194">
        <v>4</v>
      </c>
      <c r="D1205" s="80"/>
      <c r="E1205" s="97"/>
      <c r="F1205" s="97"/>
      <c r="G1205" s="97"/>
      <c r="H1205" s="97"/>
      <c r="I1205" s="97"/>
      <c r="J1205" s="97"/>
      <c r="K1205" s="97"/>
      <c r="L1205" s="195"/>
    </row>
    <row r="1206" spans="1:12" x14ac:dyDescent="0.45">
      <c r="A1206" s="462"/>
      <c r="B1206" s="441"/>
      <c r="C1206" s="194">
        <v>5</v>
      </c>
      <c r="D1206" s="80"/>
      <c r="E1206" s="97"/>
      <c r="F1206" s="97"/>
      <c r="G1206" s="97"/>
      <c r="H1206" s="97"/>
      <c r="I1206" s="97"/>
      <c r="J1206" s="97"/>
      <c r="K1206" s="97"/>
      <c r="L1206" s="195"/>
    </row>
    <row r="1207" spans="1:12" x14ac:dyDescent="0.45">
      <c r="A1207" s="462"/>
      <c r="B1207" s="441"/>
      <c r="C1207" s="194">
        <v>6</v>
      </c>
      <c r="D1207" s="80"/>
      <c r="E1207" s="97"/>
      <c r="F1207" s="97"/>
      <c r="G1207" s="97"/>
      <c r="H1207" s="97"/>
      <c r="I1207" s="97"/>
      <c r="J1207" s="97"/>
      <c r="K1207" s="97"/>
      <c r="L1207" s="195"/>
    </row>
    <row r="1208" spans="1:12" x14ac:dyDescent="0.45">
      <c r="A1208" s="462"/>
      <c r="B1208" s="441"/>
      <c r="C1208" s="194">
        <v>7</v>
      </c>
      <c r="D1208" s="80"/>
      <c r="E1208" s="97"/>
      <c r="F1208" s="97"/>
      <c r="G1208" s="97"/>
      <c r="H1208" s="97"/>
      <c r="I1208" s="97"/>
      <c r="J1208" s="97"/>
      <c r="K1208" s="97"/>
      <c r="L1208" s="195"/>
    </row>
    <row r="1209" spans="1:12" x14ac:dyDescent="0.45">
      <c r="A1209" s="462"/>
      <c r="B1209" s="441"/>
      <c r="C1209" s="194">
        <v>8</v>
      </c>
      <c r="D1209" s="80"/>
      <c r="E1209" s="97"/>
      <c r="F1209" s="97"/>
      <c r="G1209" s="97"/>
      <c r="H1209" s="97"/>
      <c r="I1209" s="97"/>
      <c r="J1209" s="97"/>
      <c r="K1209" s="97"/>
      <c r="L1209" s="195"/>
    </row>
    <row r="1210" spans="1:12" x14ac:dyDescent="0.45">
      <c r="A1210" s="462"/>
      <c r="B1210" s="441"/>
      <c r="C1210" s="194">
        <v>9</v>
      </c>
      <c r="D1210" s="80"/>
      <c r="E1210" s="97"/>
      <c r="F1210" s="97"/>
      <c r="G1210" s="97"/>
      <c r="H1210" s="97"/>
      <c r="I1210" s="97"/>
      <c r="J1210" s="97"/>
      <c r="K1210" s="97"/>
      <c r="L1210" s="195"/>
    </row>
    <row r="1211" spans="1:12" x14ac:dyDescent="0.45">
      <c r="A1211" s="462"/>
      <c r="B1211" s="441"/>
      <c r="C1211" s="194">
        <v>10</v>
      </c>
      <c r="D1211" s="80"/>
      <c r="E1211" s="97"/>
      <c r="F1211" s="97"/>
      <c r="G1211" s="97"/>
      <c r="H1211" s="97"/>
      <c r="I1211" s="97"/>
      <c r="J1211" s="97"/>
      <c r="K1211" s="97"/>
      <c r="L1211" s="195"/>
    </row>
    <row r="1212" spans="1:12" x14ac:dyDescent="0.45">
      <c r="A1212" s="462"/>
      <c r="B1212" s="441"/>
      <c r="C1212" s="194">
        <v>11</v>
      </c>
      <c r="D1212" s="81"/>
      <c r="E1212" s="98"/>
      <c r="F1212" s="98"/>
      <c r="G1212" s="98"/>
      <c r="H1212" s="98"/>
      <c r="I1212" s="98"/>
      <c r="J1212" s="98"/>
      <c r="K1212" s="98"/>
      <c r="L1212" s="196"/>
    </row>
    <row r="1213" spans="1:12" ht="14.65" thickBot="1" x14ac:dyDescent="0.5">
      <c r="A1213" s="463"/>
      <c r="B1213" s="442"/>
      <c r="C1213" s="197">
        <v>12</v>
      </c>
      <c r="D1213" s="82"/>
      <c r="E1213" s="99"/>
      <c r="F1213" s="99"/>
      <c r="G1213" s="99"/>
      <c r="H1213" s="99"/>
      <c r="I1213" s="99"/>
      <c r="J1213" s="99"/>
      <c r="K1213" s="99"/>
      <c r="L1213" s="198"/>
    </row>
    <row r="1214" spans="1:12" x14ac:dyDescent="0.45">
      <c r="A1214" s="461">
        <v>2</v>
      </c>
      <c r="B1214" s="440">
        <v>5</v>
      </c>
      <c r="C1214" s="192">
        <v>1</v>
      </c>
      <c r="D1214" s="79"/>
      <c r="E1214" s="96"/>
      <c r="F1214" s="96"/>
      <c r="G1214" s="96"/>
      <c r="H1214" s="96"/>
      <c r="I1214" s="96"/>
      <c r="J1214" s="96"/>
      <c r="K1214" s="96"/>
      <c r="L1214" s="193"/>
    </row>
    <row r="1215" spans="1:12" x14ac:dyDescent="0.45">
      <c r="A1215" s="462"/>
      <c r="B1215" s="441"/>
      <c r="C1215" s="194">
        <v>2</v>
      </c>
      <c r="D1215" s="80"/>
      <c r="E1215" s="97"/>
      <c r="F1215" s="97"/>
      <c r="G1215" s="97"/>
      <c r="H1215" s="97"/>
      <c r="I1215" s="97"/>
      <c r="J1215" s="97"/>
      <c r="K1215" s="97"/>
      <c r="L1215" s="195"/>
    </row>
    <row r="1216" spans="1:12" x14ac:dyDescent="0.45">
      <c r="A1216" s="462"/>
      <c r="B1216" s="441"/>
      <c r="C1216" s="194">
        <v>3</v>
      </c>
      <c r="D1216" s="80"/>
      <c r="E1216" s="97"/>
      <c r="F1216" s="97"/>
      <c r="G1216" s="97"/>
      <c r="H1216" s="97"/>
      <c r="I1216" s="97"/>
      <c r="J1216" s="97"/>
      <c r="K1216" s="97"/>
      <c r="L1216" s="195"/>
    </row>
    <row r="1217" spans="1:12" x14ac:dyDescent="0.45">
      <c r="A1217" s="462"/>
      <c r="B1217" s="441"/>
      <c r="C1217" s="194">
        <v>4</v>
      </c>
      <c r="D1217" s="80"/>
      <c r="E1217" s="97"/>
      <c r="F1217" s="97"/>
      <c r="G1217" s="97"/>
      <c r="H1217" s="97"/>
      <c r="I1217" s="97"/>
      <c r="J1217" s="97"/>
      <c r="K1217" s="97"/>
      <c r="L1217" s="195"/>
    </row>
    <row r="1218" spans="1:12" x14ac:dyDescent="0.45">
      <c r="A1218" s="462"/>
      <c r="B1218" s="441"/>
      <c r="C1218" s="194">
        <v>5</v>
      </c>
      <c r="D1218" s="80"/>
      <c r="E1218" s="97"/>
      <c r="F1218" s="97"/>
      <c r="G1218" s="97"/>
      <c r="H1218" s="97"/>
      <c r="I1218" s="97"/>
      <c r="J1218" s="97"/>
      <c r="K1218" s="97"/>
      <c r="L1218" s="195"/>
    </row>
    <row r="1219" spans="1:12" x14ac:dyDescent="0.45">
      <c r="A1219" s="462"/>
      <c r="B1219" s="441"/>
      <c r="C1219" s="194">
        <v>6</v>
      </c>
      <c r="D1219" s="80"/>
      <c r="E1219" s="97"/>
      <c r="F1219" s="97"/>
      <c r="G1219" s="97"/>
      <c r="H1219" s="97"/>
      <c r="I1219" s="97"/>
      <c r="J1219" s="97"/>
      <c r="K1219" s="97"/>
      <c r="L1219" s="195"/>
    </row>
    <row r="1220" spans="1:12" x14ac:dyDescent="0.45">
      <c r="A1220" s="462"/>
      <c r="B1220" s="441"/>
      <c r="C1220" s="194">
        <v>7</v>
      </c>
      <c r="D1220" s="80"/>
      <c r="E1220" s="97"/>
      <c r="F1220" s="97"/>
      <c r="G1220" s="97"/>
      <c r="H1220" s="97"/>
      <c r="I1220" s="97"/>
      <c r="J1220" s="97"/>
      <c r="K1220" s="97"/>
      <c r="L1220" s="195"/>
    </row>
    <row r="1221" spans="1:12" x14ac:dyDescent="0.45">
      <c r="A1221" s="462"/>
      <c r="B1221" s="441"/>
      <c r="C1221" s="194">
        <v>8</v>
      </c>
      <c r="D1221" s="80"/>
      <c r="E1221" s="97"/>
      <c r="F1221" s="97"/>
      <c r="G1221" s="97"/>
      <c r="H1221" s="97"/>
      <c r="I1221" s="97"/>
      <c r="J1221" s="97"/>
      <c r="K1221" s="97"/>
      <c r="L1221" s="195"/>
    </row>
    <row r="1222" spans="1:12" x14ac:dyDescent="0.45">
      <c r="A1222" s="462"/>
      <c r="B1222" s="441"/>
      <c r="C1222" s="194">
        <v>9</v>
      </c>
      <c r="D1222" s="80"/>
      <c r="E1222" s="97"/>
      <c r="F1222" s="97"/>
      <c r="G1222" s="97"/>
      <c r="H1222" s="97"/>
      <c r="I1222" s="97"/>
      <c r="J1222" s="97"/>
      <c r="K1222" s="97"/>
      <c r="L1222" s="195"/>
    </row>
    <row r="1223" spans="1:12" x14ac:dyDescent="0.45">
      <c r="A1223" s="462"/>
      <c r="B1223" s="441"/>
      <c r="C1223" s="194">
        <v>10</v>
      </c>
      <c r="D1223" s="80"/>
      <c r="E1223" s="97"/>
      <c r="F1223" s="97"/>
      <c r="G1223" s="97"/>
      <c r="H1223" s="97"/>
      <c r="I1223" s="97"/>
      <c r="J1223" s="97"/>
      <c r="K1223" s="97"/>
      <c r="L1223" s="195"/>
    </row>
    <row r="1224" spans="1:12" x14ac:dyDescent="0.45">
      <c r="A1224" s="462"/>
      <c r="B1224" s="441"/>
      <c r="C1224" s="194">
        <v>11</v>
      </c>
      <c r="D1224" s="81"/>
      <c r="E1224" s="98"/>
      <c r="F1224" s="98"/>
      <c r="G1224" s="98"/>
      <c r="H1224" s="98"/>
      <c r="I1224" s="98"/>
      <c r="J1224" s="98"/>
      <c r="K1224" s="98"/>
      <c r="L1224" s="196"/>
    </row>
    <row r="1225" spans="1:12" ht="14.65" thickBot="1" x14ac:dyDescent="0.5">
      <c r="A1225" s="462"/>
      <c r="B1225" s="442"/>
      <c r="C1225" s="197">
        <v>12</v>
      </c>
      <c r="D1225" s="82"/>
      <c r="E1225" s="99"/>
      <c r="F1225" s="99"/>
      <c r="G1225" s="99"/>
      <c r="H1225" s="99"/>
      <c r="I1225" s="99"/>
      <c r="J1225" s="99"/>
      <c r="K1225" s="99"/>
      <c r="L1225" s="198"/>
    </row>
    <row r="1226" spans="1:12" x14ac:dyDescent="0.45">
      <c r="A1226" s="462"/>
      <c r="B1226" s="440">
        <v>6</v>
      </c>
      <c r="C1226" s="192">
        <v>1</v>
      </c>
      <c r="D1226" s="79"/>
      <c r="E1226" s="96"/>
      <c r="F1226" s="96"/>
      <c r="G1226" s="96"/>
      <c r="H1226" s="96"/>
      <c r="I1226" s="96"/>
      <c r="J1226" s="96"/>
      <c r="K1226" s="96"/>
      <c r="L1226" s="193"/>
    </row>
    <row r="1227" spans="1:12" x14ac:dyDescent="0.45">
      <c r="A1227" s="462"/>
      <c r="B1227" s="441"/>
      <c r="C1227" s="194">
        <v>2</v>
      </c>
      <c r="D1227" s="80"/>
      <c r="E1227" s="97"/>
      <c r="F1227" s="97"/>
      <c r="G1227" s="97"/>
      <c r="H1227" s="97"/>
      <c r="I1227" s="97"/>
      <c r="J1227" s="97"/>
      <c r="K1227" s="97"/>
      <c r="L1227" s="195"/>
    </row>
    <row r="1228" spans="1:12" x14ac:dyDescent="0.45">
      <c r="A1228" s="462"/>
      <c r="B1228" s="441"/>
      <c r="C1228" s="194">
        <v>3</v>
      </c>
      <c r="D1228" s="80"/>
      <c r="E1228" s="97"/>
      <c r="F1228" s="97"/>
      <c r="G1228" s="97"/>
      <c r="H1228" s="97"/>
      <c r="I1228" s="97"/>
      <c r="J1228" s="97"/>
      <c r="K1228" s="97"/>
      <c r="L1228" s="195"/>
    </row>
    <row r="1229" spans="1:12" x14ac:dyDescent="0.45">
      <c r="A1229" s="462"/>
      <c r="B1229" s="441"/>
      <c r="C1229" s="194">
        <v>4</v>
      </c>
      <c r="D1229" s="80"/>
      <c r="E1229" s="97"/>
      <c r="F1229" s="97"/>
      <c r="G1229" s="97"/>
      <c r="H1229" s="97"/>
      <c r="I1229" s="97"/>
      <c r="J1229" s="97"/>
      <c r="K1229" s="97"/>
      <c r="L1229" s="195"/>
    </row>
    <row r="1230" spans="1:12" x14ac:dyDescent="0.45">
      <c r="A1230" s="462"/>
      <c r="B1230" s="441"/>
      <c r="C1230" s="194">
        <v>5</v>
      </c>
      <c r="D1230" s="80"/>
      <c r="E1230" s="97"/>
      <c r="F1230" s="97"/>
      <c r="G1230" s="97"/>
      <c r="H1230" s="97"/>
      <c r="I1230" s="97"/>
      <c r="J1230" s="97"/>
      <c r="K1230" s="97"/>
      <c r="L1230" s="195"/>
    </row>
    <row r="1231" spans="1:12" x14ac:dyDescent="0.45">
      <c r="A1231" s="462"/>
      <c r="B1231" s="441"/>
      <c r="C1231" s="194">
        <v>6</v>
      </c>
      <c r="D1231" s="80"/>
      <c r="E1231" s="97"/>
      <c r="F1231" s="97"/>
      <c r="G1231" s="97"/>
      <c r="H1231" s="97"/>
      <c r="I1231" s="97"/>
      <c r="J1231" s="97"/>
      <c r="K1231" s="97"/>
      <c r="L1231" s="195"/>
    </row>
    <row r="1232" spans="1:12" x14ac:dyDescent="0.45">
      <c r="A1232" s="462"/>
      <c r="B1232" s="441"/>
      <c r="C1232" s="194">
        <v>7</v>
      </c>
      <c r="D1232" s="80"/>
      <c r="E1232" s="97"/>
      <c r="F1232" s="97"/>
      <c r="G1232" s="97"/>
      <c r="H1232" s="97"/>
      <c r="I1232" s="97"/>
      <c r="J1232" s="97"/>
      <c r="K1232" s="97"/>
      <c r="L1232" s="195"/>
    </row>
    <row r="1233" spans="1:12" x14ac:dyDescent="0.45">
      <c r="A1233" s="462"/>
      <c r="B1233" s="441"/>
      <c r="C1233" s="194">
        <v>8</v>
      </c>
      <c r="D1233" s="80"/>
      <c r="E1233" s="97"/>
      <c r="F1233" s="97"/>
      <c r="G1233" s="97"/>
      <c r="H1233" s="97"/>
      <c r="I1233" s="97"/>
      <c r="J1233" s="97"/>
      <c r="K1233" s="97"/>
      <c r="L1233" s="195"/>
    </row>
    <row r="1234" spans="1:12" x14ac:dyDescent="0.45">
      <c r="A1234" s="462"/>
      <c r="B1234" s="441"/>
      <c r="C1234" s="194">
        <v>9</v>
      </c>
      <c r="D1234" s="80"/>
      <c r="E1234" s="97"/>
      <c r="F1234" s="97"/>
      <c r="G1234" s="97"/>
      <c r="H1234" s="97"/>
      <c r="I1234" s="97"/>
      <c r="J1234" s="97"/>
      <c r="K1234" s="97"/>
      <c r="L1234" s="195"/>
    </row>
    <row r="1235" spans="1:12" x14ac:dyDescent="0.45">
      <c r="A1235" s="462"/>
      <c r="B1235" s="441"/>
      <c r="C1235" s="194">
        <v>10</v>
      </c>
      <c r="D1235" s="80"/>
      <c r="E1235" s="97"/>
      <c r="F1235" s="97"/>
      <c r="G1235" s="97"/>
      <c r="H1235" s="97"/>
      <c r="I1235" s="97"/>
      <c r="J1235" s="97"/>
      <c r="K1235" s="97"/>
      <c r="L1235" s="195"/>
    </row>
    <row r="1236" spans="1:12" x14ac:dyDescent="0.45">
      <c r="A1236" s="462"/>
      <c r="B1236" s="441"/>
      <c r="C1236" s="194">
        <v>11</v>
      </c>
      <c r="D1236" s="81"/>
      <c r="E1236" s="98"/>
      <c r="F1236" s="98"/>
      <c r="G1236" s="98"/>
      <c r="H1236" s="98"/>
      <c r="I1236" s="98"/>
      <c r="J1236" s="98"/>
      <c r="K1236" s="98"/>
      <c r="L1236" s="196"/>
    </row>
    <row r="1237" spans="1:12" ht="14.65" thickBot="1" x14ac:dyDescent="0.5">
      <c r="A1237" s="462"/>
      <c r="B1237" s="442"/>
      <c r="C1237" s="197">
        <v>12</v>
      </c>
      <c r="D1237" s="82"/>
      <c r="E1237" s="99"/>
      <c r="F1237" s="99"/>
      <c r="G1237" s="99"/>
      <c r="H1237" s="99"/>
      <c r="I1237" s="99"/>
      <c r="J1237" s="99"/>
      <c r="K1237" s="99"/>
      <c r="L1237" s="198"/>
    </row>
    <row r="1238" spans="1:12" x14ac:dyDescent="0.45">
      <c r="A1238" s="462"/>
      <c r="B1238" s="440">
        <v>7</v>
      </c>
      <c r="C1238" s="192">
        <v>1</v>
      </c>
      <c r="D1238" s="79"/>
      <c r="E1238" s="96"/>
      <c r="F1238" s="96"/>
      <c r="G1238" s="96"/>
      <c r="H1238" s="96"/>
      <c r="I1238" s="96"/>
      <c r="J1238" s="96"/>
      <c r="K1238" s="96"/>
      <c r="L1238" s="193"/>
    </row>
    <row r="1239" spans="1:12" x14ac:dyDescent="0.45">
      <c r="A1239" s="462"/>
      <c r="B1239" s="441"/>
      <c r="C1239" s="194">
        <v>2</v>
      </c>
      <c r="D1239" s="80"/>
      <c r="E1239" s="97"/>
      <c r="F1239" s="97"/>
      <c r="G1239" s="97"/>
      <c r="H1239" s="97"/>
      <c r="I1239" s="97"/>
      <c r="J1239" s="97"/>
      <c r="K1239" s="97"/>
      <c r="L1239" s="195"/>
    </row>
    <row r="1240" spans="1:12" x14ac:dyDescent="0.45">
      <c r="A1240" s="462"/>
      <c r="B1240" s="441"/>
      <c r="C1240" s="194">
        <v>3</v>
      </c>
      <c r="D1240" s="80"/>
      <c r="E1240" s="97"/>
      <c r="F1240" s="97"/>
      <c r="G1240" s="97"/>
      <c r="H1240" s="97"/>
      <c r="I1240" s="97"/>
      <c r="J1240" s="97"/>
      <c r="K1240" s="97"/>
      <c r="L1240" s="195"/>
    </row>
    <row r="1241" spans="1:12" x14ac:dyDescent="0.45">
      <c r="A1241" s="462"/>
      <c r="B1241" s="441"/>
      <c r="C1241" s="194">
        <v>4</v>
      </c>
      <c r="D1241" s="80"/>
      <c r="E1241" s="97"/>
      <c r="F1241" s="97"/>
      <c r="G1241" s="97"/>
      <c r="H1241" s="97"/>
      <c r="I1241" s="97"/>
      <c r="J1241" s="97"/>
      <c r="K1241" s="97"/>
      <c r="L1241" s="195"/>
    </row>
    <row r="1242" spans="1:12" x14ac:dyDescent="0.45">
      <c r="A1242" s="462"/>
      <c r="B1242" s="441"/>
      <c r="C1242" s="194">
        <v>5</v>
      </c>
      <c r="D1242" s="80"/>
      <c r="E1242" s="97"/>
      <c r="F1242" s="97"/>
      <c r="G1242" s="97"/>
      <c r="H1242" s="97"/>
      <c r="I1242" s="97"/>
      <c r="J1242" s="97"/>
      <c r="K1242" s="97"/>
      <c r="L1242" s="195"/>
    </row>
    <row r="1243" spans="1:12" x14ac:dyDescent="0.45">
      <c r="A1243" s="462"/>
      <c r="B1243" s="441"/>
      <c r="C1243" s="194">
        <v>6</v>
      </c>
      <c r="D1243" s="80"/>
      <c r="E1243" s="97"/>
      <c r="F1243" s="97"/>
      <c r="G1243" s="97"/>
      <c r="H1243" s="97"/>
      <c r="I1243" s="97"/>
      <c r="J1243" s="97"/>
      <c r="K1243" s="97"/>
      <c r="L1243" s="195"/>
    </row>
    <row r="1244" spans="1:12" x14ac:dyDescent="0.45">
      <c r="A1244" s="462"/>
      <c r="B1244" s="441"/>
      <c r="C1244" s="194">
        <v>7</v>
      </c>
      <c r="D1244" s="80"/>
      <c r="E1244" s="97"/>
      <c r="F1244" s="97"/>
      <c r="G1244" s="97"/>
      <c r="H1244" s="97"/>
      <c r="I1244" s="97"/>
      <c r="J1244" s="97"/>
      <c r="K1244" s="97"/>
      <c r="L1244" s="195"/>
    </row>
    <row r="1245" spans="1:12" x14ac:dyDescent="0.45">
      <c r="A1245" s="462"/>
      <c r="B1245" s="441"/>
      <c r="C1245" s="194">
        <v>8</v>
      </c>
      <c r="D1245" s="80"/>
      <c r="E1245" s="97"/>
      <c r="F1245" s="97"/>
      <c r="G1245" s="97"/>
      <c r="H1245" s="97"/>
      <c r="I1245" s="97"/>
      <c r="J1245" s="97"/>
      <c r="K1245" s="97"/>
      <c r="L1245" s="195"/>
    </row>
    <row r="1246" spans="1:12" x14ac:dyDescent="0.45">
      <c r="A1246" s="462"/>
      <c r="B1246" s="441"/>
      <c r="C1246" s="194">
        <v>9</v>
      </c>
      <c r="D1246" s="80"/>
      <c r="E1246" s="97"/>
      <c r="F1246" s="97"/>
      <c r="G1246" s="97"/>
      <c r="H1246" s="97"/>
      <c r="I1246" s="97"/>
      <c r="J1246" s="97"/>
      <c r="K1246" s="97"/>
      <c r="L1246" s="195"/>
    </row>
    <row r="1247" spans="1:12" x14ac:dyDescent="0.45">
      <c r="A1247" s="462"/>
      <c r="B1247" s="441"/>
      <c r="C1247" s="194">
        <v>10</v>
      </c>
      <c r="D1247" s="80"/>
      <c r="E1247" s="97"/>
      <c r="F1247" s="97"/>
      <c r="G1247" s="97"/>
      <c r="H1247" s="97"/>
      <c r="I1247" s="97"/>
      <c r="J1247" s="97"/>
      <c r="K1247" s="97"/>
      <c r="L1247" s="195"/>
    </row>
    <row r="1248" spans="1:12" x14ac:dyDescent="0.45">
      <c r="A1248" s="462"/>
      <c r="B1248" s="441"/>
      <c r="C1248" s="194">
        <v>11</v>
      </c>
      <c r="D1248" s="81"/>
      <c r="E1248" s="98"/>
      <c r="F1248" s="98"/>
      <c r="G1248" s="98"/>
      <c r="H1248" s="98"/>
      <c r="I1248" s="98"/>
      <c r="J1248" s="98"/>
      <c r="K1248" s="98"/>
      <c r="L1248" s="196"/>
    </row>
    <row r="1249" spans="1:12" ht="14.65" thickBot="1" x14ac:dyDescent="0.5">
      <c r="A1249" s="462"/>
      <c r="B1249" s="442"/>
      <c r="C1249" s="197">
        <v>12</v>
      </c>
      <c r="D1249" s="82"/>
      <c r="E1249" s="99"/>
      <c r="F1249" s="99"/>
      <c r="G1249" s="99"/>
      <c r="H1249" s="99"/>
      <c r="I1249" s="99"/>
      <c r="J1249" s="99"/>
      <c r="K1249" s="99"/>
      <c r="L1249" s="198"/>
    </row>
    <row r="1250" spans="1:12" x14ac:dyDescent="0.45">
      <c r="A1250" s="462"/>
      <c r="B1250" s="440">
        <v>8</v>
      </c>
      <c r="C1250" s="192">
        <v>1</v>
      </c>
      <c r="D1250" s="79"/>
      <c r="E1250" s="96"/>
      <c r="F1250" s="96"/>
      <c r="G1250" s="96"/>
      <c r="H1250" s="96"/>
      <c r="I1250" s="96"/>
      <c r="J1250" s="96"/>
      <c r="K1250" s="96"/>
      <c r="L1250" s="193"/>
    </row>
    <row r="1251" spans="1:12" x14ac:dyDescent="0.45">
      <c r="A1251" s="462"/>
      <c r="B1251" s="441"/>
      <c r="C1251" s="194">
        <v>2</v>
      </c>
      <c r="D1251" s="80"/>
      <c r="E1251" s="97"/>
      <c r="F1251" s="97"/>
      <c r="G1251" s="97"/>
      <c r="H1251" s="97"/>
      <c r="I1251" s="97"/>
      <c r="J1251" s="97"/>
      <c r="K1251" s="97"/>
      <c r="L1251" s="195"/>
    </row>
    <row r="1252" spans="1:12" x14ac:dyDescent="0.45">
      <c r="A1252" s="462"/>
      <c r="B1252" s="441"/>
      <c r="C1252" s="194">
        <v>3</v>
      </c>
      <c r="D1252" s="80"/>
      <c r="E1252" s="97"/>
      <c r="F1252" s="97"/>
      <c r="G1252" s="97"/>
      <c r="H1252" s="97"/>
      <c r="I1252" s="97"/>
      <c r="J1252" s="97"/>
      <c r="K1252" s="97"/>
      <c r="L1252" s="195"/>
    </row>
    <row r="1253" spans="1:12" x14ac:dyDescent="0.45">
      <c r="A1253" s="462"/>
      <c r="B1253" s="441"/>
      <c r="C1253" s="194">
        <v>4</v>
      </c>
      <c r="D1253" s="80"/>
      <c r="E1253" s="97"/>
      <c r="F1253" s="97"/>
      <c r="G1253" s="97"/>
      <c r="H1253" s="97"/>
      <c r="I1253" s="97"/>
      <c r="J1253" s="97"/>
      <c r="K1253" s="97"/>
      <c r="L1253" s="195"/>
    </row>
    <row r="1254" spans="1:12" x14ac:dyDescent="0.45">
      <c r="A1254" s="462"/>
      <c r="B1254" s="441"/>
      <c r="C1254" s="194">
        <v>5</v>
      </c>
      <c r="D1254" s="80"/>
      <c r="E1254" s="97"/>
      <c r="F1254" s="97"/>
      <c r="G1254" s="97"/>
      <c r="H1254" s="97"/>
      <c r="I1254" s="97"/>
      <c r="J1254" s="97"/>
      <c r="K1254" s="97"/>
      <c r="L1254" s="195"/>
    </row>
    <row r="1255" spans="1:12" x14ac:dyDescent="0.45">
      <c r="A1255" s="462"/>
      <c r="B1255" s="441"/>
      <c r="C1255" s="194">
        <v>6</v>
      </c>
      <c r="D1255" s="80"/>
      <c r="E1255" s="97"/>
      <c r="F1255" s="97"/>
      <c r="G1255" s="97"/>
      <c r="H1255" s="97"/>
      <c r="I1255" s="97"/>
      <c r="J1255" s="97"/>
      <c r="K1255" s="97"/>
      <c r="L1255" s="195"/>
    </row>
    <row r="1256" spans="1:12" x14ac:dyDescent="0.45">
      <c r="A1256" s="462"/>
      <c r="B1256" s="441"/>
      <c r="C1256" s="194">
        <v>7</v>
      </c>
      <c r="D1256" s="80"/>
      <c r="E1256" s="97"/>
      <c r="F1256" s="97"/>
      <c r="G1256" s="97"/>
      <c r="H1256" s="97"/>
      <c r="I1256" s="97"/>
      <c r="J1256" s="97"/>
      <c r="K1256" s="97"/>
      <c r="L1256" s="195"/>
    </row>
    <row r="1257" spans="1:12" x14ac:dyDescent="0.45">
      <c r="A1257" s="462"/>
      <c r="B1257" s="441"/>
      <c r="C1257" s="194">
        <v>8</v>
      </c>
      <c r="D1257" s="80"/>
      <c r="E1257" s="97"/>
      <c r="F1257" s="97"/>
      <c r="G1257" s="97"/>
      <c r="H1257" s="97"/>
      <c r="I1257" s="97"/>
      <c r="J1257" s="97"/>
      <c r="K1257" s="97"/>
      <c r="L1257" s="195"/>
    </row>
    <row r="1258" spans="1:12" x14ac:dyDescent="0.45">
      <c r="A1258" s="462"/>
      <c r="B1258" s="441"/>
      <c r="C1258" s="194">
        <v>9</v>
      </c>
      <c r="D1258" s="80"/>
      <c r="E1258" s="97"/>
      <c r="F1258" s="97"/>
      <c r="G1258" s="97"/>
      <c r="H1258" s="97"/>
      <c r="I1258" s="97"/>
      <c r="J1258" s="97"/>
      <c r="K1258" s="97"/>
      <c r="L1258" s="195"/>
    </row>
    <row r="1259" spans="1:12" x14ac:dyDescent="0.45">
      <c r="A1259" s="462"/>
      <c r="B1259" s="441"/>
      <c r="C1259" s="194">
        <v>10</v>
      </c>
      <c r="D1259" s="80"/>
      <c r="E1259" s="97"/>
      <c r="F1259" s="97"/>
      <c r="G1259" s="97"/>
      <c r="H1259" s="97"/>
      <c r="I1259" s="97"/>
      <c r="J1259" s="97"/>
      <c r="K1259" s="97"/>
      <c r="L1259" s="195"/>
    </row>
    <row r="1260" spans="1:12" x14ac:dyDescent="0.45">
      <c r="A1260" s="462"/>
      <c r="B1260" s="441"/>
      <c r="C1260" s="194">
        <v>11</v>
      </c>
      <c r="D1260" s="81"/>
      <c r="E1260" s="98"/>
      <c r="F1260" s="98"/>
      <c r="G1260" s="98"/>
      <c r="H1260" s="98"/>
      <c r="I1260" s="98"/>
      <c r="J1260" s="98"/>
      <c r="K1260" s="98"/>
      <c r="L1260" s="196"/>
    </row>
    <row r="1261" spans="1:12" ht="14.65" thickBot="1" x14ac:dyDescent="0.5">
      <c r="A1261" s="463"/>
      <c r="B1261" s="442"/>
      <c r="C1261" s="197">
        <v>12</v>
      </c>
      <c r="D1261" s="82"/>
      <c r="E1261" s="99"/>
      <c r="F1261" s="99"/>
      <c r="G1261" s="99"/>
      <c r="H1261" s="99"/>
      <c r="I1261" s="99"/>
      <c r="J1261" s="99"/>
      <c r="K1261" s="99"/>
      <c r="L1261" s="198"/>
    </row>
    <row r="1262" spans="1:12" x14ac:dyDescent="0.45">
      <c r="A1262" s="461">
        <v>3</v>
      </c>
      <c r="B1262" s="440">
        <v>9</v>
      </c>
      <c r="C1262" s="192">
        <v>1</v>
      </c>
      <c r="D1262" s="79"/>
      <c r="E1262" s="96"/>
      <c r="F1262" s="96"/>
      <c r="G1262" s="96"/>
      <c r="H1262" s="96"/>
      <c r="I1262" s="96"/>
      <c r="J1262" s="96"/>
      <c r="K1262" s="96"/>
      <c r="L1262" s="193"/>
    </row>
    <row r="1263" spans="1:12" x14ac:dyDescent="0.45">
      <c r="A1263" s="462"/>
      <c r="B1263" s="441"/>
      <c r="C1263" s="194">
        <v>2</v>
      </c>
      <c r="D1263" s="80"/>
      <c r="E1263" s="97"/>
      <c r="F1263" s="97"/>
      <c r="G1263" s="97"/>
      <c r="H1263" s="97"/>
      <c r="I1263" s="97"/>
      <c r="J1263" s="97"/>
      <c r="K1263" s="97"/>
      <c r="L1263" s="195"/>
    </row>
    <row r="1264" spans="1:12" x14ac:dyDescent="0.45">
      <c r="A1264" s="462"/>
      <c r="B1264" s="441"/>
      <c r="C1264" s="194">
        <v>3</v>
      </c>
      <c r="D1264" s="80"/>
      <c r="E1264" s="97"/>
      <c r="F1264" s="97"/>
      <c r="G1264" s="97"/>
      <c r="H1264" s="97"/>
      <c r="I1264" s="97"/>
      <c r="J1264" s="97"/>
      <c r="K1264" s="97"/>
      <c r="L1264" s="195"/>
    </row>
    <row r="1265" spans="1:12" x14ac:dyDescent="0.45">
      <c r="A1265" s="462"/>
      <c r="B1265" s="441"/>
      <c r="C1265" s="194">
        <v>4</v>
      </c>
      <c r="D1265" s="80"/>
      <c r="E1265" s="97"/>
      <c r="F1265" s="97"/>
      <c r="G1265" s="97"/>
      <c r="H1265" s="97"/>
      <c r="I1265" s="97"/>
      <c r="J1265" s="97"/>
      <c r="K1265" s="97"/>
      <c r="L1265" s="195"/>
    </row>
    <row r="1266" spans="1:12" x14ac:dyDescent="0.45">
      <c r="A1266" s="462"/>
      <c r="B1266" s="441"/>
      <c r="C1266" s="194">
        <v>5</v>
      </c>
      <c r="D1266" s="80"/>
      <c r="E1266" s="97"/>
      <c r="F1266" s="97"/>
      <c r="G1266" s="97"/>
      <c r="H1266" s="97"/>
      <c r="I1266" s="97"/>
      <c r="J1266" s="97"/>
      <c r="K1266" s="97"/>
      <c r="L1266" s="195"/>
    </row>
    <row r="1267" spans="1:12" x14ac:dyDescent="0.45">
      <c r="A1267" s="462"/>
      <c r="B1267" s="441"/>
      <c r="C1267" s="194">
        <v>6</v>
      </c>
      <c r="D1267" s="80"/>
      <c r="E1267" s="97"/>
      <c r="F1267" s="97"/>
      <c r="G1267" s="97"/>
      <c r="H1267" s="97"/>
      <c r="I1267" s="97"/>
      <c r="J1267" s="97"/>
      <c r="K1267" s="97"/>
      <c r="L1267" s="195"/>
    </row>
    <row r="1268" spans="1:12" x14ac:dyDescent="0.45">
      <c r="A1268" s="462"/>
      <c r="B1268" s="441"/>
      <c r="C1268" s="194">
        <v>7</v>
      </c>
      <c r="D1268" s="80"/>
      <c r="E1268" s="97"/>
      <c r="F1268" s="97"/>
      <c r="G1268" s="97"/>
      <c r="H1268" s="97"/>
      <c r="I1268" s="97"/>
      <c r="J1268" s="97"/>
      <c r="K1268" s="97"/>
      <c r="L1268" s="195"/>
    </row>
    <row r="1269" spans="1:12" x14ac:dyDescent="0.45">
      <c r="A1269" s="462"/>
      <c r="B1269" s="441"/>
      <c r="C1269" s="194">
        <v>8</v>
      </c>
      <c r="D1269" s="80"/>
      <c r="E1269" s="97"/>
      <c r="F1269" s="97"/>
      <c r="G1269" s="97"/>
      <c r="H1269" s="97"/>
      <c r="I1269" s="97"/>
      <c r="J1269" s="97"/>
      <c r="K1269" s="97"/>
      <c r="L1269" s="195"/>
    </row>
    <row r="1270" spans="1:12" x14ac:dyDescent="0.45">
      <c r="A1270" s="462"/>
      <c r="B1270" s="441"/>
      <c r="C1270" s="194">
        <v>9</v>
      </c>
      <c r="D1270" s="80"/>
      <c r="E1270" s="97"/>
      <c r="F1270" s="97"/>
      <c r="G1270" s="97"/>
      <c r="H1270" s="97"/>
      <c r="I1270" s="97"/>
      <c r="J1270" s="97"/>
      <c r="K1270" s="97"/>
      <c r="L1270" s="195"/>
    </row>
    <row r="1271" spans="1:12" x14ac:dyDescent="0.45">
      <c r="A1271" s="462"/>
      <c r="B1271" s="441"/>
      <c r="C1271" s="194">
        <v>10</v>
      </c>
      <c r="D1271" s="80"/>
      <c r="E1271" s="97"/>
      <c r="F1271" s="97"/>
      <c r="G1271" s="97"/>
      <c r="H1271" s="97"/>
      <c r="I1271" s="97"/>
      <c r="J1271" s="97"/>
      <c r="K1271" s="97"/>
      <c r="L1271" s="195"/>
    </row>
    <row r="1272" spans="1:12" x14ac:dyDescent="0.45">
      <c r="A1272" s="462"/>
      <c r="B1272" s="441"/>
      <c r="C1272" s="194">
        <v>11</v>
      </c>
      <c r="D1272" s="81"/>
      <c r="E1272" s="98"/>
      <c r="F1272" s="98"/>
      <c r="G1272" s="98"/>
      <c r="H1272" s="98"/>
      <c r="I1272" s="98"/>
      <c r="J1272" s="98"/>
      <c r="K1272" s="98"/>
      <c r="L1272" s="196"/>
    </row>
    <row r="1273" spans="1:12" ht="14.65" thickBot="1" x14ac:dyDescent="0.5">
      <c r="A1273" s="462"/>
      <c r="B1273" s="442"/>
      <c r="C1273" s="197">
        <v>12</v>
      </c>
      <c r="D1273" s="82"/>
      <c r="E1273" s="99"/>
      <c r="F1273" s="99"/>
      <c r="G1273" s="99"/>
      <c r="H1273" s="99"/>
      <c r="I1273" s="99"/>
      <c r="J1273" s="99"/>
      <c r="K1273" s="99"/>
      <c r="L1273" s="198"/>
    </row>
    <row r="1274" spans="1:12" x14ac:dyDescent="0.45">
      <c r="A1274" s="462"/>
      <c r="B1274" s="440">
        <v>10</v>
      </c>
      <c r="C1274" s="192">
        <v>1</v>
      </c>
      <c r="D1274" s="79"/>
      <c r="E1274" s="96"/>
      <c r="F1274" s="96"/>
      <c r="G1274" s="96"/>
      <c r="H1274" s="96"/>
      <c r="I1274" s="96"/>
      <c r="J1274" s="96"/>
      <c r="K1274" s="96"/>
      <c r="L1274" s="193"/>
    </row>
    <row r="1275" spans="1:12" x14ac:dyDescent="0.45">
      <c r="A1275" s="462"/>
      <c r="B1275" s="441"/>
      <c r="C1275" s="194">
        <v>2</v>
      </c>
      <c r="D1275" s="80"/>
      <c r="E1275" s="97"/>
      <c r="F1275" s="97"/>
      <c r="G1275" s="97"/>
      <c r="H1275" s="97"/>
      <c r="I1275" s="97"/>
      <c r="J1275" s="97"/>
      <c r="K1275" s="97"/>
      <c r="L1275" s="195"/>
    </row>
    <row r="1276" spans="1:12" x14ac:dyDescent="0.45">
      <c r="A1276" s="462"/>
      <c r="B1276" s="441"/>
      <c r="C1276" s="194">
        <v>3</v>
      </c>
      <c r="D1276" s="80"/>
      <c r="E1276" s="97"/>
      <c r="F1276" s="97"/>
      <c r="G1276" s="97"/>
      <c r="H1276" s="97"/>
      <c r="I1276" s="97"/>
      <c r="J1276" s="97"/>
      <c r="K1276" s="97"/>
      <c r="L1276" s="195"/>
    </row>
    <row r="1277" spans="1:12" x14ac:dyDescent="0.45">
      <c r="A1277" s="462"/>
      <c r="B1277" s="441"/>
      <c r="C1277" s="194">
        <v>4</v>
      </c>
      <c r="D1277" s="80"/>
      <c r="E1277" s="97"/>
      <c r="F1277" s="97"/>
      <c r="G1277" s="97"/>
      <c r="H1277" s="97"/>
      <c r="I1277" s="97"/>
      <c r="J1277" s="97"/>
      <c r="K1277" s="97"/>
      <c r="L1277" s="195"/>
    </row>
    <row r="1278" spans="1:12" x14ac:dyDescent="0.45">
      <c r="A1278" s="462"/>
      <c r="B1278" s="441"/>
      <c r="C1278" s="194">
        <v>5</v>
      </c>
      <c r="D1278" s="80"/>
      <c r="E1278" s="97"/>
      <c r="F1278" s="97"/>
      <c r="G1278" s="97"/>
      <c r="H1278" s="97"/>
      <c r="I1278" s="97"/>
      <c r="J1278" s="97"/>
      <c r="K1278" s="97"/>
      <c r="L1278" s="195"/>
    </row>
    <row r="1279" spans="1:12" x14ac:dyDescent="0.45">
      <c r="A1279" s="462"/>
      <c r="B1279" s="441"/>
      <c r="C1279" s="194">
        <v>6</v>
      </c>
      <c r="D1279" s="80"/>
      <c r="E1279" s="97"/>
      <c r="F1279" s="97"/>
      <c r="G1279" s="97"/>
      <c r="H1279" s="97"/>
      <c r="I1279" s="97"/>
      <c r="J1279" s="97"/>
      <c r="K1279" s="97"/>
      <c r="L1279" s="195"/>
    </row>
    <row r="1280" spans="1:12" x14ac:dyDescent="0.45">
      <c r="A1280" s="462"/>
      <c r="B1280" s="441"/>
      <c r="C1280" s="194">
        <v>7</v>
      </c>
      <c r="D1280" s="80"/>
      <c r="E1280" s="97"/>
      <c r="F1280" s="97"/>
      <c r="G1280" s="97"/>
      <c r="H1280" s="97"/>
      <c r="I1280" s="97"/>
      <c r="J1280" s="97"/>
      <c r="K1280" s="97"/>
      <c r="L1280" s="195"/>
    </row>
    <row r="1281" spans="1:12" x14ac:dyDescent="0.45">
      <c r="A1281" s="462"/>
      <c r="B1281" s="441"/>
      <c r="C1281" s="194">
        <v>8</v>
      </c>
      <c r="D1281" s="80"/>
      <c r="E1281" s="97"/>
      <c r="F1281" s="97"/>
      <c r="G1281" s="97"/>
      <c r="H1281" s="97"/>
      <c r="I1281" s="97"/>
      <c r="J1281" s="97"/>
      <c r="K1281" s="97"/>
      <c r="L1281" s="195"/>
    </row>
    <row r="1282" spans="1:12" x14ac:dyDescent="0.45">
      <c r="A1282" s="462"/>
      <c r="B1282" s="441"/>
      <c r="C1282" s="194">
        <v>9</v>
      </c>
      <c r="D1282" s="80"/>
      <c r="E1282" s="97"/>
      <c r="F1282" s="97"/>
      <c r="G1282" s="97"/>
      <c r="H1282" s="97"/>
      <c r="I1282" s="97"/>
      <c r="J1282" s="97"/>
      <c r="K1282" s="97"/>
      <c r="L1282" s="195"/>
    </row>
    <row r="1283" spans="1:12" x14ac:dyDescent="0.45">
      <c r="A1283" s="462"/>
      <c r="B1283" s="441"/>
      <c r="C1283" s="194">
        <v>10</v>
      </c>
      <c r="D1283" s="80"/>
      <c r="E1283" s="97"/>
      <c r="F1283" s="97"/>
      <c r="G1283" s="97"/>
      <c r="H1283" s="97"/>
      <c r="I1283" s="97"/>
      <c r="J1283" s="97"/>
      <c r="K1283" s="97"/>
      <c r="L1283" s="195"/>
    </row>
    <row r="1284" spans="1:12" x14ac:dyDescent="0.45">
      <c r="A1284" s="462"/>
      <c r="B1284" s="441"/>
      <c r="C1284" s="194">
        <v>11</v>
      </c>
      <c r="D1284" s="81"/>
      <c r="E1284" s="98"/>
      <c r="F1284" s="98"/>
      <c r="G1284" s="98"/>
      <c r="H1284" s="98"/>
      <c r="I1284" s="98"/>
      <c r="J1284" s="98"/>
      <c r="K1284" s="98"/>
      <c r="L1284" s="196"/>
    </row>
    <row r="1285" spans="1:12" ht="14.65" thickBot="1" x14ac:dyDescent="0.5">
      <c r="A1285" s="462"/>
      <c r="B1285" s="442"/>
      <c r="C1285" s="197">
        <v>12</v>
      </c>
      <c r="D1285" s="82"/>
      <c r="E1285" s="99"/>
      <c r="F1285" s="99"/>
      <c r="G1285" s="99"/>
      <c r="H1285" s="99"/>
      <c r="I1285" s="99"/>
      <c r="J1285" s="99"/>
      <c r="K1285" s="99"/>
      <c r="L1285" s="198"/>
    </row>
    <row r="1286" spans="1:12" x14ac:dyDescent="0.45">
      <c r="A1286" s="462"/>
      <c r="B1286" s="440">
        <v>11</v>
      </c>
      <c r="C1286" s="192">
        <v>1</v>
      </c>
      <c r="D1286" s="79"/>
      <c r="E1286" s="96"/>
      <c r="F1286" s="96"/>
      <c r="G1286" s="96"/>
      <c r="H1286" s="96"/>
      <c r="I1286" s="96"/>
      <c r="J1286" s="96"/>
      <c r="K1286" s="96"/>
      <c r="L1286" s="193"/>
    </row>
    <row r="1287" spans="1:12" x14ac:dyDescent="0.45">
      <c r="A1287" s="462"/>
      <c r="B1287" s="441"/>
      <c r="C1287" s="194">
        <v>2</v>
      </c>
      <c r="D1287" s="80"/>
      <c r="E1287" s="97"/>
      <c r="F1287" s="97"/>
      <c r="G1287" s="97"/>
      <c r="H1287" s="97"/>
      <c r="I1287" s="97"/>
      <c r="J1287" s="97"/>
      <c r="K1287" s="97"/>
      <c r="L1287" s="195"/>
    </row>
    <row r="1288" spans="1:12" x14ac:dyDescent="0.45">
      <c r="A1288" s="462"/>
      <c r="B1288" s="441"/>
      <c r="C1288" s="194">
        <v>3</v>
      </c>
      <c r="D1288" s="80"/>
      <c r="E1288" s="97"/>
      <c r="F1288" s="97"/>
      <c r="G1288" s="97"/>
      <c r="H1288" s="97"/>
      <c r="I1288" s="97"/>
      <c r="J1288" s="97"/>
      <c r="K1288" s="97"/>
      <c r="L1288" s="195"/>
    </row>
    <row r="1289" spans="1:12" x14ac:dyDescent="0.45">
      <c r="A1289" s="462"/>
      <c r="B1289" s="441"/>
      <c r="C1289" s="194">
        <v>4</v>
      </c>
      <c r="D1289" s="80"/>
      <c r="E1289" s="97"/>
      <c r="F1289" s="97"/>
      <c r="G1289" s="97"/>
      <c r="H1289" s="97"/>
      <c r="I1289" s="97"/>
      <c r="J1289" s="97"/>
      <c r="K1289" s="97"/>
      <c r="L1289" s="195"/>
    </row>
    <row r="1290" spans="1:12" x14ac:dyDescent="0.45">
      <c r="A1290" s="462"/>
      <c r="B1290" s="441"/>
      <c r="C1290" s="194">
        <v>5</v>
      </c>
      <c r="D1290" s="80"/>
      <c r="E1290" s="97"/>
      <c r="F1290" s="97"/>
      <c r="G1290" s="97"/>
      <c r="H1290" s="97"/>
      <c r="I1290" s="97"/>
      <c r="J1290" s="97"/>
      <c r="K1290" s="97"/>
      <c r="L1290" s="195"/>
    </row>
    <row r="1291" spans="1:12" x14ac:dyDescent="0.45">
      <c r="A1291" s="462"/>
      <c r="B1291" s="441"/>
      <c r="C1291" s="194">
        <v>6</v>
      </c>
      <c r="D1291" s="80"/>
      <c r="E1291" s="97"/>
      <c r="F1291" s="97"/>
      <c r="G1291" s="97"/>
      <c r="H1291" s="97"/>
      <c r="I1291" s="97"/>
      <c r="J1291" s="97"/>
      <c r="K1291" s="97"/>
      <c r="L1291" s="195"/>
    </row>
    <row r="1292" spans="1:12" x14ac:dyDescent="0.45">
      <c r="A1292" s="462"/>
      <c r="B1292" s="441"/>
      <c r="C1292" s="194">
        <v>7</v>
      </c>
      <c r="D1292" s="80"/>
      <c r="E1292" s="97"/>
      <c r="F1292" s="97"/>
      <c r="G1292" s="97"/>
      <c r="H1292" s="97"/>
      <c r="I1292" s="97"/>
      <c r="J1292" s="97"/>
      <c r="K1292" s="97"/>
      <c r="L1292" s="195"/>
    </row>
    <row r="1293" spans="1:12" x14ac:dyDescent="0.45">
      <c r="A1293" s="462"/>
      <c r="B1293" s="441"/>
      <c r="C1293" s="194">
        <v>8</v>
      </c>
      <c r="D1293" s="80"/>
      <c r="E1293" s="97"/>
      <c r="F1293" s="97"/>
      <c r="G1293" s="97"/>
      <c r="H1293" s="97"/>
      <c r="I1293" s="97"/>
      <c r="J1293" s="97"/>
      <c r="K1293" s="97"/>
      <c r="L1293" s="195"/>
    </row>
    <row r="1294" spans="1:12" x14ac:dyDescent="0.45">
      <c r="A1294" s="462"/>
      <c r="B1294" s="441"/>
      <c r="C1294" s="194">
        <v>9</v>
      </c>
      <c r="D1294" s="80"/>
      <c r="E1294" s="97"/>
      <c r="F1294" s="97"/>
      <c r="G1294" s="97"/>
      <c r="H1294" s="97"/>
      <c r="I1294" s="97"/>
      <c r="J1294" s="97"/>
      <c r="K1294" s="97"/>
      <c r="L1294" s="195"/>
    </row>
    <row r="1295" spans="1:12" x14ac:dyDescent="0.45">
      <c r="A1295" s="462"/>
      <c r="B1295" s="441"/>
      <c r="C1295" s="194">
        <v>10</v>
      </c>
      <c r="D1295" s="80"/>
      <c r="E1295" s="97"/>
      <c r="F1295" s="97"/>
      <c r="G1295" s="97"/>
      <c r="H1295" s="97"/>
      <c r="I1295" s="97"/>
      <c r="J1295" s="97"/>
      <c r="K1295" s="97"/>
      <c r="L1295" s="195"/>
    </row>
    <row r="1296" spans="1:12" x14ac:dyDescent="0.45">
      <c r="A1296" s="462"/>
      <c r="B1296" s="441"/>
      <c r="C1296" s="194">
        <v>11</v>
      </c>
      <c r="D1296" s="81"/>
      <c r="E1296" s="98"/>
      <c r="F1296" s="98"/>
      <c r="G1296" s="98"/>
      <c r="H1296" s="98"/>
      <c r="I1296" s="98"/>
      <c r="J1296" s="98"/>
      <c r="K1296" s="98"/>
      <c r="L1296" s="196"/>
    </row>
    <row r="1297" spans="1:12" ht="14.65" thickBot="1" x14ac:dyDescent="0.5">
      <c r="A1297" s="462"/>
      <c r="B1297" s="442"/>
      <c r="C1297" s="197">
        <v>12</v>
      </c>
      <c r="D1297" s="82"/>
      <c r="E1297" s="99"/>
      <c r="F1297" s="99"/>
      <c r="G1297" s="99"/>
      <c r="H1297" s="99"/>
      <c r="I1297" s="99"/>
      <c r="J1297" s="99"/>
      <c r="K1297" s="99"/>
      <c r="L1297" s="198"/>
    </row>
    <row r="1298" spans="1:12" x14ac:dyDescent="0.45">
      <c r="A1298" s="462"/>
      <c r="B1298" s="440">
        <v>12</v>
      </c>
      <c r="C1298" s="192">
        <v>1</v>
      </c>
      <c r="D1298" s="79"/>
      <c r="E1298" s="96"/>
      <c r="F1298" s="96"/>
      <c r="G1298" s="96"/>
      <c r="H1298" s="96"/>
      <c r="I1298" s="96"/>
      <c r="J1298" s="96"/>
      <c r="K1298" s="96"/>
      <c r="L1298" s="193"/>
    </row>
    <row r="1299" spans="1:12" x14ac:dyDescent="0.45">
      <c r="A1299" s="462"/>
      <c r="B1299" s="441"/>
      <c r="C1299" s="194">
        <v>2</v>
      </c>
      <c r="D1299" s="80"/>
      <c r="E1299" s="97"/>
      <c r="F1299" s="97"/>
      <c r="G1299" s="97"/>
      <c r="H1299" s="97"/>
      <c r="I1299" s="97"/>
      <c r="J1299" s="97"/>
      <c r="K1299" s="97"/>
      <c r="L1299" s="195"/>
    </row>
    <row r="1300" spans="1:12" x14ac:dyDescent="0.45">
      <c r="A1300" s="462"/>
      <c r="B1300" s="441"/>
      <c r="C1300" s="194">
        <v>3</v>
      </c>
      <c r="D1300" s="80"/>
      <c r="E1300" s="97"/>
      <c r="F1300" s="97"/>
      <c r="G1300" s="97"/>
      <c r="H1300" s="97"/>
      <c r="I1300" s="97"/>
      <c r="J1300" s="97"/>
      <c r="K1300" s="97"/>
      <c r="L1300" s="195"/>
    </row>
    <row r="1301" spans="1:12" x14ac:dyDescent="0.45">
      <c r="A1301" s="462"/>
      <c r="B1301" s="441"/>
      <c r="C1301" s="194">
        <v>4</v>
      </c>
      <c r="D1301" s="80"/>
      <c r="E1301" s="97"/>
      <c r="F1301" s="97"/>
      <c r="G1301" s="97"/>
      <c r="H1301" s="97"/>
      <c r="I1301" s="97"/>
      <c r="J1301" s="97"/>
      <c r="K1301" s="97"/>
      <c r="L1301" s="195"/>
    </row>
    <row r="1302" spans="1:12" x14ac:dyDescent="0.45">
      <c r="A1302" s="462"/>
      <c r="B1302" s="441"/>
      <c r="C1302" s="194">
        <v>5</v>
      </c>
      <c r="D1302" s="80"/>
      <c r="E1302" s="97"/>
      <c r="F1302" s="97"/>
      <c r="G1302" s="97"/>
      <c r="H1302" s="97"/>
      <c r="I1302" s="97"/>
      <c r="J1302" s="97"/>
      <c r="K1302" s="97"/>
      <c r="L1302" s="195"/>
    </row>
    <row r="1303" spans="1:12" x14ac:dyDescent="0.45">
      <c r="A1303" s="462"/>
      <c r="B1303" s="441"/>
      <c r="C1303" s="194">
        <v>6</v>
      </c>
      <c r="D1303" s="80"/>
      <c r="E1303" s="97"/>
      <c r="F1303" s="97"/>
      <c r="G1303" s="97"/>
      <c r="H1303" s="97"/>
      <c r="I1303" s="97"/>
      <c r="J1303" s="97"/>
      <c r="K1303" s="97"/>
      <c r="L1303" s="195"/>
    </row>
    <row r="1304" spans="1:12" x14ac:dyDescent="0.45">
      <c r="A1304" s="462"/>
      <c r="B1304" s="441"/>
      <c r="C1304" s="194">
        <v>7</v>
      </c>
      <c r="D1304" s="80"/>
      <c r="E1304" s="97"/>
      <c r="F1304" s="97"/>
      <c r="G1304" s="97"/>
      <c r="H1304" s="97"/>
      <c r="I1304" s="97"/>
      <c r="J1304" s="97"/>
      <c r="K1304" s="97"/>
      <c r="L1304" s="195"/>
    </row>
    <row r="1305" spans="1:12" x14ac:dyDescent="0.45">
      <c r="A1305" s="462"/>
      <c r="B1305" s="441"/>
      <c r="C1305" s="194">
        <v>8</v>
      </c>
      <c r="D1305" s="80"/>
      <c r="E1305" s="97"/>
      <c r="F1305" s="97"/>
      <c r="G1305" s="97"/>
      <c r="H1305" s="97"/>
      <c r="I1305" s="97"/>
      <c r="J1305" s="97"/>
      <c r="K1305" s="97"/>
      <c r="L1305" s="195"/>
    </row>
    <row r="1306" spans="1:12" x14ac:dyDescent="0.45">
      <c r="A1306" s="462"/>
      <c r="B1306" s="441"/>
      <c r="C1306" s="194">
        <v>9</v>
      </c>
      <c r="D1306" s="80"/>
      <c r="E1306" s="97"/>
      <c r="F1306" s="97"/>
      <c r="G1306" s="97"/>
      <c r="H1306" s="97"/>
      <c r="I1306" s="97"/>
      <c r="J1306" s="97"/>
      <c r="K1306" s="97"/>
      <c r="L1306" s="195"/>
    </row>
    <row r="1307" spans="1:12" x14ac:dyDescent="0.45">
      <c r="A1307" s="462"/>
      <c r="B1307" s="441"/>
      <c r="C1307" s="194">
        <v>10</v>
      </c>
      <c r="D1307" s="80"/>
      <c r="E1307" s="97"/>
      <c r="F1307" s="97"/>
      <c r="G1307" s="97"/>
      <c r="H1307" s="97"/>
      <c r="I1307" s="97"/>
      <c r="J1307" s="97"/>
      <c r="K1307" s="97"/>
      <c r="L1307" s="195"/>
    </row>
    <row r="1308" spans="1:12" x14ac:dyDescent="0.45">
      <c r="A1308" s="462"/>
      <c r="B1308" s="441"/>
      <c r="C1308" s="194">
        <v>11</v>
      </c>
      <c r="D1308" s="81"/>
      <c r="E1308" s="98"/>
      <c r="F1308" s="98"/>
      <c r="G1308" s="98"/>
      <c r="H1308" s="98"/>
      <c r="I1308" s="98"/>
      <c r="J1308" s="98"/>
      <c r="K1308" s="98"/>
      <c r="L1308" s="196"/>
    </row>
    <row r="1309" spans="1:12" ht="14.65" thickBot="1" x14ac:dyDescent="0.5">
      <c r="A1309" s="463"/>
      <c r="B1309" s="442"/>
      <c r="C1309" s="199">
        <v>12</v>
      </c>
      <c r="D1309" s="82"/>
      <c r="E1309" s="99"/>
      <c r="F1309" s="99"/>
      <c r="G1309" s="99"/>
      <c r="H1309" s="99"/>
      <c r="I1309" s="99"/>
      <c r="J1309" s="99"/>
      <c r="K1309" s="99"/>
      <c r="L1309" s="198"/>
    </row>
    <row r="1311" spans="1:12" s="91" customFormat="1" x14ac:dyDescent="0.45"/>
    <row r="1312" spans="1:12" ht="14.65" thickBot="1" x14ac:dyDescent="0.5"/>
    <row r="1313" spans="1:12" ht="28.9" thickBot="1" x14ac:dyDescent="0.5">
      <c r="A1313" s="187" t="s">
        <v>76</v>
      </c>
      <c r="B1313" s="186">
        <v>10</v>
      </c>
      <c r="C1313" s="109"/>
      <c r="D1313" s="109"/>
    </row>
    <row r="1314" spans="1:12" x14ac:dyDescent="0.45">
      <c r="A1314" s="443" t="s">
        <v>27</v>
      </c>
      <c r="B1314" s="448">
        <f>Name10</f>
        <v>0</v>
      </c>
      <c r="C1314" s="449"/>
      <c r="D1314" s="450"/>
      <c r="I1314" s="204"/>
      <c r="J1314" s="204"/>
      <c r="K1314" s="204"/>
      <c r="L1314" s="204"/>
    </row>
    <row r="1315" spans="1:12" x14ac:dyDescent="0.45">
      <c r="A1315" s="444"/>
      <c r="B1315" s="448"/>
      <c r="C1315" s="449"/>
      <c r="D1315" s="450"/>
      <c r="I1315" s="204"/>
      <c r="J1315" s="204"/>
      <c r="K1315" s="204"/>
      <c r="L1315" s="204"/>
    </row>
    <row r="1316" spans="1:12" x14ac:dyDescent="0.45">
      <c r="A1316" s="445"/>
      <c r="B1316" s="388"/>
      <c r="C1316" s="451"/>
      <c r="D1316" s="452"/>
      <c r="I1316" s="204"/>
      <c r="J1316" s="204"/>
      <c r="K1316" s="204"/>
      <c r="L1316" s="204"/>
    </row>
    <row r="1317" spans="1:12" ht="14.45" customHeight="1" x14ac:dyDescent="0.45">
      <c r="A1317" s="444" t="s">
        <v>155</v>
      </c>
      <c r="B1317" s="453">
        <f>GapA10</f>
        <v>0</v>
      </c>
      <c r="C1317" s="454"/>
      <c r="D1317" s="455"/>
      <c r="I1317" s="204"/>
      <c r="J1317" s="204"/>
      <c r="K1317" s="204"/>
      <c r="L1317" s="204"/>
    </row>
    <row r="1318" spans="1:12" x14ac:dyDescent="0.45">
      <c r="A1318" s="444"/>
      <c r="B1318" s="448"/>
      <c r="C1318" s="449"/>
      <c r="D1318" s="450"/>
      <c r="I1318" s="204"/>
      <c r="J1318" s="204"/>
      <c r="K1318" s="204"/>
      <c r="L1318" s="204"/>
    </row>
    <row r="1319" spans="1:12" x14ac:dyDescent="0.45">
      <c r="A1319" s="445"/>
      <c r="B1319" s="388"/>
      <c r="C1319" s="451"/>
      <c r="D1319" s="452"/>
      <c r="I1319" s="204"/>
      <c r="J1319" s="204"/>
      <c r="K1319" s="204"/>
      <c r="L1319" s="204"/>
    </row>
    <row r="1320" spans="1:12" x14ac:dyDescent="0.45">
      <c r="A1320" s="444" t="s">
        <v>159</v>
      </c>
      <c r="B1320" s="453">
        <f>Objective10</f>
        <v>0</v>
      </c>
      <c r="C1320" s="454"/>
      <c r="D1320" s="455"/>
      <c r="I1320" s="204"/>
      <c r="J1320" s="204"/>
      <c r="K1320" s="204"/>
      <c r="L1320" s="204"/>
    </row>
    <row r="1321" spans="1:12" x14ac:dyDescent="0.45">
      <c r="A1321" s="444"/>
      <c r="B1321" s="448"/>
      <c r="C1321" s="449"/>
      <c r="D1321" s="450"/>
      <c r="I1321" s="204"/>
      <c r="J1321" s="204"/>
      <c r="K1321" s="204"/>
      <c r="L1321" s="204"/>
    </row>
    <row r="1322" spans="1:12" x14ac:dyDescent="0.45">
      <c r="A1322" s="445"/>
      <c r="B1322" s="388"/>
      <c r="C1322" s="451"/>
      <c r="D1322" s="452"/>
      <c r="I1322" s="204"/>
      <c r="J1322" s="204"/>
      <c r="K1322" s="204"/>
      <c r="L1322" s="204"/>
    </row>
    <row r="1323" spans="1:12" ht="14.45" customHeight="1" x14ac:dyDescent="0.45">
      <c r="A1323" s="446" t="s">
        <v>166</v>
      </c>
      <c r="B1323" s="454">
        <f>Capacity10</f>
        <v>0</v>
      </c>
      <c r="C1323" s="454"/>
      <c r="D1323" s="455"/>
      <c r="I1323" s="204"/>
      <c r="J1323" s="204"/>
      <c r="K1323" s="204"/>
      <c r="L1323" s="204"/>
    </row>
    <row r="1324" spans="1:12" x14ac:dyDescent="0.45">
      <c r="A1324" s="447"/>
      <c r="B1324" s="449"/>
      <c r="C1324" s="449"/>
      <c r="D1324" s="450"/>
      <c r="I1324" s="204"/>
      <c r="J1324" s="204"/>
      <c r="K1324" s="204"/>
      <c r="L1324" s="204"/>
    </row>
    <row r="1325" spans="1:12" ht="14.65" thickBot="1" x14ac:dyDescent="0.5">
      <c r="A1325" s="464"/>
      <c r="B1325" s="456"/>
      <c r="C1325" s="456"/>
      <c r="D1325" s="457"/>
      <c r="I1325" s="204"/>
      <c r="J1325" s="204"/>
      <c r="K1325" s="204"/>
      <c r="L1325" s="204"/>
    </row>
    <row r="1327" spans="1:12" ht="14.65" thickBot="1" x14ac:dyDescent="0.5">
      <c r="A1327" s="90"/>
      <c r="B1327" s="90"/>
      <c r="C1327" s="90"/>
      <c r="D1327" s="90"/>
      <c r="E1327" s="90"/>
      <c r="F1327" s="90"/>
      <c r="G1327" s="90"/>
      <c r="H1327" s="90"/>
      <c r="I1327" s="90"/>
      <c r="J1327" s="90"/>
      <c r="K1327" s="90"/>
      <c r="L1327" s="90"/>
    </row>
    <row r="1328" spans="1:12" ht="21.75" customHeight="1" x14ac:dyDescent="0.45">
      <c r="A1328" s="458" t="s">
        <v>135</v>
      </c>
      <c r="B1328" s="459"/>
      <c r="C1328" s="459"/>
      <c r="D1328" s="459"/>
      <c r="E1328" s="459"/>
      <c r="F1328" s="459"/>
      <c r="G1328" s="459"/>
      <c r="H1328" s="459"/>
      <c r="I1328" s="459"/>
      <c r="J1328" s="459"/>
      <c r="K1328" s="459"/>
      <c r="L1328" s="460"/>
    </row>
    <row r="1329" spans="1:14" ht="29" customHeight="1" thickBot="1" x14ac:dyDescent="0.5">
      <c r="A1329" s="93" t="s">
        <v>74</v>
      </c>
      <c r="B1329" s="94" t="s">
        <v>28</v>
      </c>
      <c r="C1329" s="95" t="s">
        <v>320</v>
      </c>
      <c r="D1329" s="95" t="s">
        <v>127</v>
      </c>
      <c r="E1329" s="114" t="s">
        <v>90</v>
      </c>
      <c r="F1329" s="95" t="s">
        <v>175</v>
      </c>
      <c r="G1329" s="95" t="s">
        <v>176</v>
      </c>
      <c r="H1329" s="95" t="s">
        <v>156</v>
      </c>
      <c r="I1329" s="95" t="s">
        <v>157</v>
      </c>
      <c r="J1329" s="189" t="s">
        <v>321</v>
      </c>
      <c r="K1329" s="190" t="s">
        <v>29</v>
      </c>
      <c r="L1329" s="191" t="s">
        <v>322</v>
      </c>
    </row>
    <row r="1330" spans="1:14" x14ac:dyDescent="0.45">
      <c r="A1330" s="461">
        <v>1</v>
      </c>
      <c r="B1330" s="440">
        <v>1</v>
      </c>
      <c r="C1330" s="192">
        <v>1</v>
      </c>
      <c r="D1330" s="79"/>
      <c r="E1330" s="96"/>
      <c r="F1330" s="96"/>
      <c r="G1330" s="96"/>
      <c r="H1330" s="96"/>
      <c r="I1330" s="96"/>
      <c r="J1330" s="96"/>
      <c r="K1330" s="96"/>
      <c r="L1330" s="193"/>
    </row>
    <row r="1331" spans="1:14" x14ac:dyDescent="0.45">
      <c r="A1331" s="462"/>
      <c r="B1331" s="441"/>
      <c r="C1331" s="194">
        <v>2</v>
      </c>
      <c r="D1331" s="80"/>
      <c r="E1331" s="97"/>
      <c r="F1331" s="97"/>
      <c r="G1331" s="97"/>
      <c r="H1331" s="97"/>
      <c r="I1331" s="97"/>
      <c r="J1331" s="97"/>
      <c r="K1331" s="97"/>
      <c r="L1331" s="195"/>
    </row>
    <row r="1332" spans="1:14" x14ac:dyDescent="0.45">
      <c r="A1332" s="462"/>
      <c r="B1332" s="441"/>
      <c r="C1332" s="194">
        <v>3</v>
      </c>
      <c r="D1332" s="80"/>
      <c r="E1332" s="97"/>
      <c r="F1332" s="97"/>
      <c r="G1332" s="97"/>
      <c r="H1332" s="97"/>
      <c r="I1332" s="97"/>
      <c r="J1332" s="97"/>
      <c r="K1332" s="97"/>
      <c r="L1332" s="195"/>
    </row>
    <row r="1333" spans="1:14" x14ac:dyDescent="0.45">
      <c r="A1333" s="462"/>
      <c r="B1333" s="441"/>
      <c r="C1333" s="194">
        <v>4</v>
      </c>
      <c r="D1333" s="80"/>
      <c r="E1333" s="97"/>
      <c r="F1333" s="97"/>
      <c r="G1333" s="97"/>
      <c r="H1333" s="97"/>
      <c r="I1333" s="97"/>
      <c r="J1333" s="97"/>
      <c r="K1333" s="97"/>
      <c r="L1333" s="195"/>
    </row>
    <row r="1334" spans="1:14" x14ac:dyDescent="0.45">
      <c r="A1334" s="462"/>
      <c r="B1334" s="441"/>
      <c r="C1334" s="194">
        <v>5</v>
      </c>
      <c r="D1334" s="80"/>
      <c r="E1334" s="97"/>
      <c r="F1334" s="97"/>
      <c r="G1334" s="97"/>
      <c r="H1334" s="97"/>
      <c r="I1334" s="97"/>
      <c r="J1334" s="97"/>
      <c r="K1334" s="97"/>
      <c r="L1334" s="195"/>
    </row>
    <row r="1335" spans="1:14" x14ac:dyDescent="0.45">
      <c r="A1335" s="462"/>
      <c r="B1335" s="441"/>
      <c r="C1335" s="194">
        <v>6</v>
      </c>
      <c r="D1335" s="80"/>
      <c r="E1335" s="97"/>
      <c r="F1335" s="97"/>
      <c r="G1335" s="97"/>
      <c r="H1335" s="97"/>
      <c r="I1335" s="97"/>
      <c r="J1335" s="97"/>
      <c r="K1335" s="97"/>
      <c r="L1335" s="195"/>
    </row>
    <row r="1336" spans="1:14" x14ac:dyDescent="0.45">
      <c r="A1336" s="462"/>
      <c r="B1336" s="441"/>
      <c r="C1336" s="194">
        <v>7</v>
      </c>
      <c r="D1336" s="80"/>
      <c r="E1336" s="97"/>
      <c r="F1336" s="97"/>
      <c r="G1336" s="97"/>
      <c r="H1336" s="97"/>
      <c r="I1336" s="97"/>
      <c r="J1336" s="97"/>
      <c r="K1336" s="97"/>
      <c r="L1336" s="195"/>
    </row>
    <row r="1337" spans="1:14" x14ac:dyDescent="0.45">
      <c r="A1337" s="462"/>
      <c r="B1337" s="441"/>
      <c r="C1337" s="194">
        <v>8</v>
      </c>
      <c r="D1337" s="80"/>
      <c r="E1337" s="97"/>
      <c r="F1337" s="97"/>
      <c r="G1337" s="97"/>
      <c r="H1337" s="97"/>
      <c r="I1337" s="97"/>
      <c r="J1337" s="97"/>
      <c r="K1337" s="97"/>
      <c r="L1337" s="195"/>
    </row>
    <row r="1338" spans="1:14" x14ac:dyDescent="0.45">
      <c r="A1338" s="462"/>
      <c r="B1338" s="441"/>
      <c r="C1338" s="194">
        <v>9</v>
      </c>
      <c r="D1338" s="80"/>
      <c r="E1338" s="97"/>
      <c r="F1338" s="97"/>
      <c r="G1338" s="97"/>
      <c r="H1338" s="97"/>
      <c r="I1338" s="97"/>
      <c r="J1338" s="97"/>
      <c r="K1338" s="97"/>
      <c r="L1338" s="195"/>
    </row>
    <row r="1339" spans="1:14" x14ac:dyDescent="0.45">
      <c r="A1339" s="462"/>
      <c r="B1339" s="441"/>
      <c r="C1339" s="194">
        <v>10</v>
      </c>
      <c r="D1339" s="80"/>
      <c r="E1339" s="97"/>
      <c r="F1339" s="97"/>
      <c r="G1339" s="97"/>
      <c r="H1339" s="97"/>
      <c r="I1339" s="97"/>
      <c r="J1339" s="97"/>
      <c r="K1339" s="97"/>
      <c r="L1339" s="195"/>
    </row>
    <row r="1340" spans="1:14" x14ac:dyDescent="0.45">
      <c r="A1340" s="462"/>
      <c r="B1340" s="441"/>
      <c r="C1340" s="194">
        <v>11</v>
      </c>
      <c r="D1340" s="81"/>
      <c r="E1340" s="98"/>
      <c r="F1340" s="98"/>
      <c r="G1340" s="98"/>
      <c r="H1340" s="98"/>
      <c r="I1340" s="98"/>
      <c r="J1340" s="98"/>
      <c r="K1340" s="98"/>
      <c r="L1340" s="196"/>
    </row>
    <row r="1341" spans="1:14" s="90" customFormat="1" ht="14.65" thickBot="1" x14ac:dyDescent="0.5">
      <c r="A1341" s="462"/>
      <c r="B1341" s="442"/>
      <c r="C1341" s="197">
        <v>12</v>
      </c>
      <c r="D1341" s="82"/>
      <c r="E1341" s="99"/>
      <c r="F1341" s="99"/>
      <c r="G1341" s="99"/>
      <c r="H1341" s="99"/>
      <c r="I1341" s="99"/>
      <c r="J1341" s="99"/>
      <c r="K1341" s="99"/>
      <c r="L1341" s="198"/>
      <c r="M1341" s="61"/>
      <c r="N1341" s="61"/>
    </row>
    <row r="1342" spans="1:14" x14ac:dyDescent="0.45">
      <c r="A1342" s="462"/>
      <c r="B1342" s="440">
        <v>2</v>
      </c>
      <c r="C1342" s="192">
        <v>1</v>
      </c>
      <c r="D1342" s="79"/>
      <c r="E1342" s="96"/>
      <c r="F1342" s="96"/>
      <c r="G1342" s="96"/>
      <c r="H1342" s="96"/>
      <c r="I1342" s="96"/>
      <c r="J1342" s="96"/>
      <c r="K1342" s="96"/>
      <c r="L1342" s="193"/>
    </row>
    <row r="1343" spans="1:14" x14ac:dyDescent="0.45">
      <c r="A1343" s="462"/>
      <c r="B1343" s="441"/>
      <c r="C1343" s="194">
        <v>2</v>
      </c>
      <c r="D1343" s="80"/>
      <c r="E1343" s="97"/>
      <c r="F1343" s="97"/>
      <c r="G1343" s="97"/>
      <c r="H1343" s="97"/>
      <c r="I1343" s="97"/>
      <c r="J1343" s="97"/>
      <c r="K1343" s="97"/>
      <c r="L1343" s="195"/>
    </row>
    <row r="1344" spans="1:14" x14ac:dyDescent="0.45">
      <c r="A1344" s="462"/>
      <c r="B1344" s="441"/>
      <c r="C1344" s="194">
        <v>3</v>
      </c>
      <c r="D1344" s="80"/>
      <c r="E1344" s="97"/>
      <c r="F1344" s="97"/>
      <c r="G1344" s="97"/>
      <c r="H1344" s="97"/>
      <c r="I1344" s="97"/>
      <c r="J1344" s="97"/>
      <c r="K1344" s="97"/>
      <c r="L1344" s="195"/>
    </row>
    <row r="1345" spans="1:12" x14ac:dyDescent="0.45">
      <c r="A1345" s="462"/>
      <c r="B1345" s="441"/>
      <c r="C1345" s="194">
        <v>4</v>
      </c>
      <c r="D1345" s="80"/>
      <c r="E1345" s="97"/>
      <c r="F1345" s="97"/>
      <c r="G1345" s="97"/>
      <c r="H1345" s="97"/>
      <c r="I1345" s="97"/>
      <c r="J1345" s="97"/>
      <c r="K1345" s="97"/>
      <c r="L1345" s="195"/>
    </row>
    <row r="1346" spans="1:12" x14ac:dyDescent="0.45">
      <c r="A1346" s="462"/>
      <c r="B1346" s="441"/>
      <c r="C1346" s="194">
        <v>5</v>
      </c>
      <c r="D1346" s="80"/>
      <c r="E1346" s="97"/>
      <c r="F1346" s="97"/>
      <c r="G1346" s="97"/>
      <c r="H1346" s="97"/>
      <c r="I1346" s="97"/>
      <c r="J1346" s="97"/>
      <c r="K1346" s="97"/>
      <c r="L1346" s="195"/>
    </row>
    <row r="1347" spans="1:12" x14ac:dyDescent="0.45">
      <c r="A1347" s="462"/>
      <c r="B1347" s="441"/>
      <c r="C1347" s="194">
        <v>6</v>
      </c>
      <c r="D1347" s="80"/>
      <c r="E1347" s="97"/>
      <c r="F1347" s="97"/>
      <c r="G1347" s="97"/>
      <c r="H1347" s="97"/>
      <c r="I1347" s="97"/>
      <c r="J1347" s="97"/>
      <c r="K1347" s="97"/>
      <c r="L1347" s="195"/>
    </row>
    <row r="1348" spans="1:12" x14ac:dyDescent="0.45">
      <c r="A1348" s="462"/>
      <c r="B1348" s="441"/>
      <c r="C1348" s="194">
        <v>7</v>
      </c>
      <c r="D1348" s="80"/>
      <c r="E1348" s="97"/>
      <c r="F1348" s="97"/>
      <c r="G1348" s="97"/>
      <c r="H1348" s="97"/>
      <c r="I1348" s="97"/>
      <c r="J1348" s="97"/>
      <c r="K1348" s="97"/>
      <c r="L1348" s="195"/>
    </row>
    <row r="1349" spans="1:12" x14ac:dyDescent="0.45">
      <c r="A1349" s="462"/>
      <c r="B1349" s="441"/>
      <c r="C1349" s="194">
        <v>8</v>
      </c>
      <c r="D1349" s="80"/>
      <c r="E1349" s="97"/>
      <c r="F1349" s="97"/>
      <c r="G1349" s="97"/>
      <c r="H1349" s="97"/>
      <c r="I1349" s="97"/>
      <c r="J1349" s="97"/>
      <c r="K1349" s="97"/>
      <c r="L1349" s="195"/>
    </row>
    <row r="1350" spans="1:12" x14ac:dyDescent="0.45">
      <c r="A1350" s="462"/>
      <c r="B1350" s="441"/>
      <c r="C1350" s="194">
        <v>9</v>
      </c>
      <c r="D1350" s="80"/>
      <c r="E1350" s="97"/>
      <c r="F1350" s="97"/>
      <c r="G1350" s="97"/>
      <c r="H1350" s="97"/>
      <c r="I1350" s="97"/>
      <c r="J1350" s="97"/>
      <c r="K1350" s="97"/>
      <c r="L1350" s="195"/>
    </row>
    <row r="1351" spans="1:12" x14ac:dyDescent="0.45">
      <c r="A1351" s="462"/>
      <c r="B1351" s="441"/>
      <c r="C1351" s="194">
        <v>10</v>
      </c>
      <c r="D1351" s="80"/>
      <c r="E1351" s="97"/>
      <c r="F1351" s="97"/>
      <c r="G1351" s="97"/>
      <c r="H1351" s="97"/>
      <c r="I1351" s="97"/>
      <c r="J1351" s="97"/>
      <c r="K1351" s="97"/>
      <c r="L1351" s="195"/>
    </row>
    <row r="1352" spans="1:12" x14ac:dyDescent="0.45">
      <c r="A1352" s="462"/>
      <c r="B1352" s="441"/>
      <c r="C1352" s="194">
        <v>11</v>
      </c>
      <c r="D1352" s="81"/>
      <c r="E1352" s="98"/>
      <c r="F1352" s="98"/>
      <c r="G1352" s="98"/>
      <c r="H1352" s="98"/>
      <c r="I1352" s="98"/>
      <c r="J1352" s="98"/>
      <c r="K1352" s="98"/>
      <c r="L1352" s="196"/>
    </row>
    <row r="1353" spans="1:12" ht="14.65" thickBot="1" x14ac:dyDescent="0.5">
      <c r="A1353" s="462"/>
      <c r="B1353" s="442"/>
      <c r="C1353" s="197">
        <v>12</v>
      </c>
      <c r="D1353" s="82"/>
      <c r="E1353" s="99"/>
      <c r="F1353" s="99"/>
      <c r="G1353" s="99"/>
      <c r="H1353" s="99"/>
      <c r="I1353" s="99"/>
      <c r="J1353" s="99"/>
      <c r="K1353" s="99"/>
      <c r="L1353" s="198"/>
    </row>
    <row r="1354" spans="1:12" x14ac:dyDescent="0.45">
      <c r="A1354" s="462"/>
      <c r="B1354" s="440">
        <v>3</v>
      </c>
      <c r="C1354" s="192">
        <v>1</v>
      </c>
      <c r="D1354" s="79"/>
      <c r="E1354" s="96"/>
      <c r="F1354" s="96"/>
      <c r="G1354" s="96"/>
      <c r="H1354" s="96"/>
      <c r="I1354" s="96"/>
      <c r="J1354" s="96"/>
      <c r="K1354" s="96"/>
      <c r="L1354" s="193"/>
    </row>
    <row r="1355" spans="1:12" x14ac:dyDescent="0.45">
      <c r="A1355" s="462"/>
      <c r="B1355" s="441"/>
      <c r="C1355" s="194">
        <v>2</v>
      </c>
      <c r="D1355" s="80"/>
      <c r="E1355" s="97"/>
      <c r="F1355" s="97"/>
      <c r="G1355" s="97"/>
      <c r="H1355" s="97"/>
      <c r="I1355" s="97"/>
      <c r="J1355" s="97"/>
      <c r="K1355" s="97"/>
      <c r="L1355" s="195"/>
    </row>
    <row r="1356" spans="1:12" x14ac:dyDescent="0.45">
      <c r="A1356" s="462"/>
      <c r="B1356" s="441"/>
      <c r="C1356" s="194">
        <v>3</v>
      </c>
      <c r="D1356" s="80"/>
      <c r="E1356" s="97"/>
      <c r="F1356" s="97"/>
      <c r="G1356" s="97"/>
      <c r="H1356" s="97"/>
      <c r="I1356" s="97"/>
      <c r="J1356" s="97"/>
      <c r="K1356" s="97"/>
      <c r="L1356" s="195"/>
    </row>
    <row r="1357" spans="1:12" x14ac:dyDescent="0.45">
      <c r="A1357" s="462"/>
      <c r="B1357" s="441"/>
      <c r="C1357" s="194">
        <v>4</v>
      </c>
      <c r="D1357" s="80"/>
      <c r="E1357" s="97"/>
      <c r="F1357" s="97"/>
      <c r="G1357" s="97"/>
      <c r="H1357" s="97"/>
      <c r="I1357" s="97"/>
      <c r="J1357" s="97"/>
      <c r="K1357" s="97"/>
      <c r="L1357" s="195"/>
    </row>
    <row r="1358" spans="1:12" x14ac:dyDescent="0.45">
      <c r="A1358" s="462"/>
      <c r="B1358" s="441"/>
      <c r="C1358" s="194">
        <v>5</v>
      </c>
      <c r="D1358" s="80"/>
      <c r="E1358" s="97"/>
      <c r="F1358" s="97"/>
      <c r="G1358" s="97"/>
      <c r="H1358" s="97"/>
      <c r="I1358" s="97"/>
      <c r="J1358" s="97"/>
      <c r="K1358" s="97"/>
      <c r="L1358" s="195"/>
    </row>
    <row r="1359" spans="1:12" x14ac:dyDescent="0.45">
      <c r="A1359" s="462"/>
      <c r="B1359" s="441"/>
      <c r="C1359" s="194">
        <v>6</v>
      </c>
      <c r="D1359" s="80"/>
      <c r="E1359" s="97"/>
      <c r="F1359" s="97"/>
      <c r="G1359" s="97"/>
      <c r="H1359" s="97"/>
      <c r="I1359" s="97"/>
      <c r="J1359" s="97"/>
      <c r="K1359" s="97"/>
      <c r="L1359" s="195"/>
    </row>
    <row r="1360" spans="1:12" x14ac:dyDescent="0.45">
      <c r="A1360" s="462"/>
      <c r="B1360" s="441"/>
      <c r="C1360" s="194">
        <v>7</v>
      </c>
      <c r="D1360" s="80"/>
      <c r="E1360" s="97"/>
      <c r="F1360" s="97"/>
      <c r="G1360" s="97"/>
      <c r="H1360" s="97"/>
      <c r="I1360" s="97"/>
      <c r="J1360" s="97"/>
      <c r="K1360" s="97"/>
      <c r="L1360" s="195"/>
    </row>
    <row r="1361" spans="1:12" x14ac:dyDescent="0.45">
      <c r="A1361" s="462"/>
      <c r="B1361" s="441"/>
      <c r="C1361" s="194">
        <v>8</v>
      </c>
      <c r="D1361" s="80"/>
      <c r="E1361" s="97"/>
      <c r="F1361" s="97"/>
      <c r="G1361" s="97"/>
      <c r="H1361" s="97"/>
      <c r="I1361" s="97"/>
      <c r="J1361" s="97"/>
      <c r="K1361" s="97"/>
      <c r="L1361" s="195"/>
    </row>
    <row r="1362" spans="1:12" x14ac:dyDescent="0.45">
      <c r="A1362" s="462"/>
      <c r="B1362" s="441"/>
      <c r="C1362" s="194">
        <v>9</v>
      </c>
      <c r="D1362" s="80"/>
      <c r="E1362" s="97"/>
      <c r="F1362" s="97"/>
      <c r="G1362" s="97"/>
      <c r="H1362" s="97"/>
      <c r="I1362" s="97"/>
      <c r="J1362" s="97"/>
      <c r="K1362" s="97"/>
      <c r="L1362" s="195"/>
    </row>
    <row r="1363" spans="1:12" x14ac:dyDescent="0.45">
      <c r="A1363" s="462"/>
      <c r="B1363" s="441"/>
      <c r="C1363" s="194">
        <v>10</v>
      </c>
      <c r="D1363" s="80"/>
      <c r="E1363" s="97"/>
      <c r="F1363" s="97"/>
      <c r="G1363" s="97"/>
      <c r="H1363" s="97"/>
      <c r="I1363" s="97"/>
      <c r="J1363" s="97"/>
      <c r="K1363" s="97"/>
      <c r="L1363" s="195"/>
    </row>
    <row r="1364" spans="1:12" x14ac:dyDescent="0.45">
      <c r="A1364" s="462"/>
      <c r="B1364" s="441"/>
      <c r="C1364" s="194">
        <v>11</v>
      </c>
      <c r="D1364" s="81"/>
      <c r="E1364" s="98"/>
      <c r="F1364" s="98"/>
      <c r="G1364" s="98"/>
      <c r="H1364" s="98"/>
      <c r="I1364" s="98"/>
      <c r="J1364" s="98"/>
      <c r="K1364" s="98"/>
      <c r="L1364" s="196"/>
    </row>
    <row r="1365" spans="1:12" ht="14.65" thickBot="1" x14ac:dyDescent="0.5">
      <c r="A1365" s="462"/>
      <c r="B1365" s="442"/>
      <c r="C1365" s="197">
        <v>12</v>
      </c>
      <c r="D1365" s="82"/>
      <c r="E1365" s="99"/>
      <c r="F1365" s="99"/>
      <c r="G1365" s="99"/>
      <c r="H1365" s="99"/>
      <c r="I1365" s="99"/>
      <c r="J1365" s="99"/>
      <c r="K1365" s="99"/>
      <c r="L1365" s="198"/>
    </row>
    <row r="1366" spans="1:12" x14ac:dyDescent="0.45">
      <c r="A1366" s="462"/>
      <c r="B1366" s="440">
        <v>4</v>
      </c>
      <c r="C1366" s="192">
        <v>1</v>
      </c>
      <c r="D1366" s="79"/>
      <c r="E1366" s="96"/>
      <c r="F1366" s="96"/>
      <c r="G1366" s="96"/>
      <c r="H1366" s="96"/>
      <c r="I1366" s="96"/>
      <c r="J1366" s="96"/>
      <c r="K1366" s="96"/>
      <c r="L1366" s="193"/>
    </row>
    <row r="1367" spans="1:12" x14ac:dyDescent="0.45">
      <c r="A1367" s="462"/>
      <c r="B1367" s="441"/>
      <c r="C1367" s="194">
        <v>2</v>
      </c>
      <c r="D1367" s="80"/>
      <c r="E1367" s="97"/>
      <c r="F1367" s="97"/>
      <c r="G1367" s="97"/>
      <c r="H1367" s="97"/>
      <c r="I1367" s="97"/>
      <c r="J1367" s="97"/>
      <c r="K1367" s="97"/>
      <c r="L1367" s="195"/>
    </row>
    <row r="1368" spans="1:12" x14ac:dyDescent="0.45">
      <c r="A1368" s="462"/>
      <c r="B1368" s="441"/>
      <c r="C1368" s="194">
        <v>3</v>
      </c>
      <c r="D1368" s="80"/>
      <c r="E1368" s="97"/>
      <c r="F1368" s="97"/>
      <c r="G1368" s="97"/>
      <c r="H1368" s="97"/>
      <c r="I1368" s="97"/>
      <c r="J1368" s="97"/>
      <c r="K1368" s="97"/>
      <c r="L1368" s="195"/>
    </row>
    <row r="1369" spans="1:12" x14ac:dyDescent="0.45">
      <c r="A1369" s="462"/>
      <c r="B1369" s="441"/>
      <c r="C1369" s="194">
        <v>4</v>
      </c>
      <c r="D1369" s="80"/>
      <c r="E1369" s="97"/>
      <c r="F1369" s="97"/>
      <c r="G1369" s="97"/>
      <c r="H1369" s="97"/>
      <c r="I1369" s="97"/>
      <c r="J1369" s="97"/>
      <c r="K1369" s="97"/>
      <c r="L1369" s="195"/>
    </row>
    <row r="1370" spans="1:12" x14ac:dyDescent="0.45">
      <c r="A1370" s="462"/>
      <c r="B1370" s="441"/>
      <c r="C1370" s="194">
        <v>5</v>
      </c>
      <c r="D1370" s="80"/>
      <c r="E1370" s="97"/>
      <c r="F1370" s="97"/>
      <c r="G1370" s="97"/>
      <c r="H1370" s="97"/>
      <c r="I1370" s="97"/>
      <c r="J1370" s="97"/>
      <c r="K1370" s="97"/>
      <c r="L1370" s="195"/>
    </row>
    <row r="1371" spans="1:12" x14ac:dyDescent="0.45">
      <c r="A1371" s="462"/>
      <c r="B1371" s="441"/>
      <c r="C1371" s="194">
        <v>6</v>
      </c>
      <c r="D1371" s="80"/>
      <c r="E1371" s="97"/>
      <c r="F1371" s="97"/>
      <c r="G1371" s="97"/>
      <c r="H1371" s="97"/>
      <c r="I1371" s="97"/>
      <c r="J1371" s="97"/>
      <c r="K1371" s="97"/>
      <c r="L1371" s="195"/>
    </row>
    <row r="1372" spans="1:12" x14ac:dyDescent="0.45">
      <c r="A1372" s="462"/>
      <c r="B1372" s="441"/>
      <c r="C1372" s="194">
        <v>7</v>
      </c>
      <c r="D1372" s="80"/>
      <c r="E1372" s="97"/>
      <c r="F1372" s="97"/>
      <c r="G1372" s="97"/>
      <c r="H1372" s="97"/>
      <c r="I1372" s="97"/>
      <c r="J1372" s="97"/>
      <c r="K1372" s="97"/>
      <c r="L1372" s="195"/>
    </row>
    <row r="1373" spans="1:12" x14ac:dyDescent="0.45">
      <c r="A1373" s="462"/>
      <c r="B1373" s="441"/>
      <c r="C1373" s="194">
        <v>8</v>
      </c>
      <c r="D1373" s="80"/>
      <c r="E1373" s="97"/>
      <c r="F1373" s="97"/>
      <c r="G1373" s="97"/>
      <c r="H1373" s="97"/>
      <c r="I1373" s="97"/>
      <c r="J1373" s="97"/>
      <c r="K1373" s="97"/>
      <c r="L1373" s="195"/>
    </row>
    <row r="1374" spans="1:12" x14ac:dyDescent="0.45">
      <c r="A1374" s="462"/>
      <c r="B1374" s="441"/>
      <c r="C1374" s="194">
        <v>9</v>
      </c>
      <c r="D1374" s="80"/>
      <c r="E1374" s="97"/>
      <c r="F1374" s="97"/>
      <c r="G1374" s="97"/>
      <c r="H1374" s="97"/>
      <c r="I1374" s="97"/>
      <c r="J1374" s="97"/>
      <c r="K1374" s="97"/>
      <c r="L1374" s="195"/>
    </row>
    <row r="1375" spans="1:12" x14ac:dyDescent="0.45">
      <c r="A1375" s="462"/>
      <c r="B1375" s="441"/>
      <c r="C1375" s="194">
        <v>10</v>
      </c>
      <c r="D1375" s="80"/>
      <c r="E1375" s="97"/>
      <c r="F1375" s="97"/>
      <c r="G1375" s="97"/>
      <c r="H1375" s="97"/>
      <c r="I1375" s="97"/>
      <c r="J1375" s="97"/>
      <c r="K1375" s="97"/>
      <c r="L1375" s="195"/>
    </row>
    <row r="1376" spans="1:12" x14ac:dyDescent="0.45">
      <c r="A1376" s="462"/>
      <c r="B1376" s="441"/>
      <c r="C1376" s="194">
        <v>11</v>
      </c>
      <c r="D1376" s="81"/>
      <c r="E1376" s="98"/>
      <c r="F1376" s="98"/>
      <c r="G1376" s="98"/>
      <c r="H1376" s="98"/>
      <c r="I1376" s="98"/>
      <c r="J1376" s="98"/>
      <c r="K1376" s="98"/>
      <c r="L1376" s="196"/>
    </row>
    <row r="1377" spans="1:12" ht="14.65" thickBot="1" x14ac:dyDescent="0.5">
      <c r="A1377" s="463"/>
      <c r="B1377" s="442"/>
      <c r="C1377" s="197">
        <v>12</v>
      </c>
      <c r="D1377" s="82"/>
      <c r="E1377" s="99"/>
      <c r="F1377" s="99"/>
      <c r="G1377" s="99"/>
      <c r="H1377" s="99"/>
      <c r="I1377" s="99"/>
      <c r="J1377" s="99"/>
      <c r="K1377" s="99"/>
      <c r="L1377" s="198"/>
    </row>
    <row r="1378" spans="1:12" x14ac:dyDescent="0.45">
      <c r="A1378" s="461">
        <v>2</v>
      </c>
      <c r="B1378" s="440">
        <v>5</v>
      </c>
      <c r="C1378" s="192">
        <v>1</v>
      </c>
      <c r="D1378" s="79"/>
      <c r="E1378" s="96"/>
      <c r="F1378" s="96"/>
      <c r="G1378" s="96"/>
      <c r="H1378" s="96"/>
      <c r="I1378" s="96"/>
      <c r="J1378" s="96"/>
      <c r="K1378" s="96"/>
      <c r="L1378" s="193"/>
    </row>
    <row r="1379" spans="1:12" x14ac:dyDescent="0.45">
      <c r="A1379" s="462"/>
      <c r="B1379" s="441"/>
      <c r="C1379" s="194">
        <v>2</v>
      </c>
      <c r="D1379" s="80"/>
      <c r="E1379" s="97"/>
      <c r="F1379" s="97"/>
      <c r="G1379" s="97"/>
      <c r="H1379" s="97"/>
      <c r="I1379" s="97"/>
      <c r="J1379" s="97"/>
      <c r="K1379" s="97"/>
      <c r="L1379" s="195"/>
    </row>
    <row r="1380" spans="1:12" x14ac:dyDescent="0.45">
      <c r="A1380" s="462"/>
      <c r="B1380" s="441"/>
      <c r="C1380" s="194">
        <v>3</v>
      </c>
      <c r="D1380" s="80"/>
      <c r="E1380" s="97"/>
      <c r="F1380" s="97"/>
      <c r="G1380" s="97"/>
      <c r="H1380" s="97"/>
      <c r="I1380" s="97"/>
      <c r="J1380" s="97"/>
      <c r="K1380" s="97"/>
      <c r="L1380" s="195"/>
    </row>
    <row r="1381" spans="1:12" x14ac:dyDescent="0.45">
      <c r="A1381" s="462"/>
      <c r="B1381" s="441"/>
      <c r="C1381" s="194">
        <v>4</v>
      </c>
      <c r="D1381" s="80"/>
      <c r="E1381" s="97"/>
      <c r="F1381" s="97"/>
      <c r="G1381" s="97"/>
      <c r="H1381" s="97"/>
      <c r="I1381" s="97"/>
      <c r="J1381" s="97"/>
      <c r="K1381" s="97"/>
      <c r="L1381" s="195"/>
    </row>
    <row r="1382" spans="1:12" x14ac:dyDescent="0.45">
      <c r="A1382" s="462"/>
      <c r="B1382" s="441"/>
      <c r="C1382" s="194">
        <v>5</v>
      </c>
      <c r="D1382" s="80"/>
      <c r="E1382" s="97"/>
      <c r="F1382" s="97"/>
      <c r="G1382" s="97"/>
      <c r="H1382" s="97"/>
      <c r="I1382" s="97"/>
      <c r="J1382" s="97"/>
      <c r="K1382" s="97"/>
      <c r="L1382" s="195"/>
    </row>
    <row r="1383" spans="1:12" x14ac:dyDescent="0.45">
      <c r="A1383" s="462"/>
      <c r="B1383" s="441"/>
      <c r="C1383" s="194">
        <v>6</v>
      </c>
      <c r="D1383" s="80"/>
      <c r="E1383" s="97"/>
      <c r="F1383" s="97"/>
      <c r="G1383" s="97"/>
      <c r="H1383" s="97"/>
      <c r="I1383" s="97"/>
      <c r="J1383" s="97"/>
      <c r="K1383" s="97"/>
      <c r="L1383" s="195"/>
    </row>
    <row r="1384" spans="1:12" x14ac:dyDescent="0.45">
      <c r="A1384" s="462"/>
      <c r="B1384" s="441"/>
      <c r="C1384" s="194">
        <v>7</v>
      </c>
      <c r="D1384" s="80"/>
      <c r="E1384" s="97"/>
      <c r="F1384" s="97"/>
      <c r="G1384" s="97"/>
      <c r="H1384" s="97"/>
      <c r="I1384" s="97"/>
      <c r="J1384" s="97"/>
      <c r="K1384" s="97"/>
      <c r="L1384" s="195"/>
    </row>
    <row r="1385" spans="1:12" x14ac:dyDescent="0.45">
      <c r="A1385" s="462"/>
      <c r="B1385" s="441"/>
      <c r="C1385" s="194">
        <v>8</v>
      </c>
      <c r="D1385" s="80"/>
      <c r="E1385" s="97"/>
      <c r="F1385" s="97"/>
      <c r="G1385" s="97"/>
      <c r="H1385" s="97"/>
      <c r="I1385" s="97"/>
      <c r="J1385" s="97"/>
      <c r="K1385" s="97"/>
      <c r="L1385" s="195"/>
    </row>
    <row r="1386" spans="1:12" x14ac:dyDescent="0.45">
      <c r="A1386" s="462"/>
      <c r="B1386" s="441"/>
      <c r="C1386" s="194">
        <v>9</v>
      </c>
      <c r="D1386" s="80"/>
      <c r="E1386" s="97"/>
      <c r="F1386" s="97"/>
      <c r="G1386" s="97"/>
      <c r="H1386" s="97"/>
      <c r="I1386" s="97"/>
      <c r="J1386" s="97"/>
      <c r="K1386" s="97"/>
      <c r="L1386" s="195"/>
    </row>
    <row r="1387" spans="1:12" x14ac:dyDescent="0.45">
      <c r="A1387" s="462"/>
      <c r="B1387" s="441"/>
      <c r="C1387" s="194">
        <v>10</v>
      </c>
      <c r="D1387" s="80"/>
      <c r="E1387" s="97"/>
      <c r="F1387" s="97"/>
      <c r="G1387" s="97"/>
      <c r="H1387" s="97"/>
      <c r="I1387" s="97"/>
      <c r="J1387" s="97"/>
      <c r="K1387" s="97"/>
      <c r="L1387" s="195"/>
    </row>
    <row r="1388" spans="1:12" x14ac:dyDescent="0.45">
      <c r="A1388" s="462"/>
      <c r="B1388" s="441"/>
      <c r="C1388" s="194">
        <v>11</v>
      </c>
      <c r="D1388" s="81"/>
      <c r="E1388" s="98"/>
      <c r="F1388" s="98"/>
      <c r="G1388" s="98"/>
      <c r="H1388" s="98"/>
      <c r="I1388" s="98"/>
      <c r="J1388" s="98"/>
      <c r="K1388" s="98"/>
      <c r="L1388" s="196"/>
    </row>
    <row r="1389" spans="1:12" ht="14.65" thickBot="1" x14ac:dyDescent="0.5">
      <c r="A1389" s="462"/>
      <c r="B1389" s="442"/>
      <c r="C1389" s="197">
        <v>12</v>
      </c>
      <c r="D1389" s="82"/>
      <c r="E1389" s="99"/>
      <c r="F1389" s="99"/>
      <c r="G1389" s="99"/>
      <c r="H1389" s="99"/>
      <c r="I1389" s="99"/>
      <c r="J1389" s="99"/>
      <c r="K1389" s="99"/>
      <c r="L1389" s="198"/>
    </row>
    <row r="1390" spans="1:12" x14ac:dyDescent="0.45">
      <c r="A1390" s="462"/>
      <c r="B1390" s="440">
        <v>6</v>
      </c>
      <c r="C1390" s="192">
        <v>1</v>
      </c>
      <c r="D1390" s="79"/>
      <c r="E1390" s="96"/>
      <c r="F1390" s="96"/>
      <c r="G1390" s="96"/>
      <c r="H1390" s="96"/>
      <c r="I1390" s="96"/>
      <c r="J1390" s="96"/>
      <c r="K1390" s="96"/>
      <c r="L1390" s="193"/>
    </row>
    <row r="1391" spans="1:12" x14ac:dyDescent="0.45">
      <c r="A1391" s="462"/>
      <c r="B1391" s="441"/>
      <c r="C1391" s="194">
        <v>2</v>
      </c>
      <c r="D1391" s="80"/>
      <c r="E1391" s="97"/>
      <c r="F1391" s="97"/>
      <c r="G1391" s="97"/>
      <c r="H1391" s="97"/>
      <c r="I1391" s="97"/>
      <c r="J1391" s="97"/>
      <c r="K1391" s="97"/>
      <c r="L1391" s="195"/>
    </row>
    <row r="1392" spans="1:12" x14ac:dyDescent="0.45">
      <c r="A1392" s="462"/>
      <c r="B1392" s="441"/>
      <c r="C1392" s="194">
        <v>3</v>
      </c>
      <c r="D1392" s="80"/>
      <c r="E1392" s="97"/>
      <c r="F1392" s="97"/>
      <c r="G1392" s="97"/>
      <c r="H1392" s="97"/>
      <c r="I1392" s="97"/>
      <c r="J1392" s="97"/>
      <c r="K1392" s="97"/>
      <c r="L1392" s="195"/>
    </row>
    <row r="1393" spans="1:12" x14ac:dyDescent="0.45">
      <c r="A1393" s="462"/>
      <c r="B1393" s="441"/>
      <c r="C1393" s="194">
        <v>4</v>
      </c>
      <c r="D1393" s="80"/>
      <c r="E1393" s="97"/>
      <c r="F1393" s="97"/>
      <c r="G1393" s="97"/>
      <c r="H1393" s="97"/>
      <c r="I1393" s="97"/>
      <c r="J1393" s="97"/>
      <c r="K1393" s="97"/>
      <c r="L1393" s="195"/>
    </row>
    <row r="1394" spans="1:12" x14ac:dyDescent="0.45">
      <c r="A1394" s="462"/>
      <c r="B1394" s="441"/>
      <c r="C1394" s="194">
        <v>5</v>
      </c>
      <c r="D1394" s="80"/>
      <c r="E1394" s="97"/>
      <c r="F1394" s="97"/>
      <c r="G1394" s="97"/>
      <c r="H1394" s="97"/>
      <c r="I1394" s="97"/>
      <c r="J1394" s="97"/>
      <c r="K1394" s="97"/>
      <c r="L1394" s="195"/>
    </row>
    <row r="1395" spans="1:12" x14ac:dyDescent="0.45">
      <c r="A1395" s="462"/>
      <c r="B1395" s="441"/>
      <c r="C1395" s="194">
        <v>6</v>
      </c>
      <c r="D1395" s="80"/>
      <c r="E1395" s="97"/>
      <c r="F1395" s="97"/>
      <c r="G1395" s="97"/>
      <c r="H1395" s="97"/>
      <c r="I1395" s="97"/>
      <c r="J1395" s="97"/>
      <c r="K1395" s="97"/>
      <c r="L1395" s="195"/>
    </row>
    <row r="1396" spans="1:12" x14ac:dyDescent="0.45">
      <c r="A1396" s="462"/>
      <c r="B1396" s="441"/>
      <c r="C1396" s="194">
        <v>7</v>
      </c>
      <c r="D1396" s="80"/>
      <c r="E1396" s="97"/>
      <c r="F1396" s="97"/>
      <c r="G1396" s="97"/>
      <c r="H1396" s="97"/>
      <c r="I1396" s="97"/>
      <c r="J1396" s="97"/>
      <c r="K1396" s="97"/>
      <c r="L1396" s="195"/>
    </row>
    <row r="1397" spans="1:12" x14ac:dyDescent="0.45">
      <c r="A1397" s="462"/>
      <c r="B1397" s="441"/>
      <c r="C1397" s="194">
        <v>8</v>
      </c>
      <c r="D1397" s="80"/>
      <c r="E1397" s="97"/>
      <c r="F1397" s="97"/>
      <c r="G1397" s="97"/>
      <c r="H1397" s="97"/>
      <c r="I1397" s="97"/>
      <c r="J1397" s="97"/>
      <c r="K1397" s="97"/>
      <c r="L1397" s="195"/>
    </row>
    <row r="1398" spans="1:12" x14ac:dyDescent="0.45">
      <c r="A1398" s="462"/>
      <c r="B1398" s="441"/>
      <c r="C1398" s="194">
        <v>9</v>
      </c>
      <c r="D1398" s="80"/>
      <c r="E1398" s="97"/>
      <c r="F1398" s="97"/>
      <c r="G1398" s="97"/>
      <c r="H1398" s="97"/>
      <c r="I1398" s="97"/>
      <c r="J1398" s="97"/>
      <c r="K1398" s="97"/>
      <c r="L1398" s="195"/>
    </row>
    <row r="1399" spans="1:12" x14ac:dyDescent="0.45">
      <c r="A1399" s="462"/>
      <c r="B1399" s="441"/>
      <c r="C1399" s="194">
        <v>10</v>
      </c>
      <c r="D1399" s="80"/>
      <c r="E1399" s="97"/>
      <c r="F1399" s="97"/>
      <c r="G1399" s="97"/>
      <c r="H1399" s="97"/>
      <c r="I1399" s="97"/>
      <c r="J1399" s="97"/>
      <c r="K1399" s="97"/>
      <c r="L1399" s="195"/>
    </row>
    <row r="1400" spans="1:12" x14ac:dyDescent="0.45">
      <c r="A1400" s="462"/>
      <c r="B1400" s="441"/>
      <c r="C1400" s="194">
        <v>11</v>
      </c>
      <c r="D1400" s="81"/>
      <c r="E1400" s="98"/>
      <c r="F1400" s="98"/>
      <c r="G1400" s="98"/>
      <c r="H1400" s="98"/>
      <c r="I1400" s="98"/>
      <c r="J1400" s="98"/>
      <c r="K1400" s="98"/>
      <c r="L1400" s="196"/>
    </row>
    <row r="1401" spans="1:12" ht="14.65" thickBot="1" x14ac:dyDescent="0.5">
      <c r="A1401" s="462"/>
      <c r="B1401" s="442"/>
      <c r="C1401" s="197">
        <v>12</v>
      </c>
      <c r="D1401" s="82"/>
      <c r="E1401" s="99"/>
      <c r="F1401" s="99"/>
      <c r="G1401" s="99"/>
      <c r="H1401" s="99"/>
      <c r="I1401" s="99"/>
      <c r="J1401" s="99"/>
      <c r="K1401" s="99"/>
      <c r="L1401" s="198"/>
    </row>
    <row r="1402" spans="1:12" x14ac:dyDescent="0.45">
      <c r="A1402" s="462"/>
      <c r="B1402" s="440">
        <v>7</v>
      </c>
      <c r="C1402" s="192">
        <v>1</v>
      </c>
      <c r="D1402" s="79"/>
      <c r="E1402" s="96"/>
      <c r="F1402" s="96"/>
      <c r="G1402" s="96"/>
      <c r="H1402" s="96"/>
      <c r="I1402" s="96"/>
      <c r="J1402" s="96"/>
      <c r="K1402" s="96"/>
      <c r="L1402" s="193"/>
    </row>
    <row r="1403" spans="1:12" x14ac:dyDescent="0.45">
      <c r="A1403" s="462"/>
      <c r="B1403" s="441"/>
      <c r="C1403" s="194">
        <v>2</v>
      </c>
      <c r="D1403" s="80"/>
      <c r="E1403" s="97"/>
      <c r="F1403" s="97"/>
      <c r="G1403" s="97"/>
      <c r="H1403" s="97"/>
      <c r="I1403" s="97"/>
      <c r="J1403" s="97"/>
      <c r="K1403" s="97"/>
      <c r="L1403" s="195"/>
    </row>
    <row r="1404" spans="1:12" x14ac:dyDescent="0.45">
      <c r="A1404" s="462"/>
      <c r="B1404" s="441"/>
      <c r="C1404" s="194">
        <v>3</v>
      </c>
      <c r="D1404" s="80"/>
      <c r="E1404" s="97"/>
      <c r="F1404" s="97"/>
      <c r="G1404" s="97"/>
      <c r="H1404" s="97"/>
      <c r="I1404" s="97"/>
      <c r="J1404" s="97"/>
      <c r="K1404" s="97"/>
      <c r="L1404" s="195"/>
    </row>
    <row r="1405" spans="1:12" x14ac:dyDescent="0.45">
      <c r="A1405" s="462"/>
      <c r="B1405" s="441"/>
      <c r="C1405" s="194">
        <v>4</v>
      </c>
      <c r="D1405" s="80"/>
      <c r="E1405" s="97"/>
      <c r="F1405" s="97"/>
      <c r="G1405" s="97"/>
      <c r="H1405" s="97"/>
      <c r="I1405" s="97"/>
      <c r="J1405" s="97"/>
      <c r="K1405" s="97"/>
      <c r="L1405" s="195"/>
    </row>
    <row r="1406" spans="1:12" x14ac:dyDescent="0.45">
      <c r="A1406" s="462"/>
      <c r="B1406" s="441"/>
      <c r="C1406" s="194">
        <v>5</v>
      </c>
      <c r="D1406" s="80"/>
      <c r="E1406" s="97"/>
      <c r="F1406" s="97"/>
      <c r="G1406" s="97"/>
      <c r="H1406" s="97"/>
      <c r="I1406" s="97"/>
      <c r="J1406" s="97"/>
      <c r="K1406" s="97"/>
      <c r="L1406" s="195"/>
    </row>
    <row r="1407" spans="1:12" x14ac:dyDescent="0.45">
      <c r="A1407" s="462"/>
      <c r="B1407" s="441"/>
      <c r="C1407" s="194">
        <v>6</v>
      </c>
      <c r="D1407" s="80"/>
      <c r="E1407" s="97"/>
      <c r="F1407" s="97"/>
      <c r="G1407" s="97"/>
      <c r="H1407" s="97"/>
      <c r="I1407" s="97"/>
      <c r="J1407" s="97"/>
      <c r="K1407" s="97"/>
      <c r="L1407" s="195"/>
    </row>
    <row r="1408" spans="1:12" x14ac:dyDescent="0.45">
      <c r="A1408" s="462"/>
      <c r="B1408" s="441"/>
      <c r="C1408" s="194">
        <v>7</v>
      </c>
      <c r="D1408" s="80"/>
      <c r="E1408" s="97"/>
      <c r="F1408" s="97"/>
      <c r="G1408" s="97"/>
      <c r="H1408" s="97"/>
      <c r="I1408" s="97"/>
      <c r="J1408" s="97"/>
      <c r="K1408" s="97"/>
      <c r="L1408" s="195"/>
    </row>
    <row r="1409" spans="1:12" x14ac:dyDescent="0.45">
      <c r="A1409" s="462"/>
      <c r="B1409" s="441"/>
      <c r="C1409" s="194">
        <v>8</v>
      </c>
      <c r="D1409" s="80"/>
      <c r="E1409" s="97"/>
      <c r="F1409" s="97"/>
      <c r="G1409" s="97"/>
      <c r="H1409" s="97"/>
      <c r="I1409" s="97"/>
      <c r="J1409" s="97"/>
      <c r="K1409" s="97"/>
      <c r="L1409" s="195"/>
    </row>
    <row r="1410" spans="1:12" x14ac:dyDescent="0.45">
      <c r="A1410" s="462"/>
      <c r="B1410" s="441"/>
      <c r="C1410" s="194">
        <v>9</v>
      </c>
      <c r="D1410" s="80"/>
      <c r="E1410" s="97"/>
      <c r="F1410" s="97"/>
      <c r="G1410" s="97"/>
      <c r="H1410" s="97"/>
      <c r="I1410" s="97"/>
      <c r="J1410" s="97"/>
      <c r="K1410" s="97"/>
      <c r="L1410" s="195"/>
    </row>
    <row r="1411" spans="1:12" x14ac:dyDescent="0.45">
      <c r="A1411" s="462"/>
      <c r="B1411" s="441"/>
      <c r="C1411" s="194">
        <v>10</v>
      </c>
      <c r="D1411" s="80"/>
      <c r="E1411" s="97"/>
      <c r="F1411" s="97"/>
      <c r="G1411" s="97"/>
      <c r="H1411" s="97"/>
      <c r="I1411" s="97"/>
      <c r="J1411" s="97"/>
      <c r="K1411" s="97"/>
      <c r="L1411" s="195"/>
    </row>
    <row r="1412" spans="1:12" x14ac:dyDescent="0.45">
      <c r="A1412" s="462"/>
      <c r="B1412" s="441"/>
      <c r="C1412" s="194">
        <v>11</v>
      </c>
      <c r="D1412" s="81"/>
      <c r="E1412" s="98"/>
      <c r="F1412" s="98"/>
      <c r="G1412" s="98"/>
      <c r="H1412" s="98"/>
      <c r="I1412" s="98"/>
      <c r="J1412" s="98"/>
      <c r="K1412" s="98"/>
      <c r="L1412" s="196"/>
    </row>
    <row r="1413" spans="1:12" ht="14.65" thickBot="1" x14ac:dyDescent="0.5">
      <c r="A1413" s="462"/>
      <c r="B1413" s="442"/>
      <c r="C1413" s="197">
        <v>12</v>
      </c>
      <c r="D1413" s="82"/>
      <c r="E1413" s="99"/>
      <c r="F1413" s="99"/>
      <c r="G1413" s="99"/>
      <c r="H1413" s="99"/>
      <c r="I1413" s="99"/>
      <c r="J1413" s="99"/>
      <c r="K1413" s="99"/>
      <c r="L1413" s="198"/>
    </row>
    <row r="1414" spans="1:12" x14ac:dyDescent="0.45">
      <c r="A1414" s="462"/>
      <c r="B1414" s="440">
        <v>8</v>
      </c>
      <c r="C1414" s="192">
        <v>1</v>
      </c>
      <c r="D1414" s="79"/>
      <c r="E1414" s="96"/>
      <c r="F1414" s="96"/>
      <c r="G1414" s="96"/>
      <c r="H1414" s="96"/>
      <c r="I1414" s="96"/>
      <c r="J1414" s="96"/>
      <c r="K1414" s="96"/>
      <c r="L1414" s="193"/>
    </row>
    <row r="1415" spans="1:12" x14ac:dyDescent="0.45">
      <c r="A1415" s="462"/>
      <c r="B1415" s="441"/>
      <c r="C1415" s="194">
        <v>2</v>
      </c>
      <c r="D1415" s="80"/>
      <c r="E1415" s="97"/>
      <c r="F1415" s="97"/>
      <c r="G1415" s="97"/>
      <c r="H1415" s="97"/>
      <c r="I1415" s="97"/>
      <c r="J1415" s="97"/>
      <c r="K1415" s="97"/>
      <c r="L1415" s="195"/>
    </row>
    <row r="1416" spans="1:12" x14ac:dyDescent="0.45">
      <c r="A1416" s="462"/>
      <c r="B1416" s="441"/>
      <c r="C1416" s="194">
        <v>3</v>
      </c>
      <c r="D1416" s="80"/>
      <c r="E1416" s="97"/>
      <c r="F1416" s="97"/>
      <c r="G1416" s="97"/>
      <c r="H1416" s="97"/>
      <c r="I1416" s="97"/>
      <c r="J1416" s="97"/>
      <c r="K1416" s="97"/>
      <c r="L1416" s="195"/>
    </row>
    <row r="1417" spans="1:12" x14ac:dyDescent="0.45">
      <c r="A1417" s="462"/>
      <c r="B1417" s="441"/>
      <c r="C1417" s="194">
        <v>4</v>
      </c>
      <c r="D1417" s="80"/>
      <c r="E1417" s="97"/>
      <c r="F1417" s="97"/>
      <c r="G1417" s="97"/>
      <c r="H1417" s="97"/>
      <c r="I1417" s="97"/>
      <c r="J1417" s="97"/>
      <c r="K1417" s="97"/>
      <c r="L1417" s="195"/>
    </row>
    <row r="1418" spans="1:12" x14ac:dyDescent="0.45">
      <c r="A1418" s="462"/>
      <c r="B1418" s="441"/>
      <c r="C1418" s="194">
        <v>5</v>
      </c>
      <c r="D1418" s="80"/>
      <c r="E1418" s="97"/>
      <c r="F1418" s="97"/>
      <c r="G1418" s="97"/>
      <c r="H1418" s="97"/>
      <c r="I1418" s="97"/>
      <c r="J1418" s="97"/>
      <c r="K1418" s="97"/>
      <c r="L1418" s="195"/>
    </row>
    <row r="1419" spans="1:12" x14ac:dyDescent="0.45">
      <c r="A1419" s="462"/>
      <c r="B1419" s="441"/>
      <c r="C1419" s="194">
        <v>6</v>
      </c>
      <c r="D1419" s="80"/>
      <c r="E1419" s="97"/>
      <c r="F1419" s="97"/>
      <c r="G1419" s="97"/>
      <c r="H1419" s="97"/>
      <c r="I1419" s="97"/>
      <c r="J1419" s="97"/>
      <c r="K1419" s="97"/>
      <c r="L1419" s="195"/>
    </row>
    <row r="1420" spans="1:12" x14ac:dyDescent="0.45">
      <c r="A1420" s="462"/>
      <c r="B1420" s="441"/>
      <c r="C1420" s="194">
        <v>7</v>
      </c>
      <c r="D1420" s="80"/>
      <c r="E1420" s="97"/>
      <c r="F1420" s="97"/>
      <c r="G1420" s="97"/>
      <c r="H1420" s="97"/>
      <c r="I1420" s="97"/>
      <c r="J1420" s="97"/>
      <c r="K1420" s="97"/>
      <c r="L1420" s="195"/>
    </row>
    <row r="1421" spans="1:12" x14ac:dyDescent="0.45">
      <c r="A1421" s="462"/>
      <c r="B1421" s="441"/>
      <c r="C1421" s="194">
        <v>8</v>
      </c>
      <c r="D1421" s="80"/>
      <c r="E1421" s="97"/>
      <c r="F1421" s="97"/>
      <c r="G1421" s="97"/>
      <c r="H1421" s="97"/>
      <c r="I1421" s="97"/>
      <c r="J1421" s="97"/>
      <c r="K1421" s="97"/>
      <c r="L1421" s="195"/>
    </row>
    <row r="1422" spans="1:12" x14ac:dyDescent="0.45">
      <c r="A1422" s="462"/>
      <c r="B1422" s="441"/>
      <c r="C1422" s="194">
        <v>9</v>
      </c>
      <c r="D1422" s="80"/>
      <c r="E1422" s="97"/>
      <c r="F1422" s="97"/>
      <c r="G1422" s="97"/>
      <c r="H1422" s="97"/>
      <c r="I1422" s="97"/>
      <c r="J1422" s="97"/>
      <c r="K1422" s="97"/>
      <c r="L1422" s="195"/>
    </row>
    <row r="1423" spans="1:12" x14ac:dyDescent="0.45">
      <c r="A1423" s="462"/>
      <c r="B1423" s="441"/>
      <c r="C1423" s="194">
        <v>10</v>
      </c>
      <c r="D1423" s="80"/>
      <c r="E1423" s="97"/>
      <c r="F1423" s="97"/>
      <c r="G1423" s="97"/>
      <c r="H1423" s="97"/>
      <c r="I1423" s="97"/>
      <c r="J1423" s="97"/>
      <c r="K1423" s="97"/>
      <c r="L1423" s="195"/>
    </row>
    <row r="1424" spans="1:12" x14ac:dyDescent="0.45">
      <c r="A1424" s="462"/>
      <c r="B1424" s="441"/>
      <c r="C1424" s="194">
        <v>11</v>
      </c>
      <c r="D1424" s="81"/>
      <c r="E1424" s="98"/>
      <c r="F1424" s="98"/>
      <c r="G1424" s="98"/>
      <c r="H1424" s="98"/>
      <c r="I1424" s="98"/>
      <c r="J1424" s="98"/>
      <c r="K1424" s="98"/>
      <c r="L1424" s="196"/>
    </row>
    <row r="1425" spans="1:12" ht="14.65" thickBot="1" x14ac:dyDescent="0.5">
      <c r="A1425" s="463"/>
      <c r="B1425" s="442"/>
      <c r="C1425" s="197">
        <v>12</v>
      </c>
      <c r="D1425" s="82"/>
      <c r="E1425" s="99"/>
      <c r="F1425" s="99"/>
      <c r="G1425" s="99"/>
      <c r="H1425" s="99"/>
      <c r="I1425" s="99"/>
      <c r="J1425" s="99"/>
      <c r="K1425" s="99"/>
      <c r="L1425" s="198"/>
    </row>
    <row r="1426" spans="1:12" x14ac:dyDescent="0.45">
      <c r="A1426" s="461">
        <v>3</v>
      </c>
      <c r="B1426" s="440">
        <v>9</v>
      </c>
      <c r="C1426" s="192">
        <v>1</v>
      </c>
      <c r="D1426" s="79"/>
      <c r="E1426" s="96"/>
      <c r="F1426" s="96"/>
      <c r="G1426" s="96"/>
      <c r="H1426" s="96"/>
      <c r="I1426" s="96"/>
      <c r="J1426" s="96"/>
      <c r="K1426" s="96"/>
      <c r="L1426" s="193"/>
    </row>
    <row r="1427" spans="1:12" x14ac:dyDescent="0.45">
      <c r="A1427" s="462"/>
      <c r="B1427" s="441"/>
      <c r="C1427" s="194">
        <v>2</v>
      </c>
      <c r="D1427" s="80"/>
      <c r="E1427" s="97"/>
      <c r="F1427" s="97"/>
      <c r="G1427" s="97"/>
      <c r="H1427" s="97"/>
      <c r="I1427" s="97"/>
      <c r="J1427" s="97"/>
      <c r="K1427" s="97"/>
      <c r="L1427" s="195"/>
    </row>
    <row r="1428" spans="1:12" x14ac:dyDescent="0.45">
      <c r="A1428" s="462"/>
      <c r="B1428" s="441"/>
      <c r="C1428" s="194">
        <v>3</v>
      </c>
      <c r="D1428" s="80"/>
      <c r="E1428" s="97"/>
      <c r="F1428" s="97"/>
      <c r="G1428" s="97"/>
      <c r="H1428" s="97"/>
      <c r="I1428" s="97"/>
      <c r="J1428" s="97"/>
      <c r="K1428" s="97"/>
      <c r="L1428" s="195"/>
    </row>
    <row r="1429" spans="1:12" x14ac:dyDescent="0.45">
      <c r="A1429" s="462"/>
      <c r="B1429" s="441"/>
      <c r="C1429" s="194">
        <v>4</v>
      </c>
      <c r="D1429" s="80"/>
      <c r="E1429" s="97"/>
      <c r="F1429" s="97"/>
      <c r="G1429" s="97"/>
      <c r="H1429" s="97"/>
      <c r="I1429" s="97"/>
      <c r="J1429" s="97"/>
      <c r="K1429" s="97"/>
      <c r="L1429" s="195"/>
    </row>
    <row r="1430" spans="1:12" x14ac:dyDescent="0.45">
      <c r="A1430" s="462"/>
      <c r="B1430" s="441"/>
      <c r="C1430" s="194">
        <v>5</v>
      </c>
      <c r="D1430" s="80"/>
      <c r="E1430" s="97"/>
      <c r="F1430" s="97"/>
      <c r="G1430" s="97"/>
      <c r="H1430" s="97"/>
      <c r="I1430" s="97"/>
      <c r="J1430" s="97"/>
      <c r="K1430" s="97"/>
      <c r="L1430" s="195"/>
    </row>
    <row r="1431" spans="1:12" x14ac:dyDescent="0.45">
      <c r="A1431" s="462"/>
      <c r="B1431" s="441"/>
      <c r="C1431" s="194">
        <v>6</v>
      </c>
      <c r="D1431" s="80"/>
      <c r="E1431" s="97"/>
      <c r="F1431" s="97"/>
      <c r="G1431" s="97"/>
      <c r="H1431" s="97"/>
      <c r="I1431" s="97"/>
      <c r="J1431" s="97"/>
      <c r="K1431" s="97"/>
      <c r="L1431" s="195"/>
    </row>
    <row r="1432" spans="1:12" x14ac:dyDescent="0.45">
      <c r="A1432" s="462"/>
      <c r="B1432" s="441"/>
      <c r="C1432" s="194">
        <v>7</v>
      </c>
      <c r="D1432" s="80"/>
      <c r="E1432" s="97"/>
      <c r="F1432" s="97"/>
      <c r="G1432" s="97"/>
      <c r="H1432" s="97"/>
      <c r="I1432" s="97"/>
      <c r="J1432" s="97"/>
      <c r="K1432" s="97"/>
      <c r="L1432" s="195"/>
    </row>
    <row r="1433" spans="1:12" x14ac:dyDescent="0.45">
      <c r="A1433" s="462"/>
      <c r="B1433" s="441"/>
      <c r="C1433" s="194">
        <v>8</v>
      </c>
      <c r="D1433" s="80"/>
      <c r="E1433" s="97"/>
      <c r="F1433" s="97"/>
      <c r="G1433" s="97"/>
      <c r="H1433" s="97"/>
      <c r="I1433" s="97"/>
      <c r="J1433" s="97"/>
      <c r="K1433" s="97"/>
      <c r="L1433" s="195"/>
    </row>
    <row r="1434" spans="1:12" x14ac:dyDescent="0.45">
      <c r="A1434" s="462"/>
      <c r="B1434" s="441"/>
      <c r="C1434" s="194">
        <v>9</v>
      </c>
      <c r="D1434" s="80"/>
      <c r="E1434" s="97"/>
      <c r="F1434" s="97"/>
      <c r="G1434" s="97"/>
      <c r="H1434" s="97"/>
      <c r="I1434" s="97"/>
      <c r="J1434" s="97"/>
      <c r="K1434" s="97"/>
      <c r="L1434" s="195"/>
    </row>
    <row r="1435" spans="1:12" x14ac:dyDescent="0.45">
      <c r="A1435" s="462"/>
      <c r="B1435" s="441"/>
      <c r="C1435" s="194">
        <v>10</v>
      </c>
      <c r="D1435" s="80"/>
      <c r="E1435" s="97"/>
      <c r="F1435" s="97"/>
      <c r="G1435" s="97"/>
      <c r="H1435" s="97"/>
      <c r="I1435" s="97"/>
      <c r="J1435" s="97"/>
      <c r="K1435" s="97"/>
      <c r="L1435" s="195"/>
    </row>
    <row r="1436" spans="1:12" x14ac:dyDescent="0.45">
      <c r="A1436" s="462"/>
      <c r="B1436" s="441"/>
      <c r="C1436" s="194">
        <v>11</v>
      </c>
      <c r="D1436" s="81"/>
      <c r="E1436" s="98"/>
      <c r="F1436" s="98"/>
      <c r="G1436" s="98"/>
      <c r="H1436" s="98"/>
      <c r="I1436" s="98"/>
      <c r="J1436" s="98"/>
      <c r="K1436" s="98"/>
      <c r="L1436" s="196"/>
    </row>
    <row r="1437" spans="1:12" ht="14.65" thickBot="1" x14ac:dyDescent="0.5">
      <c r="A1437" s="462"/>
      <c r="B1437" s="442"/>
      <c r="C1437" s="197">
        <v>12</v>
      </c>
      <c r="D1437" s="82"/>
      <c r="E1437" s="99"/>
      <c r="F1437" s="99"/>
      <c r="G1437" s="99"/>
      <c r="H1437" s="99"/>
      <c r="I1437" s="99"/>
      <c r="J1437" s="99"/>
      <c r="K1437" s="99"/>
      <c r="L1437" s="198"/>
    </row>
    <row r="1438" spans="1:12" x14ac:dyDescent="0.45">
      <c r="A1438" s="462"/>
      <c r="B1438" s="440">
        <v>10</v>
      </c>
      <c r="C1438" s="192">
        <v>1</v>
      </c>
      <c r="D1438" s="79"/>
      <c r="E1438" s="96"/>
      <c r="F1438" s="96"/>
      <c r="G1438" s="96"/>
      <c r="H1438" s="96"/>
      <c r="I1438" s="96"/>
      <c r="J1438" s="96"/>
      <c r="K1438" s="96"/>
      <c r="L1438" s="193"/>
    </row>
    <row r="1439" spans="1:12" x14ac:dyDescent="0.45">
      <c r="A1439" s="462"/>
      <c r="B1439" s="441"/>
      <c r="C1439" s="194">
        <v>2</v>
      </c>
      <c r="D1439" s="80"/>
      <c r="E1439" s="97"/>
      <c r="F1439" s="97"/>
      <c r="G1439" s="97"/>
      <c r="H1439" s="97"/>
      <c r="I1439" s="97"/>
      <c r="J1439" s="97"/>
      <c r="K1439" s="97"/>
      <c r="L1439" s="195"/>
    </row>
    <row r="1440" spans="1:12" x14ac:dyDescent="0.45">
      <c r="A1440" s="462"/>
      <c r="B1440" s="441"/>
      <c r="C1440" s="194">
        <v>3</v>
      </c>
      <c r="D1440" s="80"/>
      <c r="E1440" s="97"/>
      <c r="F1440" s="97"/>
      <c r="G1440" s="97"/>
      <c r="H1440" s="97"/>
      <c r="I1440" s="97"/>
      <c r="J1440" s="97"/>
      <c r="K1440" s="97"/>
      <c r="L1440" s="195"/>
    </row>
    <row r="1441" spans="1:12" x14ac:dyDescent="0.45">
      <c r="A1441" s="462"/>
      <c r="B1441" s="441"/>
      <c r="C1441" s="194">
        <v>4</v>
      </c>
      <c r="D1441" s="80"/>
      <c r="E1441" s="97"/>
      <c r="F1441" s="97"/>
      <c r="G1441" s="97"/>
      <c r="H1441" s="97"/>
      <c r="I1441" s="97"/>
      <c r="J1441" s="97"/>
      <c r="K1441" s="97"/>
      <c r="L1441" s="195"/>
    </row>
    <row r="1442" spans="1:12" x14ac:dyDescent="0.45">
      <c r="A1442" s="462"/>
      <c r="B1442" s="441"/>
      <c r="C1442" s="194">
        <v>5</v>
      </c>
      <c r="D1442" s="80"/>
      <c r="E1442" s="97"/>
      <c r="F1442" s="97"/>
      <c r="G1442" s="97"/>
      <c r="H1442" s="97"/>
      <c r="I1442" s="97"/>
      <c r="J1442" s="97"/>
      <c r="K1442" s="97"/>
      <c r="L1442" s="195"/>
    </row>
    <row r="1443" spans="1:12" x14ac:dyDescent="0.45">
      <c r="A1443" s="462"/>
      <c r="B1443" s="441"/>
      <c r="C1443" s="194">
        <v>6</v>
      </c>
      <c r="D1443" s="80"/>
      <c r="E1443" s="97"/>
      <c r="F1443" s="97"/>
      <c r="G1443" s="97"/>
      <c r="H1443" s="97"/>
      <c r="I1443" s="97"/>
      <c r="J1443" s="97"/>
      <c r="K1443" s="97"/>
      <c r="L1443" s="195"/>
    </row>
    <row r="1444" spans="1:12" x14ac:dyDescent="0.45">
      <c r="A1444" s="462"/>
      <c r="B1444" s="441"/>
      <c r="C1444" s="194">
        <v>7</v>
      </c>
      <c r="D1444" s="80"/>
      <c r="E1444" s="97"/>
      <c r="F1444" s="97"/>
      <c r="G1444" s="97"/>
      <c r="H1444" s="97"/>
      <c r="I1444" s="97"/>
      <c r="J1444" s="97"/>
      <c r="K1444" s="97"/>
      <c r="L1444" s="195"/>
    </row>
    <row r="1445" spans="1:12" x14ac:dyDescent="0.45">
      <c r="A1445" s="462"/>
      <c r="B1445" s="441"/>
      <c r="C1445" s="194">
        <v>8</v>
      </c>
      <c r="D1445" s="80"/>
      <c r="E1445" s="97"/>
      <c r="F1445" s="97"/>
      <c r="G1445" s="97"/>
      <c r="H1445" s="97"/>
      <c r="I1445" s="97"/>
      <c r="J1445" s="97"/>
      <c r="K1445" s="97"/>
      <c r="L1445" s="195"/>
    </row>
    <row r="1446" spans="1:12" x14ac:dyDescent="0.45">
      <c r="A1446" s="462"/>
      <c r="B1446" s="441"/>
      <c r="C1446" s="194">
        <v>9</v>
      </c>
      <c r="D1446" s="80"/>
      <c r="E1446" s="97"/>
      <c r="F1446" s="97"/>
      <c r="G1446" s="97"/>
      <c r="H1446" s="97"/>
      <c r="I1446" s="97"/>
      <c r="J1446" s="97"/>
      <c r="K1446" s="97"/>
      <c r="L1446" s="195"/>
    </row>
    <row r="1447" spans="1:12" x14ac:dyDescent="0.45">
      <c r="A1447" s="462"/>
      <c r="B1447" s="441"/>
      <c r="C1447" s="194">
        <v>10</v>
      </c>
      <c r="D1447" s="80"/>
      <c r="E1447" s="97"/>
      <c r="F1447" s="97"/>
      <c r="G1447" s="97"/>
      <c r="H1447" s="97"/>
      <c r="I1447" s="97"/>
      <c r="J1447" s="97"/>
      <c r="K1447" s="97"/>
      <c r="L1447" s="195"/>
    </row>
    <row r="1448" spans="1:12" x14ac:dyDescent="0.45">
      <c r="A1448" s="462"/>
      <c r="B1448" s="441"/>
      <c r="C1448" s="194">
        <v>11</v>
      </c>
      <c r="D1448" s="81"/>
      <c r="E1448" s="98"/>
      <c r="F1448" s="98"/>
      <c r="G1448" s="98"/>
      <c r="H1448" s="98"/>
      <c r="I1448" s="98"/>
      <c r="J1448" s="98"/>
      <c r="K1448" s="98"/>
      <c r="L1448" s="196"/>
    </row>
    <row r="1449" spans="1:12" ht="14.65" thickBot="1" x14ac:dyDescent="0.5">
      <c r="A1449" s="462"/>
      <c r="B1449" s="442"/>
      <c r="C1449" s="197">
        <v>12</v>
      </c>
      <c r="D1449" s="82"/>
      <c r="E1449" s="99"/>
      <c r="F1449" s="99"/>
      <c r="G1449" s="99"/>
      <c r="H1449" s="99"/>
      <c r="I1449" s="99"/>
      <c r="J1449" s="99"/>
      <c r="K1449" s="99"/>
      <c r="L1449" s="198"/>
    </row>
    <row r="1450" spans="1:12" x14ac:dyDescent="0.45">
      <c r="A1450" s="462"/>
      <c r="B1450" s="440">
        <v>11</v>
      </c>
      <c r="C1450" s="192">
        <v>1</v>
      </c>
      <c r="D1450" s="79"/>
      <c r="E1450" s="96"/>
      <c r="F1450" s="96"/>
      <c r="G1450" s="96"/>
      <c r="H1450" s="96"/>
      <c r="I1450" s="96"/>
      <c r="J1450" s="96"/>
      <c r="K1450" s="96"/>
      <c r="L1450" s="193"/>
    </row>
    <row r="1451" spans="1:12" x14ac:dyDescent="0.45">
      <c r="A1451" s="462"/>
      <c r="B1451" s="441"/>
      <c r="C1451" s="194">
        <v>2</v>
      </c>
      <c r="D1451" s="80"/>
      <c r="E1451" s="97"/>
      <c r="F1451" s="97"/>
      <c r="G1451" s="97"/>
      <c r="H1451" s="97"/>
      <c r="I1451" s="97"/>
      <c r="J1451" s="97"/>
      <c r="K1451" s="97"/>
      <c r="L1451" s="195"/>
    </row>
    <row r="1452" spans="1:12" x14ac:dyDescent="0.45">
      <c r="A1452" s="462"/>
      <c r="B1452" s="441"/>
      <c r="C1452" s="194">
        <v>3</v>
      </c>
      <c r="D1452" s="80"/>
      <c r="E1452" s="97"/>
      <c r="F1452" s="97"/>
      <c r="G1452" s="97"/>
      <c r="H1452" s="97"/>
      <c r="I1452" s="97"/>
      <c r="J1452" s="97"/>
      <c r="K1452" s="97"/>
      <c r="L1452" s="195"/>
    </row>
    <row r="1453" spans="1:12" x14ac:dyDescent="0.45">
      <c r="A1453" s="462"/>
      <c r="B1453" s="441"/>
      <c r="C1453" s="194">
        <v>4</v>
      </c>
      <c r="D1453" s="80"/>
      <c r="E1453" s="97"/>
      <c r="F1453" s="97"/>
      <c r="G1453" s="97"/>
      <c r="H1453" s="97"/>
      <c r="I1453" s="97"/>
      <c r="J1453" s="97"/>
      <c r="K1453" s="97"/>
      <c r="L1453" s="195"/>
    </row>
    <row r="1454" spans="1:12" x14ac:dyDescent="0.45">
      <c r="A1454" s="462"/>
      <c r="B1454" s="441"/>
      <c r="C1454" s="194">
        <v>5</v>
      </c>
      <c r="D1454" s="80"/>
      <c r="E1454" s="97"/>
      <c r="F1454" s="97"/>
      <c r="G1454" s="97"/>
      <c r="H1454" s="97"/>
      <c r="I1454" s="97"/>
      <c r="J1454" s="97"/>
      <c r="K1454" s="97"/>
      <c r="L1454" s="195"/>
    </row>
    <row r="1455" spans="1:12" x14ac:dyDescent="0.45">
      <c r="A1455" s="462"/>
      <c r="B1455" s="441"/>
      <c r="C1455" s="194">
        <v>6</v>
      </c>
      <c r="D1455" s="80"/>
      <c r="E1455" s="97"/>
      <c r="F1455" s="97"/>
      <c r="G1455" s="97"/>
      <c r="H1455" s="97"/>
      <c r="I1455" s="97"/>
      <c r="J1455" s="97"/>
      <c r="K1455" s="97"/>
      <c r="L1455" s="195"/>
    </row>
    <row r="1456" spans="1:12" x14ac:dyDescent="0.45">
      <c r="A1456" s="462"/>
      <c r="B1456" s="441"/>
      <c r="C1456" s="194">
        <v>7</v>
      </c>
      <c r="D1456" s="80"/>
      <c r="E1456" s="97"/>
      <c r="F1456" s="97"/>
      <c r="G1456" s="97"/>
      <c r="H1456" s="97"/>
      <c r="I1456" s="97"/>
      <c r="J1456" s="97"/>
      <c r="K1456" s="97"/>
      <c r="L1456" s="195"/>
    </row>
    <row r="1457" spans="1:12" x14ac:dyDescent="0.45">
      <c r="A1457" s="462"/>
      <c r="B1457" s="441"/>
      <c r="C1457" s="194">
        <v>8</v>
      </c>
      <c r="D1457" s="80"/>
      <c r="E1457" s="97"/>
      <c r="F1457" s="97"/>
      <c r="G1457" s="97"/>
      <c r="H1457" s="97"/>
      <c r="I1457" s="97"/>
      <c r="J1457" s="97"/>
      <c r="K1457" s="97"/>
      <c r="L1457" s="195"/>
    </row>
    <row r="1458" spans="1:12" x14ac:dyDescent="0.45">
      <c r="A1458" s="462"/>
      <c r="B1458" s="441"/>
      <c r="C1458" s="194">
        <v>9</v>
      </c>
      <c r="D1458" s="80"/>
      <c r="E1458" s="97"/>
      <c r="F1458" s="97"/>
      <c r="G1458" s="97"/>
      <c r="H1458" s="97"/>
      <c r="I1458" s="97"/>
      <c r="J1458" s="97"/>
      <c r="K1458" s="97"/>
      <c r="L1458" s="195"/>
    </row>
    <row r="1459" spans="1:12" x14ac:dyDescent="0.45">
      <c r="A1459" s="462"/>
      <c r="B1459" s="441"/>
      <c r="C1459" s="194">
        <v>10</v>
      </c>
      <c r="D1459" s="80"/>
      <c r="E1459" s="97"/>
      <c r="F1459" s="97"/>
      <c r="G1459" s="97"/>
      <c r="H1459" s="97"/>
      <c r="I1459" s="97"/>
      <c r="J1459" s="97"/>
      <c r="K1459" s="97"/>
      <c r="L1459" s="195"/>
    </row>
    <row r="1460" spans="1:12" x14ac:dyDescent="0.45">
      <c r="A1460" s="462"/>
      <c r="B1460" s="441"/>
      <c r="C1460" s="194">
        <v>11</v>
      </c>
      <c r="D1460" s="81"/>
      <c r="E1460" s="98"/>
      <c r="F1460" s="98"/>
      <c r="G1460" s="98"/>
      <c r="H1460" s="98"/>
      <c r="I1460" s="98"/>
      <c r="J1460" s="98"/>
      <c r="K1460" s="98"/>
      <c r="L1460" s="196"/>
    </row>
    <row r="1461" spans="1:12" ht="14.65" thickBot="1" x14ac:dyDescent="0.5">
      <c r="A1461" s="462"/>
      <c r="B1461" s="442"/>
      <c r="C1461" s="197">
        <v>12</v>
      </c>
      <c r="D1461" s="82"/>
      <c r="E1461" s="99"/>
      <c r="F1461" s="99"/>
      <c r="G1461" s="99"/>
      <c r="H1461" s="99"/>
      <c r="I1461" s="99"/>
      <c r="J1461" s="99"/>
      <c r="K1461" s="99"/>
      <c r="L1461" s="198"/>
    </row>
    <row r="1462" spans="1:12" x14ac:dyDescent="0.45">
      <c r="A1462" s="462"/>
      <c r="B1462" s="440">
        <v>12</v>
      </c>
      <c r="C1462" s="192">
        <v>1</v>
      </c>
      <c r="D1462" s="79"/>
      <c r="E1462" s="96"/>
      <c r="F1462" s="96"/>
      <c r="G1462" s="96"/>
      <c r="H1462" s="96"/>
      <c r="I1462" s="96"/>
      <c r="J1462" s="96"/>
      <c r="K1462" s="96"/>
      <c r="L1462" s="193"/>
    </row>
    <row r="1463" spans="1:12" x14ac:dyDescent="0.45">
      <c r="A1463" s="462"/>
      <c r="B1463" s="441"/>
      <c r="C1463" s="194">
        <v>2</v>
      </c>
      <c r="D1463" s="80"/>
      <c r="E1463" s="97"/>
      <c r="F1463" s="97"/>
      <c r="G1463" s="97"/>
      <c r="H1463" s="97"/>
      <c r="I1463" s="97"/>
      <c r="J1463" s="97"/>
      <c r="K1463" s="97"/>
      <c r="L1463" s="195"/>
    </row>
    <row r="1464" spans="1:12" x14ac:dyDescent="0.45">
      <c r="A1464" s="462"/>
      <c r="B1464" s="441"/>
      <c r="C1464" s="194">
        <v>3</v>
      </c>
      <c r="D1464" s="80"/>
      <c r="E1464" s="97"/>
      <c r="F1464" s="97"/>
      <c r="G1464" s="97"/>
      <c r="H1464" s="97"/>
      <c r="I1464" s="97"/>
      <c r="J1464" s="97"/>
      <c r="K1464" s="97"/>
      <c r="L1464" s="195"/>
    </row>
    <row r="1465" spans="1:12" x14ac:dyDescent="0.45">
      <c r="A1465" s="462"/>
      <c r="B1465" s="441"/>
      <c r="C1465" s="194">
        <v>4</v>
      </c>
      <c r="D1465" s="80"/>
      <c r="E1465" s="97"/>
      <c r="F1465" s="97"/>
      <c r="G1465" s="97"/>
      <c r="H1465" s="97"/>
      <c r="I1465" s="97"/>
      <c r="J1465" s="97"/>
      <c r="K1465" s="97"/>
      <c r="L1465" s="195"/>
    </row>
    <row r="1466" spans="1:12" x14ac:dyDescent="0.45">
      <c r="A1466" s="462"/>
      <c r="B1466" s="441"/>
      <c r="C1466" s="194">
        <v>5</v>
      </c>
      <c r="D1466" s="80"/>
      <c r="E1466" s="97"/>
      <c r="F1466" s="97"/>
      <c r="G1466" s="97"/>
      <c r="H1466" s="97"/>
      <c r="I1466" s="97"/>
      <c r="J1466" s="97"/>
      <c r="K1466" s="97"/>
      <c r="L1466" s="195"/>
    </row>
    <row r="1467" spans="1:12" x14ac:dyDescent="0.45">
      <c r="A1467" s="462"/>
      <c r="B1467" s="441"/>
      <c r="C1467" s="194">
        <v>6</v>
      </c>
      <c r="D1467" s="80"/>
      <c r="E1467" s="97"/>
      <c r="F1467" s="97"/>
      <c r="G1467" s="97"/>
      <c r="H1467" s="97"/>
      <c r="I1467" s="97"/>
      <c r="J1467" s="97"/>
      <c r="K1467" s="97"/>
      <c r="L1467" s="195"/>
    </row>
    <row r="1468" spans="1:12" x14ac:dyDescent="0.45">
      <c r="A1468" s="462"/>
      <c r="B1468" s="441"/>
      <c r="C1468" s="194">
        <v>7</v>
      </c>
      <c r="D1468" s="80"/>
      <c r="E1468" s="97"/>
      <c r="F1468" s="97"/>
      <c r="G1468" s="97"/>
      <c r="H1468" s="97"/>
      <c r="I1468" s="97"/>
      <c r="J1468" s="97"/>
      <c r="K1468" s="97"/>
      <c r="L1468" s="195"/>
    </row>
    <row r="1469" spans="1:12" x14ac:dyDescent="0.45">
      <c r="A1469" s="462"/>
      <c r="B1469" s="441"/>
      <c r="C1469" s="194">
        <v>8</v>
      </c>
      <c r="D1469" s="80"/>
      <c r="E1469" s="97"/>
      <c r="F1469" s="97"/>
      <c r="G1469" s="97"/>
      <c r="H1469" s="97"/>
      <c r="I1469" s="97"/>
      <c r="J1469" s="97"/>
      <c r="K1469" s="97"/>
      <c r="L1469" s="195"/>
    </row>
    <row r="1470" spans="1:12" x14ac:dyDescent="0.45">
      <c r="A1470" s="462"/>
      <c r="B1470" s="441"/>
      <c r="C1470" s="194">
        <v>9</v>
      </c>
      <c r="D1470" s="80"/>
      <c r="E1470" s="97"/>
      <c r="F1470" s="97"/>
      <c r="G1470" s="97"/>
      <c r="H1470" s="97"/>
      <c r="I1470" s="97"/>
      <c r="J1470" s="97"/>
      <c r="K1470" s="97"/>
      <c r="L1470" s="195"/>
    </row>
    <row r="1471" spans="1:12" x14ac:dyDescent="0.45">
      <c r="A1471" s="462"/>
      <c r="B1471" s="441"/>
      <c r="C1471" s="194">
        <v>10</v>
      </c>
      <c r="D1471" s="80"/>
      <c r="E1471" s="97"/>
      <c r="F1471" s="97"/>
      <c r="G1471" s="97"/>
      <c r="H1471" s="97"/>
      <c r="I1471" s="97"/>
      <c r="J1471" s="97"/>
      <c r="K1471" s="97"/>
      <c r="L1471" s="195"/>
    </row>
    <row r="1472" spans="1:12" x14ac:dyDescent="0.45">
      <c r="A1472" s="462"/>
      <c r="B1472" s="441"/>
      <c r="C1472" s="194">
        <v>11</v>
      </c>
      <c r="D1472" s="81"/>
      <c r="E1472" s="98"/>
      <c r="F1472" s="98"/>
      <c r="G1472" s="98"/>
      <c r="H1472" s="98"/>
      <c r="I1472" s="98"/>
      <c r="J1472" s="98"/>
      <c r="K1472" s="98"/>
      <c r="L1472" s="196"/>
    </row>
    <row r="1473" spans="1:12" ht="14.65" thickBot="1" x14ac:dyDescent="0.5">
      <c r="A1473" s="463"/>
      <c r="B1473" s="442"/>
      <c r="C1473" s="199">
        <v>12</v>
      </c>
      <c r="D1473" s="82"/>
      <c r="E1473" s="99"/>
      <c r="F1473" s="99"/>
      <c r="G1473" s="99"/>
      <c r="H1473" s="99"/>
      <c r="I1473" s="99"/>
      <c r="J1473" s="99"/>
      <c r="K1473" s="99"/>
      <c r="L1473" s="198"/>
    </row>
    <row r="1475" spans="1:12" s="91" customFormat="1" x14ac:dyDescent="0.45"/>
    <row r="1476" spans="1:12" ht="14.65" thickBot="1" x14ac:dyDescent="0.5"/>
    <row r="1477" spans="1:12" ht="33.6" customHeight="1" thickBot="1" x14ac:dyDescent="0.5">
      <c r="A1477" s="187" t="s">
        <v>76</v>
      </c>
      <c r="B1477" s="186">
        <v>11</v>
      </c>
      <c r="C1477" s="109"/>
      <c r="D1477" s="109"/>
    </row>
    <row r="1478" spans="1:12" ht="15.6" customHeight="1" x14ac:dyDescent="0.45">
      <c r="A1478" s="443" t="s">
        <v>89</v>
      </c>
      <c r="B1478" s="448">
        <f>Name11</f>
        <v>0</v>
      </c>
      <c r="C1478" s="449"/>
      <c r="D1478" s="450"/>
    </row>
    <row r="1479" spans="1:12" ht="15.6" customHeight="1" x14ac:dyDescent="0.45">
      <c r="A1479" s="444"/>
      <c r="B1479" s="448"/>
      <c r="C1479" s="449"/>
      <c r="D1479" s="450"/>
    </row>
    <row r="1480" spans="1:12" ht="15.6" customHeight="1" x14ac:dyDescent="0.45">
      <c r="A1480" s="445"/>
      <c r="B1480" s="388"/>
      <c r="C1480" s="451"/>
      <c r="D1480" s="452"/>
    </row>
    <row r="1481" spans="1:12" ht="15.6" customHeight="1" x14ac:dyDescent="0.45">
      <c r="A1481" s="444" t="s">
        <v>155</v>
      </c>
      <c r="B1481" s="453">
        <f>GapA11</f>
        <v>0</v>
      </c>
      <c r="C1481" s="454"/>
      <c r="D1481" s="455"/>
    </row>
    <row r="1482" spans="1:12" ht="15.6" customHeight="1" x14ac:dyDescent="0.45">
      <c r="A1482" s="444"/>
      <c r="B1482" s="448"/>
      <c r="C1482" s="449"/>
      <c r="D1482" s="450"/>
    </row>
    <row r="1483" spans="1:12" ht="15.6" customHeight="1" x14ac:dyDescent="0.45">
      <c r="A1483" s="445"/>
      <c r="B1483" s="388"/>
      <c r="C1483" s="451"/>
      <c r="D1483" s="452"/>
    </row>
    <row r="1484" spans="1:12" ht="15.6" customHeight="1" x14ac:dyDescent="0.45">
      <c r="A1484" s="444" t="s">
        <v>159</v>
      </c>
      <c r="B1484" s="453">
        <f>Objective11</f>
        <v>0</v>
      </c>
      <c r="C1484" s="454"/>
      <c r="D1484" s="455"/>
    </row>
    <row r="1485" spans="1:12" ht="15.6" customHeight="1" x14ac:dyDescent="0.45">
      <c r="A1485" s="444"/>
      <c r="B1485" s="448"/>
      <c r="C1485" s="449"/>
      <c r="D1485" s="450"/>
    </row>
    <row r="1486" spans="1:12" ht="15.6" customHeight="1" x14ac:dyDescent="0.45">
      <c r="A1486" s="445"/>
      <c r="B1486" s="388"/>
      <c r="C1486" s="451"/>
      <c r="D1486" s="452"/>
    </row>
    <row r="1487" spans="1:12" ht="15.6" customHeight="1" x14ac:dyDescent="0.45">
      <c r="A1487" s="446" t="s">
        <v>166</v>
      </c>
      <c r="B1487" s="454">
        <f>Capacity11</f>
        <v>0</v>
      </c>
      <c r="C1487" s="454"/>
      <c r="D1487" s="455"/>
    </row>
    <row r="1488" spans="1:12" ht="15.6" customHeight="1" x14ac:dyDescent="0.45">
      <c r="A1488" s="447"/>
      <c r="B1488" s="449"/>
      <c r="C1488" s="449"/>
      <c r="D1488" s="450"/>
    </row>
    <row r="1489" spans="1:14" ht="15.6" customHeight="1" thickBot="1" x14ac:dyDescent="0.5">
      <c r="A1489" s="447"/>
      <c r="B1489" s="456"/>
      <c r="C1489" s="456"/>
      <c r="D1489" s="457"/>
    </row>
    <row r="1490" spans="1:14" x14ac:dyDescent="0.45">
      <c r="A1490" s="188"/>
    </row>
    <row r="1491" spans="1:14" ht="14.65" thickBot="1" x14ac:dyDescent="0.5">
      <c r="A1491" s="90"/>
      <c r="B1491" s="90"/>
      <c r="C1491" s="90"/>
      <c r="D1491" s="90"/>
      <c r="E1491" s="90"/>
      <c r="F1491" s="90"/>
      <c r="G1491" s="90"/>
      <c r="H1491" s="90"/>
      <c r="I1491" s="90"/>
      <c r="J1491" s="90"/>
      <c r="K1491" s="90"/>
      <c r="L1491" s="90"/>
      <c r="M1491" s="90"/>
      <c r="N1491" s="90"/>
    </row>
    <row r="1492" spans="1:14" ht="21.75" customHeight="1" x14ac:dyDescent="0.45">
      <c r="A1492" s="458" t="s">
        <v>135</v>
      </c>
      <c r="B1492" s="459"/>
      <c r="C1492" s="459"/>
      <c r="D1492" s="459"/>
      <c r="E1492" s="459"/>
      <c r="F1492" s="459"/>
      <c r="G1492" s="459"/>
      <c r="H1492" s="459"/>
      <c r="I1492" s="459"/>
      <c r="J1492" s="459"/>
      <c r="K1492" s="459"/>
      <c r="L1492" s="460"/>
    </row>
    <row r="1493" spans="1:14" ht="29" customHeight="1" thickBot="1" x14ac:dyDescent="0.5">
      <c r="A1493" s="93" t="s">
        <v>74</v>
      </c>
      <c r="B1493" s="94" t="s">
        <v>28</v>
      </c>
      <c r="C1493" s="95" t="s">
        <v>320</v>
      </c>
      <c r="D1493" s="95" t="s">
        <v>127</v>
      </c>
      <c r="E1493" s="114" t="s">
        <v>90</v>
      </c>
      <c r="F1493" s="95" t="s">
        <v>175</v>
      </c>
      <c r="G1493" s="95" t="s">
        <v>176</v>
      </c>
      <c r="H1493" s="95" t="s">
        <v>156</v>
      </c>
      <c r="I1493" s="95" t="s">
        <v>157</v>
      </c>
      <c r="J1493" s="189" t="s">
        <v>321</v>
      </c>
      <c r="K1493" s="190" t="s">
        <v>29</v>
      </c>
      <c r="L1493" s="191" t="s">
        <v>322</v>
      </c>
    </row>
    <row r="1494" spans="1:14" x14ac:dyDescent="0.45">
      <c r="A1494" s="461">
        <v>1</v>
      </c>
      <c r="B1494" s="440">
        <v>1</v>
      </c>
      <c r="C1494" s="192">
        <v>1</v>
      </c>
      <c r="D1494" s="79"/>
      <c r="E1494" s="96"/>
      <c r="F1494" s="96"/>
      <c r="G1494" s="96"/>
      <c r="H1494" s="96"/>
      <c r="I1494" s="96"/>
      <c r="J1494" s="96"/>
      <c r="K1494" s="96"/>
      <c r="L1494" s="193"/>
    </row>
    <row r="1495" spans="1:14" x14ac:dyDescent="0.45">
      <c r="A1495" s="462"/>
      <c r="B1495" s="441"/>
      <c r="C1495" s="194">
        <v>2</v>
      </c>
      <c r="D1495" s="80"/>
      <c r="E1495" s="97"/>
      <c r="F1495" s="97"/>
      <c r="G1495" s="97"/>
      <c r="H1495" s="97"/>
      <c r="I1495" s="97"/>
      <c r="J1495" s="97"/>
      <c r="K1495" s="97"/>
      <c r="L1495" s="195"/>
    </row>
    <row r="1496" spans="1:14" x14ac:dyDescent="0.45">
      <c r="A1496" s="462"/>
      <c r="B1496" s="441"/>
      <c r="C1496" s="194">
        <v>3</v>
      </c>
      <c r="D1496" s="80"/>
      <c r="E1496" s="97"/>
      <c r="F1496" s="97"/>
      <c r="G1496" s="97"/>
      <c r="H1496" s="97"/>
      <c r="I1496" s="97"/>
      <c r="J1496" s="97"/>
      <c r="K1496" s="97"/>
      <c r="L1496" s="195"/>
    </row>
    <row r="1497" spans="1:14" x14ac:dyDescent="0.45">
      <c r="A1497" s="462"/>
      <c r="B1497" s="441"/>
      <c r="C1497" s="194">
        <v>4</v>
      </c>
      <c r="D1497" s="80"/>
      <c r="E1497" s="97"/>
      <c r="F1497" s="97"/>
      <c r="G1497" s="97"/>
      <c r="H1497" s="97"/>
      <c r="I1497" s="97"/>
      <c r="J1497" s="97"/>
      <c r="K1497" s="97"/>
      <c r="L1497" s="195"/>
    </row>
    <row r="1498" spans="1:14" x14ac:dyDescent="0.45">
      <c r="A1498" s="462"/>
      <c r="B1498" s="441"/>
      <c r="C1498" s="194">
        <v>5</v>
      </c>
      <c r="D1498" s="80"/>
      <c r="E1498" s="97"/>
      <c r="F1498" s="97"/>
      <c r="G1498" s="97"/>
      <c r="H1498" s="97"/>
      <c r="I1498" s="97"/>
      <c r="J1498" s="97"/>
      <c r="K1498" s="97"/>
      <c r="L1498" s="195"/>
    </row>
    <row r="1499" spans="1:14" x14ac:dyDescent="0.45">
      <c r="A1499" s="462"/>
      <c r="B1499" s="441"/>
      <c r="C1499" s="194">
        <v>6</v>
      </c>
      <c r="D1499" s="80"/>
      <c r="E1499" s="97"/>
      <c r="F1499" s="97"/>
      <c r="G1499" s="97"/>
      <c r="H1499" s="97"/>
      <c r="I1499" s="97"/>
      <c r="J1499" s="97"/>
      <c r="K1499" s="97"/>
      <c r="L1499" s="195"/>
    </row>
    <row r="1500" spans="1:14" x14ac:dyDescent="0.45">
      <c r="A1500" s="462"/>
      <c r="B1500" s="441"/>
      <c r="C1500" s="194">
        <v>7</v>
      </c>
      <c r="D1500" s="80"/>
      <c r="E1500" s="97"/>
      <c r="F1500" s="97"/>
      <c r="G1500" s="97"/>
      <c r="H1500" s="97"/>
      <c r="I1500" s="97"/>
      <c r="J1500" s="97"/>
      <c r="K1500" s="97"/>
      <c r="L1500" s="195"/>
    </row>
    <row r="1501" spans="1:14" x14ac:dyDescent="0.45">
      <c r="A1501" s="462"/>
      <c r="B1501" s="441"/>
      <c r="C1501" s="194">
        <v>8</v>
      </c>
      <c r="D1501" s="80"/>
      <c r="E1501" s="97"/>
      <c r="F1501" s="97"/>
      <c r="G1501" s="97"/>
      <c r="H1501" s="97"/>
      <c r="I1501" s="97"/>
      <c r="J1501" s="97"/>
      <c r="K1501" s="97"/>
      <c r="L1501" s="195"/>
    </row>
    <row r="1502" spans="1:14" x14ac:dyDescent="0.45">
      <c r="A1502" s="462"/>
      <c r="B1502" s="441"/>
      <c r="C1502" s="194">
        <v>9</v>
      </c>
      <c r="D1502" s="80"/>
      <c r="E1502" s="97"/>
      <c r="F1502" s="97"/>
      <c r="G1502" s="97"/>
      <c r="H1502" s="97"/>
      <c r="I1502" s="97"/>
      <c r="J1502" s="97"/>
      <c r="K1502" s="97"/>
      <c r="L1502" s="195"/>
    </row>
    <row r="1503" spans="1:14" x14ac:dyDescent="0.45">
      <c r="A1503" s="462"/>
      <c r="B1503" s="441"/>
      <c r="C1503" s="194">
        <v>10</v>
      </c>
      <c r="D1503" s="80"/>
      <c r="E1503" s="97"/>
      <c r="F1503" s="97"/>
      <c r="G1503" s="97"/>
      <c r="H1503" s="97"/>
      <c r="I1503" s="97"/>
      <c r="J1503" s="97"/>
      <c r="K1503" s="97"/>
      <c r="L1503" s="195"/>
    </row>
    <row r="1504" spans="1:14" x14ac:dyDescent="0.45">
      <c r="A1504" s="462"/>
      <c r="B1504" s="441"/>
      <c r="C1504" s="194">
        <v>11</v>
      </c>
      <c r="D1504" s="81"/>
      <c r="E1504" s="98"/>
      <c r="F1504" s="98"/>
      <c r="G1504" s="98"/>
      <c r="H1504" s="98"/>
      <c r="I1504" s="98"/>
      <c r="J1504" s="98"/>
      <c r="K1504" s="98"/>
      <c r="L1504" s="196"/>
    </row>
    <row r="1505" spans="1:14" s="90" customFormat="1" ht="14.65" thickBot="1" x14ac:dyDescent="0.5">
      <c r="A1505" s="462"/>
      <c r="B1505" s="442"/>
      <c r="C1505" s="197">
        <v>12</v>
      </c>
      <c r="D1505" s="82"/>
      <c r="E1505" s="99"/>
      <c r="F1505" s="99"/>
      <c r="G1505" s="99"/>
      <c r="H1505" s="99"/>
      <c r="I1505" s="99"/>
      <c r="J1505" s="99"/>
      <c r="K1505" s="99"/>
      <c r="L1505" s="198"/>
      <c r="M1505" s="61"/>
      <c r="N1505" s="61"/>
    </row>
    <row r="1506" spans="1:14" x14ac:dyDescent="0.45">
      <c r="A1506" s="462"/>
      <c r="B1506" s="440">
        <v>2</v>
      </c>
      <c r="C1506" s="192">
        <v>1</v>
      </c>
      <c r="D1506" s="79"/>
      <c r="E1506" s="96"/>
      <c r="F1506" s="96"/>
      <c r="G1506" s="96"/>
      <c r="H1506" s="96"/>
      <c r="I1506" s="96"/>
      <c r="J1506" s="96"/>
      <c r="K1506" s="96"/>
      <c r="L1506" s="193"/>
    </row>
    <row r="1507" spans="1:14" x14ac:dyDescent="0.45">
      <c r="A1507" s="462"/>
      <c r="B1507" s="441"/>
      <c r="C1507" s="194">
        <v>2</v>
      </c>
      <c r="D1507" s="80"/>
      <c r="E1507" s="97"/>
      <c r="F1507" s="97"/>
      <c r="G1507" s="97"/>
      <c r="H1507" s="97"/>
      <c r="I1507" s="97"/>
      <c r="J1507" s="97"/>
      <c r="K1507" s="97"/>
      <c r="L1507" s="195"/>
    </row>
    <row r="1508" spans="1:14" x14ac:dyDescent="0.45">
      <c r="A1508" s="462"/>
      <c r="B1508" s="441"/>
      <c r="C1508" s="194">
        <v>3</v>
      </c>
      <c r="D1508" s="80"/>
      <c r="E1508" s="97"/>
      <c r="F1508" s="97"/>
      <c r="G1508" s="97"/>
      <c r="H1508" s="97"/>
      <c r="I1508" s="97"/>
      <c r="J1508" s="97"/>
      <c r="K1508" s="97"/>
      <c r="L1508" s="195"/>
    </row>
    <row r="1509" spans="1:14" x14ac:dyDescent="0.45">
      <c r="A1509" s="462"/>
      <c r="B1509" s="441"/>
      <c r="C1509" s="194">
        <v>4</v>
      </c>
      <c r="D1509" s="80"/>
      <c r="E1509" s="97"/>
      <c r="F1509" s="97"/>
      <c r="G1509" s="97"/>
      <c r="H1509" s="97"/>
      <c r="I1509" s="97"/>
      <c r="J1509" s="97"/>
      <c r="K1509" s="97"/>
      <c r="L1509" s="195"/>
    </row>
    <row r="1510" spans="1:14" x14ac:dyDescent="0.45">
      <c r="A1510" s="462"/>
      <c r="B1510" s="441"/>
      <c r="C1510" s="194">
        <v>5</v>
      </c>
      <c r="D1510" s="80"/>
      <c r="E1510" s="97"/>
      <c r="F1510" s="97"/>
      <c r="G1510" s="97"/>
      <c r="H1510" s="97"/>
      <c r="I1510" s="97"/>
      <c r="J1510" s="97"/>
      <c r="K1510" s="97"/>
      <c r="L1510" s="195"/>
    </row>
    <row r="1511" spans="1:14" x14ac:dyDescent="0.45">
      <c r="A1511" s="462"/>
      <c r="B1511" s="441"/>
      <c r="C1511" s="194">
        <v>6</v>
      </c>
      <c r="D1511" s="80"/>
      <c r="E1511" s="97"/>
      <c r="F1511" s="97"/>
      <c r="G1511" s="97"/>
      <c r="H1511" s="97"/>
      <c r="I1511" s="97"/>
      <c r="J1511" s="97"/>
      <c r="K1511" s="97"/>
      <c r="L1511" s="195"/>
    </row>
    <row r="1512" spans="1:14" x14ac:dyDescent="0.45">
      <c r="A1512" s="462"/>
      <c r="B1512" s="441"/>
      <c r="C1512" s="194">
        <v>7</v>
      </c>
      <c r="D1512" s="80"/>
      <c r="E1512" s="97"/>
      <c r="F1512" s="97"/>
      <c r="G1512" s="97"/>
      <c r="H1512" s="97"/>
      <c r="I1512" s="97"/>
      <c r="J1512" s="97"/>
      <c r="K1512" s="97"/>
      <c r="L1512" s="195"/>
    </row>
    <row r="1513" spans="1:14" x14ac:dyDescent="0.45">
      <c r="A1513" s="462"/>
      <c r="B1513" s="441"/>
      <c r="C1513" s="194">
        <v>8</v>
      </c>
      <c r="D1513" s="80"/>
      <c r="E1513" s="97"/>
      <c r="F1513" s="97"/>
      <c r="G1513" s="97"/>
      <c r="H1513" s="97"/>
      <c r="I1513" s="97"/>
      <c r="J1513" s="97"/>
      <c r="K1513" s="97"/>
      <c r="L1513" s="195"/>
    </row>
    <row r="1514" spans="1:14" x14ac:dyDescent="0.45">
      <c r="A1514" s="462"/>
      <c r="B1514" s="441"/>
      <c r="C1514" s="194">
        <v>9</v>
      </c>
      <c r="D1514" s="80"/>
      <c r="E1514" s="97"/>
      <c r="F1514" s="97"/>
      <c r="G1514" s="97"/>
      <c r="H1514" s="97"/>
      <c r="I1514" s="97"/>
      <c r="J1514" s="97"/>
      <c r="K1514" s="97"/>
      <c r="L1514" s="195"/>
    </row>
    <row r="1515" spans="1:14" x14ac:dyDescent="0.45">
      <c r="A1515" s="462"/>
      <c r="B1515" s="441"/>
      <c r="C1515" s="194">
        <v>10</v>
      </c>
      <c r="D1515" s="80"/>
      <c r="E1515" s="97"/>
      <c r="F1515" s="97"/>
      <c r="G1515" s="97"/>
      <c r="H1515" s="97"/>
      <c r="I1515" s="97"/>
      <c r="J1515" s="97"/>
      <c r="K1515" s="97"/>
      <c r="L1515" s="195"/>
    </row>
    <row r="1516" spans="1:14" x14ac:dyDescent="0.45">
      <c r="A1516" s="462"/>
      <c r="B1516" s="441"/>
      <c r="C1516" s="194">
        <v>11</v>
      </c>
      <c r="D1516" s="81"/>
      <c r="E1516" s="98"/>
      <c r="F1516" s="98"/>
      <c r="G1516" s="98"/>
      <c r="H1516" s="98"/>
      <c r="I1516" s="98"/>
      <c r="J1516" s="98"/>
      <c r="K1516" s="98"/>
      <c r="L1516" s="196"/>
    </row>
    <row r="1517" spans="1:14" ht="14.65" thickBot="1" x14ac:dyDescent="0.5">
      <c r="A1517" s="462"/>
      <c r="B1517" s="442"/>
      <c r="C1517" s="197">
        <v>12</v>
      </c>
      <c r="D1517" s="82"/>
      <c r="E1517" s="99"/>
      <c r="F1517" s="99"/>
      <c r="G1517" s="99"/>
      <c r="H1517" s="99"/>
      <c r="I1517" s="99"/>
      <c r="J1517" s="99"/>
      <c r="K1517" s="99"/>
      <c r="L1517" s="198"/>
    </row>
    <row r="1518" spans="1:14" x14ac:dyDescent="0.45">
      <c r="A1518" s="462"/>
      <c r="B1518" s="440">
        <v>3</v>
      </c>
      <c r="C1518" s="192">
        <v>1</v>
      </c>
      <c r="D1518" s="79"/>
      <c r="E1518" s="96"/>
      <c r="F1518" s="96"/>
      <c r="G1518" s="96"/>
      <c r="H1518" s="96"/>
      <c r="I1518" s="96"/>
      <c r="J1518" s="96"/>
      <c r="K1518" s="96"/>
      <c r="L1518" s="193"/>
    </row>
    <row r="1519" spans="1:14" x14ac:dyDescent="0.45">
      <c r="A1519" s="462"/>
      <c r="B1519" s="441"/>
      <c r="C1519" s="194">
        <v>2</v>
      </c>
      <c r="D1519" s="80"/>
      <c r="E1519" s="97"/>
      <c r="F1519" s="97"/>
      <c r="G1519" s="97"/>
      <c r="H1519" s="97"/>
      <c r="I1519" s="97"/>
      <c r="J1519" s="97"/>
      <c r="K1519" s="97"/>
      <c r="L1519" s="195"/>
    </row>
    <row r="1520" spans="1:14" x14ac:dyDescent="0.45">
      <c r="A1520" s="462"/>
      <c r="B1520" s="441"/>
      <c r="C1520" s="194">
        <v>3</v>
      </c>
      <c r="D1520" s="80"/>
      <c r="E1520" s="97"/>
      <c r="F1520" s="97"/>
      <c r="G1520" s="97"/>
      <c r="H1520" s="97"/>
      <c r="I1520" s="97"/>
      <c r="J1520" s="97"/>
      <c r="K1520" s="97"/>
      <c r="L1520" s="195"/>
    </row>
    <row r="1521" spans="1:12" x14ac:dyDescent="0.45">
      <c r="A1521" s="462"/>
      <c r="B1521" s="441"/>
      <c r="C1521" s="194">
        <v>4</v>
      </c>
      <c r="D1521" s="80"/>
      <c r="E1521" s="97"/>
      <c r="F1521" s="97"/>
      <c r="G1521" s="97"/>
      <c r="H1521" s="97"/>
      <c r="I1521" s="97"/>
      <c r="J1521" s="97"/>
      <c r="K1521" s="97"/>
      <c r="L1521" s="195"/>
    </row>
    <row r="1522" spans="1:12" x14ac:dyDescent="0.45">
      <c r="A1522" s="462"/>
      <c r="B1522" s="441"/>
      <c r="C1522" s="194">
        <v>5</v>
      </c>
      <c r="D1522" s="80"/>
      <c r="E1522" s="97"/>
      <c r="F1522" s="97"/>
      <c r="G1522" s="97"/>
      <c r="H1522" s="97"/>
      <c r="I1522" s="97"/>
      <c r="J1522" s="97"/>
      <c r="K1522" s="97"/>
      <c r="L1522" s="195"/>
    </row>
    <row r="1523" spans="1:12" x14ac:dyDescent="0.45">
      <c r="A1523" s="462"/>
      <c r="B1523" s="441"/>
      <c r="C1523" s="194">
        <v>6</v>
      </c>
      <c r="D1523" s="80"/>
      <c r="E1523" s="97"/>
      <c r="F1523" s="97"/>
      <c r="G1523" s="97"/>
      <c r="H1523" s="97"/>
      <c r="I1523" s="97"/>
      <c r="J1523" s="97"/>
      <c r="K1523" s="97"/>
      <c r="L1523" s="195"/>
    </row>
    <row r="1524" spans="1:12" x14ac:dyDescent="0.45">
      <c r="A1524" s="462"/>
      <c r="B1524" s="441"/>
      <c r="C1524" s="194">
        <v>7</v>
      </c>
      <c r="D1524" s="80"/>
      <c r="E1524" s="97"/>
      <c r="F1524" s="97"/>
      <c r="G1524" s="97"/>
      <c r="H1524" s="97"/>
      <c r="I1524" s="97"/>
      <c r="J1524" s="97"/>
      <c r="K1524" s="97"/>
      <c r="L1524" s="195"/>
    </row>
    <row r="1525" spans="1:12" x14ac:dyDescent="0.45">
      <c r="A1525" s="462"/>
      <c r="B1525" s="441"/>
      <c r="C1525" s="194">
        <v>8</v>
      </c>
      <c r="D1525" s="80"/>
      <c r="E1525" s="97"/>
      <c r="F1525" s="97"/>
      <c r="G1525" s="97"/>
      <c r="H1525" s="97"/>
      <c r="I1525" s="97"/>
      <c r="J1525" s="97"/>
      <c r="K1525" s="97"/>
      <c r="L1525" s="195"/>
    </row>
    <row r="1526" spans="1:12" x14ac:dyDescent="0.45">
      <c r="A1526" s="462"/>
      <c r="B1526" s="441"/>
      <c r="C1526" s="194">
        <v>9</v>
      </c>
      <c r="D1526" s="80"/>
      <c r="E1526" s="97"/>
      <c r="F1526" s="97"/>
      <c r="G1526" s="97"/>
      <c r="H1526" s="97"/>
      <c r="I1526" s="97"/>
      <c r="J1526" s="97"/>
      <c r="K1526" s="97"/>
      <c r="L1526" s="195"/>
    </row>
    <row r="1527" spans="1:12" x14ac:dyDescent="0.45">
      <c r="A1527" s="462"/>
      <c r="B1527" s="441"/>
      <c r="C1527" s="194">
        <v>10</v>
      </c>
      <c r="D1527" s="80"/>
      <c r="E1527" s="97"/>
      <c r="F1527" s="97"/>
      <c r="G1527" s="97"/>
      <c r="H1527" s="97"/>
      <c r="I1527" s="97"/>
      <c r="J1527" s="97"/>
      <c r="K1527" s="97"/>
      <c r="L1527" s="195"/>
    </row>
    <row r="1528" spans="1:12" x14ac:dyDescent="0.45">
      <c r="A1528" s="462"/>
      <c r="B1528" s="441"/>
      <c r="C1528" s="194">
        <v>11</v>
      </c>
      <c r="D1528" s="81"/>
      <c r="E1528" s="98"/>
      <c r="F1528" s="98"/>
      <c r="G1528" s="98"/>
      <c r="H1528" s="98"/>
      <c r="I1528" s="98"/>
      <c r="J1528" s="98"/>
      <c r="K1528" s="98"/>
      <c r="L1528" s="196"/>
    </row>
    <row r="1529" spans="1:12" ht="14.65" thickBot="1" x14ac:dyDescent="0.5">
      <c r="A1529" s="462"/>
      <c r="B1529" s="442"/>
      <c r="C1529" s="197">
        <v>12</v>
      </c>
      <c r="D1529" s="82"/>
      <c r="E1529" s="99"/>
      <c r="F1529" s="99"/>
      <c r="G1529" s="99"/>
      <c r="H1529" s="99"/>
      <c r="I1529" s="99"/>
      <c r="J1529" s="99"/>
      <c r="K1529" s="99"/>
      <c r="L1529" s="198"/>
    </row>
    <row r="1530" spans="1:12" x14ac:dyDescent="0.45">
      <c r="A1530" s="462"/>
      <c r="B1530" s="440">
        <v>4</v>
      </c>
      <c r="C1530" s="192">
        <v>1</v>
      </c>
      <c r="D1530" s="79"/>
      <c r="E1530" s="96"/>
      <c r="F1530" s="96"/>
      <c r="G1530" s="96"/>
      <c r="H1530" s="96"/>
      <c r="I1530" s="96"/>
      <c r="J1530" s="96"/>
      <c r="K1530" s="96"/>
      <c r="L1530" s="193"/>
    </row>
    <row r="1531" spans="1:12" x14ac:dyDescent="0.45">
      <c r="A1531" s="462"/>
      <c r="B1531" s="441"/>
      <c r="C1531" s="194">
        <v>2</v>
      </c>
      <c r="D1531" s="80"/>
      <c r="E1531" s="97"/>
      <c r="F1531" s="97"/>
      <c r="G1531" s="97"/>
      <c r="H1531" s="97"/>
      <c r="I1531" s="97"/>
      <c r="J1531" s="97"/>
      <c r="K1531" s="97"/>
      <c r="L1531" s="195"/>
    </row>
    <row r="1532" spans="1:12" x14ac:dyDescent="0.45">
      <c r="A1532" s="462"/>
      <c r="B1532" s="441"/>
      <c r="C1532" s="194">
        <v>3</v>
      </c>
      <c r="D1532" s="80"/>
      <c r="E1532" s="97"/>
      <c r="F1532" s="97"/>
      <c r="G1532" s="97"/>
      <c r="H1532" s="97"/>
      <c r="I1532" s="97"/>
      <c r="J1532" s="97"/>
      <c r="K1532" s="97"/>
      <c r="L1532" s="195"/>
    </row>
    <row r="1533" spans="1:12" x14ac:dyDescent="0.45">
      <c r="A1533" s="462"/>
      <c r="B1533" s="441"/>
      <c r="C1533" s="194">
        <v>4</v>
      </c>
      <c r="D1533" s="80"/>
      <c r="E1533" s="97"/>
      <c r="F1533" s="97"/>
      <c r="G1533" s="97"/>
      <c r="H1533" s="97"/>
      <c r="I1533" s="97"/>
      <c r="J1533" s="97"/>
      <c r="K1533" s="97"/>
      <c r="L1533" s="195"/>
    </row>
    <row r="1534" spans="1:12" x14ac:dyDescent="0.45">
      <c r="A1534" s="462"/>
      <c r="B1534" s="441"/>
      <c r="C1534" s="194">
        <v>5</v>
      </c>
      <c r="D1534" s="80"/>
      <c r="E1534" s="97"/>
      <c r="F1534" s="97"/>
      <c r="G1534" s="97"/>
      <c r="H1534" s="97"/>
      <c r="I1534" s="97"/>
      <c r="J1534" s="97"/>
      <c r="K1534" s="97"/>
      <c r="L1534" s="195"/>
    </row>
    <row r="1535" spans="1:12" x14ac:dyDescent="0.45">
      <c r="A1535" s="462"/>
      <c r="B1535" s="441"/>
      <c r="C1535" s="194">
        <v>6</v>
      </c>
      <c r="D1535" s="80"/>
      <c r="E1535" s="97"/>
      <c r="F1535" s="97"/>
      <c r="G1535" s="97"/>
      <c r="H1535" s="97"/>
      <c r="I1535" s="97"/>
      <c r="J1535" s="97"/>
      <c r="K1535" s="97"/>
      <c r="L1535" s="195"/>
    </row>
    <row r="1536" spans="1:12" x14ac:dyDescent="0.45">
      <c r="A1536" s="462"/>
      <c r="B1536" s="441"/>
      <c r="C1536" s="194">
        <v>7</v>
      </c>
      <c r="D1536" s="80"/>
      <c r="E1536" s="97"/>
      <c r="F1536" s="97"/>
      <c r="G1536" s="97"/>
      <c r="H1536" s="97"/>
      <c r="I1536" s="97"/>
      <c r="J1536" s="97"/>
      <c r="K1536" s="97"/>
      <c r="L1536" s="195"/>
    </row>
    <row r="1537" spans="1:12" x14ac:dyDescent="0.45">
      <c r="A1537" s="462"/>
      <c r="B1537" s="441"/>
      <c r="C1537" s="194">
        <v>8</v>
      </c>
      <c r="D1537" s="80"/>
      <c r="E1537" s="97"/>
      <c r="F1537" s="97"/>
      <c r="G1537" s="97"/>
      <c r="H1537" s="97"/>
      <c r="I1537" s="97"/>
      <c r="J1537" s="97"/>
      <c r="K1537" s="97"/>
      <c r="L1537" s="195"/>
    </row>
    <row r="1538" spans="1:12" x14ac:dyDescent="0.45">
      <c r="A1538" s="462"/>
      <c r="B1538" s="441"/>
      <c r="C1538" s="194">
        <v>9</v>
      </c>
      <c r="D1538" s="80"/>
      <c r="E1538" s="97"/>
      <c r="F1538" s="97"/>
      <c r="G1538" s="97"/>
      <c r="H1538" s="97"/>
      <c r="I1538" s="97"/>
      <c r="J1538" s="97"/>
      <c r="K1538" s="97"/>
      <c r="L1538" s="195"/>
    </row>
    <row r="1539" spans="1:12" x14ac:dyDescent="0.45">
      <c r="A1539" s="462"/>
      <c r="B1539" s="441"/>
      <c r="C1539" s="194">
        <v>10</v>
      </c>
      <c r="D1539" s="80"/>
      <c r="E1539" s="97"/>
      <c r="F1539" s="97"/>
      <c r="G1539" s="97"/>
      <c r="H1539" s="97"/>
      <c r="I1539" s="97"/>
      <c r="J1539" s="97"/>
      <c r="K1539" s="97"/>
      <c r="L1539" s="195"/>
    </row>
    <row r="1540" spans="1:12" x14ac:dyDescent="0.45">
      <c r="A1540" s="462"/>
      <c r="B1540" s="441"/>
      <c r="C1540" s="194">
        <v>11</v>
      </c>
      <c r="D1540" s="81"/>
      <c r="E1540" s="98"/>
      <c r="F1540" s="98"/>
      <c r="G1540" s="98"/>
      <c r="H1540" s="98"/>
      <c r="I1540" s="98"/>
      <c r="J1540" s="98"/>
      <c r="K1540" s="98"/>
      <c r="L1540" s="196"/>
    </row>
    <row r="1541" spans="1:12" ht="14.65" thickBot="1" x14ac:dyDescent="0.5">
      <c r="A1541" s="463"/>
      <c r="B1541" s="442"/>
      <c r="C1541" s="197">
        <v>12</v>
      </c>
      <c r="D1541" s="82"/>
      <c r="E1541" s="99"/>
      <c r="F1541" s="99"/>
      <c r="G1541" s="99"/>
      <c r="H1541" s="99"/>
      <c r="I1541" s="99"/>
      <c r="J1541" s="99"/>
      <c r="K1541" s="99"/>
      <c r="L1541" s="198"/>
    </row>
    <row r="1542" spans="1:12" x14ac:dyDescent="0.45">
      <c r="A1542" s="461">
        <v>2</v>
      </c>
      <c r="B1542" s="440">
        <v>5</v>
      </c>
      <c r="C1542" s="192">
        <v>1</v>
      </c>
      <c r="D1542" s="79"/>
      <c r="E1542" s="96"/>
      <c r="F1542" s="96"/>
      <c r="G1542" s="96"/>
      <c r="H1542" s="96"/>
      <c r="I1542" s="96"/>
      <c r="J1542" s="96"/>
      <c r="K1542" s="96"/>
      <c r="L1542" s="193"/>
    </row>
    <row r="1543" spans="1:12" x14ac:dyDescent="0.45">
      <c r="A1543" s="462"/>
      <c r="B1543" s="441"/>
      <c r="C1543" s="194">
        <v>2</v>
      </c>
      <c r="D1543" s="80"/>
      <c r="E1543" s="97"/>
      <c r="F1543" s="97"/>
      <c r="G1543" s="97"/>
      <c r="H1543" s="97"/>
      <c r="I1543" s="97"/>
      <c r="J1543" s="97"/>
      <c r="K1543" s="97"/>
      <c r="L1543" s="195"/>
    </row>
    <row r="1544" spans="1:12" x14ac:dyDescent="0.45">
      <c r="A1544" s="462"/>
      <c r="B1544" s="441"/>
      <c r="C1544" s="194">
        <v>3</v>
      </c>
      <c r="D1544" s="80"/>
      <c r="E1544" s="97"/>
      <c r="F1544" s="97"/>
      <c r="G1544" s="97"/>
      <c r="H1544" s="97"/>
      <c r="I1544" s="97"/>
      <c r="J1544" s="97"/>
      <c r="K1544" s="97"/>
      <c r="L1544" s="195"/>
    </row>
    <row r="1545" spans="1:12" x14ac:dyDescent="0.45">
      <c r="A1545" s="462"/>
      <c r="B1545" s="441"/>
      <c r="C1545" s="194">
        <v>4</v>
      </c>
      <c r="D1545" s="80"/>
      <c r="E1545" s="97"/>
      <c r="F1545" s="97"/>
      <c r="G1545" s="97"/>
      <c r="H1545" s="97"/>
      <c r="I1545" s="97"/>
      <c r="J1545" s="97"/>
      <c r="K1545" s="97"/>
      <c r="L1545" s="195"/>
    </row>
    <row r="1546" spans="1:12" x14ac:dyDescent="0.45">
      <c r="A1546" s="462"/>
      <c r="B1546" s="441"/>
      <c r="C1546" s="194">
        <v>5</v>
      </c>
      <c r="D1546" s="80"/>
      <c r="E1546" s="97"/>
      <c r="F1546" s="97"/>
      <c r="G1546" s="97"/>
      <c r="H1546" s="97"/>
      <c r="I1546" s="97"/>
      <c r="J1546" s="97"/>
      <c r="K1546" s="97"/>
      <c r="L1546" s="195"/>
    </row>
    <row r="1547" spans="1:12" x14ac:dyDescent="0.45">
      <c r="A1547" s="462"/>
      <c r="B1547" s="441"/>
      <c r="C1547" s="194">
        <v>6</v>
      </c>
      <c r="D1547" s="80"/>
      <c r="E1547" s="97"/>
      <c r="F1547" s="97"/>
      <c r="G1547" s="97"/>
      <c r="H1547" s="97"/>
      <c r="I1547" s="97"/>
      <c r="J1547" s="97"/>
      <c r="K1547" s="97"/>
      <c r="L1547" s="195"/>
    </row>
    <row r="1548" spans="1:12" x14ac:dyDescent="0.45">
      <c r="A1548" s="462"/>
      <c r="B1548" s="441"/>
      <c r="C1548" s="194">
        <v>7</v>
      </c>
      <c r="D1548" s="80"/>
      <c r="E1548" s="97"/>
      <c r="F1548" s="97"/>
      <c r="G1548" s="97"/>
      <c r="H1548" s="97"/>
      <c r="I1548" s="97"/>
      <c r="J1548" s="97"/>
      <c r="K1548" s="97"/>
      <c r="L1548" s="195"/>
    </row>
    <row r="1549" spans="1:12" x14ac:dyDescent="0.45">
      <c r="A1549" s="462"/>
      <c r="B1549" s="441"/>
      <c r="C1549" s="194">
        <v>8</v>
      </c>
      <c r="D1549" s="80"/>
      <c r="E1549" s="97"/>
      <c r="F1549" s="97"/>
      <c r="G1549" s="97"/>
      <c r="H1549" s="97"/>
      <c r="I1549" s="97"/>
      <c r="J1549" s="97"/>
      <c r="K1549" s="97"/>
      <c r="L1549" s="195"/>
    </row>
    <row r="1550" spans="1:12" x14ac:dyDescent="0.45">
      <c r="A1550" s="462"/>
      <c r="B1550" s="441"/>
      <c r="C1550" s="194">
        <v>9</v>
      </c>
      <c r="D1550" s="80"/>
      <c r="E1550" s="97"/>
      <c r="F1550" s="97"/>
      <c r="G1550" s="97"/>
      <c r="H1550" s="97"/>
      <c r="I1550" s="97"/>
      <c r="J1550" s="97"/>
      <c r="K1550" s="97"/>
      <c r="L1550" s="195"/>
    </row>
    <row r="1551" spans="1:12" x14ac:dyDescent="0.45">
      <c r="A1551" s="462"/>
      <c r="B1551" s="441"/>
      <c r="C1551" s="194">
        <v>10</v>
      </c>
      <c r="D1551" s="80"/>
      <c r="E1551" s="97"/>
      <c r="F1551" s="97"/>
      <c r="G1551" s="97"/>
      <c r="H1551" s="97"/>
      <c r="I1551" s="97"/>
      <c r="J1551" s="97"/>
      <c r="K1551" s="97"/>
      <c r="L1551" s="195"/>
    </row>
    <row r="1552" spans="1:12" x14ac:dyDescent="0.45">
      <c r="A1552" s="462"/>
      <c r="B1552" s="441"/>
      <c r="C1552" s="194">
        <v>11</v>
      </c>
      <c r="D1552" s="81"/>
      <c r="E1552" s="98"/>
      <c r="F1552" s="98"/>
      <c r="G1552" s="98"/>
      <c r="H1552" s="98"/>
      <c r="I1552" s="98"/>
      <c r="J1552" s="98"/>
      <c r="K1552" s="98"/>
      <c r="L1552" s="196"/>
    </row>
    <row r="1553" spans="1:12" ht="14.65" thickBot="1" x14ac:dyDescent="0.5">
      <c r="A1553" s="462"/>
      <c r="B1553" s="442"/>
      <c r="C1553" s="197">
        <v>12</v>
      </c>
      <c r="D1553" s="82"/>
      <c r="E1553" s="99"/>
      <c r="F1553" s="99"/>
      <c r="G1553" s="99"/>
      <c r="H1553" s="99"/>
      <c r="I1553" s="99"/>
      <c r="J1553" s="99"/>
      <c r="K1553" s="99"/>
      <c r="L1553" s="198"/>
    </row>
    <row r="1554" spans="1:12" x14ac:dyDescent="0.45">
      <c r="A1554" s="462"/>
      <c r="B1554" s="440">
        <v>6</v>
      </c>
      <c r="C1554" s="192">
        <v>1</v>
      </c>
      <c r="D1554" s="79"/>
      <c r="E1554" s="96"/>
      <c r="F1554" s="96"/>
      <c r="G1554" s="96"/>
      <c r="H1554" s="96"/>
      <c r="I1554" s="96"/>
      <c r="J1554" s="96"/>
      <c r="K1554" s="96"/>
      <c r="L1554" s="193"/>
    </row>
    <row r="1555" spans="1:12" x14ac:dyDescent="0.45">
      <c r="A1555" s="462"/>
      <c r="B1555" s="441"/>
      <c r="C1555" s="194">
        <v>2</v>
      </c>
      <c r="D1555" s="80"/>
      <c r="E1555" s="97"/>
      <c r="F1555" s="97"/>
      <c r="G1555" s="97"/>
      <c r="H1555" s="97"/>
      <c r="I1555" s="97"/>
      <c r="J1555" s="97"/>
      <c r="K1555" s="97"/>
      <c r="L1555" s="195"/>
    </row>
    <row r="1556" spans="1:12" x14ac:dyDescent="0.45">
      <c r="A1556" s="462"/>
      <c r="B1556" s="441"/>
      <c r="C1556" s="194">
        <v>3</v>
      </c>
      <c r="D1556" s="80"/>
      <c r="E1556" s="97"/>
      <c r="F1556" s="97"/>
      <c r="G1556" s="97"/>
      <c r="H1556" s="97"/>
      <c r="I1556" s="97"/>
      <c r="J1556" s="97"/>
      <c r="K1556" s="97"/>
      <c r="L1556" s="195"/>
    </row>
    <row r="1557" spans="1:12" x14ac:dyDescent="0.45">
      <c r="A1557" s="462"/>
      <c r="B1557" s="441"/>
      <c r="C1557" s="194">
        <v>4</v>
      </c>
      <c r="D1557" s="80"/>
      <c r="E1557" s="97"/>
      <c r="F1557" s="97"/>
      <c r="G1557" s="97"/>
      <c r="H1557" s="97"/>
      <c r="I1557" s="97"/>
      <c r="J1557" s="97"/>
      <c r="K1557" s="97"/>
      <c r="L1557" s="195"/>
    </row>
    <row r="1558" spans="1:12" x14ac:dyDescent="0.45">
      <c r="A1558" s="462"/>
      <c r="B1558" s="441"/>
      <c r="C1558" s="194">
        <v>5</v>
      </c>
      <c r="D1558" s="80"/>
      <c r="E1558" s="97"/>
      <c r="F1558" s="97"/>
      <c r="G1558" s="97"/>
      <c r="H1558" s="97"/>
      <c r="I1558" s="97"/>
      <c r="J1558" s="97"/>
      <c r="K1558" s="97"/>
      <c r="L1558" s="195"/>
    </row>
    <row r="1559" spans="1:12" x14ac:dyDescent="0.45">
      <c r="A1559" s="462"/>
      <c r="B1559" s="441"/>
      <c r="C1559" s="194">
        <v>6</v>
      </c>
      <c r="D1559" s="80"/>
      <c r="E1559" s="97"/>
      <c r="F1559" s="97"/>
      <c r="G1559" s="97"/>
      <c r="H1559" s="97"/>
      <c r="I1559" s="97"/>
      <c r="J1559" s="97"/>
      <c r="K1559" s="97"/>
      <c r="L1559" s="195"/>
    </row>
    <row r="1560" spans="1:12" x14ac:dyDescent="0.45">
      <c r="A1560" s="462"/>
      <c r="B1560" s="441"/>
      <c r="C1560" s="194">
        <v>7</v>
      </c>
      <c r="D1560" s="80"/>
      <c r="E1560" s="97"/>
      <c r="F1560" s="97"/>
      <c r="G1560" s="97"/>
      <c r="H1560" s="97"/>
      <c r="I1560" s="97"/>
      <c r="J1560" s="97"/>
      <c r="K1560" s="97"/>
      <c r="L1560" s="195"/>
    </row>
    <row r="1561" spans="1:12" x14ac:dyDescent="0.45">
      <c r="A1561" s="462"/>
      <c r="B1561" s="441"/>
      <c r="C1561" s="194">
        <v>8</v>
      </c>
      <c r="D1561" s="80"/>
      <c r="E1561" s="97"/>
      <c r="F1561" s="97"/>
      <c r="G1561" s="97"/>
      <c r="H1561" s="97"/>
      <c r="I1561" s="97"/>
      <c r="J1561" s="97"/>
      <c r="K1561" s="97"/>
      <c r="L1561" s="195"/>
    </row>
    <row r="1562" spans="1:12" x14ac:dyDescent="0.45">
      <c r="A1562" s="462"/>
      <c r="B1562" s="441"/>
      <c r="C1562" s="194">
        <v>9</v>
      </c>
      <c r="D1562" s="80"/>
      <c r="E1562" s="97"/>
      <c r="F1562" s="97"/>
      <c r="G1562" s="97"/>
      <c r="H1562" s="97"/>
      <c r="I1562" s="97"/>
      <c r="J1562" s="97"/>
      <c r="K1562" s="97"/>
      <c r="L1562" s="195"/>
    </row>
    <row r="1563" spans="1:12" x14ac:dyDescent="0.45">
      <c r="A1563" s="462"/>
      <c r="B1563" s="441"/>
      <c r="C1563" s="194">
        <v>10</v>
      </c>
      <c r="D1563" s="80"/>
      <c r="E1563" s="97"/>
      <c r="F1563" s="97"/>
      <c r="G1563" s="97"/>
      <c r="H1563" s="97"/>
      <c r="I1563" s="97"/>
      <c r="J1563" s="97"/>
      <c r="K1563" s="97"/>
      <c r="L1563" s="195"/>
    </row>
    <row r="1564" spans="1:12" x14ac:dyDescent="0.45">
      <c r="A1564" s="462"/>
      <c r="B1564" s="441"/>
      <c r="C1564" s="194">
        <v>11</v>
      </c>
      <c r="D1564" s="81"/>
      <c r="E1564" s="98"/>
      <c r="F1564" s="98"/>
      <c r="G1564" s="98"/>
      <c r="H1564" s="98"/>
      <c r="I1564" s="98"/>
      <c r="J1564" s="98"/>
      <c r="K1564" s="98"/>
      <c r="L1564" s="196"/>
    </row>
    <row r="1565" spans="1:12" ht="14.65" thickBot="1" x14ac:dyDescent="0.5">
      <c r="A1565" s="462"/>
      <c r="B1565" s="442"/>
      <c r="C1565" s="197">
        <v>12</v>
      </c>
      <c r="D1565" s="82"/>
      <c r="E1565" s="99"/>
      <c r="F1565" s="99"/>
      <c r="G1565" s="99"/>
      <c r="H1565" s="99"/>
      <c r="I1565" s="99"/>
      <c r="J1565" s="99"/>
      <c r="K1565" s="99"/>
      <c r="L1565" s="198"/>
    </row>
    <row r="1566" spans="1:12" x14ac:dyDescent="0.45">
      <c r="A1566" s="462"/>
      <c r="B1566" s="440">
        <v>7</v>
      </c>
      <c r="C1566" s="192">
        <v>1</v>
      </c>
      <c r="D1566" s="79"/>
      <c r="E1566" s="96"/>
      <c r="F1566" s="96"/>
      <c r="G1566" s="96"/>
      <c r="H1566" s="96"/>
      <c r="I1566" s="96"/>
      <c r="J1566" s="96"/>
      <c r="K1566" s="96"/>
      <c r="L1566" s="193"/>
    </row>
    <row r="1567" spans="1:12" x14ac:dyDescent="0.45">
      <c r="A1567" s="462"/>
      <c r="B1567" s="441"/>
      <c r="C1567" s="194">
        <v>2</v>
      </c>
      <c r="D1567" s="80"/>
      <c r="E1567" s="97"/>
      <c r="F1567" s="97"/>
      <c r="G1567" s="97"/>
      <c r="H1567" s="97"/>
      <c r="I1567" s="97"/>
      <c r="J1567" s="97"/>
      <c r="K1567" s="97"/>
      <c r="L1567" s="195"/>
    </row>
    <row r="1568" spans="1:12" x14ac:dyDescent="0.45">
      <c r="A1568" s="462"/>
      <c r="B1568" s="441"/>
      <c r="C1568" s="194">
        <v>3</v>
      </c>
      <c r="D1568" s="80"/>
      <c r="E1568" s="97"/>
      <c r="F1568" s="97"/>
      <c r="G1568" s="97"/>
      <c r="H1568" s="97"/>
      <c r="I1568" s="97"/>
      <c r="J1568" s="97"/>
      <c r="K1568" s="97"/>
      <c r="L1568" s="195"/>
    </row>
    <row r="1569" spans="1:12" x14ac:dyDescent="0.45">
      <c r="A1569" s="462"/>
      <c r="B1569" s="441"/>
      <c r="C1569" s="194">
        <v>4</v>
      </c>
      <c r="D1569" s="80"/>
      <c r="E1569" s="97"/>
      <c r="F1569" s="97"/>
      <c r="G1569" s="97"/>
      <c r="H1569" s="97"/>
      <c r="I1569" s="97"/>
      <c r="J1569" s="97"/>
      <c r="K1569" s="97"/>
      <c r="L1569" s="195"/>
    </row>
    <row r="1570" spans="1:12" x14ac:dyDescent="0.45">
      <c r="A1570" s="462"/>
      <c r="B1570" s="441"/>
      <c r="C1570" s="194">
        <v>5</v>
      </c>
      <c r="D1570" s="80"/>
      <c r="E1570" s="97"/>
      <c r="F1570" s="97"/>
      <c r="G1570" s="97"/>
      <c r="H1570" s="97"/>
      <c r="I1570" s="97"/>
      <c r="J1570" s="97"/>
      <c r="K1570" s="97"/>
      <c r="L1570" s="195"/>
    </row>
    <row r="1571" spans="1:12" x14ac:dyDescent="0.45">
      <c r="A1571" s="462"/>
      <c r="B1571" s="441"/>
      <c r="C1571" s="194">
        <v>6</v>
      </c>
      <c r="D1571" s="80"/>
      <c r="E1571" s="97"/>
      <c r="F1571" s="97"/>
      <c r="G1571" s="97"/>
      <c r="H1571" s="97"/>
      <c r="I1571" s="97"/>
      <c r="J1571" s="97"/>
      <c r="K1571" s="97"/>
      <c r="L1571" s="195"/>
    </row>
    <row r="1572" spans="1:12" x14ac:dyDescent="0.45">
      <c r="A1572" s="462"/>
      <c r="B1572" s="441"/>
      <c r="C1572" s="194">
        <v>7</v>
      </c>
      <c r="D1572" s="80"/>
      <c r="E1572" s="97"/>
      <c r="F1572" s="97"/>
      <c r="G1572" s="97"/>
      <c r="H1572" s="97"/>
      <c r="I1572" s="97"/>
      <c r="J1572" s="97"/>
      <c r="K1572" s="97"/>
      <c r="L1572" s="195"/>
    </row>
    <row r="1573" spans="1:12" x14ac:dyDescent="0.45">
      <c r="A1573" s="462"/>
      <c r="B1573" s="441"/>
      <c r="C1573" s="194">
        <v>8</v>
      </c>
      <c r="D1573" s="80"/>
      <c r="E1573" s="97"/>
      <c r="F1573" s="97"/>
      <c r="G1573" s="97"/>
      <c r="H1573" s="97"/>
      <c r="I1573" s="97"/>
      <c r="J1573" s="97"/>
      <c r="K1573" s="97"/>
      <c r="L1573" s="195"/>
    </row>
    <row r="1574" spans="1:12" x14ac:dyDescent="0.45">
      <c r="A1574" s="462"/>
      <c r="B1574" s="441"/>
      <c r="C1574" s="194">
        <v>9</v>
      </c>
      <c r="D1574" s="80"/>
      <c r="E1574" s="97"/>
      <c r="F1574" s="97"/>
      <c r="G1574" s="97"/>
      <c r="H1574" s="97"/>
      <c r="I1574" s="97"/>
      <c r="J1574" s="97"/>
      <c r="K1574" s="97"/>
      <c r="L1574" s="195"/>
    </row>
    <row r="1575" spans="1:12" x14ac:dyDescent="0.45">
      <c r="A1575" s="462"/>
      <c r="B1575" s="441"/>
      <c r="C1575" s="194">
        <v>10</v>
      </c>
      <c r="D1575" s="80"/>
      <c r="E1575" s="97"/>
      <c r="F1575" s="97"/>
      <c r="G1575" s="97"/>
      <c r="H1575" s="97"/>
      <c r="I1575" s="97"/>
      <c r="J1575" s="97"/>
      <c r="K1575" s="97"/>
      <c r="L1575" s="195"/>
    </row>
    <row r="1576" spans="1:12" x14ac:dyDescent="0.45">
      <c r="A1576" s="462"/>
      <c r="B1576" s="441"/>
      <c r="C1576" s="194">
        <v>11</v>
      </c>
      <c r="D1576" s="81"/>
      <c r="E1576" s="98"/>
      <c r="F1576" s="98"/>
      <c r="G1576" s="98"/>
      <c r="H1576" s="98"/>
      <c r="I1576" s="98"/>
      <c r="J1576" s="98"/>
      <c r="K1576" s="98"/>
      <c r="L1576" s="196"/>
    </row>
    <row r="1577" spans="1:12" ht="14.65" thickBot="1" x14ac:dyDescent="0.5">
      <c r="A1577" s="462"/>
      <c r="B1577" s="442"/>
      <c r="C1577" s="197">
        <v>12</v>
      </c>
      <c r="D1577" s="82"/>
      <c r="E1577" s="99"/>
      <c r="F1577" s="99"/>
      <c r="G1577" s="99"/>
      <c r="H1577" s="99"/>
      <c r="I1577" s="99"/>
      <c r="J1577" s="99"/>
      <c r="K1577" s="99"/>
      <c r="L1577" s="198"/>
    </row>
    <row r="1578" spans="1:12" x14ac:dyDescent="0.45">
      <c r="A1578" s="462"/>
      <c r="B1578" s="440">
        <v>8</v>
      </c>
      <c r="C1578" s="192">
        <v>1</v>
      </c>
      <c r="D1578" s="79"/>
      <c r="E1578" s="96"/>
      <c r="F1578" s="96"/>
      <c r="G1578" s="96"/>
      <c r="H1578" s="96"/>
      <c r="I1578" s="96"/>
      <c r="J1578" s="96"/>
      <c r="K1578" s="96"/>
      <c r="L1578" s="193"/>
    </row>
    <row r="1579" spans="1:12" x14ac:dyDescent="0.45">
      <c r="A1579" s="462"/>
      <c r="B1579" s="441"/>
      <c r="C1579" s="194">
        <v>2</v>
      </c>
      <c r="D1579" s="80"/>
      <c r="E1579" s="97"/>
      <c r="F1579" s="97"/>
      <c r="G1579" s="97"/>
      <c r="H1579" s="97"/>
      <c r="I1579" s="97"/>
      <c r="J1579" s="97"/>
      <c r="K1579" s="97"/>
      <c r="L1579" s="195"/>
    </row>
    <row r="1580" spans="1:12" x14ac:dyDescent="0.45">
      <c r="A1580" s="462"/>
      <c r="B1580" s="441"/>
      <c r="C1580" s="194">
        <v>3</v>
      </c>
      <c r="D1580" s="80"/>
      <c r="E1580" s="97"/>
      <c r="F1580" s="97"/>
      <c r="G1580" s="97"/>
      <c r="H1580" s="97"/>
      <c r="I1580" s="97"/>
      <c r="J1580" s="97"/>
      <c r="K1580" s="97"/>
      <c r="L1580" s="195"/>
    </row>
    <row r="1581" spans="1:12" x14ac:dyDescent="0.45">
      <c r="A1581" s="462"/>
      <c r="B1581" s="441"/>
      <c r="C1581" s="194">
        <v>4</v>
      </c>
      <c r="D1581" s="80"/>
      <c r="E1581" s="97"/>
      <c r="F1581" s="97"/>
      <c r="G1581" s="97"/>
      <c r="H1581" s="97"/>
      <c r="I1581" s="97"/>
      <c r="J1581" s="97"/>
      <c r="K1581" s="97"/>
      <c r="L1581" s="195"/>
    </row>
    <row r="1582" spans="1:12" x14ac:dyDescent="0.45">
      <c r="A1582" s="462"/>
      <c r="B1582" s="441"/>
      <c r="C1582" s="194">
        <v>5</v>
      </c>
      <c r="D1582" s="80"/>
      <c r="E1582" s="97"/>
      <c r="F1582" s="97"/>
      <c r="G1582" s="97"/>
      <c r="H1582" s="97"/>
      <c r="I1582" s="97"/>
      <c r="J1582" s="97"/>
      <c r="K1582" s="97"/>
      <c r="L1582" s="195"/>
    </row>
    <row r="1583" spans="1:12" x14ac:dyDescent="0.45">
      <c r="A1583" s="462"/>
      <c r="B1583" s="441"/>
      <c r="C1583" s="194">
        <v>6</v>
      </c>
      <c r="D1583" s="80"/>
      <c r="E1583" s="97"/>
      <c r="F1583" s="97"/>
      <c r="G1583" s="97"/>
      <c r="H1583" s="97"/>
      <c r="I1583" s="97"/>
      <c r="J1583" s="97"/>
      <c r="K1583" s="97"/>
      <c r="L1583" s="195"/>
    </row>
    <row r="1584" spans="1:12" x14ac:dyDescent="0.45">
      <c r="A1584" s="462"/>
      <c r="B1584" s="441"/>
      <c r="C1584" s="194">
        <v>7</v>
      </c>
      <c r="D1584" s="80"/>
      <c r="E1584" s="97"/>
      <c r="F1584" s="97"/>
      <c r="G1584" s="97"/>
      <c r="H1584" s="97"/>
      <c r="I1584" s="97"/>
      <c r="J1584" s="97"/>
      <c r="K1584" s="97"/>
      <c r="L1584" s="195"/>
    </row>
    <row r="1585" spans="1:12" x14ac:dyDescent="0.45">
      <c r="A1585" s="462"/>
      <c r="B1585" s="441"/>
      <c r="C1585" s="194">
        <v>8</v>
      </c>
      <c r="D1585" s="80"/>
      <c r="E1585" s="97"/>
      <c r="F1585" s="97"/>
      <c r="G1585" s="97"/>
      <c r="H1585" s="97"/>
      <c r="I1585" s="97"/>
      <c r="J1585" s="97"/>
      <c r="K1585" s="97"/>
      <c r="L1585" s="195"/>
    </row>
    <row r="1586" spans="1:12" x14ac:dyDescent="0.45">
      <c r="A1586" s="462"/>
      <c r="B1586" s="441"/>
      <c r="C1586" s="194">
        <v>9</v>
      </c>
      <c r="D1586" s="80"/>
      <c r="E1586" s="97"/>
      <c r="F1586" s="97"/>
      <c r="G1586" s="97"/>
      <c r="H1586" s="97"/>
      <c r="I1586" s="97"/>
      <c r="J1586" s="97"/>
      <c r="K1586" s="97"/>
      <c r="L1586" s="195"/>
    </row>
    <row r="1587" spans="1:12" x14ac:dyDescent="0.45">
      <c r="A1587" s="462"/>
      <c r="B1587" s="441"/>
      <c r="C1587" s="194">
        <v>10</v>
      </c>
      <c r="D1587" s="80"/>
      <c r="E1587" s="97"/>
      <c r="F1587" s="97"/>
      <c r="G1587" s="97"/>
      <c r="H1587" s="97"/>
      <c r="I1587" s="97"/>
      <c r="J1587" s="97"/>
      <c r="K1587" s="97"/>
      <c r="L1587" s="195"/>
    </row>
    <row r="1588" spans="1:12" x14ac:dyDescent="0.45">
      <c r="A1588" s="462"/>
      <c r="B1588" s="441"/>
      <c r="C1588" s="194">
        <v>11</v>
      </c>
      <c r="D1588" s="81"/>
      <c r="E1588" s="98"/>
      <c r="F1588" s="98"/>
      <c r="G1588" s="98"/>
      <c r="H1588" s="98"/>
      <c r="I1588" s="98"/>
      <c r="J1588" s="98"/>
      <c r="K1588" s="98"/>
      <c r="L1588" s="196"/>
    </row>
    <row r="1589" spans="1:12" ht="14.65" thickBot="1" x14ac:dyDescent="0.5">
      <c r="A1589" s="463"/>
      <c r="B1589" s="442"/>
      <c r="C1589" s="197">
        <v>12</v>
      </c>
      <c r="D1589" s="82"/>
      <c r="E1589" s="99"/>
      <c r="F1589" s="99"/>
      <c r="G1589" s="99"/>
      <c r="H1589" s="99"/>
      <c r="I1589" s="99"/>
      <c r="J1589" s="99"/>
      <c r="K1589" s="99"/>
      <c r="L1589" s="198"/>
    </row>
    <row r="1590" spans="1:12" x14ac:dyDescent="0.45">
      <c r="A1590" s="461">
        <v>3</v>
      </c>
      <c r="B1590" s="440">
        <v>9</v>
      </c>
      <c r="C1590" s="192">
        <v>1</v>
      </c>
      <c r="D1590" s="79"/>
      <c r="E1590" s="96"/>
      <c r="F1590" s="96"/>
      <c r="G1590" s="96"/>
      <c r="H1590" s="96"/>
      <c r="I1590" s="96"/>
      <c r="J1590" s="96"/>
      <c r="K1590" s="96"/>
      <c r="L1590" s="193"/>
    </row>
    <row r="1591" spans="1:12" x14ac:dyDescent="0.45">
      <c r="A1591" s="462"/>
      <c r="B1591" s="441"/>
      <c r="C1591" s="194">
        <v>2</v>
      </c>
      <c r="D1591" s="80"/>
      <c r="E1591" s="97"/>
      <c r="F1591" s="97"/>
      <c r="G1591" s="97"/>
      <c r="H1591" s="97"/>
      <c r="I1591" s="97"/>
      <c r="J1591" s="97"/>
      <c r="K1591" s="97"/>
      <c r="L1591" s="195"/>
    </row>
    <row r="1592" spans="1:12" x14ac:dyDescent="0.45">
      <c r="A1592" s="462"/>
      <c r="B1592" s="441"/>
      <c r="C1592" s="194">
        <v>3</v>
      </c>
      <c r="D1592" s="80"/>
      <c r="E1592" s="97"/>
      <c r="F1592" s="97"/>
      <c r="G1592" s="97"/>
      <c r="H1592" s="97"/>
      <c r="I1592" s="97"/>
      <c r="J1592" s="97"/>
      <c r="K1592" s="97"/>
      <c r="L1592" s="195"/>
    </row>
    <row r="1593" spans="1:12" x14ac:dyDescent="0.45">
      <c r="A1593" s="462"/>
      <c r="B1593" s="441"/>
      <c r="C1593" s="194">
        <v>4</v>
      </c>
      <c r="D1593" s="80"/>
      <c r="E1593" s="97"/>
      <c r="F1593" s="97"/>
      <c r="G1593" s="97"/>
      <c r="H1593" s="97"/>
      <c r="I1593" s="97"/>
      <c r="J1593" s="97"/>
      <c r="K1593" s="97"/>
      <c r="L1593" s="195"/>
    </row>
    <row r="1594" spans="1:12" x14ac:dyDescent="0.45">
      <c r="A1594" s="462"/>
      <c r="B1594" s="441"/>
      <c r="C1594" s="194">
        <v>5</v>
      </c>
      <c r="D1594" s="80"/>
      <c r="E1594" s="97"/>
      <c r="F1594" s="97"/>
      <c r="G1594" s="97"/>
      <c r="H1594" s="97"/>
      <c r="I1594" s="97"/>
      <c r="J1594" s="97"/>
      <c r="K1594" s="97"/>
      <c r="L1594" s="195"/>
    </row>
    <row r="1595" spans="1:12" x14ac:dyDescent="0.45">
      <c r="A1595" s="462"/>
      <c r="B1595" s="441"/>
      <c r="C1595" s="194">
        <v>6</v>
      </c>
      <c r="D1595" s="80"/>
      <c r="E1595" s="97"/>
      <c r="F1595" s="97"/>
      <c r="G1595" s="97"/>
      <c r="H1595" s="97"/>
      <c r="I1595" s="97"/>
      <c r="J1595" s="97"/>
      <c r="K1595" s="97"/>
      <c r="L1595" s="195"/>
    </row>
    <row r="1596" spans="1:12" x14ac:dyDescent="0.45">
      <c r="A1596" s="462"/>
      <c r="B1596" s="441"/>
      <c r="C1596" s="194">
        <v>7</v>
      </c>
      <c r="D1596" s="80"/>
      <c r="E1596" s="97"/>
      <c r="F1596" s="97"/>
      <c r="G1596" s="97"/>
      <c r="H1596" s="97"/>
      <c r="I1596" s="97"/>
      <c r="J1596" s="97"/>
      <c r="K1596" s="97"/>
      <c r="L1596" s="195"/>
    </row>
    <row r="1597" spans="1:12" x14ac:dyDescent="0.45">
      <c r="A1597" s="462"/>
      <c r="B1597" s="441"/>
      <c r="C1597" s="194">
        <v>8</v>
      </c>
      <c r="D1597" s="80"/>
      <c r="E1597" s="97"/>
      <c r="F1597" s="97"/>
      <c r="G1597" s="97"/>
      <c r="H1597" s="97"/>
      <c r="I1597" s="97"/>
      <c r="J1597" s="97"/>
      <c r="K1597" s="97"/>
      <c r="L1597" s="195"/>
    </row>
    <row r="1598" spans="1:12" x14ac:dyDescent="0.45">
      <c r="A1598" s="462"/>
      <c r="B1598" s="441"/>
      <c r="C1598" s="194">
        <v>9</v>
      </c>
      <c r="D1598" s="80"/>
      <c r="E1598" s="97"/>
      <c r="F1598" s="97"/>
      <c r="G1598" s="97"/>
      <c r="H1598" s="97"/>
      <c r="I1598" s="97"/>
      <c r="J1598" s="97"/>
      <c r="K1598" s="97"/>
      <c r="L1598" s="195"/>
    </row>
    <row r="1599" spans="1:12" x14ac:dyDescent="0.45">
      <c r="A1599" s="462"/>
      <c r="B1599" s="441"/>
      <c r="C1599" s="194">
        <v>10</v>
      </c>
      <c r="D1599" s="80"/>
      <c r="E1599" s="97"/>
      <c r="F1599" s="97"/>
      <c r="G1599" s="97"/>
      <c r="H1599" s="97"/>
      <c r="I1599" s="97"/>
      <c r="J1599" s="97"/>
      <c r="K1599" s="97"/>
      <c r="L1599" s="195"/>
    </row>
    <row r="1600" spans="1:12" x14ac:dyDescent="0.45">
      <c r="A1600" s="462"/>
      <c r="B1600" s="441"/>
      <c r="C1600" s="194">
        <v>11</v>
      </c>
      <c r="D1600" s="81"/>
      <c r="E1600" s="98"/>
      <c r="F1600" s="98"/>
      <c r="G1600" s="98"/>
      <c r="H1600" s="98"/>
      <c r="I1600" s="98"/>
      <c r="J1600" s="98"/>
      <c r="K1600" s="98"/>
      <c r="L1600" s="196"/>
    </row>
    <row r="1601" spans="1:12" ht="14.65" thickBot="1" x14ac:dyDescent="0.5">
      <c r="A1601" s="462"/>
      <c r="B1601" s="442"/>
      <c r="C1601" s="197">
        <v>12</v>
      </c>
      <c r="D1601" s="82"/>
      <c r="E1601" s="99"/>
      <c r="F1601" s="99"/>
      <c r="G1601" s="99"/>
      <c r="H1601" s="99"/>
      <c r="I1601" s="99"/>
      <c r="J1601" s="99"/>
      <c r="K1601" s="99"/>
      <c r="L1601" s="198"/>
    </row>
    <row r="1602" spans="1:12" x14ac:dyDescent="0.45">
      <c r="A1602" s="462"/>
      <c r="B1602" s="440">
        <v>10</v>
      </c>
      <c r="C1602" s="192">
        <v>1</v>
      </c>
      <c r="D1602" s="79"/>
      <c r="E1602" s="96"/>
      <c r="F1602" s="96"/>
      <c r="G1602" s="96"/>
      <c r="H1602" s="96"/>
      <c r="I1602" s="96"/>
      <c r="J1602" s="96"/>
      <c r="K1602" s="96"/>
      <c r="L1602" s="193"/>
    </row>
    <row r="1603" spans="1:12" x14ac:dyDescent="0.45">
      <c r="A1603" s="462"/>
      <c r="B1603" s="441"/>
      <c r="C1603" s="194">
        <v>2</v>
      </c>
      <c r="D1603" s="80"/>
      <c r="E1603" s="97"/>
      <c r="F1603" s="97"/>
      <c r="G1603" s="97"/>
      <c r="H1603" s="97"/>
      <c r="I1603" s="97"/>
      <c r="J1603" s="97"/>
      <c r="K1603" s="97"/>
      <c r="L1603" s="195"/>
    </row>
    <row r="1604" spans="1:12" x14ac:dyDescent="0.45">
      <c r="A1604" s="462"/>
      <c r="B1604" s="441"/>
      <c r="C1604" s="194">
        <v>3</v>
      </c>
      <c r="D1604" s="80"/>
      <c r="E1604" s="97"/>
      <c r="F1604" s="97"/>
      <c r="G1604" s="97"/>
      <c r="H1604" s="97"/>
      <c r="I1604" s="97"/>
      <c r="J1604" s="97"/>
      <c r="K1604" s="97"/>
      <c r="L1604" s="195"/>
    </row>
    <row r="1605" spans="1:12" x14ac:dyDescent="0.45">
      <c r="A1605" s="462"/>
      <c r="B1605" s="441"/>
      <c r="C1605" s="194">
        <v>4</v>
      </c>
      <c r="D1605" s="80"/>
      <c r="E1605" s="97"/>
      <c r="F1605" s="97"/>
      <c r="G1605" s="97"/>
      <c r="H1605" s="97"/>
      <c r="I1605" s="97"/>
      <c r="J1605" s="97"/>
      <c r="K1605" s="97"/>
      <c r="L1605" s="195"/>
    </row>
    <row r="1606" spans="1:12" x14ac:dyDescent="0.45">
      <c r="A1606" s="462"/>
      <c r="B1606" s="441"/>
      <c r="C1606" s="194">
        <v>5</v>
      </c>
      <c r="D1606" s="80"/>
      <c r="E1606" s="97"/>
      <c r="F1606" s="97"/>
      <c r="G1606" s="97"/>
      <c r="H1606" s="97"/>
      <c r="I1606" s="97"/>
      <c r="J1606" s="97"/>
      <c r="K1606" s="97"/>
      <c r="L1606" s="195"/>
    </row>
    <row r="1607" spans="1:12" x14ac:dyDescent="0.45">
      <c r="A1607" s="462"/>
      <c r="B1607" s="441"/>
      <c r="C1607" s="194">
        <v>6</v>
      </c>
      <c r="D1607" s="80"/>
      <c r="E1607" s="97"/>
      <c r="F1607" s="97"/>
      <c r="G1607" s="97"/>
      <c r="H1607" s="97"/>
      <c r="I1607" s="97"/>
      <c r="J1607" s="97"/>
      <c r="K1607" s="97"/>
      <c r="L1607" s="195"/>
    </row>
    <row r="1608" spans="1:12" x14ac:dyDescent="0.45">
      <c r="A1608" s="462"/>
      <c r="B1608" s="441"/>
      <c r="C1608" s="194">
        <v>7</v>
      </c>
      <c r="D1608" s="80"/>
      <c r="E1608" s="97"/>
      <c r="F1608" s="97"/>
      <c r="G1608" s="97"/>
      <c r="H1608" s="97"/>
      <c r="I1608" s="97"/>
      <c r="J1608" s="97"/>
      <c r="K1608" s="97"/>
      <c r="L1608" s="195"/>
    </row>
    <row r="1609" spans="1:12" x14ac:dyDescent="0.45">
      <c r="A1609" s="462"/>
      <c r="B1609" s="441"/>
      <c r="C1609" s="194">
        <v>8</v>
      </c>
      <c r="D1609" s="80"/>
      <c r="E1609" s="97"/>
      <c r="F1609" s="97"/>
      <c r="G1609" s="97"/>
      <c r="H1609" s="97"/>
      <c r="I1609" s="97"/>
      <c r="J1609" s="97"/>
      <c r="K1609" s="97"/>
      <c r="L1609" s="195"/>
    </row>
    <row r="1610" spans="1:12" x14ac:dyDescent="0.45">
      <c r="A1610" s="462"/>
      <c r="B1610" s="441"/>
      <c r="C1610" s="194">
        <v>9</v>
      </c>
      <c r="D1610" s="80"/>
      <c r="E1610" s="97"/>
      <c r="F1610" s="97"/>
      <c r="G1610" s="97"/>
      <c r="H1610" s="97"/>
      <c r="I1610" s="97"/>
      <c r="J1610" s="97"/>
      <c r="K1610" s="97"/>
      <c r="L1610" s="195"/>
    </row>
    <row r="1611" spans="1:12" x14ac:dyDescent="0.45">
      <c r="A1611" s="462"/>
      <c r="B1611" s="441"/>
      <c r="C1611" s="194">
        <v>10</v>
      </c>
      <c r="D1611" s="80"/>
      <c r="E1611" s="97"/>
      <c r="F1611" s="97"/>
      <c r="G1611" s="97"/>
      <c r="H1611" s="97"/>
      <c r="I1611" s="97"/>
      <c r="J1611" s="97"/>
      <c r="K1611" s="97"/>
      <c r="L1611" s="195"/>
    </row>
    <row r="1612" spans="1:12" x14ac:dyDescent="0.45">
      <c r="A1612" s="462"/>
      <c r="B1612" s="441"/>
      <c r="C1612" s="194">
        <v>11</v>
      </c>
      <c r="D1612" s="81"/>
      <c r="E1612" s="98"/>
      <c r="F1612" s="98"/>
      <c r="G1612" s="98"/>
      <c r="H1612" s="98"/>
      <c r="I1612" s="98"/>
      <c r="J1612" s="98"/>
      <c r="K1612" s="98"/>
      <c r="L1612" s="196"/>
    </row>
    <row r="1613" spans="1:12" ht="14.65" thickBot="1" x14ac:dyDescent="0.5">
      <c r="A1613" s="462"/>
      <c r="B1613" s="442"/>
      <c r="C1613" s="197">
        <v>12</v>
      </c>
      <c r="D1613" s="82"/>
      <c r="E1613" s="99"/>
      <c r="F1613" s="99"/>
      <c r="G1613" s="99"/>
      <c r="H1613" s="99"/>
      <c r="I1613" s="99"/>
      <c r="J1613" s="99"/>
      <c r="K1613" s="99"/>
      <c r="L1613" s="198"/>
    </row>
    <row r="1614" spans="1:12" x14ac:dyDescent="0.45">
      <c r="A1614" s="462"/>
      <c r="B1614" s="440">
        <v>11</v>
      </c>
      <c r="C1614" s="192">
        <v>1</v>
      </c>
      <c r="D1614" s="79"/>
      <c r="E1614" s="96"/>
      <c r="F1614" s="96"/>
      <c r="G1614" s="96"/>
      <c r="H1614" s="96"/>
      <c r="I1614" s="96"/>
      <c r="J1614" s="96"/>
      <c r="K1614" s="96"/>
      <c r="L1614" s="193"/>
    </row>
    <row r="1615" spans="1:12" x14ac:dyDescent="0.45">
      <c r="A1615" s="462"/>
      <c r="B1615" s="441"/>
      <c r="C1615" s="194">
        <v>2</v>
      </c>
      <c r="D1615" s="80"/>
      <c r="E1615" s="97"/>
      <c r="F1615" s="97"/>
      <c r="G1615" s="97"/>
      <c r="H1615" s="97"/>
      <c r="I1615" s="97"/>
      <c r="J1615" s="97"/>
      <c r="K1615" s="97"/>
      <c r="L1615" s="195"/>
    </row>
    <row r="1616" spans="1:12" x14ac:dyDescent="0.45">
      <c r="A1616" s="462"/>
      <c r="B1616" s="441"/>
      <c r="C1616" s="194">
        <v>3</v>
      </c>
      <c r="D1616" s="80"/>
      <c r="E1616" s="97"/>
      <c r="F1616" s="97"/>
      <c r="G1616" s="97"/>
      <c r="H1616" s="97"/>
      <c r="I1616" s="97"/>
      <c r="J1616" s="97"/>
      <c r="K1616" s="97"/>
      <c r="L1616" s="195"/>
    </row>
    <row r="1617" spans="1:12" x14ac:dyDescent="0.45">
      <c r="A1617" s="462"/>
      <c r="B1617" s="441"/>
      <c r="C1617" s="194">
        <v>4</v>
      </c>
      <c r="D1617" s="80"/>
      <c r="E1617" s="97"/>
      <c r="F1617" s="97"/>
      <c r="G1617" s="97"/>
      <c r="H1617" s="97"/>
      <c r="I1617" s="97"/>
      <c r="J1617" s="97"/>
      <c r="K1617" s="97"/>
      <c r="L1617" s="195"/>
    </row>
    <row r="1618" spans="1:12" x14ac:dyDescent="0.45">
      <c r="A1618" s="462"/>
      <c r="B1618" s="441"/>
      <c r="C1618" s="194">
        <v>5</v>
      </c>
      <c r="D1618" s="80"/>
      <c r="E1618" s="97"/>
      <c r="F1618" s="97"/>
      <c r="G1618" s="97"/>
      <c r="H1618" s="97"/>
      <c r="I1618" s="97"/>
      <c r="J1618" s="97"/>
      <c r="K1618" s="97"/>
      <c r="L1618" s="195"/>
    </row>
    <row r="1619" spans="1:12" x14ac:dyDescent="0.45">
      <c r="A1619" s="462"/>
      <c r="B1619" s="441"/>
      <c r="C1619" s="194">
        <v>6</v>
      </c>
      <c r="D1619" s="80"/>
      <c r="E1619" s="97"/>
      <c r="F1619" s="97"/>
      <c r="G1619" s="97"/>
      <c r="H1619" s="97"/>
      <c r="I1619" s="97"/>
      <c r="J1619" s="97"/>
      <c r="K1619" s="97"/>
      <c r="L1619" s="195"/>
    </row>
    <row r="1620" spans="1:12" x14ac:dyDescent="0.45">
      <c r="A1620" s="462"/>
      <c r="B1620" s="441"/>
      <c r="C1620" s="194">
        <v>7</v>
      </c>
      <c r="D1620" s="80"/>
      <c r="E1620" s="97"/>
      <c r="F1620" s="97"/>
      <c r="G1620" s="97"/>
      <c r="H1620" s="97"/>
      <c r="I1620" s="97"/>
      <c r="J1620" s="97"/>
      <c r="K1620" s="97"/>
      <c r="L1620" s="195"/>
    </row>
    <row r="1621" spans="1:12" x14ac:dyDescent="0.45">
      <c r="A1621" s="462"/>
      <c r="B1621" s="441"/>
      <c r="C1621" s="194">
        <v>8</v>
      </c>
      <c r="D1621" s="80"/>
      <c r="E1621" s="97"/>
      <c r="F1621" s="97"/>
      <c r="G1621" s="97"/>
      <c r="H1621" s="97"/>
      <c r="I1621" s="97"/>
      <c r="J1621" s="97"/>
      <c r="K1621" s="97"/>
      <c r="L1621" s="195"/>
    </row>
    <row r="1622" spans="1:12" x14ac:dyDescent="0.45">
      <c r="A1622" s="462"/>
      <c r="B1622" s="441"/>
      <c r="C1622" s="194">
        <v>9</v>
      </c>
      <c r="D1622" s="80"/>
      <c r="E1622" s="97"/>
      <c r="F1622" s="97"/>
      <c r="G1622" s="97"/>
      <c r="H1622" s="97"/>
      <c r="I1622" s="97"/>
      <c r="J1622" s="97"/>
      <c r="K1622" s="97"/>
      <c r="L1622" s="195"/>
    </row>
    <row r="1623" spans="1:12" x14ac:dyDescent="0.45">
      <c r="A1623" s="462"/>
      <c r="B1623" s="441"/>
      <c r="C1623" s="194">
        <v>10</v>
      </c>
      <c r="D1623" s="80"/>
      <c r="E1623" s="97"/>
      <c r="F1623" s="97"/>
      <c r="G1623" s="97"/>
      <c r="H1623" s="97"/>
      <c r="I1623" s="97"/>
      <c r="J1623" s="97"/>
      <c r="K1623" s="97"/>
      <c r="L1623" s="195"/>
    </row>
    <row r="1624" spans="1:12" x14ac:dyDescent="0.45">
      <c r="A1624" s="462"/>
      <c r="B1624" s="441"/>
      <c r="C1624" s="194">
        <v>11</v>
      </c>
      <c r="D1624" s="81"/>
      <c r="E1624" s="98"/>
      <c r="F1624" s="98"/>
      <c r="G1624" s="98"/>
      <c r="H1624" s="98"/>
      <c r="I1624" s="98"/>
      <c r="J1624" s="98"/>
      <c r="K1624" s="98"/>
      <c r="L1624" s="196"/>
    </row>
    <row r="1625" spans="1:12" ht="14.65" thickBot="1" x14ac:dyDescent="0.5">
      <c r="A1625" s="462"/>
      <c r="B1625" s="442"/>
      <c r="C1625" s="197">
        <v>12</v>
      </c>
      <c r="D1625" s="82"/>
      <c r="E1625" s="99"/>
      <c r="F1625" s="99"/>
      <c r="G1625" s="99"/>
      <c r="H1625" s="99"/>
      <c r="I1625" s="99"/>
      <c r="J1625" s="99"/>
      <c r="K1625" s="99"/>
      <c r="L1625" s="198"/>
    </row>
    <row r="1626" spans="1:12" x14ac:dyDescent="0.45">
      <c r="A1626" s="462"/>
      <c r="B1626" s="440">
        <v>12</v>
      </c>
      <c r="C1626" s="192">
        <v>1</v>
      </c>
      <c r="D1626" s="79"/>
      <c r="E1626" s="96"/>
      <c r="F1626" s="96"/>
      <c r="G1626" s="96"/>
      <c r="H1626" s="96"/>
      <c r="I1626" s="96"/>
      <c r="J1626" s="96"/>
      <c r="K1626" s="96"/>
      <c r="L1626" s="193"/>
    </row>
    <row r="1627" spans="1:12" x14ac:dyDescent="0.45">
      <c r="A1627" s="462"/>
      <c r="B1627" s="441"/>
      <c r="C1627" s="194">
        <v>2</v>
      </c>
      <c r="D1627" s="80"/>
      <c r="E1627" s="97"/>
      <c r="F1627" s="97"/>
      <c r="G1627" s="97"/>
      <c r="H1627" s="97"/>
      <c r="I1627" s="97"/>
      <c r="J1627" s="97"/>
      <c r="K1627" s="97"/>
      <c r="L1627" s="195"/>
    </row>
    <row r="1628" spans="1:12" x14ac:dyDescent="0.45">
      <c r="A1628" s="462"/>
      <c r="B1628" s="441"/>
      <c r="C1628" s="194">
        <v>3</v>
      </c>
      <c r="D1628" s="80"/>
      <c r="E1628" s="97"/>
      <c r="F1628" s="97"/>
      <c r="G1628" s="97"/>
      <c r="H1628" s="97"/>
      <c r="I1628" s="97"/>
      <c r="J1628" s="97"/>
      <c r="K1628" s="97"/>
      <c r="L1628" s="195"/>
    </row>
    <row r="1629" spans="1:12" x14ac:dyDescent="0.45">
      <c r="A1629" s="462"/>
      <c r="B1629" s="441"/>
      <c r="C1629" s="194">
        <v>4</v>
      </c>
      <c r="D1629" s="80"/>
      <c r="E1629" s="97"/>
      <c r="F1629" s="97"/>
      <c r="G1629" s="97"/>
      <c r="H1629" s="97"/>
      <c r="I1629" s="97"/>
      <c r="J1629" s="97"/>
      <c r="K1629" s="97"/>
      <c r="L1629" s="195"/>
    </row>
    <row r="1630" spans="1:12" x14ac:dyDescent="0.45">
      <c r="A1630" s="462"/>
      <c r="B1630" s="441"/>
      <c r="C1630" s="194">
        <v>5</v>
      </c>
      <c r="D1630" s="80"/>
      <c r="E1630" s="97"/>
      <c r="F1630" s="97"/>
      <c r="G1630" s="97"/>
      <c r="H1630" s="97"/>
      <c r="I1630" s="97"/>
      <c r="J1630" s="97"/>
      <c r="K1630" s="97"/>
      <c r="L1630" s="195"/>
    </row>
    <row r="1631" spans="1:12" x14ac:dyDescent="0.45">
      <c r="A1631" s="462"/>
      <c r="B1631" s="441"/>
      <c r="C1631" s="194">
        <v>6</v>
      </c>
      <c r="D1631" s="80"/>
      <c r="E1631" s="97"/>
      <c r="F1631" s="97"/>
      <c r="G1631" s="97"/>
      <c r="H1631" s="97"/>
      <c r="I1631" s="97"/>
      <c r="J1631" s="97"/>
      <c r="K1631" s="97"/>
      <c r="L1631" s="195"/>
    </row>
    <row r="1632" spans="1:12" x14ac:dyDescent="0.45">
      <c r="A1632" s="462"/>
      <c r="B1632" s="441"/>
      <c r="C1632" s="194">
        <v>7</v>
      </c>
      <c r="D1632" s="80"/>
      <c r="E1632" s="97"/>
      <c r="F1632" s="97"/>
      <c r="G1632" s="97"/>
      <c r="H1632" s="97"/>
      <c r="I1632" s="97"/>
      <c r="J1632" s="97"/>
      <c r="K1632" s="97"/>
      <c r="L1632" s="195"/>
    </row>
    <row r="1633" spans="1:14" x14ac:dyDescent="0.45">
      <c r="A1633" s="462"/>
      <c r="B1633" s="441"/>
      <c r="C1633" s="194">
        <v>8</v>
      </c>
      <c r="D1633" s="80"/>
      <c r="E1633" s="97"/>
      <c r="F1633" s="97"/>
      <c r="G1633" s="97"/>
      <c r="H1633" s="97"/>
      <c r="I1633" s="97"/>
      <c r="J1633" s="97"/>
      <c r="K1633" s="97"/>
      <c r="L1633" s="195"/>
    </row>
    <row r="1634" spans="1:14" x14ac:dyDescent="0.45">
      <c r="A1634" s="462"/>
      <c r="B1634" s="441"/>
      <c r="C1634" s="194">
        <v>9</v>
      </c>
      <c r="D1634" s="80"/>
      <c r="E1634" s="97"/>
      <c r="F1634" s="97"/>
      <c r="G1634" s="97"/>
      <c r="H1634" s="97"/>
      <c r="I1634" s="97"/>
      <c r="J1634" s="97"/>
      <c r="K1634" s="97"/>
      <c r="L1634" s="195"/>
    </row>
    <row r="1635" spans="1:14" x14ac:dyDescent="0.45">
      <c r="A1635" s="462"/>
      <c r="B1635" s="441"/>
      <c r="C1635" s="194">
        <v>10</v>
      </c>
      <c r="D1635" s="80"/>
      <c r="E1635" s="97"/>
      <c r="F1635" s="97"/>
      <c r="G1635" s="97"/>
      <c r="H1635" s="97"/>
      <c r="I1635" s="97"/>
      <c r="J1635" s="97"/>
      <c r="K1635" s="97"/>
      <c r="L1635" s="195"/>
    </row>
    <row r="1636" spans="1:14" x14ac:dyDescent="0.45">
      <c r="A1636" s="462"/>
      <c r="B1636" s="441"/>
      <c r="C1636" s="194">
        <v>11</v>
      </c>
      <c r="D1636" s="81"/>
      <c r="E1636" s="98"/>
      <c r="F1636" s="98"/>
      <c r="G1636" s="98"/>
      <c r="H1636" s="98"/>
      <c r="I1636" s="98"/>
      <c r="J1636" s="98"/>
      <c r="K1636" s="98"/>
      <c r="L1636" s="196"/>
    </row>
    <row r="1637" spans="1:14" ht="14.65" thickBot="1" x14ac:dyDescent="0.5">
      <c r="A1637" s="463"/>
      <c r="B1637" s="442"/>
      <c r="C1637" s="199">
        <v>12</v>
      </c>
      <c r="D1637" s="82"/>
      <c r="E1637" s="99"/>
      <c r="F1637" s="99"/>
      <c r="G1637" s="99"/>
      <c r="H1637" s="99"/>
      <c r="I1637" s="99"/>
      <c r="J1637" s="99"/>
      <c r="K1637" s="99"/>
      <c r="L1637" s="198"/>
    </row>
    <row r="1638" spans="1:14" x14ac:dyDescent="0.45">
      <c r="A1638" s="200"/>
      <c r="B1638" s="200"/>
      <c r="C1638" s="200"/>
      <c r="D1638" s="201"/>
      <c r="E1638" s="201"/>
      <c r="F1638" s="201"/>
      <c r="G1638" s="201"/>
      <c r="H1638" s="201"/>
      <c r="I1638" s="201"/>
      <c r="J1638" s="201"/>
      <c r="K1638" s="201"/>
      <c r="L1638" s="201"/>
    </row>
    <row r="1639" spans="1:14" s="91" customFormat="1" x14ac:dyDescent="0.45">
      <c r="A1639" s="202"/>
      <c r="B1639" s="202"/>
      <c r="C1639" s="202"/>
      <c r="D1639" s="203"/>
      <c r="E1639" s="203"/>
      <c r="F1639" s="203"/>
      <c r="G1639" s="203"/>
      <c r="H1639" s="203"/>
      <c r="I1639" s="203"/>
      <c r="J1639" s="203"/>
      <c r="K1639" s="203"/>
      <c r="L1639" s="203"/>
    </row>
    <row r="1640" spans="1:14" ht="14.65" thickBot="1" x14ac:dyDescent="0.5"/>
    <row r="1641" spans="1:14" ht="28.9" thickBot="1" x14ac:dyDescent="0.5">
      <c r="A1641" s="187" t="s">
        <v>76</v>
      </c>
      <c r="B1641" s="186">
        <v>12</v>
      </c>
      <c r="C1641" s="109"/>
      <c r="D1641" s="109"/>
    </row>
    <row r="1642" spans="1:14" x14ac:dyDescent="0.45">
      <c r="A1642" s="443" t="s">
        <v>27</v>
      </c>
      <c r="B1642" s="448">
        <f>Name12</f>
        <v>0</v>
      </c>
      <c r="C1642" s="449"/>
      <c r="D1642" s="450"/>
      <c r="I1642" s="204"/>
      <c r="J1642" s="204"/>
      <c r="K1642" s="204"/>
      <c r="L1642" s="204"/>
      <c r="M1642" s="204"/>
      <c r="N1642" s="204"/>
    </row>
    <row r="1643" spans="1:14" x14ac:dyDescent="0.45">
      <c r="A1643" s="444"/>
      <c r="B1643" s="448"/>
      <c r="C1643" s="449"/>
      <c r="D1643" s="450"/>
      <c r="I1643" s="204"/>
      <c r="J1643" s="204"/>
      <c r="K1643" s="204"/>
      <c r="L1643" s="204"/>
      <c r="M1643" s="204"/>
      <c r="N1643" s="204"/>
    </row>
    <row r="1644" spans="1:14" x14ac:dyDescent="0.45">
      <c r="A1644" s="445"/>
      <c r="B1644" s="388"/>
      <c r="C1644" s="451"/>
      <c r="D1644" s="452"/>
      <c r="I1644" s="204"/>
      <c r="J1644" s="204"/>
      <c r="K1644" s="204"/>
      <c r="L1644" s="204"/>
      <c r="M1644" s="204"/>
      <c r="N1644" s="204"/>
    </row>
    <row r="1645" spans="1:14" ht="14.45" customHeight="1" x14ac:dyDescent="0.45">
      <c r="A1645" s="444" t="s">
        <v>155</v>
      </c>
      <c r="B1645" s="453">
        <f>GapA12</f>
        <v>0</v>
      </c>
      <c r="C1645" s="454"/>
      <c r="D1645" s="455"/>
      <c r="I1645" s="204"/>
      <c r="J1645" s="204"/>
      <c r="K1645" s="204"/>
      <c r="L1645" s="204"/>
      <c r="M1645" s="204"/>
      <c r="N1645" s="204"/>
    </row>
    <row r="1646" spans="1:14" x14ac:dyDescent="0.45">
      <c r="A1646" s="444"/>
      <c r="B1646" s="448"/>
      <c r="C1646" s="449"/>
      <c r="D1646" s="450"/>
      <c r="I1646" s="204"/>
      <c r="J1646" s="204"/>
      <c r="K1646" s="204"/>
      <c r="L1646" s="204"/>
      <c r="M1646" s="204"/>
      <c r="N1646" s="204"/>
    </row>
    <row r="1647" spans="1:14" x14ac:dyDescent="0.45">
      <c r="A1647" s="445"/>
      <c r="B1647" s="388"/>
      <c r="C1647" s="451"/>
      <c r="D1647" s="452"/>
      <c r="I1647" s="204"/>
      <c r="J1647" s="204"/>
      <c r="K1647" s="204"/>
      <c r="L1647" s="204"/>
      <c r="M1647" s="204"/>
      <c r="N1647" s="204"/>
    </row>
    <row r="1648" spans="1:14" x14ac:dyDescent="0.45">
      <c r="A1648" s="444" t="s">
        <v>159</v>
      </c>
      <c r="B1648" s="453">
        <f>Objective12</f>
        <v>0</v>
      </c>
      <c r="C1648" s="454"/>
      <c r="D1648" s="455"/>
      <c r="I1648" s="204"/>
      <c r="J1648" s="204"/>
      <c r="K1648" s="204"/>
      <c r="L1648" s="204"/>
      <c r="M1648" s="204"/>
      <c r="N1648" s="204"/>
    </row>
    <row r="1649" spans="1:14" x14ac:dyDescent="0.45">
      <c r="A1649" s="444"/>
      <c r="B1649" s="448"/>
      <c r="C1649" s="449"/>
      <c r="D1649" s="450"/>
      <c r="I1649" s="204"/>
      <c r="J1649" s="204"/>
      <c r="K1649" s="204"/>
      <c r="L1649" s="204"/>
      <c r="M1649" s="204"/>
      <c r="N1649" s="204"/>
    </row>
    <row r="1650" spans="1:14" x14ac:dyDescent="0.45">
      <c r="A1650" s="445"/>
      <c r="B1650" s="388"/>
      <c r="C1650" s="451"/>
      <c r="D1650" s="452"/>
      <c r="I1650" s="204"/>
      <c r="J1650" s="204"/>
      <c r="K1650" s="204"/>
      <c r="L1650" s="204"/>
      <c r="M1650" s="204"/>
      <c r="N1650" s="204"/>
    </row>
    <row r="1651" spans="1:14" ht="14.45" customHeight="1" x14ac:dyDescent="0.45">
      <c r="A1651" s="446" t="s">
        <v>166</v>
      </c>
      <c r="B1651" s="454">
        <f>Capacity12</f>
        <v>0</v>
      </c>
      <c r="C1651" s="454"/>
      <c r="D1651" s="455"/>
      <c r="I1651" s="204"/>
      <c r="J1651" s="204"/>
      <c r="K1651" s="204"/>
      <c r="L1651" s="204"/>
      <c r="M1651" s="204"/>
      <c r="N1651" s="204"/>
    </row>
    <row r="1652" spans="1:14" x14ac:dyDescent="0.45">
      <c r="A1652" s="447"/>
      <c r="B1652" s="449"/>
      <c r="C1652" s="449"/>
      <c r="D1652" s="450"/>
      <c r="I1652" s="204"/>
      <c r="J1652" s="204"/>
      <c r="K1652" s="204"/>
      <c r="L1652" s="204"/>
      <c r="M1652" s="204"/>
      <c r="N1652" s="204"/>
    </row>
    <row r="1653" spans="1:14" ht="14.65" thickBot="1" x14ac:dyDescent="0.5">
      <c r="A1653" s="447"/>
      <c r="B1653" s="456"/>
      <c r="C1653" s="456"/>
      <c r="D1653" s="457"/>
      <c r="I1653" s="204"/>
      <c r="J1653" s="204"/>
      <c r="K1653" s="204"/>
      <c r="L1653" s="204"/>
      <c r="M1653" s="204"/>
      <c r="N1653" s="204"/>
    </row>
    <row r="1654" spans="1:14" x14ac:dyDescent="0.45">
      <c r="A1654" s="188"/>
    </row>
    <row r="1655" spans="1:14" ht="14.45" customHeight="1" thickBot="1" x14ac:dyDescent="0.5">
      <c r="A1655" s="90"/>
      <c r="B1655" s="90"/>
      <c r="C1655" s="90"/>
      <c r="D1655" s="90"/>
      <c r="E1655" s="90"/>
      <c r="F1655" s="90"/>
      <c r="G1655" s="90"/>
      <c r="H1655" s="90"/>
      <c r="I1655" s="90"/>
      <c r="J1655" s="90"/>
      <c r="K1655" s="90"/>
      <c r="L1655" s="90"/>
      <c r="M1655" s="90"/>
      <c r="N1655" s="90"/>
    </row>
    <row r="1656" spans="1:14" ht="21.75" customHeight="1" x14ac:dyDescent="0.45">
      <c r="A1656" s="458" t="s">
        <v>135</v>
      </c>
      <c r="B1656" s="459"/>
      <c r="C1656" s="459"/>
      <c r="D1656" s="459"/>
      <c r="E1656" s="459"/>
      <c r="F1656" s="459"/>
      <c r="G1656" s="459"/>
      <c r="H1656" s="459"/>
      <c r="I1656" s="459"/>
      <c r="J1656" s="459"/>
      <c r="K1656" s="459"/>
      <c r="L1656" s="460"/>
    </row>
    <row r="1657" spans="1:14" ht="29" customHeight="1" thickBot="1" x14ac:dyDescent="0.5">
      <c r="A1657" s="93" t="s">
        <v>74</v>
      </c>
      <c r="B1657" s="94" t="s">
        <v>28</v>
      </c>
      <c r="C1657" s="95" t="s">
        <v>320</v>
      </c>
      <c r="D1657" s="95" t="s">
        <v>127</v>
      </c>
      <c r="E1657" s="114" t="s">
        <v>90</v>
      </c>
      <c r="F1657" s="95" t="s">
        <v>175</v>
      </c>
      <c r="G1657" s="95" t="s">
        <v>176</v>
      </c>
      <c r="H1657" s="95" t="s">
        <v>156</v>
      </c>
      <c r="I1657" s="95" t="s">
        <v>157</v>
      </c>
      <c r="J1657" s="189" t="s">
        <v>321</v>
      </c>
      <c r="K1657" s="190" t="s">
        <v>29</v>
      </c>
      <c r="L1657" s="191" t="s">
        <v>322</v>
      </c>
    </row>
    <row r="1658" spans="1:14" x14ac:dyDescent="0.45">
      <c r="A1658" s="461">
        <v>1</v>
      </c>
      <c r="B1658" s="440">
        <v>1</v>
      </c>
      <c r="C1658" s="192">
        <v>1</v>
      </c>
      <c r="D1658" s="79"/>
      <c r="E1658" s="96"/>
      <c r="F1658" s="96"/>
      <c r="G1658" s="96"/>
      <c r="H1658" s="96"/>
      <c r="I1658" s="96"/>
      <c r="J1658" s="96"/>
      <c r="K1658" s="96"/>
      <c r="L1658" s="193"/>
    </row>
    <row r="1659" spans="1:14" x14ac:dyDescent="0.45">
      <c r="A1659" s="462"/>
      <c r="B1659" s="441"/>
      <c r="C1659" s="194">
        <v>2</v>
      </c>
      <c r="D1659" s="80"/>
      <c r="E1659" s="97"/>
      <c r="F1659" s="97"/>
      <c r="G1659" s="97"/>
      <c r="H1659" s="97"/>
      <c r="I1659" s="97"/>
      <c r="J1659" s="97"/>
      <c r="K1659" s="97"/>
      <c r="L1659" s="195"/>
    </row>
    <row r="1660" spans="1:14" x14ac:dyDescent="0.45">
      <c r="A1660" s="462"/>
      <c r="B1660" s="441"/>
      <c r="C1660" s="194">
        <v>3</v>
      </c>
      <c r="D1660" s="80"/>
      <c r="E1660" s="97"/>
      <c r="F1660" s="97"/>
      <c r="G1660" s="97"/>
      <c r="H1660" s="97"/>
      <c r="I1660" s="97"/>
      <c r="J1660" s="97"/>
      <c r="K1660" s="97"/>
      <c r="L1660" s="195"/>
    </row>
    <row r="1661" spans="1:14" x14ac:dyDescent="0.45">
      <c r="A1661" s="462"/>
      <c r="B1661" s="441"/>
      <c r="C1661" s="194">
        <v>4</v>
      </c>
      <c r="D1661" s="80"/>
      <c r="E1661" s="97"/>
      <c r="F1661" s="97"/>
      <c r="G1661" s="97"/>
      <c r="H1661" s="97"/>
      <c r="I1661" s="97"/>
      <c r="J1661" s="97"/>
      <c r="K1661" s="97"/>
      <c r="L1661" s="195"/>
    </row>
    <row r="1662" spans="1:14" x14ac:dyDescent="0.45">
      <c r="A1662" s="462"/>
      <c r="B1662" s="441"/>
      <c r="C1662" s="194">
        <v>5</v>
      </c>
      <c r="D1662" s="80"/>
      <c r="E1662" s="97"/>
      <c r="F1662" s="97"/>
      <c r="G1662" s="97"/>
      <c r="H1662" s="97"/>
      <c r="I1662" s="97"/>
      <c r="J1662" s="97"/>
      <c r="K1662" s="97"/>
      <c r="L1662" s="195"/>
    </row>
    <row r="1663" spans="1:14" x14ac:dyDescent="0.45">
      <c r="A1663" s="462"/>
      <c r="B1663" s="441"/>
      <c r="C1663" s="194">
        <v>6</v>
      </c>
      <c r="D1663" s="80"/>
      <c r="E1663" s="97"/>
      <c r="F1663" s="97"/>
      <c r="G1663" s="97"/>
      <c r="H1663" s="97"/>
      <c r="I1663" s="97"/>
      <c r="J1663" s="97"/>
      <c r="K1663" s="97"/>
      <c r="L1663" s="195"/>
    </row>
    <row r="1664" spans="1:14" x14ac:dyDescent="0.45">
      <c r="A1664" s="462"/>
      <c r="B1664" s="441"/>
      <c r="C1664" s="194">
        <v>7</v>
      </c>
      <c r="D1664" s="80"/>
      <c r="E1664" s="97"/>
      <c r="F1664" s="97"/>
      <c r="G1664" s="97"/>
      <c r="H1664" s="97"/>
      <c r="I1664" s="97"/>
      <c r="J1664" s="97"/>
      <c r="K1664" s="97"/>
      <c r="L1664" s="195"/>
    </row>
    <row r="1665" spans="1:14" x14ac:dyDescent="0.45">
      <c r="A1665" s="462"/>
      <c r="B1665" s="441"/>
      <c r="C1665" s="194">
        <v>8</v>
      </c>
      <c r="D1665" s="80"/>
      <c r="E1665" s="97"/>
      <c r="F1665" s="97"/>
      <c r="G1665" s="97"/>
      <c r="H1665" s="97"/>
      <c r="I1665" s="97"/>
      <c r="J1665" s="97"/>
      <c r="K1665" s="97"/>
      <c r="L1665" s="195"/>
    </row>
    <row r="1666" spans="1:14" x14ac:dyDescent="0.45">
      <c r="A1666" s="462"/>
      <c r="B1666" s="441"/>
      <c r="C1666" s="194">
        <v>9</v>
      </c>
      <c r="D1666" s="80"/>
      <c r="E1666" s="97"/>
      <c r="F1666" s="97"/>
      <c r="G1666" s="97"/>
      <c r="H1666" s="97"/>
      <c r="I1666" s="97"/>
      <c r="J1666" s="97"/>
      <c r="K1666" s="97"/>
      <c r="L1666" s="195"/>
    </row>
    <row r="1667" spans="1:14" x14ac:dyDescent="0.45">
      <c r="A1667" s="462"/>
      <c r="B1667" s="441"/>
      <c r="C1667" s="194">
        <v>10</v>
      </c>
      <c r="D1667" s="80"/>
      <c r="E1667" s="97"/>
      <c r="F1667" s="97"/>
      <c r="G1667" s="97"/>
      <c r="H1667" s="97"/>
      <c r="I1667" s="97"/>
      <c r="J1667" s="97"/>
      <c r="K1667" s="97"/>
      <c r="L1667" s="195"/>
    </row>
    <row r="1668" spans="1:14" x14ac:dyDescent="0.45">
      <c r="A1668" s="462"/>
      <c r="B1668" s="441"/>
      <c r="C1668" s="194">
        <v>11</v>
      </c>
      <c r="D1668" s="81"/>
      <c r="E1668" s="98"/>
      <c r="F1668" s="98"/>
      <c r="G1668" s="98"/>
      <c r="H1668" s="98"/>
      <c r="I1668" s="98"/>
      <c r="J1668" s="98"/>
      <c r="K1668" s="98"/>
      <c r="L1668" s="196"/>
    </row>
    <row r="1669" spans="1:14" s="90" customFormat="1" ht="14.65" thickBot="1" x14ac:dyDescent="0.5">
      <c r="A1669" s="462"/>
      <c r="B1669" s="442"/>
      <c r="C1669" s="197">
        <v>12</v>
      </c>
      <c r="D1669" s="82"/>
      <c r="E1669" s="99"/>
      <c r="F1669" s="99"/>
      <c r="G1669" s="99"/>
      <c r="H1669" s="99"/>
      <c r="I1669" s="99"/>
      <c r="J1669" s="99"/>
      <c r="K1669" s="99"/>
      <c r="L1669" s="198"/>
      <c r="M1669" s="61"/>
      <c r="N1669" s="61"/>
    </row>
    <row r="1670" spans="1:14" x14ac:dyDescent="0.45">
      <c r="A1670" s="462"/>
      <c r="B1670" s="440">
        <v>2</v>
      </c>
      <c r="C1670" s="192">
        <v>1</v>
      </c>
      <c r="D1670" s="79"/>
      <c r="E1670" s="96"/>
      <c r="F1670" s="96"/>
      <c r="G1670" s="96"/>
      <c r="H1670" s="96"/>
      <c r="I1670" s="96"/>
      <c r="J1670" s="96"/>
      <c r="K1670" s="96"/>
      <c r="L1670" s="193"/>
    </row>
    <row r="1671" spans="1:14" x14ac:dyDescent="0.45">
      <c r="A1671" s="462"/>
      <c r="B1671" s="441"/>
      <c r="C1671" s="194">
        <v>2</v>
      </c>
      <c r="D1671" s="80"/>
      <c r="E1671" s="97"/>
      <c r="F1671" s="97"/>
      <c r="G1671" s="97"/>
      <c r="H1671" s="97"/>
      <c r="I1671" s="97"/>
      <c r="J1671" s="97"/>
      <c r="K1671" s="97"/>
      <c r="L1671" s="195"/>
    </row>
    <row r="1672" spans="1:14" x14ac:dyDescent="0.45">
      <c r="A1672" s="462"/>
      <c r="B1672" s="441"/>
      <c r="C1672" s="194">
        <v>3</v>
      </c>
      <c r="D1672" s="80"/>
      <c r="E1672" s="97"/>
      <c r="F1672" s="97"/>
      <c r="G1672" s="97"/>
      <c r="H1672" s="97"/>
      <c r="I1672" s="97"/>
      <c r="J1672" s="97"/>
      <c r="K1672" s="97"/>
      <c r="L1672" s="195"/>
    </row>
    <row r="1673" spans="1:14" x14ac:dyDescent="0.45">
      <c r="A1673" s="462"/>
      <c r="B1673" s="441"/>
      <c r="C1673" s="194">
        <v>4</v>
      </c>
      <c r="D1673" s="80"/>
      <c r="E1673" s="97"/>
      <c r="F1673" s="97"/>
      <c r="G1673" s="97"/>
      <c r="H1673" s="97"/>
      <c r="I1673" s="97"/>
      <c r="J1673" s="97"/>
      <c r="K1673" s="97"/>
      <c r="L1673" s="195"/>
    </row>
    <row r="1674" spans="1:14" x14ac:dyDescent="0.45">
      <c r="A1674" s="462"/>
      <c r="B1674" s="441"/>
      <c r="C1674" s="194">
        <v>5</v>
      </c>
      <c r="D1674" s="80"/>
      <c r="E1674" s="97"/>
      <c r="F1674" s="97"/>
      <c r="G1674" s="97"/>
      <c r="H1674" s="97"/>
      <c r="I1674" s="97"/>
      <c r="J1674" s="97"/>
      <c r="K1674" s="97"/>
      <c r="L1674" s="195"/>
    </row>
    <row r="1675" spans="1:14" x14ac:dyDescent="0.45">
      <c r="A1675" s="462"/>
      <c r="B1675" s="441"/>
      <c r="C1675" s="194">
        <v>6</v>
      </c>
      <c r="D1675" s="80"/>
      <c r="E1675" s="97"/>
      <c r="F1675" s="97"/>
      <c r="G1675" s="97"/>
      <c r="H1675" s="97"/>
      <c r="I1675" s="97"/>
      <c r="J1675" s="97"/>
      <c r="K1675" s="97"/>
      <c r="L1675" s="195"/>
    </row>
    <row r="1676" spans="1:14" x14ac:dyDescent="0.45">
      <c r="A1676" s="462"/>
      <c r="B1676" s="441"/>
      <c r="C1676" s="194">
        <v>7</v>
      </c>
      <c r="D1676" s="80"/>
      <c r="E1676" s="97"/>
      <c r="F1676" s="97"/>
      <c r="G1676" s="97"/>
      <c r="H1676" s="97"/>
      <c r="I1676" s="97"/>
      <c r="J1676" s="97"/>
      <c r="K1676" s="97"/>
      <c r="L1676" s="195"/>
    </row>
    <row r="1677" spans="1:14" x14ac:dyDescent="0.45">
      <c r="A1677" s="462"/>
      <c r="B1677" s="441"/>
      <c r="C1677" s="194">
        <v>8</v>
      </c>
      <c r="D1677" s="80"/>
      <c r="E1677" s="97"/>
      <c r="F1677" s="97"/>
      <c r="G1677" s="97"/>
      <c r="H1677" s="97"/>
      <c r="I1677" s="97"/>
      <c r="J1677" s="97"/>
      <c r="K1677" s="97"/>
      <c r="L1677" s="195"/>
    </row>
    <row r="1678" spans="1:14" x14ac:dyDescent="0.45">
      <c r="A1678" s="462"/>
      <c r="B1678" s="441"/>
      <c r="C1678" s="194">
        <v>9</v>
      </c>
      <c r="D1678" s="80"/>
      <c r="E1678" s="97"/>
      <c r="F1678" s="97"/>
      <c r="G1678" s="97"/>
      <c r="H1678" s="97"/>
      <c r="I1678" s="97"/>
      <c r="J1678" s="97"/>
      <c r="K1678" s="97"/>
      <c r="L1678" s="195"/>
    </row>
    <row r="1679" spans="1:14" x14ac:dyDescent="0.45">
      <c r="A1679" s="462"/>
      <c r="B1679" s="441"/>
      <c r="C1679" s="194">
        <v>10</v>
      </c>
      <c r="D1679" s="80"/>
      <c r="E1679" s="97"/>
      <c r="F1679" s="97"/>
      <c r="G1679" s="97"/>
      <c r="H1679" s="97"/>
      <c r="I1679" s="97"/>
      <c r="J1679" s="97"/>
      <c r="K1679" s="97"/>
      <c r="L1679" s="195"/>
    </row>
    <row r="1680" spans="1:14" x14ac:dyDescent="0.45">
      <c r="A1680" s="462"/>
      <c r="B1680" s="441"/>
      <c r="C1680" s="194">
        <v>11</v>
      </c>
      <c r="D1680" s="81"/>
      <c r="E1680" s="98"/>
      <c r="F1680" s="98"/>
      <c r="G1680" s="98"/>
      <c r="H1680" s="98"/>
      <c r="I1680" s="98"/>
      <c r="J1680" s="98"/>
      <c r="K1680" s="98"/>
      <c r="L1680" s="196"/>
    </row>
    <row r="1681" spans="1:12" ht="14.65" thickBot="1" x14ac:dyDescent="0.5">
      <c r="A1681" s="462"/>
      <c r="B1681" s="442"/>
      <c r="C1681" s="197">
        <v>12</v>
      </c>
      <c r="D1681" s="82"/>
      <c r="E1681" s="99"/>
      <c r="F1681" s="99"/>
      <c r="G1681" s="99"/>
      <c r="H1681" s="99"/>
      <c r="I1681" s="99"/>
      <c r="J1681" s="99"/>
      <c r="K1681" s="99"/>
      <c r="L1681" s="198"/>
    </row>
    <row r="1682" spans="1:12" x14ac:dyDescent="0.45">
      <c r="A1682" s="462"/>
      <c r="B1682" s="440">
        <v>3</v>
      </c>
      <c r="C1682" s="192">
        <v>1</v>
      </c>
      <c r="D1682" s="79"/>
      <c r="E1682" s="96"/>
      <c r="F1682" s="96"/>
      <c r="G1682" s="96"/>
      <c r="H1682" s="96"/>
      <c r="I1682" s="96"/>
      <c r="J1682" s="96"/>
      <c r="K1682" s="96"/>
      <c r="L1682" s="193"/>
    </row>
    <row r="1683" spans="1:12" x14ac:dyDescent="0.45">
      <c r="A1683" s="462"/>
      <c r="B1683" s="441"/>
      <c r="C1683" s="194">
        <v>2</v>
      </c>
      <c r="D1683" s="80"/>
      <c r="E1683" s="97"/>
      <c r="F1683" s="97"/>
      <c r="G1683" s="97"/>
      <c r="H1683" s="97"/>
      <c r="I1683" s="97"/>
      <c r="J1683" s="97"/>
      <c r="K1683" s="97"/>
      <c r="L1683" s="195"/>
    </row>
    <row r="1684" spans="1:12" x14ac:dyDescent="0.45">
      <c r="A1684" s="462"/>
      <c r="B1684" s="441"/>
      <c r="C1684" s="194">
        <v>3</v>
      </c>
      <c r="D1684" s="80"/>
      <c r="E1684" s="97"/>
      <c r="F1684" s="97"/>
      <c r="G1684" s="97"/>
      <c r="H1684" s="97"/>
      <c r="I1684" s="97"/>
      <c r="J1684" s="97"/>
      <c r="K1684" s="97"/>
      <c r="L1684" s="195"/>
    </row>
    <row r="1685" spans="1:12" x14ac:dyDescent="0.45">
      <c r="A1685" s="462"/>
      <c r="B1685" s="441"/>
      <c r="C1685" s="194">
        <v>4</v>
      </c>
      <c r="D1685" s="80"/>
      <c r="E1685" s="97"/>
      <c r="F1685" s="97"/>
      <c r="G1685" s="97"/>
      <c r="H1685" s="97"/>
      <c r="I1685" s="97"/>
      <c r="J1685" s="97"/>
      <c r="K1685" s="97"/>
      <c r="L1685" s="195"/>
    </row>
    <row r="1686" spans="1:12" x14ac:dyDescent="0.45">
      <c r="A1686" s="462"/>
      <c r="B1686" s="441"/>
      <c r="C1686" s="194">
        <v>5</v>
      </c>
      <c r="D1686" s="80"/>
      <c r="E1686" s="97"/>
      <c r="F1686" s="97"/>
      <c r="G1686" s="97"/>
      <c r="H1686" s="97"/>
      <c r="I1686" s="97"/>
      <c r="J1686" s="97"/>
      <c r="K1686" s="97"/>
      <c r="L1686" s="195"/>
    </row>
    <row r="1687" spans="1:12" x14ac:dyDescent="0.45">
      <c r="A1687" s="462"/>
      <c r="B1687" s="441"/>
      <c r="C1687" s="194">
        <v>6</v>
      </c>
      <c r="D1687" s="80"/>
      <c r="E1687" s="97"/>
      <c r="F1687" s="97"/>
      <c r="G1687" s="97"/>
      <c r="H1687" s="97"/>
      <c r="I1687" s="97"/>
      <c r="J1687" s="97"/>
      <c r="K1687" s="97"/>
      <c r="L1687" s="195"/>
    </row>
    <row r="1688" spans="1:12" x14ac:dyDescent="0.45">
      <c r="A1688" s="462"/>
      <c r="B1688" s="441"/>
      <c r="C1688" s="194">
        <v>7</v>
      </c>
      <c r="D1688" s="80"/>
      <c r="E1688" s="97"/>
      <c r="F1688" s="97"/>
      <c r="G1688" s="97"/>
      <c r="H1688" s="97"/>
      <c r="I1688" s="97"/>
      <c r="J1688" s="97"/>
      <c r="K1688" s="97"/>
      <c r="L1688" s="195"/>
    </row>
    <row r="1689" spans="1:12" x14ac:dyDescent="0.45">
      <c r="A1689" s="462"/>
      <c r="B1689" s="441"/>
      <c r="C1689" s="194">
        <v>8</v>
      </c>
      <c r="D1689" s="80"/>
      <c r="E1689" s="97"/>
      <c r="F1689" s="97"/>
      <c r="G1689" s="97"/>
      <c r="H1689" s="97"/>
      <c r="I1689" s="97"/>
      <c r="J1689" s="97"/>
      <c r="K1689" s="97"/>
      <c r="L1689" s="195"/>
    </row>
    <row r="1690" spans="1:12" x14ac:dyDescent="0.45">
      <c r="A1690" s="462"/>
      <c r="B1690" s="441"/>
      <c r="C1690" s="194">
        <v>9</v>
      </c>
      <c r="D1690" s="80"/>
      <c r="E1690" s="97"/>
      <c r="F1690" s="97"/>
      <c r="G1690" s="97"/>
      <c r="H1690" s="97"/>
      <c r="I1690" s="97"/>
      <c r="J1690" s="97"/>
      <c r="K1690" s="97"/>
      <c r="L1690" s="195"/>
    </row>
    <row r="1691" spans="1:12" x14ac:dyDescent="0.45">
      <c r="A1691" s="462"/>
      <c r="B1691" s="441"/>
      <c r="C1691" s="194">
        <v>10</v>
      </c>
      <c r="D1691" s="80"/>
      <c r="E1691" s="97"/>
      <c r="F1691" s="97"/>
      <c r="G1691" s="97"/>
      <c r="H1691" s="97"/>
      <c r="I1691" s="97"/>
      <c r="J1691" s="97"/>
      <c r="K1691" s="97"/>
      <c r="L1691" s="195"/>
    </row>
    <row r="1692" spans="1:12" x14ac:dyDescent="0.45">
      <c r="A1692" s="462"/>
      <c r="B1692" s="441"/>
      <c r="C1692" s="194">
        <v>11</v>
      </c>
      <c r="D1692" s="81"/>
      <c r="E1692" s="98"/>
      <c r="F1692" s="98"/>
      <c r="G1692" s="98"/>
      <c r="H1692" s="98"/>
      <c r="I1692" s="98"/>
      <c r="J1692" s="98"/>
      <c r="K1692" s="98"/>
      <c r="L1692" s="196"/>
    </row>
    <row r="1693" spans="1:12" ht="14.65" thickBot="1" x14ac:dyDescent="0.5">
      <c r="A1693" s="462"/>
      <c r="B1693" s="442"/>
      <c r="C1693" s="197">
        <v>12</v>
      </c>
      <c r="D1693" s="82"/>
      <c r="E1693" s="99"/>
      <c r="F1693" s="99"/>
      <c r="G1693" s="99"/>
      <c r="H1693" s="99"/>
      <c r="I1693" s="99"/>
      <c r="J1693" s="99"/>
      <c r="K1693" s="99"/>
      <c r="L1693" s="198"/>
    </row>
    <row r="1694" spans="1:12" x14ac:dyDescent="0.45">
      <c r="A1694" s="462"/>
      <c r="B1694" s="440">
        <v>4</v>
      </c>
      <c r="C1694" s="192">
        <v>1</v>
      </c>
      <c r="D1694" s="79"/>
      <c r="E1694" s="96"/>
      <c r="F1694" s="96"/>
      <c r="G1694" s="96"/>
      <c r="H1694" s="96"/>
      <c r="I1694" s="96"/>
      <c r="J1694" s="96"/>
      <c r="K1694" s="96"/>
      <c r="L1694" s="193"/>
    </row>
    <row r="1695" spans="1:12" x14ac:dyDescent="0.45">
      <c r="A1695" s="462"/>
      <c r="B1695" s="441"/>
      <c r="C1695" s="194">
        <v>2</v>
      </c>
      <c r="D1695" s="80"/>
      <c r="E1695" s="97"/>
      <c r="F1695" s="97"/>
      <c r="G1695" s="97"/>
      <c r="H1695" s="97"/>
      <c r="I1695" s="97"/>
      <c r="J1695" s="97"/>
      <c r="K1695" s="97"/>
      <c r="L1695" s="195"/>
    </row>
    <row r="1696" spans="1:12" x14ac:dyDescent="0.45">
      <c r="A1696" s="462"/>
      <c r="B1696" s="441"/>
      <c r="C1696" s="194">
        <v>3</v>
      </c>
      <c r="D1696" s="80"/>
      <c r="E1696" s="97"/>
      <c r="F1696" s="97"/>
      <c r="G1696" s="97"/>
      <c r="H1696" s="97"/>
      <c r="I1696" s="97"/>
      <c r="J1696" s="97"/>
      <c r="K1696" s="97"/>
      <c r="L1696" s="195"/>
    </row>
    <row r="1697" spans="1:12" x14ac:dyDescent="0.45">
      <c r="A1697" s="462"/>
      <c r="B1697" s="441"/>
      <c r="C1697" s="194">
        <v>4</v>
      </c>
      <c r="D1697" s="80"/>
      <c r="E1697" s="97"/>
      <c r="F1697" s="97"/>
      <c r="G1697" s="97"/>
      <c r="H1697" s="97"/>
      <c r="I1697" s="97"/>
      <c r="J1697" s="97"/>
      <c r="K1697" s="97"/>
      <c r="L1697" s="195"/>
    </row>
    <row r="1698" spans="1:12" x14ac:dyDescent="0.45">
      <c r="A1698" s="462"/>
      <c r="B1698" s="441"/>
      <c r="C1698" s="194">
        <v>5</v>
      </c>
      <c r="D1698" s="80"/>
      <c r="E1698" s="97"/>
      <c r="F1698" s="97"/>
      <c r="G1698" s="97"/>
      <c r="H1698" s="97"/>
      <c r="I1698" s="97"/>
      <c r="J1698" s="97"/>
      <c r="K1698" s="97"/>
      <c r="L1698" s="195"/>
    </row>
    <row r="1699" spans="1:12" x14ac:dyDescent="0.45">
      <c r="A1699" s="462"/>
      <c r="B1699" s="441"/>
      <c r="C1699" s="194">
        <v>6</v>
      </c>
      <c r="D1699" s="80"/>
      <c r="E1699" s="97"/>
      <c r="F1699" s="97"/>
      <c r="G1699" s="97"/>
      <c r="H1699" s="97"/>
      <c r="I1699" s="97"/>
      <c r="J1699" s="97"/>
      <c r="K1699" s="97"/>
      <c r="L1699" s="195"/>
    </row>
    <row r="1700" spans="1:12" x14ac:dyDescent="0.45">
      <c r="A1700" s="462"/>
      <c r="B1700" s="441"/>
      <c r="C1700" s="194">
        <v>7</v>
      </c>
      <c r="D1700" s="80"/>
      <c r="E1700" s="97"/>
      <c r="F1700" s="97"/>
      <c r="G1700" s="97"/>
      <c r="H1700" s="97"/>
      <c r="I1700" s="97"/>
      <c r="J1700" s="97"/>
      <c r="K1700" s="97"/>
      <c r="L1700" s="195"/>
    </row>
    <row r="1701" spans="1:12" x14ac:dyDescent="0.45">
      <c r="A1701" s="462"/>
      <c r="B1701" s="441"/>
      <c r="C1701" s="194">
        <v>8</v>
      </c>
      <c r="D1701" s="80"/>
      <c r="E1701" s="97"/>
      <c r="F1701" s="97"/>
      <c r="G1701" s="97"/>
      <c r="H1701" s="97"/>
      <c r="I1701" s="97"/>
      <c r="J1701" s="97"/>
      <c r="K1701" s="97"/>
      <c r="L1701" s="195"/>
    </row>
    <row r="1702" spans="1:12" x14ac:dyDescent="0.45">
      <c r="A1702" s="462"/>
      <c r="B1702" s="441"/>
      <c r="C1702" s="194">
        <v>9</v>
      </c>
      <c r="D1702" s="80"/>
      <c r="E1702" s="97"/>
      <c r="F1702" s="97"/>
      <c r="G1702" s="97"/>
      <c r="H1702" s="97"/>
      <c r="I1702" s="97"/>
      <c r="J1702" s="97"/>
      <c r="K1702" s="97"/>
      <c r="L1702" s="195"/>
    </row>
    <row r="1703" spans="1:12" x14ac:dyDescent="0.45">
      <c r="A1703" s="462"/>
      <c r="B1703" s="441"/>
      <c r="C1703" s="194">
        <v>10</v>
      </c>
      <c r="D1703" s="80"/>
      <c r="E1703" s="97"/>
      <c r="F1703" s="97"/>
      <c r="G1703" s="97"/>
      <c r="H1703" s="97"/>
      <c r="I1703" s="97"/>
      <c r="J1703" s="97"/>
      <c r="K1703" s="97"/>
      <c r="L1703" s="195"/>
    </row>
    <row r="1704" spans="1:12" x14ac:dyDescent="0.45">
      <c r="A1704" s="462"/>
      <c r="B1704" s="441"/>
      <c r="C1704" s="194">
        <v>11</v>
      </c>
      <c r="D1704" s="81"/>
      <c r="E1704" s="98"/>
      <c r="F1704" s="98"/>
      <c r="G1704" s="98"/>
      <c r="H1704" s="98"/>
      <c r="I1704" s="98"/>
      <c r="J1704" s="98"/>
      <c r="K1704" s="98"/>
      <c r="L1704" s="196"/>
    </row>
    <row r="1705" spans="1:12" ht="14.65" thickBot="1" x14ac:dyDescent="0.5">
      <c r="A1705" s="463"/>
      <c r="B1705" s="442"/>
      <c r="C1705" s="197">
        <v>12</v>
      </c>
      <c r="D1705" s="82"/>
      <c r="E1705" s="99"/>
      <c r="F1705" s="99"/>
      <c r="G1705" s="99"/>
      <c r="H1705" s="99"/>
      <c r="I1705" s="99"/>
      <c r="J1705" s="99"/>
      <c r="K1705" s="99"/>
      <c r="L1705" s="198"/>
    </row>
    <row r="1706" spans="1:12" x14ac:dyDescent="0.45">
      <c r="A1706" s="461">
        <v>2</v>
      </c>
      <c r="B1706" s="440">
        <v>5</v>
      </c>
      <c r="C1706" s="192">
        <v>1</v>
      </c>
      <c r="D1706" s="79"/>
      <c r="E1706" s="96"/>
      <c r="F1706" s="96"/>
      <c r="G1706" s="96"/>
      <c r="H1706" s="96"/>
      <c r="I1706" s="96"/>
      <c r="J1706" s="96"/>
      <c r="K1706" s="96"/>
      <c r="L1706" s="193"/>
    </row>
    <row r="1707" spans="1:12" x14ac:dyDescent="0.45">
      <c r="A1707" s="462"/>
      <c r="B1707" s="441"/>
      <c r="C1707" s="194">
        <v>2</v>
      </c>
      <c r="D1707" s="80"/>
      <c r="E1707" s="97"/>
      <c r="F1707" s="97"/>
      <c r="G1707" s="97"/>
      <c r="H1707" s="97"/>
      <c r="I1707" s="97"/>
      <c r="J1707" s="97"/>
      <c r="K1707" s="97"/>
      <c r="L1707" s="195"/>
    </row>
    <row r="1708" spans="1:12" x14ac:dyDescent="0.45">
      <c r="A1708" s="462"/>
      <c r="B1708" s="441"/>
      <c r="C1708" s="194">
        <v>3</v>
      </c>
      <c r="D1708" s="80"/>
      <c r="E1708" s="97"/>
      <c r="F1708" s="97"/>
      <c r="G1708" s="97"/>
      <c r="H1708" s="97"/>
      <c r="I1708" s="97"/>
      <c r="J1708" s="97"/>
      <c r="K1708" s="97"/>
      <c r="L1708" s="195"/>
    </row>
    <row r="1709" spans="1:12" x14ac:dyDescent="0.45">
      <c r="A1709" s="462"/>
      <c r="B1709" s="441"/>
      <c r="C1709" s="194">
        <v>4</v>
      </c>
      <c r="D1709" s="80"/>
      <c r="E1709" s="97"/>
      <c r="F1709" s="97"/>
      <c r="G1709" s="97"/>
      <c r="H1709" s="97"/>
      <c r="I1709" s="97"/>
      <c r="J1709" s="97"/>
      <c r="K1709" s="97"/>
      <c r="L1709" s="195"/>
    </row>
    <row r="1710" spans="1:12" x14ac:dyDescent="0.45">
      <c r="A1710" s="462"/>
      <c r="B1710" s="441"/>
      <c r="C1710" s="194">
        <v>5</v>
      </c>
      <c r="D1710" s="80"/>
      <c r="E1710" s="97"/>
      <c r="F1710" s="97"/>
      <c r="G1710" s="97"/>
      <c r="H1710" s="97"/>
      <c r="I1710" s="97"/>
      <c r="J1710" s="97"/>
      <c r="K1710" s="97"/>
      <c r="L1710" s="195"/>
    </row>
    <row r="1711" spans="1:12" x14ac:dyDescent="0.45">
      <c r="A1711" s="462"/>
      <c r="B1711" s="441"/>
      <c r="C1711" s="194">
        <v>6</v>
      </c>
      <c r="D1711" s="80"/>
      <c r="E1711" s="97"/>
      <c r="F1711" s="97"/>
      <c r="G1711" s="97"/>
      <c r="H1711" s="97"/>
      <c r="I1711" s="97"/>
      <c r="J1711" s="97"/>
      <c r="K1711" s="97"/>
      <c r="L1711" s="195"/>
    </row>
    <row r="1712" spans="1:12" x14ac:dyDescent="0.45">
      <c r="A1712" s="462"/>
      <c r="B1712" s="441"/>
      <c r="C1712" s="194">
        <v>7</v>
      </c>
      <c r="D1712" s="80"/>
      <c r="E1712" s="97"/>
      <c r="F1712" s="97"/>
      <c r="G1712" s="97"/>
      <c r="H1712" s="97"/>
      <c r="I1712" s="97"/>
      <c r="J1712" s="97"/>
      <c r="K1712" s="97"/>
      <c r="L1712" s="195"/>
    </row>
    <row r="1713" spans="1:12" x14ac:dyDescent="0.45">
      <c r="A1713" s="462"/>
      <c r="B1713" s="441"/>
      <c r="C1713" s="194">
        <v>8</v>
      </c>
      <c r="D1713" s="80"/>
      <c r="E1713" s="97"/>
      <c r="F1713" s="97"/>
      <c r="G1713" s="97"/>
      <c r="H1713" s="97"/>
      <c r="I1713" s="97"/>
      <c r="J1713" s="97"/>
      <c r="K1713" s="97"/>
      <c r="L1713" s="195"/>
    </row>
    <row r="1714" spans="1:12" x14ac:dyDescent="0.45">
      <c r="A1714" s="462"/>
      <c r="B1714" s="441"/>
      <c r="C1714" s="194">
        <v>9</v>
      </c>
      <c r="D1714" s="80"/>
      <c r="E1714" s="97"/>
      <c r="F1714" s="97"/>
      <c r="G1714" s="97"/>
      <c r="H1714" s="97"/>
      <c r="I1714" s="97"/>
      <c r="J1714" s="97"/>
      <c r="K1714" s="97"/>
      <c r="L1714" s="195"/>
    </row>
    <row r="1715" spans="1:12" x14ac:dyDescent="0.45">
      <c r="A1715" s="462"/>
      <c r="B1715" s="441"/>
      <c r="C1715" s="194">
        <v>10</v>
      </c>
      <c r="D1715" s="80"/>
      <c r="E1715" s="97"/>
      <c r="F1715" s="97"/>
      <c r="G1715" s="97"/>
      <c r="H1715" s="97"/>
      <c r="I1715" s="97"/>
      <c r="J1715" s="97"/>
      <c r="K1715" s="97"/>
      <c r="L1715" s="195"/>
    </row>
    <row r="1716" spans="1:12" x14ac:dyDescent="0.45">
      <c r="A1716" s="462"/>
      <c r="B1716" s="441"/>
      <c r="C1716" s="194">
        <v>11</v>
      </c>
      <c r="D1716" s="81"/>
      <c r="E1716" s="98"/>
      <c r="F1716" s="98"/>
      <c r="G1716" s="98"/>
      <c r="H1716" s="98"/>
      <c r="I1716" s="98"/>
      <c r="J1716" s="98"/>
      <c r="K1716" s="98"/>
      <c r="L1716" s="196"/>
    </row>
    <row r="1717" spans="1:12" ht="14.65" thickBot="1" x14ac:dyDescent="0.5">
      <c r="A1717" s="462"/>
      <c r="B1717" s="442"/>
      <c r="C1717" s="197">
        <v>12</v>
      </c>
      <c r="D1717" s="82"/>
      <c r="E1717" s="99"/>
      <c r="F1717" s="99"/>
      <c r="G1717" s="99"/>
      <c r="H1717" s="99"/>
      <c r="I1717" s="99"/>
      <c r="J1717" s="99"/>
      <c r="K1717" s="99"/>
      <c r="L1717" s="198"/>
    </row>
    <row r="1718" spans="1:12" x14ac:dyDescent="0.45">
      <c r="A1718" s="462"/>
      <c r="B1718" s="440">
        <v>6</v>
      </c>
      <c r="C1718" s="192">
        <v>1</v>
      </c>
      <c r="D1718" s="79"/>
      <c r="E1718" s="96"/>
      <c r="F1718" s="96"/>
      <c r="G1718" s="96"/>
      <c r="H1718" s="96"/>
      <c r="I1718" s="96"/>
      <c r="J1718" s="96"/>
      <c r="K1718" s="96"/>
      <c r="L1718" s="193"/>
    </row>
    <row r="1719" spans="1:12" x14ac:dyDescent="0.45">
      <c r="A1719" s="462"/>
      <c r="B1719" s="441"/>
      <c r="C1719" s="194">
        <v>2</v>
      </c>
      <c r="D1719" s="80"/>
      <c r="E1719" s="97"/>
      <c r="F1719" s="97"/>
      <c r="G1719" s="97"/>
      <c r="H1719" s="97"/>
      <c r="I1719" s="97"/>
      <c r="J1719" s="97"/>
      <c r="K1719" s="97"/>
      <c r="L1719" s="195"/>
    </row>
    <row r="1720" spans="1:12" x14ac:dyDescent="0.45">
      <c r="A1720" s="462"/>
      <c r="B1720" s="441"/>
      <c r="C1720" s="194">
        <v>3</v>
      </c>
      <c r="D1720" s="80"/>
      <c r="E1720" s="97"/>
      <c r="F1720" s="97"/>
      <c r="G1720" s="97"/>
      <c r="H1720" s="97"/>
      <c r="I1720" s="97"/>
      <c r="J1720" s="97"/>
      <c r="K1720" s="97"/>
      <c r="L1720" s="195"/>
    </row>
    <row r="1721" spans="1:12" x14ac:dyDescent="0.45">
      <c r="A1721" s="462"/>
      <c r="B1721" s="441"/>
      <c r="C1721" s="194">
        <v>4</v>
      </c>
      <c r="D1721" s="80"/>
      <c r="E1721" s="97"/>
      <c r="F1721" s="97"/>
      <c r="G1721" s="97"/>
      <c r="H1721" s="97"/>
      <c r="I1721" s="97"/>
      <c r="J1721" s="97"/>
      <c r="K1721" s="97"/>
      <c r="L1721" s="195"/>
    </row>
    <row r="1722" spans="1:12" x14ac:dyDescent="0.45">
      <c r="A1722" s="462"/>
      <c r="B1722" s="441"/>
      <c r="C1722" s="194">
        <v>5</v>
      </c>
      <c r="D1722" s="80"/>
      <c r="E1722" s="97"/>
      <c r="F1722" s="97"/>
      <c r="G1722" s="97"/>
      <c r="H1722" s="97"/>
      <c r="I1722" s="97"/>
      <c r="J1722" s="97"/>
      <c r="K1722" s="97"/>
      <c r="L1722" s="195"/>
    </row>
    <row r="1723" spans="1:12" x14ac:dyDescent="0.45">
      <c r="A1723" s="462"/>
      <c r="B1723" s="441"/>
      <c r="C1723" s="194">
        <v>6</v>
      </c>
      <c r="D1723" s="80"/>
      <c r="E1723" s="97"/>
      <c r="F1723" s="97"/>
      <c r="G1723" s="97"/>
      <c r="H1723" s="97"/>
      <c r="I1723" s="97"/>
      <c r="J1723" s="97"/>
      <c r="K1723" s="97"/>
      <c r="L1723" s="195"/>
    </row>
    <row r="1724" spans="1:12" x14ac:dyDescent="0.45">
      <c r="A1724" s="462"/>
      <c r="B1724" s="441"/>
      <c r="C1724" s="194">
        <v>7</v>
      </c>
      <c r="D1724" s="80"/>
      <c r="E1724" s="97"/>
      <c r="F1724" s="97"/>
      <c r="G1724" s="97"/>
      <c r="H1724" s="97"/>
      <c r="I1724" s="97"/>
      <c r="J1724" s="97"/>
      <c r="K1724" s="97"/>
      <c r="L1724" s="195"/>
    </row>
    <row r="1725" spans="1:12" x14ac:dyDescent="0.45">
      <c r="A1725" s="462"/>
      <c r="B1725" s="441"/>
      <c r="C1725" s="194">
        <v>8</v>
      </c>
      <c r="D1725" s="80"/>
      <c r="E1725" s="97"/>
      <c r="F1725" s="97"/>
      <c r="G1725" s="97"/>
      <c r="H1725" s="97"/>
      <c r="I1725" s="97"/>
      <c r="J1725" s="97"/>
      <c r="K1725" s="97"/>
      <c r="L1725" s="195"/>
    </row>
    <row r="1726" spans="1:12" x14ac:dyDescent="0.45">
      <c r="A1726" s="462"/>
      <c r="B1726" s="441"/>
      <c r="C1726" s="194">
        <v>9</v>
      </c>
      <c r="D1726" s="80"/>
      <c r="E1726" s="97"/>
      <c r="F1726" s="97"/>
      <c r="G1726" s="97"/>
      <c r="H1726" s="97"/>
      <c r="I1726" s="97"/>
      <c r="J1726" s="97"/>
      <c r="K1726" s="97"/>
      <c r="L1726" s="195"/>
    </row>
    <row r="1727" spans="1:12" x14ac:dyDescent="0.45">
      <c r="A1727" s="462"/>
      <c r="B1727" s="441"/>
      <c r="C1727" s="194">
        <v>10</v>
      </c>
      <c r="D1727" s="80"/>
      <c r="E1727" s="97"/>
      <c r="F1727" s="97"/>
      <c r="G1727" s="97"/>
      <c r="H1727" s="97"/>
      <c r="I1727" s="97"/>
      <c r="J1727" s="97"/>
      <c r="K1727" s="97"/>
      <c r="L1727" s="195"/>
    </row>
    <row r="1728" spans="1:12" x14ac:dyDescent="0.45">
      <c r="A1728" s="462"/>
      <c r="B1728" s="441"/>
      <c r="C1728" s="194">
        <v>11</v>
      </c>
      <c r="D1728" s="81"/>
      <c r="E1728" s="98"/>
      <c r="F1728" s="98"/>
      <c r="G1728" s="98"/>
      <c r="H1728" s="98"/>
      <c r="I1728" s="98"/>
      <c r="J1728" s="98"/>
      <c r="K1728" s="98"/>
      <c r="L1728" s="196"/>
    </row>
    <row r="1729" spans="1:12" ht="14.65" thickBot="1" x14ac:dyDescent="0.5">
      <c r="A1729" s="462"/>
      <c r="B1729" s="442"/>
      <c r="C1729" s="197">
        <v>12</v>
      </c>
      <c r="D1729" s="82"/>
      <c r="E1729" s="99"/>
      <c r="F1729" s="99"/>
      <c r="G1729" s="99"/>
      <c r="H1729" s="99"/>
      <c r="I1729" s="99"/>
      <c r="J1729" s="99"/>
      <c r="K1729" s="99"/>
      <c r="L1729" s="198"/>
    </row>
    <row r="1730" spans="1:12" x14ac:dyDescent="0.45">
      <c r="A1730" s="462"/>
      <c r="B1730" s="440">
        <v>7</v>
      </c>
      <c r="C1730" s="192">
        <v>1</v>
      </c>
      <c r="D1730" s="79"/>
      <c r="E1730" s="96"/>
      <c r="F1730" s="96"/>
      <c r="G1730" s="96"/>
      <c r="H1730" s="96"/>
      <c r="I1730" s="96"/>
      <c r="J1730" s="96"/>
      <c r="K1730" s="96"/>
      <c r="L1730" s="193"/>
    </row>
    <row r="1731" spans="1:12" x14ac:dyDescent="0.45">
      <c r="A1731" s="462"/>
      <c r="B1731" s="441"/>
      <c r="C1731" s="194">
        <v>2</v>
      </c>
      <c r="D1731" s="80"/>
      <c r="E1731" s="97"/>
      <c r="F1731" s="97"/>
      <c r="G1731" s="97"/>
      <c r="H1731" s="97"/>
      <c r="I1731" s="97"/>
      <c r="J1731" s="97"/>
      <c r="K1731" s="97"/>
      <c r="L1731" s="195"/>
    </row>
    <row r="1732" spans="1:12" x14ac:dyDescent="0.45">
      <c r="A1732" s="462"/>
      <c r="B1732" s="441"/>
      <c r="C1732" s="194">
        <v>3</v>
      </c>
      <c r="D1732" s="80"/>
      <c r="E1732" s="97"/>
      <c r="F1732" s="97"/>
      <c r="G1732" s="97"/>
      <c r="H1732" s="97"/>
      <c r="I1732" s="97"/>
      <c r="J1732" s="97"/>
      <c r="K1732" s="97"/>
      <c r="L1732" s="195"/>
    </row>
    <row r="1733" spans="1:12" x14ac:dyDescent="0.45">
      <c r="A1733" s="462"/>
      <c r="B1733" s="441"/>
      <c r="C1733" s="194">
        <v>4</v>
      </c>
      <c r="D1733" s="80"/>
      <c r="E1733" s="97"/>
      <c r="F1733" s="97"/>
      <c r="G1733" s="97"/>
      <c r="H1733" s="97"/>
      <c r="I1733" s="97"/>
      <c r="J1733" s="97"/>
      <c r="K1733" s="97"/>
      <c r="L1733" s="195"/>
    </row>
    <row r="1734" spans="1:12" x14ac:dyDescent="0.45">
      <c r="A1734" s="462"/>
      <c r="B1734" s="441"/>
      <c r="C1734" s="194">
        <v>5</v>
      </c>
      <c r="D1734" s="80"/>
      <c r="E1734" s="97"/>
      <c r="F1734" s="97"/>
      <c r="G1734" s="97"/>
      <c r="H1734" s="97"/>
      <c r="I1734" s="97"/>
      <c r="J1734" s="97"/>
      <c r="K1734" s="97"/>
      <c r="L1734" s="195"/>
    </row>
    <row r="1735" spans="1:12" x14ac:dyDescent="0.45">
      <c r="A1735" s="462"/>
      <c r="B1735" s="441"/>
      <c r="C1735" s="194">
        <v>6</v>
      </c>
      <c r="D1735" s="80"/>
      <c r="E1735" s="97"/>
      <c r="F1735" s="97"/>
      <c r="G1735" s="97"/>
      <c r="H1735" s="97"/>
      <c r="I1735" s="97"/>
      <c r="J1735" s="97"/>
      <c r="K1735" s="97"/>
      <c r="L1735" s="195"/>
    </row>
    <row r="1736" spans="1:12" x14ac:dyDescent="0.45">
      <c r="A1736" s="462"/>
      <c r="B1736" s="441"/>
      <c r="C1736" s="194">
        <v>7</v>
      </c>
      <c r="D1736" s="80"/>
      <c r="E1736" s="97"/>
      <c r="F1736" s="97"/>
      <c r="G1736" s="97"/>
      <c r="H1736" s="97"/>
      <c r="I1736" s="97"/>
      <c r="J1736" s="97"/>
      <c r="K1736" s="97"/>
      <c r="L1736" s="195"/>
    </row>
    <row r="1737" spans="1:12" x14ac:dyDescent="0.45">
      <c r="A1737" s="462"/>
      <c r="B1737" s="441"/>
      <c r="C1737" s="194">
        <v>8</v>
      </c>
      <c r="D1737" s="80"/>
      <c r="E1737" s="97"/>
      <c r="F1737" s="97"/>
      <c r="G1737" s="97"/>
      <c r="H1737" s="97"/>
      <c r="I1737" s="97"/>
      <c r="J1737" s="97"/>
      <c r="K1737" s="97"/>
      <c r="L1737" s="195"/>
    </row>
    <row r="1738" spans="1:12" x14ac:dyDescent="0.45">
      <c r="A1738" s="462"/>
      <c r="B1738" s="441"/>
      <c r="C1738" s="194">
        <v>9</v>
      </c>
      <c r="D1738" s="80"/>
      <c r="E1738" s="97"/>
      <c r="F1738" s="97"/>
      <c r="G1738" s="97"/>
      <c r="H1738" s="97"/>
      <c r="I1738" s="97"/>
      <c r="J1738" s="97"/>
      <c r="K1738" s="97"/>
      <c r="L1738" s="195"/>
    </row>
    <row r="1739" spans="1:12" x14ac:dyDescent="0.45">
      <c r="A1739" s="462"/>
      <c r="B1739" s="441"/>
      <c r="C1739" s="194">
        <v>10</v>
      </c>
      <c r="D1739" s="80"/>
      <c r="E1739" s="97"/>
      <c r="F1739" s="97"/>
      <c r="G1739" s="97"/>
      <c r="H1739" s="97"/>
      <c r="I1739" s="97"/>
      <c r="J1739" s="97"/>
      <c r="K1739" s="97"/>
      <c r="L1739" s="195"/>
    </row>
    <row r="1740" spans="1:12" x14ac:dyDescent="0.45">
      <c r="A1740" s="462"/>
      <c r="B1740" s="441"/>
      <c r="C1740" s="194">
        <v>11</v>
      </c>
      <c r="D1740" s="81"/>
      <c r="E1740" s="98"/>
      <c r="F1740" s="98"/>
      <c r="G1740" s="98"/>
      <c r="H1740" s="98"/>
      <c r="I1740" s="98"/>
      <c r="J1740" s="98"/>
      <c r="K1740" s="98"/>
      <c r="L1740" s="196"/>
    </row>
    <row r="1741" spans="1:12" ht="14.65" thickBot="1" x14ac:dyDescent="0.5">
      <c r="A1741" s="462"/>
      <c r="B1741" s="442"/>
      <c r="C1741" s="197">
        <v>12</v>
      </c>
      <c r="D1741" s="82"/>
      <c r="E1741" s="99"/>
      <c r="F1741" s="99"/>
      <c r="G1741" s="99"/>
      <c r="H1741" s="99"/>
      <c r="I1741" s="99"/>
      <c r="J1741" s="99"/>
      <c r="K1741" s="99"/>
      <c r="L1741" s="198"/>
    </row>
    <row r="1742" spans="1:12" x14ac:dyDescent="0.45">
      <c r="A1742" s="462"/>
      <c r="B1742" s="440">
        <v>8</v>
      </c>
      <c r="C1742" s="192">
        <v>1</v>
      </c>
      <c r="D1742" s="79"/>
      <c r="E1742" s="96"/>
      <c r="F1742" s="96"/>
      <c r="G1742" s="96"/>
      <c r="H1742" s="96"/>
      <c r="I1742" s="96"/>
      <c r="J1742" s="96"/>
      <c r="K1742" s="96"/>
      <c r="L1742" s="193"/>
    </row>
    <row r="1743" spans="1:12" x14ac:dyDescent="0.45">
      <c r="A1743" s="462"/>
      <c r="B1743" s="441"/>
      <c r="C1743" s="194">
        <v>2</v>
      </c>
      <c r="D1743" s="80"/>
      <c r="E1743" s="97"/>
      <c r="F1743" s="97"/>
      <c r="G1743" s="97"/>
      <c r="H1743" s="97"/>
      <c r="I1743" s="97"/>
      <c r="J1743" s="97"/>
      <c r="K1743" s="97"/>
      <c r="L1743" s="195"/>
    </row>
    <row r="1744" spans="1:12" x14ac:dyDescent="0.45">
      <c r="A1744" s="462"/>
      <c r="B1744" s="441"/>
      <c r="C1744" s="194">
        <v>3</v>
      </c>
      <c r="D1744" s="80"/>
      <c r="E1744" s="97"/>
      <c r="F1744" s="97"/>
      <c r="G1744" s="97"/>
      <c r="H1744" s="97"/>
      <c r="I1744" s="97"/>
      <c r="J1744" s="97"/>
      <c r="K1744" s="97"/>
      <c r="L1744" s="195"/>
    </row>
    <row r="1745" spans="1:12" x14ac:dyDescent="0.45">
      <c r="A1745" s="462"/>
      <c r="B1745" s="441"/>
      <c r="C1745" s="194">
        <v>4</v>
      </c>
      <c r="D1745" s="80"/>
      <c r="E1745" s="97"/>
      <c r="F1745" s="97"/>
      <c r="G1745" s="97"/>
      <c r="H1745" s="97"/>
      <c r="I1745" s="97"/>
      <c r="J1745" s="97"/>
      <c r="K1745" s="97"/>
      <c r="L1745" s="195"/>
    </row>
    <row r="1746" spans="1:12" x14ac:dyDescent="0.45">
      <c r="A1746" s="462"/>
      <c r="B1746" s="441"/>
      <c r="C1746" s="194">
        <v>5</v>
      </c>
      <c r="D1746" s="80"/>
      <c r="E1746" s="97"/>
      <c r="F1746" s="97"/>
      <c r="G1746" s="97"/>
      <c r="H1746" s="97"/>
      <c r="I1746" s="97"/>
      <c r="J1746" s="97"/>
      <c r="K1746" s="97"/>
      <c r="L1746" s="195"/>
    </row>
    <row r="1747" spans="1:12" x14ac:dyDescent="0.45">
      <c r="A1747" s="462"/>
      <c r="B1747" s="441"/>
      <c r="C1747" s="194">
        <v>6</v>
      </c>
      <c r="D1747" s="80"/>
      <c r="E1747" s="97"/>
      <c r="F1747" s="97"/>
      <c r="G1747" s="97"/>
      <c r="H1747" s="97"/>
      <c r="I1747" s="97"/>
      <c r="J1747" s="97"/>
      <c r="K1747" s="97"/>
      <c r="L1747" s="195"/>
    </row>
    <row r="1748" spans="1:12" x14ac:dyDescent="0.45">
      <c r="A1748" s="462"/>
      <c r="B1748" s="441"/>
      <c r="C1748" s="194">
        <v>7</v>
      </c>
      <c r="D1748" s="80"/>
      <c r="E1748" s="97"/>
      <c r="F1748" s="97"/>
      <c r="G1748" s="97"/>
      <c r="H1748" s="97"/>
      <c r="I1748" s="97"/>
      <c r="J1748" s="97"/>
      <c r="K1748" s="97"/>
      <c r="L1748" s="195"/>
    </row>
    <row r="1749" spans="1:12" x14ac:dyDescent="0.45">
      <c r="A1749" s="462"/>
      <c r="B1749" s="441"/>
      <c r="C1749" s="194">
        <v>8</v>
      </c>
      <c r="D1749" s="80"/>
      <c r="E1749" s="97"/>
      <c r="F1749" s="97"/>
      <c r="G1749" s="97"/>
      <c r="H1749" s="97"/>
      <c r="I1749" s="97"/>
      <c r="J1749" s="97"/>
      <c r="K1749" s="97"/>
      <c r="L1749" s="195"/>
    </row>
    <row r="1750" spans="1:12" x14ac:dyDescent="0.45">
      <c r="A1750" s="462"/>
      <c r="B1750" s="441"/>
      <c r="C1750" s="194">
        <v>9</v>
      </c>
      <c r="D1750" s="80"/>
      <c r="E1750" s="97"/>
      <c r="F1750" s="97"/>
      <c r="G1750" s="97"/>
      <c r="H1750" s="97"/>
      <c r="I1750" s="97"/>
      <c r="J1750" s="97"/>
      <c r="K1750" s="97"/>
      <c r="L1750" s="195"/>
    </row>
    <row r="1751" spans="1:12" x14ac:dyDescent="0.45">
      <c r="A1751" s="462"/>
      <c r="B1751" s="441"/>
      <c r="C1751" s="194">
        <v>10</v>
      </c>
      <c r="D1751" s="80"/>
      <c r="E1751" s="97"/>
      <c r="F1751" s="97"/>
      <c r="G1751" s="97"/>
      <c r="H1751" s="97"/>
      <c r="I1751" s="97"/>
      <c r="J1751" s="97"/>
      <c r="K1751" s="97"/>
      <c r="L1751" s="195"/>
    </row>
    <row r="1752" spans="1:12" x14ac:dyDescent="0.45">
      <c r="A1752" s="462"/>
      <c r="B1752" s="441"/>
      <c r="C1752" s="194">
        <v>11</v>
      </c>
      <c r="D1752" s="81"/>
      <c r="E1752" s="98"/>
      <c r="F1752" s="98"/>
      <c r="G1752" s="98"/>
      <c r="H1752" s="98"/>
      <c r="I1752" s="98"/>
      <c r="J1752" s="98"/>
      <c r="K1752" s="98"/>
      <c r="L1752" s="196"/>
    </row>
    <row r="1753" spans="1:12" ht="14.65" thickBot="1" x14ac:dyDescent="0.5">
      <c r="A1753" s="463"/>
      <c r="B1753" s="442"/>
      <c r="C1753" s="197">
        <v>12</v>
      </c>
      <c r="D1753" s="82"/>
      <c r="E1753" s="99"/>
      <c r="F1753" s="99"/>
      <c r="G1753" s="99"/>
      <c r="H1753" s="99"/>
      <c r="I1753" s="99"/>
      <c r="J1753" s="99"/>
      <c r="K1753" s="99"/>
      <c r="L1753" s="198"/>
    </row>
    <row r="1754" spans="1:12" x14ac:dyDescent="0.45">
      <c r="A1754" s="461">
        <v>3</v>
      </c>
      <c r="B1754" s="440">
        <v>9</v>
      </c>
      <c r="C1754" s="192">
        <v>1</v>
      </c>
      <c r="D1754" s="79"/>
      <c r="E1754" s="96"/>
      <c r="F1754" s="96"/>
      <c r="G1754" s="96"/>
      <c r="H1754" s="96"/>
      <c r="I1754" s="96"/>
      <c r="J1754" s="96"/>
      <c r="K1754" s="96"/>
      <c r="L1754" s="193"/>
    </row>
    <row r="1755" spans="1:12" x14ac:dyDescent="0.45">
      <c r="A1755" s="462"/>
      <c r="B1755" s="441"/>
      <c r="C1755" s="194">
        <v>2</v>
      </c>
      <c r="D1755" s="80"/>
      <c r="E1755" s="97"/>
      <c r="F1755" s="97"/>
      <c r="G1755" s="97"/>
      <c r="H1755" s="97"/>
      <c r="I1755" s="97"/>
      <c r="J1755" s="97"/>
      <c r="K1755" s="97"/>
      <c r="L1755" s="195"/>
    </row>
    <row r="1756" spans="1:12" x14ac:dyDescent="0.45">
      <c r="A1756" s="462"/>
      <c r="B1756" s="441"/>
      <c r="C1756" s="194">
        <v>3</v>
      </c>
      <c r="D1756" s="80"/>
      <c r="E1756" s="97"/>
      <c r="F1756" s="97"/>
      <c r="G1756" s="97"/>
      <c r="H1756" s="97"/>
      <c r="I1756" s="97"/>
      <c r="J1756" s="97"/>
      <c r="K1756" s="97"/>
      <c r="L1756" s="195"/>
    </row>
    <row r="1757" spans="1:12" x14ac:dyDescent="0.45">
      <c r="A1757" s="462"/>
      <c r="B1757" s="441"/>
      <c r="C1757" s="194">
        <v>4</v>
      </c>
      <c r="D1757" s="80"/>
      <c r="E1757" s="97"/>
      <c r="F1757" s="97"/>
      <c r="G1757" s="97"/>
      <c r="H1757" s="97"/>
      <c r="I1757" s="97"/>
      <c r="J1757" s="97"/>
      <c r="K1757" s="97"/>
      <c r="L1757" s="195"/>
    </row>
    <row r="1758" spans="1:12" x14ac:dyDescent="0.45">
      <c r="A1758" s="462"/>
      <c r="B1758" s="441"/>
      <c r="C1758" s="194">
        <v>5</v>
      </c>
      <c r="D1758" s="80"/>
      <c r="E1758" s="97"/>
      <c r="F1758" s="97"/>
      <c r="G1758" s="97"/>
      <c r="H1758" s="97"/>
      <c r="I1758" s="97"/>
      <c r="J1758" s="97"/>
      <c r="K1758" s="97"/>
      <c r="L1758" s="195"/>
    </row>
    <row r="1759" spans="1:12" x14ac:dyDescent="0.45">
      <c r="A1759" s="462"/>
      <c r="B1759" s="441"/>
      <c r="C1759" s="194">
        <v>6</v>
      </c>
      <c r="D1759" s="80"/>
      <c r="E1759" s="97"/>
      <c r="F1759" s="97"/>
      <c r="G1759" s="97"/>
      <c r="H1759" s="97"/>
      <c r="I1759" s="97"/>
      <c r="J1759" s="97"/>
      <c r="K1759" s="97"/>
      <c r="L1759" s="195"/>
    </row>
    <row r="1760" spans="1:12" x14ac:dyDescent="0.45">
      <c r="A1760" s="462"/>
      <c r="B1760" s="441"/>
      <c r="C1760" s="194">
        <v>7</v>
      </c>
      <c r="D1760" s="80"/>
      <c r="E1760" s="97"/>
      <c r="F1760" s="97"/>
      <c r="G1760" s="97"/>
      <c r="H1760" s="97"/>
      <c r="I1760" s="97"/>
      <c r="J1760" s="97"/>
      <c r="K1760" s="97"/>
      <c r="L1760" s="195"/>
    </row>
    <row r="1761" spans="1:12" x14ac:dyDescent="0.45">
      <c r="A1761" s="462"/>
      <c r="B1761" s="441"/>
      <c r="C1761" s="194">
        <v>8</v>
      </c>
      <c r="D1761" s="80"/>
      <c r="E1761" s="97"/>
      <c r="F1761" s="97"/>
      <c r="G1761" s="97"/>
      <c r="H1761" s="97"/>
      <c r="I1761" s="97"/>
      <c r="J1761" s="97"/>
      <c r="K1761" s="97"/>
      <c r="L1761" s="195"/>
    </row>
    <row r="1762" spans="1:12" x14ac:dyDescent="0.45">
      <c r="A1762" s="462"/>
      <c r="B1762" s="441"/>
      <c r="C1762" s="194">
        <v>9</v>
      </c>
      <c r="D1762" s="80"/>
      <c r="E1762" s="97"/>
      <c r="F1762" s="97"/>
      <c r="G1762" s="97"/>
      <c r="H1762" s="97"/>
      <c r="I1762" s="97"/>
      <c r="J1762" s="97"/>
      <c r="K1762" s="97"/>
      <c r="L1762" s="195"/>
    </row>
    <row r="1763" spans="1:12" x14ac:dyDescent="0.45">
      <c r="A1763" s="462"/>
      <c r="B1763" s="441"/>
      <c r="C1763" s="194">
        <v>10</v>
      </c>
      <c r="D1763" s="80"/>
      <c r="E1763" s="97"/>
      <c r="F1763" s="97"/>
      <c r="G1763" s="97"/>
      <c r="H1763" s="97"/>
      <c r="I1763" s="97"/>
      <c r="J1763" s="97"/>
      <c r="K1763" s="97"/>
      <c r="L1763" s="195"/>
    </row>
    <row r="1764" spans="1:12" x14ac:dyDescent="0.45">
      <c r="A1764" s="462"/>
      <c r="B1764" s="441"/>
      <c r="C1764" s="194">
        <v>11</v>
      </c>
      <c r="D1764" s="81"/>
      <c r="E1764" s="98"/>
      <c r="F1764" s="98"/>
      <c r="G1764" s="98"/>
      <c r="H1764" s="98"/>
      <c r="I1764" s="98"/>
      <c r="J1764" s="98"/>
      <c r="K1764" s="98"/>
      <c r="L1764" s="196"/>
    </row>
    <row r="1765" spans="1:12" ht="14.65" thickBot="1" x14ac:dyDescent="0.5">
      <c r="A1765" s="462"/>
      <c r="B1765" s="442"/>
      <c r="C1765" s="197">
        <v>12</v>
      </c>
      <c r="D1765" s="82"/>
      <c r="E1765" s="99"/>
      <c r="F1765" s="99"/>
      <c r="G1765" s="99"/>
      <c r="H1765" s="99"/>
      <c r="I1765" s="99"/>
      <c r="J1765" s="99"/>
      <c r="K1765" s="99"/>
      <c r="L1765" s="198"/>
    </row>
    <row r="1766" spans="1:12" x14ac:dyDescent="0.45">
      <c r="A1766" s="462"/>
      <c r="B1766" s="440">
        <v>10</v>
      </c>
      <c r="C1766" s="192">
        <v>1</v>
      </c>
      <c r="D1766" s="79"/>
      <c r="E1766" s="96"/>
      <c r="F1766" s="96"/>
      <c r="G1766" s="96"/>
      <c r="H1766" s="96"/>
      <c r="I1766" s="96"/>
      <c r="J1766" s="96"/>
      <c r="K1766" s="96"/>
      <c r="L1766" s="193"/>
    </row>
    <row r="1767" spans="1:12" x14ac:dyDescent="0.45">
      <c r="A1767" s="462"/>
      <c r="B1767" s="441"/>
      <c r="C1767" s="194">
        <v>2</v>
      </c>
      <c r="D1767" s="80"/>
      <c r="E1767" s="97"/>
      <c r="F1767" s="97"/>
      <c r="G1767" s="97"/>
      <c r="H1767" s="97"/>
      <c r="I1767" s="97"/>
      <c r="J1767" s="97"/>
      <c r="K1767" s="97"/>
      <c r="L1767" s="195"/>
    </row>
    <row r="1768" spans="1:12" x14ac:dyDescent="0.45">
      <c r="A1768" s="462"/>
      <c r="B1768" s="441"/>
      <c r="C1768" s="194">
        <v>3</v>
      </c>
      <c r="D1768" s="80"/>
      <c r="E1768" s="97"/>
      <c r="F1768" s="97"/>
      <c r="G1768" s="97"/>
      <c r="H1768" s="97"/>
      <c r="I1768" s="97"/>
      <c r="J1768" s="97"/>
      <c r="K1768" s="97"/>
      <c r="L1768" s="195"/>
    </row>
    <row r="1769" spans="1:12" x14ac:dyDescent="0.45">
      <c r="A1769" s="462"/>
      <c r="B1769" s="441"/>
      <c r="C1769" s="194">
        <v>4</v>
      </c>
      <c r="D1769" s="80"/>
      <c r="E1769" s="97"/>
      <c r="F1769" s="97"/>
      <c r="G1769" s="97"/>
      <c r="H1769" s="97"/>
      <c r="I1769" s="97"/>
      <c r="J1769" s="97"/>
      <c r="K1769" s="97"/>
      <c r="L1769" s="195"/>
    </row>
    <row r="1770" spans="1:12" x14ac:dyDescent="0.45">
      <c r="A1770" s="462"/>
      <c r="B1770" s="441"/>
      <c r="C1770" s="194">
        <v>5</v>
      </c>
      <c r="D1770" s="80"/>
      <c r="E1770" s="97"/>
      <c r="F1770" s="97"/>
      <c r="G1770" s="97"/>
      <c r="H1770" s="97"/>
      <c r="I1770" s="97"/>
      <c r="J1770" s="97"/>
      <c r="K1770" s="97"/>
      <c r="L1770" s="195"/>
    </row>
    <row r="1771" spans="1:12" x14ac:dyDescent="0.45">
      <c r="A1771" s="462"/>
      <c r="B1771" s="441"/>
      <c r="C1771" s="194">
        <v>6</v>
      </c>
      <c r="D1771" s="80"/>
      <c r="E1771" s="97"/>
      <c r="F1771" s="97"/>
      <c r="G1771" s="97"/>
      <c r="H1771" s="97"/>
      <c r="I1771" s="97"/>
      <c r="J1771" s="97"/>
      <c r="K1771" s="97"/>
      <c r="L1771" s="195"/>
    </row>
    <row r="1772" spans="1:12" x14ac:dyDescent="0.45">
      <c r="A1772" s="462"/>
      <c r="B1772" s="441"/>
      <c r="C1772" s="194">
        <v>7</v>
      </c>
      <c r="D1772" s="80"/>
      <c r="E1772" s="97"/>
      <c r="F1772" s="97"/>
      <c r="G1772" s="97"/>
      <c r="H1772" s="97"/>
      <c r="I1772" s="97"/>
      <c r="J1772" s="97"/>
      <c r="K1772" s="97"/>
      <c r="L1772" s="195"/>
    </row>
    <row r="1773" spans="1:12" x14ac:dyDescent="0.45">
      <c r="A1773" s="462"/>
      <c r="B1773" s="441"/>
      <c r="C1773" s="194">
        <v>8</v>
      </c>
      <c r="D1773" s="80"/>
      <c r="E1773" s="97"/>
      <c r="F1773" s="97"/>
      <c r="G1773" s="97"/>
      <c r="H1773" s="97"/>
      <c r="I1773" s="97"/>
      <c r="J1773" s="97"/>
      <c r="K1773" s="97"/>
      <c r="L1773" s="195"/>
    </row>
    <row r="1774" spans="1:12" x14ac:dyDescent="0.45">
      <c r="A1774" s="462"/>
      <c r="B1774" s="441"/>
      <c r="C1774" s="194">
        <v>9</v>
      </c>
      <c r="D1774" s="80"/>
      <c r="E1774" s="97"/>
      <c r="F1774" s="97"/>
      <c r="G1774" s="97"/>
      <c r="H1774" s="97"/>
      <c r="I1774" s="97"/>
      <c r="J1774" s="97"/>
      <c r="K1774" s="97"/>
      <c r="L1774" s="195"/>
    </row>
    <row r="1775" spans="1:12" x14ac:dyDescent="0.45">
      <c r="A1775" s="462"/>
      <c r="B1775" s="441"/>
      <c r="C1775" s="194">
        <v>10</v>
      </c>
      <c r="D1775" s="80"/>
      <c r="E1775" s="97"/>
      <c r="F1775" s="97"/>
      <c r="G1775" s="97"/>
      <c r="H1775" s="97"/>
      <c r="I1775" s="97"/>
      <c r="J1775" s="97"/>
      <c r="K1775" s="97"/>
      <c r="L1775" s="195"/>
    </row>
    <row r="1776" spans="1:12" x14ac:dyDescent="0.45">
      <c r="A1776" s="462"/>
      <c r="B1776" s="441"/>
      <c r="C1776" s="194">
        <v>11</v>
      </c>
      <c r="D1776" s="81"/>
      <c r="E1776" s="98"/>
      <c r="F1776" s="98"/>
      <c r="G1776" s="98"/>
      <c r="H1776" s="98"/>
      <c r="I1776" s="98"/>
      <c r="J1776" s="98"/>
      <c r="K1776" s="98"/>
      <c r="L1776" s="196"/>
    </row>
    <row r="1777" spans="1:12" ht="14.65" thickBot="1" x14ac:dyDescent="0.5">
      <c r="A1777" s="462"/>
      <c r="B1777" s="442"/>
      <c r="C1777" s="197">
        <v>12</v>
      </c>
      <c r="D1777" s="82"/>
      <c r="E1777" s="99"/>
      <c r="F1777" s="99"/>
      <c r="G1777" s="99"/>
      <c r="H1777" s="99"/>
      <c r="I1777" s="99"/>
      <c r="J1777" s="99"/>
      <c r="K1777" s="99"/>
      <c r="L1777" s="198"/>
    </row>
    <row r="1778" spans="1:12" x14ac:dyDescent="0.45">
      <c r="A1778" s="462"/>
      <c r="B1778" s="440">
        <v>11</v>
      </c>
      <c r="C1778" s="192">
        <v>1</v>
      </c>
      <c r="D1778" s="79"/>
      <c r="E1778" s="96"/>
      <c r="F1778" s="96"/>
      <c r="G1778" s="96"/>
      <c r="H1778" s="96"/>
      <c r="I1778" s="96"/>
      <c r="J1778" s="96"/>
      <c r="K1778" s="96"/>
      <c r="L1778" s="193"/>
    </row>
    <row r="1779" spans="1:12" x14ac:dyDescent="0.45">
      <c r="A1779" s="462"/>
      <c r="B1779" s="441"/>
      <c r="C1779" s="194">
        <v>2</v>
      </c>
      <c r="D1779" s="80"/>
      <c r="E1779" s="97"/>
      <c r="F1779" s="97"/>
      <c r="G1779" s="97"/>
      <c r="H1779" s="97"/>
      <c r="I1779" s="97"/>
      <c r="J1779" s="97"/>
      <c r="K1779" s="97"/>
      <c r="L1779" s="195"/>
    </row>
    <row r="1780" spans="1:12" x14ac:dyDescent="0.45">
      <c r="A1780" s="462"/>
      <c r="B1780" s="441"/>
      <c r="C1780" s="194">
        <v>3</v>
      </c>
      <c r="D1780" s="80"/>
      <c r="E1780" s="97"/>
      <c r="F1780" s="97"/>
      <c r="G1780" s="97"/>
      <c r="H1780" s="97"/>
      <c r="I1780" s="97"/>
      <c r="J1780" s="97"/>
      <c r="K1780" s="97"/>
      <c r="L1780" s="195"/>
    </row>
    <row r="1781" spans="1:12" x14ac:dyDescent="0.45">
      <c r="A1781" s="462"/>
      <c r="B1781" s="441"/>
      <c r="C1781" s="194">
        <v>4</v>
      </c>
      <c r="D1781" s="80"/>
      <c r="E1781" s="97"/>
      <c r="F1781" s="97"/>
      <c r="G1781" s="97"/>
      <c r="H1781" s="97"/>
      <c r="I1781" s="97"/>
      <c r="J1781" s="97"/>
      <c r="K1781" s="97"/>
      <c r="L1781" s="195"/>
    </row>
    <row r="1782" spans="1:12" x14ac:dyDescent="0.45">
      <c r="A1782" s="462"/>
      <c r="B1782" s="441"/>
      <c r="C1782" s="194">
        <v>5</v>
      </c>
      <c r="D1782" s="80"/>
      <c r="E1782" s="97"/>
      <c r="F1782" s="97"/>
      <c r="G1782" s="97"/>
      <c r="H1782" s="97"/>
      <c r="I1782" s="97"/>
      <c r="J1782" s="97"/>
      <c r="K1782" s="97"/>
      <c r="L1782" s="195"/>
    </row>
    <row r="1783" spans="1:12" x14ac:dyDescent="0.45">
      <c r="A1783" s="462"/>
      <c r="B1783" s="441"/>
      <c r="C1783" s="194">
        <v>6</v>
      </c>
      <c r="D1783" s="80"/>
      <c r="E1783" s="97"/>
      <c r="F1783" s="97"/>
      <c r="G1783" s="97"/>
      <c r="H1783" s="97"/>
      <c r="I1783" s="97"/>
      <c r="J1783" s="97"/>
      <c r="K1783" s="97"/>
      <c r="L1783" s="195"/>
    </row>
    <row r="1784" spans="1:12" x14ac:dyDescent="0.45">
      <c r="A1784" s="462"/>
      <c r="B1784" s="441"/>
      <c r="C1784" s="194">
        <v>7</v>
      </c>
      <c r="D1784" s="80"/>
      <c r="E1784" s="97"/>
      <c r="F1784" s="97"/>
      <c r="G1784" s="97"/>
      <c r="H1784" s="97"/>
      <c r="I1784" s="97"/>
      <c r="J1784" s="97"/>
      <c r="K1784" s="97"/>
      <c r="L1784" s="195"/>
    </row>
    <row r="1785" spans="1:12" x14ac:dyDescent="0.45">
      <c r="A1785" s="462"/>
      <c r="B1785" s="441"/>
      <c r="C1785" s="194">
        <v>8</v>
      </c>
      <c r="D1785" s="80"/>
      <c r="E1785" s="97"/>
      <c r="F1785" s="97"/>
      <c r="G1785" s="97"/>
      <c r="H1785" s="97"/>
      <c r="I1785" s="97"/>
      <c r="J1785" s="97"/>
      <c r="K1785" s="97"/>
      <c r="L1785" s="195"/>
    </row>
    <row r="1786" spans="1:12" x14ac:dyDescent="0.45">
      <c r="A1786" s="462"/>
      <c r="B1786" s="441"/>
      <c r="C1786" s="194">
        <v>9</v>
      </c>
      <c r="D1786" s="80"/>
      <c r="E1786" s="97"/>
      <c r="F1786" s="97"/>
      <c r="G1786" s="97"/>
      <c r="H1786" s="97"/>
      <c r="I1786" s="97"/>
      <c r="J1786" s="97"/>
      <c r="K1786" s="97"/>
      <c r="L1786" s="195"/>
    </row>
    <row r="1787" spans="1:12" x14ac:dyDescent="0.45">
      <c r="A1787" s="462"/>
      <c r="B1787" s="441"/>
      <c r="C1787" s="194">
        <v>10</v>
      </c>
      <c r="D1787" s="80"/>
      <c r="E1787" s="97"/>
      <c r="F1787" s="97"/>
      <c r="G1787" s="97"/>
      <c r="H1787" s="97"/>
      <c r="I1787" s="97"/>
      <c r="J1787" s="97"/>
      <c r="K1787" s="97"/>
      <c r="L1787" s="195"/>
    </row>
    <row r="1788" spans="1:12" x14ac:dyDescent="0.45">
      <c r="A1788" s="462"/>
      <c r="B1788" s="441"/>
      <c r="C1788" s="194">
        <v>11</v>
      </c>
      <c r="D1788" s="81"/>
      <c r="E1788" s="98"/>
      <c r="F1788" s="98"/>
      <c r="G1788" s="98"/>
      <c r="H1788" s="98"/>
      <c r="I1788" s="98"/>
      <c r="J1788" s="98"/>
      <c r="K1788" s="98"/>
      <c r="L1788" s="196"/>
    </row>
    <row r="1789" spans="1:12" ht="14.65" thickBot="1" x14ac:dyDescent="0.5">
      <c r="A1789" s="462"/>
      <c r="B1789" s="442"/>
      <c r="C1789" s="197">
        <v>12</v>
      </c>
      <c r="D1789" s="82"/>
      <c r="E1789" s="99"/>
      <c r="F1789" s="99"/>
      <c r="G1789" s="99"/>
      <c r="H1789" s="99"/>
      <c r="I1789" s="99"/>
      <c r="J1789" s="99"/>
      <c r="K1789" s="99"/>
      <c r="L1789" s="198"/>
    </row>
    <row r="1790" spans="1:12" x14ac:dyDescent="0.45">
      <c r="A1790" s="462"/>
      <c r="B1790" s="440">
        <v>12</v>
      </c>
      <c r="C1790" s="192">
        <v>1</v>
      </c>
      <c r="D1790" s="79"/>
      <c r="E1790" s="96"/>
      <c r="F1790" s="96"/>
      <c r="G1790" s="96"/>
      <c r="H1790" s="96"/>
      <c r="I1790" s="96"/>
      <c r="J1790" s="96"/>
      <c r="K1790" s="96"/>
      <c r="L1790" s="193"/>
    </row>
    <row r="1791" spans="1:12" x14ac:dyDescent="0.45">
      <c r="A1791" s="462"/>
      <c r="B1791" s="441"/>
      <c r="C1791" s="194">
        <v>2</v>
      </c>
      <c r="D1791" s="80"/>
      <c r="E1791" s="97"/>
      <c r="F1791" s="97"/>
      <c r="G1791" s="97"/>
      <c r="H1791" s="97"/>
      <c r="I1791" s="97"/>
      <c r="J1791" s="97"/>
      <c r="K1791" s="97"/>
      <c r="L1791" s="195"/>
    </row>
    <row r="1792" spans="1:12" x14ac:dyDescent="0.45">
      <c r="A1792" s="462"/>
      <c r="B1792" s="441"/>
      <c r="C1792" s="194">
        <v>3</v>
      </c>
      <c r="D1792" s="80"/>
      <c r="E1792" s="97"/>
      <c r="F1792" s="97"/>
      <c r="G1792" s="97"/>
      <c r="H1792" s="97"/>
      <c r="I1792" s="97"/>
      <c r="J1792" s="97"/>
      <c r="K1792" s="97"/>
      <c r="L1792" s="195"/>
    </row>
    <row r="1793" spans="1:14" x14ac:dyDescent="0.45">
      <c r="A1793" s="462"/>
      <c r="B1793" s="441"/>
      <c r="C1793" s="194">
        <v>4</v>
      </c>
      <c r="D1793" s="80"/>
      <c r="E1793" s="97"/>
      <c r="F1793" s="97"/>
      <c r="G1793" s="97"/>
      <c r="H1793" s="97"/>
      <c r="I1793" s="97"/>
      <c r="J1793" s="97"/>
      <c r="K1793" s="97"/>
      <c r="L1793" s="195"/>
    </row>
    <row r="1794" spans="1:14" x14ac:dyDescent="0.45">
      <c r="A1794" s="462"/>
      <c r="B1794" s="441"/>
      <c r="C1794" s="194">
        <v>5</v>
      </c>
      <c r="D1794" s="80"/>
      <c r="E1794" s="97"/>
      <c r="F1794" s="97"/>
      <c r="G1794" s="97"/>
      <c r="H1794" s="97"/>
      <c r="I1794" s="97"/>
      <c r="J1794" s="97"/>
      <c r="K1794" s="97"/>
      <c r="L1794" s="195"/>
    </row>
    <row r="1795" spans="1:14" x14ac:dyDescent="0.45">
      <c r="A1795" s="462"/>
      <c r="B1795" s="441"/>
      <c r="C1795" s="194">
        <v>6</v>
      </c>
      <c r="D1795" s="80"/>
      <c r="E1795" s="97"/>
      <c r="F1795" s="97"/>
      <c r="G1795" s="97"/>
      <c r="H1795" s="97"/>
      <c r="I1795" s="97"/>
      <c r="J1795" s="97"/>
      <c r="K1795" s="97"/>
      <c r="L1795" s="195"/>
    </row>
    <row r="1796" spans="1:14" x14ac:dyDescent="0.45">
      <c r="A1796" s="462"/>
      <c r="B1796" s="441"/>
      <c r="C1796" s="194">
        <v>7</v>
      </c>
      <c r="D1796" s="80"/>
      <c r="E1796" s="97"/>
      <c r="F1796" s="97"/>
      <c r="G1796" s="97"/>
      <c r="H1796" s="97"/>
      <c r="I1796" s="97"/>
      <c r="J1796" s="97"/>
      <c r="K1796" s="97"/>
      <c r="L1796" s="195"/>
    </row>
    <row r="1797" spans="1:14" x14ac:dyDescent="0.45">
      <c r="A1797" s="462"/>
      <c r="B1797" s="441"/>
      <c r="C1797" s="194">
        <v>8</v>
      </c>
      <c r="D1797" s="80"/>
      <c r="E1797" s="97"/>
      <c r="F1797" s="97"/>
      <c r="G1797" s="97"/>
      <c r="H1797" s="97"/>
      <c r="I1797" s="97"/>
      <c r="J1797" s="97"/>
      <c r="K1797" s="97"/>
      <c r="L1797" s="195"/>
    </row>
    <row r="1798" spans="1:14" x14ac:dyDescent="0.45">
      <c r="A1798" s="462"/>
      <c r="B1798" s="441"/>
      <c r="C1798" s="194">
        <v>9</v>
      </c>
      <c r="D1798" s="80"/>
      <c r="E1798" s="97"/>
      <c r="F1798" s="97"/>
      <c r="G1798" s="97"/>
      <c r="H1798" s="97"/>
      <c r="I1798" s="97"/>
      <c r="J1798" s="97"/>
      <c r="K1798" s="97"/>
      <c r="L1798" s="195"/>
    </row>
    <row r="1799" spans="1:14" x14ac:dyDescent="0.45">
      <c r="A1799" s="462"/>
      <c r="B1799" s="441"/>
      <c r="C1799" s="194">
        <v>10</v>
      </c>
      <c r="D1799" s="80"/>
      <c r="E1799" s="97"/>
      <c r="F1799" s="97"/>
      <c r="G1799" s="97"/>
      <c r="H1799" s="97"/>
      <c r="I1799" s="97"/>
      <c r="J1799" s="97"/>
      <c r="K1799" s="97"/>
      <c r="L1799" s="195"/>
    </row>
    <row r="1800" spans="1:14" x14ac:dyDescent="0.45">
      <c r="A1800" s="462"/>
      <c r="B1800" s="441"/>
      <c r="C1800" s="194">
        <v>11</v>
      </c>
      <c r="D1800" s="81"/>
      <c r="E1800" s="98"/>
      <c r="F1800" s="98"/>
      <c r="G1800" s="98"/>
      <c r="H1800" s="98"/>
      <c r="I1800" s="98"/>
      <c r="J1800" s="98"/>
      <c r="K1800" s="98"/>
      <c r="L1800" s="196"/>
    </row>
    <row r="1801" spans="1:14" ht="14.65" thickBot="1" x14ac:dyDescent="0.5">
      <c r="A1801" s="463"/>
      <c r="B1801" s="442"/>
      <c r="C1801" s="199">
        <v>12</v>
      </c>
      <c r="D1801" s="82"/>
      <c r="E1801" s="99"/>
      <c r="F1801" s="99"/>
      <c r="G1801" s="99"/>
      <c r="H1801" s="99"/>
      <c r="I1801" s="99"/>
      <c r="J1801" s="99"/>
      <c r="K1801" s="99"/>
      <c r="L1801" s="198"/>
    </row>
    <row r="1803" spans="1:14" s="91" customFormat="1" x14ac:dyDescent="0.45"/>
    <row r="1804" spans="1:14" ht="14.65" thickBot="1" x14ac:dyDescent="0.5"/>
    <row r="1805" spans="1:14" ht="28.9" thickBot="1" x14ac:dyDescent="0.5">
      <c r="A1805" s="187" t="s">
        <v>76</v>
      </c>
      <c r="B1805" s="186">
        <v>13</v>
      </c>
      <c r="C1805" s="109"/>
      <c r="D1805" s="109"/>
    </row>
    <row r="1806" spans="1:14" x14ac:dyDescent="0.45">
      <c r="A1806" s="443" t="s">
        <v>27</v>
      </c>
      <c r="B1806" s="448">
        <f>Name13</f>
        <v>0</v>
      </c>
      <c r="C1806" s="449"/>
      <c r="D1806" s="450"/>
      <c r="I1806" s="204"/>
      <c r="J1806" s="204"/>
      <c r="K1806" s="204"/>
      <c r="L1806" s="204"/>
      <c r="M1806" s="204"/>
      <c r="N1806" s="204"/>
    </row>
    <row r="1807" spans="1:14" x14ac:dyDescent="0.45">
      <c r="A1807" s="444"/>
      <c r="B1807" s="448"/>
      <c r="C1807" s="449"/>
      <c r="D1807" s="450"/>
      <c r="I1807" s="204"/>
      <c r="J1807" s="204"/>
      <c r="K1807" s="204"/>
      <c r="L1807" s="204"/>
      <c r="M1807" s="204"/>
      <c r="N1807" s="204"/>
    </row>
    <row r="1808" spans="1:14" x14ac:dyDescent="0.45">
      <c r="A1808" s="445"/>
      <c r="B1808" s="388"/>
      <c r="C1808" s="451"/>
      <c r="D1808" s="452"/>
      <c r="I1808" s="204"/>
      <c r="J1808" s="204"/>
      <c r="K1808" s="204"/>
      <c r="L1808" s="204"/>
      <c r="M1808" s="204"/>
      <c r="N1808" s="204"/>
    </row>
    <row r="1809" spans="1:14" ht="14.45" customHeight="1" x14ac:dyDescent="0.45">
      <c r="A1809" s="444" t="s">
        <v>155</v>
      </c>
      <c r="B1809" s="453">
        <f>GapA13</f>
        <v>0</v>
      </c>
      <c r="C1809" s="454"/>
      <c r="D1809" s="455"/>
      <c r="I1809" s="204"/>
      <c r="J1809" s="204"/>
      <c r="K1809" s="204"/>
      <c r="L1809" s="204"/>
      <c r="M1809" s="204"/>
      <c r="N1809" s="204"/>
    </row>
    <row r="1810" spans="1:14" x14ac:dyDescent="0.45">
      <c r="A1810" s="444"/>
      <c r="B1810" s="448"/>
      <c r="C1810" s="449"/>
      <c r="D1810" s="450"/>
      <c r="I1810" s="204"/>
      <c r="J1810" s="204"/>
      <c r="K1810" s="204"/>
      <c r="L1810" s="204"/>
      <c r="M1810" s="204"/>
      <c r="N1810" s="204"/>
    </row>
    <row r="1811" spans="1:14" x14ac:dyDescent="0.45">
      <c r="A1811" s="445"/>
      <c r="B1811" s="388"/>
      <c r="C1811" s="451"/>
      <c r="D1811" s="452"/>
      <c r="I1811" s="204"/>
      <c r="J1811" s="204"/>
      <c r="K1811" s="204"/>
      <c r="L1811" s="204"/>
      <c r="M1811" s="204"/>
      <c r="N1811" s="204"/>
    </row>
    <row r="1812" spans="1:14" x14ac:dyDescent="0.45">
      <c r="A1812" s="444" t="s">
        <v>159</v>
      </c>
      <c r="B1812" s="453">
        <f>Objective13</f>
        <v>0</v>
      </c>
      <c r="C1812" s="454"/>
      <c r="D1812" s="455"/>
      <c r="I1812" s="204"/>
      <c r="J1812" s="204"/>
      <c r="K1812" s="204"/>
      <c r="L1812" s="204"/>
      <c r="M1812" s="204"/>
      <c r="N1812" s="204"/>
    </row>
    <row r="1813" spans="1:14" x14ac:dyDescent="0.45">
      <c r="A1813" s="444"/>
      <c r="B1813" s="448"/>
      <c r="C1813" s="449"/>
      <c r="D1813" s="450"/>
      <c r="I1813" s="204"/>
      <c r="J1813" s="204"/>
      <c r="K1813" s="204"/>
      <c r="L1813" s="204"/>
      <c r="M1813" s="204"/>
      <c r="N1813" s="204"/>
    </row>
    <row r="1814" spans="1:14" x14ac:dyDescent="0.45">
      <c r="A1814" s="445"/>
      <c r="B1814" s="388"/>
      <c r="C1814" s="451"/>
      <c r="D1814" s="452"/>
      <c r="I1814" s="204"/>
      <c r="J1814" s="204"/>
      <c r="K1814" s="204"/>
      <c r="L1814" s="204"/>
      <c r="M1814" s="204"/>
      <c r="N1814" s="204"/>
    </row>
    <row r="1815" spans="1:14" ht="14.45" customHeight="1" x14ac:dyDescent="0.45">
      <c r="A1815" s="446" t="s">
        <v>166</v>
      </c>
      <c r="B1815" s="454">
        <f>Capacity13</f>
        <v>0</v>
      </c>
      <c r="C1815" s="454"/>
      <c r="D1815" s="455"/>
      <c r="I1815" s="204"/>
      <c r="J1815" s="204"/>
      <c r="K1815" s="204"/>
      <c r="L1815" s="204"/>
      <c r="M1815" s="204"/>
      <c r="N1815" s="204"/>
    </row>
    <row r="1816" spans="1:14" x14ac:dyDescent="0.45">
      <c r="A1816" s="447"/>
      <c r="B1816" s="449"/>
      <c r="C1816" s="449"/>
      <c r="D1816" s="450"/>
      <c r="I1816" s="204"/>
      <c r="J1816" s="204"/>
      <c r="K1816" s="204"/>
      <c r="L1816" s="204"/>
      <c r="M1816" s="204"/>
      <c r="N1816" s="204"/>
    </row>
    <row r="1817" spans="1:14" ht="14.65" thickBot="1" x14ac:dyDescent="0.5">
      <c r="A1817" s="464"/>
      <c r="B1817" s="456"/>
      <c r="C1817" s="456"/>
      <c r="D1817" s="457"/>
      <c r="I1817" s="204"/>
      <c r="J1817" s="204"/>
      <c r="K1817" s="204"/>
      <c r="L1817" s="204"/>
      <c r="M1817" s="204"/>
      <c r="N1817" s="204"/>
    </row>
    <row r="1819" spans="1:14" ht="14.65" thickBot="1" x14ac:dyDescent="0.5">
      <c r="A1819" s="90"/>
      <c r="B1819" s="90"/>
      <c r="C1819" s="90"/>
      <c r="D1819" s="90"/>
      <c r="E1819" s="90"/>
      <c r="F1819" s="90"/>
      <c r="G1819" s="90"/>
      <c r="H1819" s="90"/>
      <c r="I1819" s="90"/>
      <c r="J1819" s="90"/>
      <c r="K1819" s="90"/>
      <c r="L1819" s="90"/>
      <c r="M1819" s="90"/>
      <c r="N1819" s="90"/>
    </row>
    <row r="1820" spans="1:14" ht="21.75" customHeight="1" x14ac:dyDescent="0.45">
      <c r="A1820" s="458" t="s">
        <v>135</v>
      </c>
      <c r="B1820" s="459"/>
      <c r="C1820" s="459"/>
      <c r="D1820" s="459"/>
      <c r="E1820" s="459"/>
      <c r="F1820" s="459"/>
      <c r="G1820" s="459"/>
      <c r="H1820" s="459"/>
      <c r="I1820" s="459"/>
      <c r="J1820" s="459"/>
      <c r="K1820" s="459"/>
      <c r="L1820" s="460"/>
    </row>
    <row r="1821" spans="1:14" ht="29" customHeight="1" thickBot="1" x14ac:dyDescent="0.5">
      <c r="A1821" s="93" t="s">
        <v>74</v>
      </c>
      <c r="B1821" s="94" t="s">
        <v>28</v>
      </c>
      <c r="C1821" s="95" t="s">
        <v>320</v>
      </c>
      <c r="D1821" s="95" t="s">
        <v>127</v>
      </c>
      <c r="E1821" s="114" t="s">
        <v>90</v>
      </c>
      <c r="F1821" s="95" t="s">
        <v>175</v>
      </c>
      <c r="G1821" s="95" t="s">
        <v>176</v>
      </c>
      <c r="H1821" s="95" t="s">
        <v>156</v>
      </c>
      <c r="I1821" s="95" t="s">
        <v>157</v>
      </c>
      <c r="J1821" s="189" t="s">
        <v>321</v>
      </c>
      <c r="K1821" s="190" t="s">
        <v>29</v>
      </c>
      <c r="L1821" s="191" t="s">
        <v>322</v>
      </c>
    </row>
    <row r="1822" spans="1:14" x14ac:dyDescent="0.45">
      <c r="A1822" s="461">
        <v>1</v>
      </c>
      <c r="B1822" s="440">
        <v>1</v>
      </c>
      <c r="C1822" s="192">
        <v>1</v>
      </c>
      <c r="D1822" s="79"/>
      <c r="E1822" s="96"/>
      <c r="F1822" s="96"/>
      <c r="G1822" s="96"/>
      <c r="H1822" s="96"/>
      <c r="I1822" s="96"/>
      <c r="J1822" s="96"/>
      <c r="K1822" s="96"/>
      <c r="L1822" s="193"/>
    </row>
    <row r="1823" spans="1:14" x14ac:dyDescent="0.45">
      <c r="A1823" s="462"/>
      <c r="B1823" s="441"/>
      <c r="C1823" s="194">
        <v>2</v>
      </c>
      <c r="D1823" s="80"/>
      <c r="E1823" s="97"/>
      <c r="F1823" s="97"/>
      <c r="G1823" s="97"/>
      <c r="H1823" s="97"/>
      <c r="I1823" s="97"/>
      <c r="J1823" s="97"/>
      <c r="K1823" s="97"/>
      <c r="L1823" s="195"/>
    </row>
    <row r="1824" spans="1:14" x14ac:dyDescent="0.45">
      <c r="A1824" s="462"/>
      <c r="B1824" s="441"/>
      <c r="C1824" s="194">
        <v>3</v>
      </c>
      <c r="D1824" s="80"/>
      <c r="E1824" s="97"/>
      <c r="F1824" s="97"/>
      <c r="G1824" s="97"/>
      <c r="H1824" s="97"/>
      <c r="I1824" s="97"/>
      <c r="J1824" s="97"/>
      <c r="K1824" s="97"/>
      <c r="L1824" s="195"/>
    </row>
    <row r="1825" spans="1:14" x14ac:dyDescent="0.45">
      <c r="A1825" s="462"/>
      <c r="B1825" s="441"/>
      <c r="C1825" s="194">
        <v>4</v>
      </c>
      <c r="D1825" s="80"/>
      <c r="E1825" s="97"/>
      <c r="F1825" s="97"/>
      <c r="G1825" s="97"/>
      <c r="H1825" s="97"/>
      <c r="I1825" s="97"/>
      <c r="J1825" s="97"/>
      <c r="K1825" s="97"/>
      <c r="L1825" s="195"/>
    </row>
    <row r="1826" spans="1:14" x14ac:dyDescent="0.45">
      <c r="A1826" s="462"/>
      <c r="B1826" s="441"/>
      <c r="C1826" s="194">
        <v>5</v>
      </c>
      <c r="D1826" s="80"/>
      <c r="E1826" s="97"/>
      <c r="F1826" s="97"/>
      <c r="G1826" s="97"/>
      <c r="H1826" s="97"/>
      <c r="I1826" s="97"/>
      <c r="J1826" s="97"/>
      <c r="K1826" s="97"/>
      <c r="L1826" s="195"/>
    </row>
    <row r="1827" spans="1:14" x14ac:dyDescent="0.45">
      <c r="A1827" s="462"/>
      <c r="B1827" s="441"/>
      <c r="C1827" s="194">
        <v>6</v>
      </c>
      <c r="D1827" s="80"/>
      <c r="E1827" s="97"/>
      <c r="F1827" s="97"/>
      <c r="G1827" s="97"/>
      <c r="H1827" s="97"/>
      <c r="I1827" s="97"/>
      <c r="J1827" s="97"/>
      <c r="K1827" s="97"/>
      <c r="L1827" s="195"/>
    </row>
    <row r="1828" spans="1:14" x14ac:dyDescent="0.45">
      <c r="A1828" s="462"/>
      <c r="B1828" s="441"/>
      <c r="C1828" s="194">
        <v>7</v>
      </c>
      <c r="D1828" s="80"/>
      <c r="E1828" s="97"/>
      <c r="F1828" s="97"/>
      <c r="G1828" s="97"/>
      <c r="H1828" s="97"/>
      <c r="I1828" s="97"/>
      <c r="J1828" s="97"/>
      <c r="K1828" s="97"/>
      <c r="L1828" s="195"/>
    </row>
    <row r="1829" spans="1:14" x14ac:dyDescent="0.45">
      <c r="A1829" s="462"/>
      <c r="B1829" s="441"/>
      <c r="C1829" s="194">
        <v>8</v>
      </c>
      <c r="D1829" s="80"/>
      <c r="E1829" s="97"/>
      <c r="F1829" s="97"/>
      <c r="G1829" s="97"/>
      <c r="H1829" s="97"/>
      <c r="I1829" s="97"/>
      <c r="J1829" s="97"/>
      <c r="K1829" s="97"/>
      <c r="L1829" s="195"/>
    </row>
    <row r="1830" spans="1:14" x14ac:dyDescent="0.45">
      <c r="A1830" s="462"/>
      <c r="B1830" s="441"/>
      <c r="C1830" s="194">
        <v>9</v>
      </c>
      <c r="D1830" s="80"/>
      <c r="E1830" s="97"/>
      <c r="F1830" s="97"/>
      <c r="G1830" s="97"/>
      <c r="H1830" s="97"/>
      <c r="I1830" s="97"/>
      <c r="J1830" s="97"/>
      <c r="K1830" s="97"/>
      <c r="L1830" s="195"/>
    </row>
    <row r="1831" spans="1:14" x14ac:dyDescent="0.45">
      <c r="A1831" s="462"/>
      <c r="B1831" s="441"/>
      <c r="C1831" s="194">
        <v>10</v>
      </c>
      <c r="D1831" s="80"/>
      <c r="E1831" s="97"/>
      <c r="F1831" s="97"/>
      <c r="G1831" s="97"/>
      <c r="H1831" s="97"/>
      <c r="I1831" s="97"/>
      <c r="J1831" s="97"/>
      <c r="K1831" s="97"/>
      <c r="L1831" s="195"/>
    </row>
    <row r="1832" spans="1:14" x14ac:dyDescent="0.45">
      <c r="A1832" s="462"/>
      <c r="B1832" s="441"/>
      <c r="C1832" s="194">
        <v>11</v>
      </c>
      <c r="D1832" s="81"/>
      <c r="E1832" s="98"/>
      <c r="F1832" s="98"/>
      <c r="G1832" s="98"/>
      <c r="H1832" s="98"/>
      <c r="I1832" s="98"/>
      <c r="J1832" s="98"/>
      <c r="K1832" s="98"/>
      <c r="L1832" s="196"/>
    </row>
    <row r="1833" spans="1:14" s="90" customFormat="1" ht="14.65" thickBot="1" x14ac:dyDescent="0.5">
      <c r="A1833" s="462"/>
      <c r="B1833" s="442"/>
      <c r="C1833" s="197">
        <v>12</v>
      </c>
      <c r="D1833" s="82"/>
      <c r="E1833" s="99"/>
      <c r="F1833" s="99"/>
      <c r="G1833" s="99"/>
      <c r="H1833" s="99"/>
      <c r="I1833" s="99"/>
      <c r="J1833" s="99"/>
      <c r="K1833" s="99"/>
      <c r="L1833" s="198"/>
      <c r="M1833" s="61"/>
      <c r="N1833" s="61"/>
    </row>
    <row r="1834" spans="1:14" x14ac:dyDescent="0.45">
      <c r="A1834" s="462"/>
      <c r="B1834" s="440">
        <v>2</v>
      </c>
      <c r="C1834" s="192">
        <v>1</v>
      </c>
      <c r="D1834" s="79"/>
      <c r="E1834" s="96"/>
      <c r="F1834" s="96"/>
      <c r="G1834" s="96"/>
      <c r="H1834" s="96"/>
      <c r="I1834" s="96"/>
      <c r="J1834" s="96"/>
      <c r="K1834" s="96"/>
      <c r="L1834" s="193"/>
    </row>
    <row r="1835" spans="1:14" x14ac:dyDescent="0.45">
      <c r="A1835" s="462"/>
      <c r="B1835" s="441"/>
      <c r="C1835" s="194">
        <v>2</v>
      </c>
      <c r="D1835" s="80"/>
      <c r="E1835" s="97"/>
      <c r="F1835" s="97"/>
      <c r="G1835" s="97"/>
      <c r="H1835" s="97"/>
      <c r="I1835" s="97"/>
      <c r="J1835" s="97"/>
      <c r="K1835" s="97"/>
      <c r="L1835" s="195"/>
    </row>
    <row r="1836" spans="1:14" x14ac:dyDescent="0.45">
      <c r="A1836" s="462"/>
      <c r="B1836" s="441"/>
      <c r="C1836" s="194">
        <v>3</v>
      </c>
      <c r="D1836" s="80"/>
      <c r="E1836" s="97"/>
      <c r="F1836" s="97"/>
      <c r="G1836" s="97"/>
      <c r="H1836" s="97"/>
      <c r="I1836" s="97"/>
      <c r="J1836" s="97"/>
      <c r="K1836" s="97"/>
      <c r="L1836" s="195"/>
    </row>
    <row r="1837" spans="1:14" x14ac:dyDescent="0.45">
      <c r="A1837" s="462"/>
      <c r="B1837" s="441"/>
      <c r="C1837" s="194">
        <v>4</v>
      </c>
      <c r="D1837" s="80"/>
      <c r="E1837" s="97"/>
      <c r="F1837" s="97"/>
      <c r="G1837" s="97"/>
      <c r="H1837" s="97"/>
      <c r="I1837" s="97"/>
      <c r="J1837" s="97"/>
      <c r="K1837" s="97"/>
      <c r="L1837" s="195"/>
    </row>
    <row r="1838" spans="1:14" x14ac:dyDescent="0.45">
      <c r="A1838" s="462"/>
      <c r="B1838" s="441"/>
      <c r="C1838" s="194">
        <v>5</v>
      </c>
      <c r="D1838" s="80"/>
      <c r="E1838" s="97"/>
      <c r="F1838" s="97"/>
      <c r="G1838" s="97"/>
      <c r="H1838" s="97"/>
      <c r="I1838" s="97"/>
      <c r="J1838" s="97"/>
      <c r="K1838" s="97"/>
      <c r="L1838" s="195"/>
    </row>
    <row r="1839" spans="1:14" x14ac:dyDescent="0.45">
      <c r="A1839" s="462"/>
      <c r="B1839" s="441"/>
      <c r="C1839" s="194">
        <v>6</v>
      </c>
      <c r="D1839" s="80"/>
      <c r="E1839" s="97"/>
      <c r="F1839" s="97"/>
      <c r="G1839" s="97"/>
      <c r="H1839" s="97"/>
      <c r="I1839" s="97"/>
      <c r="J1839" s="97"/>
      <c r="K1839" s="97"/>
      <c r="L1839" s="195"/>
    </row>
    <row r="1840" spans="1:14" x14ac:dyDescent="0.45">
      <c r="A1840" s="462"/>
      <c r="B1840" s="441"/>
      <c r="C1840" s="194">
        <v>7</v>
      </c>
      <c r="D1840" s="80"/>
      <c r="E1840" s="97"/>
      <c r="F1840" s="97"/>
      <c r="G1840" s="97"/>
      <c r="H1840" s="97"/>
      <c r="I1840" s="97"/>
      <c r="J1840" s="97"/>
      <c r="K1840" s="97"/>
      <c r="L1840" s="195"/>
    </row>
    <row r="1841" spans="1:12" x14ac:dyDescent="0.45">
      <c r="A1841" s="462"/>
      <c r="B1841" s="441"/>
      <c r="C1841" s="194">
        <v>8</v>
      </c>
      <c r="D1841" s="80"/>
      <c r="E1841" s="97"/>
      <c r="F1841" s="97"/>
      <c r="G1841" s="97"/>
      <c r="H1841" s="97"/>
      <c r="I1841" s="97"/>
      <c r="J1841" s="97"/>
      <c r="K1841" s="97"/>
      <c r="L1841" s="195"/>
    </row>
    <row r="1842" spans="1:12" x14ac:dyDescent="0.45">
      <c r="A1842" s="462"/>
      <c r="B1842" s="441"/>
      <c r="C1842" s="194">
        <v>9</v>
      </c>
      <c r="D1842" s="80"/>
      <c r="E1842" s="97"/>
      <c r="F1842" s="97"/>
      <c r="G1842" s="97"/>
      <c r="H1842" s="97"/>
      <c r="I1842" s="97"/>
      <c r="J1842" s="97"/>
      <c r="K1842" s="97"/>
      <c r="L1842" s="195"/>
    </row>
    <row r="1843" spans="1:12" x14ac:dyDescent="0.45">
      <c r="A1843" s="462"/>
      <c r="B1843" s="441"/>
      <c r="C1843" s="194">
        <v>10</v>
      </c>
      <c r="D1843" s="80"/>
      <c r="E1843" s="97"/>
      <c r="F1843" s="97"/>
      <c r="G1843" s="97"/>
      <c r="H1843" s="97"/>
      <c r="I1843" s="97"/>
      <c r="J1843" s="97"/>
      <c r="K1843" s="97"/>
      <c r="L1843" s="195"/>
    </row>
    <row r="1844" spans="1:12" x14ac:dyDescent="0.45">
      <c r="A1844" s="462"/>
      <c r="B1844" s="441"/>
      <c r="C1844" s="194">
        <v>11</v>
      </c>
      <c r="D1844" s="81"/>
      <c r="E1844" s="98"/>
      <c r="F1844" s="98"/>
      <c r="G1844" s="98"/>
      <c r="H1844" s="98"/>
      <c r="I1844" s="98"/>
      <c r="J1844" s="98"/>
      <c r="K1844" s="98"/>
      <c r="L1844" s="196"/>
    </row>
    <row r="1845" spans="1:12" ht="14.65" thickBot="1" x14ac:dyDescent="0.5">
      <c r="A1845" s="462"/>
      <c r="B1845" s="442"/>
      <c r="C1845" s="197">
        <v>12</v>
      </c>
      <c r="D1845" s="82"/>
      <c r="E1845" s="99"/>
      <c r="F1845" s="99"/>
      <c r="G1845" s="99"/>
      <c r="H1845" s="99"/>
      <c r="I1845" s="99"/>
      <c r="J1845" s="99"/>
      <c r="K1845" s="99"/>
      <c r="L1845" s="198"/>
    </row>
    <row r="1846" spans="1:12" x14ac:dyDescent="0.45">
      <c r="A1846" s="462"/>
      <c r="B1846" s="440">
        <v>3</v>
      </c>
      <c r="C1846" s="192">
        <v>1</v>
      </c>
      <c r="D1846" s="79"/>
      <c r="E1846" s="96"/>
      <c r="F1846" s="96"/>
      <c r="G1846" s="96"/>
      <c r="H1846" s="96"/>
      <c r="I1846" s="96"/>
      <c r="J1846" s="96"/>
      <c r="K1846" s="96"/>
      <c r="L1846" s="193"/>
    </row>
    <row r="1847" spans="1:12" x14ac:dyDescent="0.45">
      <c r="A1847" s="462"/>
      <c r="B1847" s="441"/>
      <c r="C1847" s="194">
        <v>2</v>
      </c>
      <c r="D1847" s="80"/>
      <c r="E1847" s="97"/>
      <c r="F1847" s="97"/>
      <c r="G1847" s="97"/>
      <c r="H1847" s="97"/>
      <c r="I1847" s="97"/>
      <c r="J1847" s="97"/>
      <c r="K1847" s="97"/>
      <c r="L1847" s="195"/>
    </row>
    <row r="1848" spans="1:12" x14ac:dyDescent="0.45">
      <c r="A1848" s="462"/>
      <c r="B1848" s="441"/>
      <c r="C1848" s="194">
        <v>3</v>
      </c>
      <c r="D1848" s="80"/>
      <c r="E1848" s="97"/>
      <c r="F1848" s="97"/>
      <c r="G1848" s="97"/>
      <c r="H1848" s="97"/>
      <c r="I1848" s="97"/>
      <c r="J1848" s="97"/>
      <c r="K1848" s="97"/>
      <c r="L1848" s="195"/>
    </row>
    <row r="1849" spans="1:12" x14ac:dyDescent="0.45">
      <c r="A1849" s="462"/>
      <c r="B1849" s="441"/>
      <c r="C1849" s="194">
        <v>4</v>
      </c>
      <c r="D1849" s="80"/>
      <c r="E1849" s="97"/>
      <c r="F1849" s="97"/>
      <c r="G1849" s="97"/>
      <c r="H1849" s="97"/>
      <c r="I1849" s="97"/>
      <c r="J1849" s="97"/>
      <c r="K1849" s="97"/>
      <c r="L1849" s="195"/>
    </row>
    <row r="1850" spans="1:12" x14ac:dyDescent="0.45">
      <c r="A1850" s="462"/>
      <c r="B1850" s="441"/>
      <c r="C1850" s="194">
        <v>5</v>
      </c>
      <c r="D1850" s="80"/>
      <c r="E1850" s="97"/>
      <c r="F1850" s="97"/>
      <c r="G1850" s="97"/>
      <c r="H1850" s="97"/>
      <c r="I1850" s="97"/>
      <c r="J1850" s="97"/>
      <c r="K1850" s="97"/>
      <c r="L1850" s="195"/>
    </row>
    <row r="1851" spans="1:12" x14ac:dyDescent="0.45">
      <c r="A1851" s="462"/>
      <c r="B1851" s="441"/>
      <c r="C1851" s="194">
        <v>6</v>
      </c>
      <c r="D1851" s="80"/>
      <c r="E1851" s="97"/>
      <c r="F1851" s="97"/>
      <c r="G1851" s="97"/>
      <c r="H1851" s="97"/>
      <c r="I1851" s="97"/>
      <c r="J1851" s="97"/>
      <c r="K1851" s="97"/>
      <c r="L1851" s="195"/>
    </row>
    <row r="1852" spans="1:12" x14ac:dyDescent="0.45">
      <c r="A1852" s="462"/>
      <c r="B1852" s="441"/>
      <c r="C1852" s="194">
        <v>7</v>
      </c>
      <c r="D1852" s="80"/>
      <c r="E1852" s="97"/>
      <c r="F1852" s="97"/>
      <c r="G1852" s="97"/>
      <c r="H1852" s="97"/>
      <c r="I1852" s="97"/>
      <c r="J1852" s="97"/>
      <c r="K1852" s="97"/>
      <c r="L1852" s="195"/>
    </row>
    <row r="1853" spans="1:12" x14ac:dyDescent="0.45">
      <c r="A1853" s="462"/>
      <c r="B1853" s="441"/>
      <c r="C1853" s="194">
        <v>8</v>
      </c>
      <c r="D1853" s="80"/>
      <c r="E1853" s="97"/>
      <c r="F1853" s="97"/>
      <c r="G1853" s="97"/>
      <c r="H1853" s="97"/>
      <c r="I1853" s="97"/>
      <c r="J1853" s="97"/>
      <c r="K1853" s="97"/>
      <c r="L1853" s="195"/>
    </row>
    <row r="1854" spans="1:12" x14ac:dyDescent="0.45">
      <c r="A1854" s="462"/>
      <c r="B1854" s="441"/>
      <c r="C1854" s="194">
        <v>9</v>
      </c>
      <c r="D1854" s="80"/>
      <c r="E1854" s="97"/>
      <c r="F1854" s="97"/>
      <c r="G1854" s="97"/>
      <c r="H1854" s="97"/>
      <c r="I1854" s="97"/>
      <c r="J1854" s="97"/>
      <c r="K1854" s="97"/>
      <c r="L1854" s="195"/>
    </row>
    <row r="1855" spans="1:12" x14ac:dyDescent="0.45">
      <c r="A1855" s="462"/>
      <c r="B1855" s="441"/>
      <c r="C1855" s="194">
        <v>10</v>
      </c>
      <c r="D1855" s="80"/>
      <c r="E1855" s="97"/>
      <c r="F1855" s="97"/>
      <c r="G1855" s="97"/>
      <c r="H1855" s="97"/>
      <c r="I1855" s="97"/>
      <c r="J1855" s="97"/>
      <c r="K1855" s="97"/>
      <c r="L1855" s="195"/>
    </row>
    <row r="1856" spans="1:12" x14ac:dyDescent="0.45">
      <c r="A1856" s="462"/>
      <c r="B1856" s="441"/>
      <c r="C1856" s="194">
        <v>11</v>
      </c>
      <c r="D1856" s="81"/>
      <c r="E1856" s="98"/>
      <c r="F1856" s="98"/>
      <c r="G1856" s="98"/>
      <c r="H1856" s="98"/>
      <c r="I1856" s="98"/>
      <c r="J1856" s="98"/>
      <c r="K1856" s="98"/>
      <c r="L1856" s="196"/>
    </row>
    <row r="1857" spans="1:12" ht="14.65" thickBot="1" x14ac:dyDescent="0.5">
      <c r="A1857" s="462"/>
      <c r="B1857" s="442"/>
      <c r="C1857" s="197">
        <v>12</v>
      </c>
      <c r="D1857" s="82"/>
      <c r="E1857" s="99"/>
      <c r="F1857" s="99"/>
      <c r="G1857" s="99"/>
      <c r="H1857" s="99"/>
      <c r="I1857" s="99"/>
      <c r="J1857" s="99"/>
      <c r="K1857" s="99"/>
      <c r="L1857" s="198"/>
    </row>
    <row r="1858" spans="1:12" x14ac:dyDescent="0.45">
      <c r="A1858" s="462"/>
      <c r="B1858" s="440">
        <v>4</v>
      </c>
      <c r="C1858" s="192">
        <v>1</v>
      </c>
      <c r="D1858" s="79"/>
      <c r="E1858" s="96"/>
      <c r="F1858" s="96"/>
      <c r="G1858" s="96"/>
      <c r="H1858" s="96"/>
      <c r="I1858" s="96"/>
      <c r="J1858" s="96"/>
      <c r="K1858" s="96"/>
      <c r="L1858" s="193"/>
    </row>
    <row r="1859" spans="1:12" x14ac:dyDescent="0.45">
      <c r="A1859" s="462"/>
      <c r="B1859" s="441"/>
      <c r="C1859" s="194">
        <v>2</v>
      </c>
      <c r="D1859" s="80"/>
      <c r="E1859" s="97"/>
      <c r="F1859" s="97"/>
      <c r="G1859" s="97"/>
      <c r="H1859" s="97"/>
      <c r="I1859" s="97"/>
      <c r="J1859" s="97"/>
      <c r="K1859" s="97"/>
      <c r="L1859" s="195"/>
    </row>
    <row r="1860" spans="1:12" x14ac:dyDescent="0.45">
      <c r="A1860" s="462"/>
      <c r="B1860" s="441"/>
      <c r="C1860" s="194">
        <v>3</v>
      </c>
      <c r="D1860" s="80"/>
      <c r="E1860" s="97"/>
      <c r="F1860" s="97"/>
      <c r="G1860" s="97"/>
      <c r="H1860" s="97"/>
      <c r="I1860" s="97"/>
      <c r="J1860" s="97"/>
      <c r="K1860" s="97"/>
      <c r="L1860" s="195"/>
    </row>
    <row r="1861" spans="1:12" x14ac:dyDescent="0.45">
      <c r="A1861" s="462"/>
      <c r="B1861" s="441"/>
      <c r="C1861" s="194">
        <v>4</v>
      </c>
      <c r="D1861" s="80"/>
      <c r="E1861" s="97"/>
      <c r="F1861" s="97"/>
      <c r="G1861" s="97"/>
      <c r="H1861" s="97"/>
      <c r="I1861" s="97"/>
      <c r="J1861" s="97"/>
      <c r="K1861" s="97"/>
      <c r="L1861" s="195"/>
    </row>
    <row r="1862" spans="1:12" x14ac:dyDescent="0.45">
      <c r="A1862" s="462"/>
      <c r="B1862" s="441"/>
      <c r="C1862" s="194">
        <v>5</v>
      </c>
      <c r="D1862" s="80"/>
      <c r="E1862" s="97"/>
      <c r="F1862" s="97"/>
      <c r="G1862" s="97"/>
      <c r="H1862" s="97"/>
      <c r="I1862" s="97"/>
      <c r="J1862" s="97"/>
      <c r="K1862" s="97"/>
      <c r="L1862" s="195"/>
    </row>
    <row r="1863" spans="1:12" x14ac:dyDescent="0.45">
      <c r="A1863" s="462"/>
      <c r="B1863" s="441"/>
      <c r="C1863" s="194">
        <v>6</v>
      </c>
      <c r="D1863" s="80"/>
      <c r="E1863" s="97"/>
      <c r="F1863" s="97"/>
      <c r="G1863" s="97"/>
      <c r="H1863" s="97"/>
      <c r="I1863" s="97"/>
      <c r="J1863" s="97"/>
      <c r="K1863" s="97"/>
      <c r="L1863" s="195"/>
    </row>
    <row r="1864" spans="1:12" x14ac:dyDescent="0.45">
      <c r="A1864" s="462"/>
      <c r="B1864" s="441"/>
      <c r="C1864" s="194">
        <v>7</v>
      </c>
      <c r="D1864" s="80"/>
      <c r="E1864" s="97"/>
      <c r="F1864" s="97"/>
      <c r="G1864" s="97"/>
      <c r="H1864" s="97"/>
      <c r="I1864" s="97"/>
      <c r="J1864" s="97"/>
      <c r="K1864" s="97"/>
      <c r="L1864" s="195"/>
    </row>
    <row r="1865" spans="1:12" x14ac:dyDescent="0.45">
      <c r="A1865" s="462"/>
      <c r="B1865" s="441"/>
      <c r="C1865" s="194">
        <v>8</v>
      </c>
      <c r="D1865" s="80"/>
      <c r="E1865" s="97"/>
      <c r="F1865" s="97"/>
      <c r="G1865" s="97"/>
      <c r="H1865" s="97"/>
      <c r="I1865" s="97"/>
      <c r="J1865" s="97"/>
      <c r="K1865" s="97"/>
      <c r="L1865" s="195"/>
    </row>
    <row r="1866" spans="1:12" x14ac:dyDescent="0.45">
      <c r="A1866" s="462"/>
      <c r="B1866" s="441"/>
      <c r="C1866" s="194">
        <v>9</v>
      </c>
      <c r="D1866" s="80"/>
      <c r="E1866" s="97"/>
      <c r="F1866" s="97"/>
      <c r="G1866" s="97"/>
      <c r="H1866" s="97"/>
      <c r="I1866" s="97"/>
      <c r="J1866" s="97"/>
      <c r="K1866" s="97"/>
      <c r="L1866" s="195"/>
    </row>
    <row r="1867" spans="1:12" x14ac:dyDescent="0.45">
      <c r="A1867" s="462"/>
      <c r="B1867" s="441"/>
      <c r="C1867" s="194">
        <v>10</v>
      </c>
      <c r="D1867" s="80"/>
      <c r="E1867" s="97"/>
      <c r="F1867" s="97"/>
      <c r="G1867" s="97"/>
      <c r="H1867" s="97"/>
      <c r="I1867" s="97"/>
      <c r="J1867" s="97"/>
      <c r="K1867" s="97"/>
      <c r="L1867" s="195"/>
    </row>
    <row r="1868" spans="1:12" x14ac:dyDescent="0.45">
      <c r="A1868" s="462"/>
      <c r="B1868" s="441"/>
      <c r="C1868" s="194">
        <v>11</v>
      </c>
      <c r="D1868" s="81"/>
      <c r="E1868" s="98"/>
      <c r="F1868" s="98"/>
      <c r="G1868" s="98"/>
      <c r="H1868" s="98"/>
      <c r="I1868" s="98"/>
      <c r="J1868" s="98"/>
      <c r="K1868" s="98"/>
      <c r="L1868" s="196"/>
    </row>
    <row r="1869" spans="1:12" ht="14.65" thickBot="1" x14ac:dyDescent="0.5">
      <c r="A1869" s="463"/>
      <c r="B1869" s="442"/>
      <c r="C1869" s="197">
        <v>12</v>
      </c>
      <c r="D1869" s="82"/>
      <c r="E1869" s="99"/>
      <c r="F1869" s="99"/>
      <c r="G1869" s="99"/>
      <c r="H1869" s="99"/>
      <c r="I1869" s="99"/>
      <c r="J1869" s="99"/>
      <c r="K1869" s="99"/>
      <c r="L1869" s="198"/>
    </row>
    <row r="1870" spans="1:12" x14ac:dyDescent="0.45">
      <c r="A1870" s="461">
        <v>2</v>
      </c>
      <c r="B1870" s="440">
        <v>5</v>
      </c>
      <c r="C1870" s="192">
        <v>1</v>
      </c>
      <c r="D1870" s="79"/>
      <c r="E1870" s="96"/>
      <c r="F1870" s="96"/>
      <c r="G1870" s="96"/>
      <c r="H1870" s="96"/>
      <c r="I1870" s="96"/>
      <c r="J1870" s="96"/>
      <c r="K1870" s="96"/>
      <c r="L1870" s="193"/>
    </row>
    <row r="1871" spans="1:12" x14ac:dyDescent="0.45">
      <c r="A1871" s="462"/>
      <c r="B1871" s="441"/>
      <c r="C1871" s="194">
        <v>2</v>
      </c>
      <c r="D1871" s="80"/>
      <c r="E1871" s="97"/>
      <c r="F1871" s="97"/>
      <c r="G1871" s="97"/>
      <c r="H1871" s="97"/>
      <c r="I1871" s="97"/>
      <c r="J1871" s="97"/>
      <c r="K1871" s="97"/>
      <c r="L1871" s="195"/>
    </row>
    <row r="1872" spans="1:12" x14ac:dyDescent="0.45">
      <c r="A1872" s="462"/>
      <c r="B1872" s="441"/>
      <c r="C1872" s="194">
        <v>3</v>
      </c>
      <c r="D1872" s="80"/>
      <c r="E1872" s="97"/>
      <c r="F1872" s="97"/>
      <c r="G1872" s="97"/>
      <c r="H1872" s="97"/>
      <c r="I1872" s="97"/>
      <c r="J1872" s="97"/>
      <c r="K1872" s="97"/>
      <c r="L1872" s="195"/>
    </row>
    <row r="1873" spans="1:12" x14ac:dyDescent="0.45">
      <c r="A1873" s="462"/>
      <c r="B1873" s="441"/>
      <c r="C1873" s="194">
        <v>4</v>
      </c>
      <c r="D1873" s="80"/>
      <c r="E1873" s="97"/>
      <c r="F1873" s="97"/>
      <c r="G1873" s="97"/>
      <c r="H1873" s="97"/>
      <c r="I1873" s="97"/>
      <c r="J1873" s="97"/>
      <c r="K1873" s="97"/>
      <c r="L1873" s="195"/>
    </row>
    <row r="1874" spans="1:12" x14ac:dyDescent="0.45">
      <c r="A1874" s="462"/>
      <c r="B1874" s="441"/>
      <c r="C1874" s="194">
        <v>5</v>
      </c>
      <c r="D1874" s="80"/>
      <c r="E1874" s="97"/>
      <c r="F1874" s="97"/>
      <c r="G1874" s="97"/>
      <c r="H1874" s="97"/>
      <c r="I1874" s="97"/>
      <c r="J1874" s="97"/>
      <c r="K1874" s="97"/>
      <c r="L1874" s="195"/>
    </row>
    <row r="1875" spans="1:12" x14ac:dyDescent="0.45">
      <c r="A1875" s="462"/>
      <c r="B1875" s="441"/>
      <c r="C1875" s="194">
        <v>6</v>
      </c>
      <c r="D1875" s="80"/>
      <c r="E1875" s="97"/>
      <c r="F1875" s="97"/>
      <c r="G1875" s="97"/>
      <c r="H1875" s="97"/>
      <c r="I1875" s="97"/>
      <c r="J1875" s="97"/>
      <c r="K1875" s="97"/>
      <c r="L1875" s="195"/>
    </row>
    <row r="1876" spans="1:12" x14ac:dyDescent="0.45">
      <c r="A1876" s="462"/>
      <c r="B1876" s="441"/>
      <c r="C1876" s="194">
        <v>7</v>
      </c>
      <c r="D1876" s="80"/>
      <c r="E1876" s="97"/>
      <c r="F1876" s="97"/>
      <c r="G1876" s="97"/>
      <c r="H1876" s="97"/>
      <c r="I1876" s="97"/>
      <c r="J1876" s="97"/>
      <c r="K1876" s="97"/>
      <c r="L1876" s="195"/>
    </row>
    <row r="1877" spans="1:12" x14ac:dyDescent="0.45">
      <c r="A1877" s="462"/>
      <c r="B1877" s="441"/>
      <c r="C1877" s="194">
        <v>8</v>
      </c>
      <c r="D1877" s="80"/>
      <c r="E1877" s="97"/>
      <c r="F1877" s="97"/>
      <c r="G1877" s="97"/>
      <c r="H1877" s="97"/>
      <c r="I1877" s="97"/>
      <c r="J1877" s="97"/>
      <c r="K1877" s="97"/>
      <c r="L1877" s="195"/>
    </row>
    <row r="1878" spans="1:12" x14ac:dyDescent="0.45">
      <c r="A1878" s="462"/>
      <c r="B1878" s="441"/>
      <c r="C1878" s="194">
        <v>9</v>
      </c>
      <c r="D1878" s="80"/>
      <c r="E1878" s="97"/>
      <c r="F1878" s="97"/>
      <c r="G1878" s="97"/>
      <c r="H1878" s="97"/>
      <c r="I1878" s="97"/>
      <c r="J1878" s="97"/>
      <c r="K1878" s="97"/>
      <c r="L1878" s="195"/>
    </row>
    <row r="1879" spans="1:12" x14ac:dyDescent="0.45">
      <c r="A1879" s="462"/>
      <c r="B1879" s="441"/>
      <c r="C1879" s="194">
        <v>10</v>
      </c>
      <c r="D1879" s="80"/>
      <c r="E1879" s="97"/>
      <c r="F1879" s="97"/>
      <c r="G1879" s="97"/>
      <c r="H1879" s="97"/>
      <c r="I1879" s="97"/>
      <c r="J1879" s="97"/>
      <c r="K1879" s="97"/>
      <c r="L1879" s="195"/>
    </row>
    <row r="1880" spans="1:12" x14ac:dyDescent="0.45">
      <c r="A1880" s="462"/>
      <c r="B1880" s="441"/>
      <c r="C1880" s="194">
        <v>11</v>
      </c>
      <c r="D1880" s="81"/>
      <c r="E1880" s="98"/>
      <c r="F1880" s="98"/>
      <c r="G1880" s="98"/>
      <c r="H1880" s="98"/>
      <c r="I1880" s="98"/>
      <c r="J1880" s="98"/>
      <c r="K1880" s="98"/>
      <c r="L1880" s="196"/>
    </row>
    <row r="1881" spans="1:12" ht="14.65" thickBot="1" x14ac:dyDescent="0.5">
      <c r="A1881" s="462"/>
      <c r="B1881" s="442"/>
      <c r="C1881" s="197">
        <v>12</v>
      </c>
      <c r="D1881" s="82"/>
      <c r="E1881" s="99"/>
      <c r="F1881" s="99"/>
      <c r="G1881" s="99"/>
      <c r="H1881" s="99"/>
      <c r="I1881" s="99"/>
      <c r="J1881" s="99"/>
      <c r="K1881" s="99"/>
      <c r="L1881" s="198"/>
    </row>
    <row r="1882" spans="1:12" x14ac:dyDescent="0.45">
      <c r="A1882" s="462"/>
      <c r="B1882" s="440">
        <v>6</v>
      </c>
      <c r="C1882" s="192">
        <v>1</v>
      </c>
      <c r="D1882" s="79"/>
      <c r="E1882" s="96"/>
      <c r="F1882" s="96"/>
      <c r="G1882" s="96"/>
      <c r="H1882" s="96"/>
      <c r="I1882" s="96"/>
      <c r="J1882" s="96"/>
      <c r="K1882" s="96"/>
      <c r="L1882" s="193"/>
    </row>
    <row r="1883" spans="1:12" x14ac:dyDescent="0.45">
      <c r="A1883" s="462"/>
      <c r="B1883" s="441"/>
      <c r="C1883" s="194">
        <v>2</v>
      </c>
      <c r="D1883" s="80"/>
      <c r="E1883" s="97"/>
      <c r="F1883" s="97"/>
      <c r="G1883" s="97"/>
      <c r="H1883" s="97"/>
      <c r="I1883" s="97"/>
      <c r="J1883" s="97"/>
      <c r="K1883" s="97"/>
      <c r="L1883" s="195"/>
    </row>
    <row r="1884" spans="1:12" x14ac:dyDescent="0.45">
      <c r="A1884" s="462"/>
      <c r="B1884" s="441"/>
      <c r="C1884" s="194">
        <v>3</v>
      </c>
      <c r="D1884" s="80"/>
      <c r="E1884" s="97"/>
      <c r="F1884" s="97"/>
      <c r="G1884" s="97"/>
      <c r="H1884" s="97"/>
      <c r="I1884" s="97"/>
      <c r="J1884" s="97"/>
      <c r="K1884" s="97"/>
      <c r="L1884" s="195"/>
    </row>
    <row r="1885" spans="1:12" x14ac:dyDescent="0.45">
      <c r="A1885" s="462"/>
      <c r="B1885" s="441"/>
      <c r="C1885" s="194">
        <v>4</v>
      </c>
      <c r="D1885" s="80"/>
      <c r="E1885" s="97"/>
      <c r="F1885" s="97"/>
      <c r="G1885" s="97"/>
      <c r="H1885" s="97"/>
      <c r="I1885" s="97"/>
      <c r="J1885" s="97"/>
      <c r="K1885" s="97"/>
      <c r="L1885" s="195"/>
    </row>
    <row r="1886" spans="1:12" x14ac:dyDescent="0.45">
      <c r="A1886" s="462"/>
      <c r="B1886" s="441"/>
      <c r="C1886" s="194">
        <v>5</v>
      </c>
      <c r="D1886" s="80"/>
      <c r="E1886" s="97"/>
      <c r="F1886" s="97"/>
      <c r="G1886" s="97"/>
      <c r="H1886" s="97"/>
      <c r="I1886" s="97"/>
      <c r="J1886" s="97"/>
      <c r="K1886" s="97"/>
      <c r="L1886" s="195"/>
    </row>
    <row r="1887" spans="1:12" x14ac:dyDescent="0.45">
      <c r="A1887" s="462"/>
      <c r="B1887" s="441"/>
      <c r="C1887" s="194">
        <v>6</v>
      </c>
      <c r="D1887" s="80"/>
      <c r="E1887" s="97"/>
      <c r="F1887" s="97"/>
      <c r="G1887" s="97"/>
      <c r="H1887" s="97"/>
      <c r="I1887" s="97"/>
      <c r="J1887" s="97"/>
      <c r="K1887" s="97"/>
      <c r="L1887" s="195"/>
    </row>
    <row r="1888" spans="1:12" x14ac:dyDescent="0.45">
      <c r="A1888" s="462"/>
      <c r="B1888" s="441"/>
      <c r="C1888" s="194">
        <v>7</v>
      </c>
      <c r="D1888" s="80"/>
      <c r="E1888" s="97"/>
      <c r="F1888" s="97"/>
      <c r="G1888" s="97"/>
      <c r="H1888" s="97"/>
      <c r="I1888" s="97"/>
      <c r="J1888" s="97"/>
      <c r="K1888" s="97"/>
      <c r="L1888" s="195"/>
    </row>
    <row r="1889" spans="1:12" x14ac:dyDescent="0.45">
      <c r="A1889" s="462"/>
      <c r="B1889" s="441"/>
      <c r="C1889" s="194">
        <v>8</v>
      </c>
      <c r="D1889" s="80"/>
      <c r="E1889" s="97"/>
      <c r="F1889" s="97"/>
      <c r="G1889" s="97"/>
      <c r="H1889" s="97"/>
      <c r="I1889" s="97"/>
      <c r="J1889" s="97"/>
      <c r="K1889" s="97"/>
      <c r="L1889" s="195"/>
    </row>
    <row r="1890" spans="1:12" x14ac:dyDescent="0.45">
      <c r="A1890" s="462"/>
      <c r="B1890" s="441"/>
      <c r="C1890" s="194">
        <v>9</v>
      </c>
      <c r="D1890" s="80"/>
      <c r="E1890" s="97"/>
      <c r="F1890" s="97"/>
      <c r="G1890" s="97"/>
      <c r="H1890" s="97"/>
      <c r="I1890" s="97"/>
      <c r="J1890" s="97"/>
      <c r="K1890" s="97"/>
      <c r="L1890" s="195"/>
    </row>
    <row r="1891" spans="1:12" x14ac:dyDescent="0.45">
      <c r="A1891" s="462"/>
      <c r="B1891" s="441"/>
      <c r="C1891" s="194">
        <v>10</v>
      </c>
      <c r="D1891" s="80"/>
      <c r="E1891" s="97"/>
      <c r="F1891" s="97"/>
      <c r="G1891" s="97"/>
      <c r="H1891" s="97"/>
      <c r="I1891" s="97"/>
      <c r="J1891" s="97"/>
      <c r="K1891" s="97"/>
      <c r="L1891" s="195"/>
    </row>
    <row r="1892" spans="1:12" x14ac:dyDescent="0.45">
      <c r="A1892" s="462"/>
      <c r="B1892" s="441"/>
      <c r="C1892" s="194">
        <v>11</v>
      </c>
      <c r="D1892" s="81"/>
      <c r="E1892" s="98"/>
      <c r="F1892" s="98"/>
      <c r="G1892" s="98"/>
      <c r="H1892" s="98"/>
      <c r="I1892" s="98"/>
      <c r="J1892" s="98"/>
      <c r="K1892" s="98"/>
      <c r="L1892" s="196"/>
    </row>
    <row r="1893" spans="1:12" ht="14.65" thickBot="1" x14ac:dyDescent="0.5">
      <c r="A1893" s="462"/>
      <c r="B1893" s="442"/>
      <c r="C1893" s="197">
        <v>12</v>
      </c>
      <c r="D1893" s="82"/>
      <c r="E1893" s="99"/>
      <c r="F1893" s="99"/>
      <c r="G1893" s="99"/>
      <c r="H1893" s="99"/>
      <c r="I1893" s="99"/>
      <c r="J1893" s="99"/>
      <c r="K1893" s="99"/>
      <c r="L1893" s="198"/>
    </row>
    <row r="1894" spans="1:12" x14ac:dyDescent="0.45">
      <c r="A1894" s="462"/>
      <c r="B1894" s="440">
        <v>7</v>
      </c>
      <c r="C1894" s="192">
        <v>1</v>
      </c>
      <c r="D1894" s="79"/>
      <c r="E1894" s="96"/>
      <c r="F1894" s="96"/>
      <c r="G1894" s="96"/>
      <c r="H1894" s="96"/>
      <c r="I1894" s="96"/>
      <c r="J1894" s="96"/>
      <c r="K1894" s="96"/>
      <c r="L1894" s="193"/>
    </row>
    <row r="1895" spans="1:12" x14ac:dyDescent="0.45">
      <c r="A1895" s="462"/>
      <c r="B1895" s="441"/>
      <c r="C1895" s="194">
        <v>2</v>
      </c>
      <c r="D1895" s="80"/>
      <c r="E1895" s="97"/>
      <c r="F1895" s="97"/>
      <c r="G1895" s="97"/>
      <c r="H1895" s="97"/>
      <c r="I1895" s="97"/>
      <c r="J1895" s="97"/>
      <c r="K1895" s="97"/>
      <c r="L1895" s="195"/>
    </row>
    <row r="1896" spans="1:12" x14ac:dyDescent="0.45">
      <c r="A1896" s="462"/>
      <c r="B1896" s="441"/>
      <c r="C1896" s="194">
        <v>3</v>
      </c>
      <c r="D1896" s="80"/>
      <c r="E1896" s="97"/>
      <c r="F1896" s="97"/>
      <c r="G1896" s="97"/>
      <c r="H1896" s="97"/>
      <c r="I1896" s="97"/>
      <c r="J1896" s="97"/>
      <c r="K1896" s="97"/>
      <c r="L1896" s="195"/>
    </row>
    <row r="1897" spans="1:12" x14ac:dyDescent="0.45">
      <c r="A1897" s="462"/>
      <c r="B1897" s="441"/>
      <c r="C1897" s="194">
        <v>4</v>
      </c>
      <c r="D1897" s="80"/>
      <c r="E1897" s="97"/>
      <c r="F1897" s="97"/>
      <c r="G1897" s="97"/>
      <c r="H1897" s="97"/>
      <c r="I1897" s="97"/>
      <c r="J1897" s="97"/>
      <c r="K1897" s="97"/>
      <c r="L1897" s="195"/>
    </row>
    <row r="1898" spans="1:12" x14ac:dyDescent="0.45">
      <c r="A1898" s="462"/>
      <c r="B1898" s="441"/>
      <c r="C1898" s="194">
        <v>5</v>
      </c>
      <c r="D1898" s="80"/>
      <c r="E1898" s="97"/>
      <c r="F1898" s="97"/>
      <c r="G1898" s="97"/>
      <c r="H1898" s="97"/>
      <c r="I1898" s="97"/>
      <c r="J1898" s="97"/>
      <c r="K1898" s="97"/>
      <c r="L1898" s="195"/>
    </row>
    <row r="1899" spans="1:12" x14ac:dyDescent="0.45">
      <c r="A1899" s="462"/>
      <c r="B1899" s="441"/>
      <c r="C1899" s="194">
        <v>6</v>
      </c>
      <c r="D1899" s="80"/>
      <c r="E1899" s="97"/>
      <c r="F1899" s="97"/>
      <c r="G1899" s="97"/>
      <c r="H1899" s="97"/>
      <c r="I1899" s="97"/>
      <c r="J1899" s="97"/>
      <c r="K1899" s="97"/>
      <c r="L1899" s="195"/>
    </row>
    <row r="1900" spans="1:12" x14ac:dyDescent="0.45">
      <c r="A1900" s="462"/>
      <c r="B1900" s="441"/>
      <c r="C1900" s="194">
        <v>7</v>
      </c>
      <c r="D1900" s="80"/>
      <c r="E1900" s="97"/>
      <c r="F1900" s="97"/>
      <c r="G1900" s="97"/>
      <c r="H1900" s="97"/>
      <c r="I1900" s="97"/>
      <c r="J1900" s="97"/>
      <c r="K1900" s="97"/>
      <c r="L1900" s="195"/>
    </row>
    <row r="1901" spans="1:12" x14ac:dyDescent="0.45">
      <c r="A1901" s="462"/>
      <c r="B1901" s="441"/>
      <c r="C1901" s="194">
        <v>8</v>
      </c>
      <c r="D1901" s="80"/>
      <c r="E1901" s="97"/>
      <c r="F1901" s="97"/>
      <c r="G1901" s="97"/>
      <c r="H1901" s="97"/>
      <c r="I1901" s="97"/>
      <c r="J1901" s="97"/>
      <c r="K1901" s="97"/>
      <c r="L1901" s="195"/>
    </row>
    <row r="1902" spans="1:12" x14ac:dyDescent="0.45">
      <c r="A1902" s="462"/>
      <c r="B1902" s="441"/>
      <c r="C1902" s="194">
        <v>9</v>
      </c>
      <c r="D1902" s="80"/>
      <c r="E1902" s="97"/>
      <c r="F1902" s="97"/>
      <c r="G1902" s="97"/>
      <c r="H1902" s="97"/>
      <c r="I1902" s="97"/>
      <c r="J1902" s="97"/>
      <c r="K1902" s="97"/>
      <c r="L1902" s="195"/>
    </row>
    <row r="1903" spans="1:12" x14ac:dyDescent="0.45">
      <c r="A1903" s="462"/>
      <c r="B1903" s="441"/>
      <c r="C1903" s="194">
        <v>10</v>
      </c>
      <c r="D1903" s="80"/>
      <c r="E1903" s="97"/>
      <c r="F1903" s="97"/>
      <c r="G1903" s="97"/>
      <c r="H1903" s="97"/>
      <c r="I1903" s="97"/>
      <c r="J1903" s="97"/>
      <c r="K1903" s="97"/>
      <c r="L1903" s="195"/>
    </row>
    <row r="1904" spans="1:12" x14ac:dyDescent="0.45">
      <c r="A1904" s="462"/>
      <c r="B1904" s="441"/>
      <c r="C1904" s="194">
        <v>11</v>
      </c>
      <c r="D1904" s="81"/>
      <c r="E1904" s="98"/>
      <c r="F1904" s="98"/>
      <c r="G1904" s="98"/>
      <c r="H1904" s="98"/>
      <c r="I1904" s="98"/>
      <c r="J1904" s="98"/>
      <c r="K1904" s="98"/>
      <c r="L1904" s="196"/>
    </row>
    <row r="1905" spans="1:12" ht="14.65" thickBot="1" x14ac:dyDescent="0.5">
      <c r="A1905" s="462"/>
      <c r="B1905" s="442"/>
      <c r="C1905" s="197">
        <v>12</v>
      </c>
      <c r="D1905" s="82"/>
      <c r="E1905" s="99"/>
      <c r="F1905" s="99"/>
      <c r="G1905" s="99"/>
      <c r="H1905" s="99"/>
      <c r="I1905" s="99"/>
      <c r="J1905" s="99"/>
      <c r="K1905" s="99"/>
      <c r="L1905" s="198"/>
    </row>
    <row r="1906" spans="1:12" x14ac:dyDescent="0.45">
      <c r="A1906" s="462"/>
      <c r="B1906" s="440">
        <v>8</v>
      </c>
      <c r="C1906" s="192">
        <v>1</v>
      </c>
      <c r="D1906" s="79"/>
      <c r="E1906" s="96"/>
      <c r="F1906" s="96"/>
      <c r="G1906" s="96"/>
      <c r="H1906" s="96"/>
      <c r="I1906" s="96"/>
      <c r="J1906" s="96"/>
      <c r="K1906" s="96"/>
      <c r="L1906" s="193"/>
    </row>
    <row r="1907" spans="1:12" x14ac:dyDescent="0.45">
      <c r="A1907" s="462"/>
      <c r="B1907" s="441"/>
      <c r="C1907" s="194">
        <v>2</v>
      </c>
      <c r="D1907" s="80"/>
      <c r="E1907" s="97"/>
      <c r="F1907" s="97"/>
      <c r="G1907" s="97"/>
      <c r="H1907" s="97"/>
      <c r="I1907" s="97"/>
      <c r="J1907" s="97"/>
      <c r="K1907" s="97"/>
      <c r="L1907" s="195"/>
    </row>
    <row r="1908" spans="1:12" x14ac:dyDescent="0.45">
      <c r="A1908" s="462"/>
      <c r="B1908" s="441"/>
      <c r="C1908" s="194">
        <v>3</v>
      </c>
      <c r="D1908" s="80"/>
      <c r="E1908" s="97"/>
      <c r="F1908" s="97"/>
      <c r="G1908" s="97"/>
      <c r="H1908" s="97"/>
      <c r="I1908" s="97"/>
      <c r="J1908" s="97"/>
      <c r="K1908" s="97"/>
      <c r="L1908" s="195"/>
    </row>
    <row r="1909" spans="1:12" x14ac:dyDescent="0.45">
      <c r="A1909" s="462"/>
      <c r="B1909" s="441"/>
      <c r="C1909" s="194">
        <v>4</v>
      </c>
      <c r="D1909" s="80"/>
      <c r="E1909" s="97"/>
      <c r="F1909" s="97"/>
      <c r="G1909" s="97"/>
      <c r="H1909" s="97"/>
      <c r="I1909" s="97"/>
      <c r="J1909" s="97"/>
      <c r="K1909" s="97"/>
      <c r="L1909" s="195"/>
    </row>
    <row r="1910" spans="1:12" x14ac:dyDescent="0.45">
      <c r="A1910" s="462"/>
      <c r="B1910" s="441"/>
      <c r="C1910" s="194">
        <v>5</v>
      </c>
      <c r="D1910" s="80"/>
      <c r="E1910" s="97"/>
      <c r="F1910" s="97"/>
      <c r="G1910" s="97"/>
      <c r="H1910" s="97"/>
      <c r="I1910" s="97"/>
      <c r="J1910" s="97"/>
      <c r="K1910" s="97"/>
      <c r="L1910" s="195"/>
    </row>
    <row r="1911" spans="1:12" x14ac:dyDescent="0.45">
      <c r="A1911" s="462"/>
      <c r="B1911" s="441"/>
      <c r="C1911" s="194">
        <v>6</v>
      </c>
      <c r="D1911" s="80"/>
      <c r="E1911" s="97"/>
      <c r="F1911" s="97"/>
      <c r="G1911" s="97"/>
      <c r="H1911" s="97"/>
      <c r="I1911" s="97"/>
      <c r="J1911" s="97"/>
      <c r="K1911" s="97"/>
      <c r="L1911" s="195"/>
    </row>
    <row r="1912" spans="1:12" x14ac:dyDescent="0.45">
      <c r="A1912" s="462"/>
      <c r="B1912" s="441"/>
      <c r="C1912" s="194">
        <v>7</v>
      </c>
      <c r="D1912" s="80"/>
      <c r="E1912" s="97"/>
      <c r="F1912" s="97"/>
      <c r="G1912" s="97"/>
      <c r="H1912" s="97"/>
      <c r="I1912" s="97"/>
      <c r="J1912" s="97"/>
      <c r="K1912" s="97"/>
      <c r="L1912" s="195"/>
    </row>
    <row r="1913" spans="1:12" x14ac:dyDescent="0.45">
      <c r="A1913" s="462"/>
      <c r="B1913" s="441"/>
      <c r="C1913" s="194">
        <v>8</v>
      </c>
      <c r="D1913" s="80"/>
      <c r="E1913" s="97"/>
      <c r="F1913" s="97"/>
      <c r="G1913" s="97"/>
      <c r="H1913" s="97"/>
      <c r="I1913" s="97"/>
      <c r="J1913" s="97"/>
      <c r="K1913" s="97"/>
      <c r="L1913" s="195"/>
    </row>
    <row r="1914" spans="1:12" x14ac:dyDescent="0.45">
      <c r="A1914" s="462"/>
      <c r="B1914" s="441"/>
      <c r="C1914" s="194">
        <v>9</v>
      </c>
      <c r="D1914" s="80"/>
      <c r="E1914" s="97"/>
      <c r="F1914" s="97"/>
      <c r="G1914" s="97"/>
      <c r="H1914" s="97"/>
      <c r="I1914" s="97"/>
      <c r="J1914" s="97"/>
      <c r="K1914" s="97"/>
      <c r="L1914" s="195"/>
    </row>
    <row r="1915" spans="1:12" x14ac:dyDescent="0.45">
      <c r="A1915" s="462"/>
      <c r="B1915" s="441"/>
      <c r="C1915" s="194">
        <v>10</v>
      </c>
      <c r="D1915" s="80"/>
      <c r="E1915" s="97"/>
      <c r="F1915" s="97"/>
      <c r="G1915" s="97"/>
      <c r="H1915" s="97"/>
      <c r="I1915" s="97"/>
      <c r="J1915" s="97"/>
      <c r="K1915" s="97"/>
      <c r="L1915" s="195"/>
    </row>
    <row r="1916" spans="1:12" x14ac:dyDescent="0.45">
      <c r="A1916" s="462"/>
      <c r="B1916" s="441"/>
      <c r="C1916" s="194">
        <v>11</v>
      </c>
      <c r="D1916" s="81"/>
      <c r="E1916" s="98"/>
      <c r="F1916" s="98"/>
      <c r="G1916" s="98"/>
      <c r="H1916" s="98"/>
      <c r="I1916" s="98"/>
      <c r="J1916" s="98"/>
      <c r="K1916" s="98"/>
      <c r="L1916" s="196"/>
    </row>
    <row r="1917" spans="1:12" ht="14.65" thickBot="1" x14ac:dyDescent="0.5">
      <c r="A1917" s="463"/>
      <c r="B1917" s="442"/>
      <c r="C1917" s="197">
        <v>12</v>
      </c>
      <c r="D1917" s="82"/>
      <c r="E1917" s="99"/>
      <c r="F1917" s="99"/>
      <c r="G1917" s="99"/>
      <c r="H1917" s="99"/>
      <c r="I1917" s="99"/>
      <c r="J1917" s="99"/>
      <c r="K1917" s="99"/>
      <c r="L1917" s="198"/>
    </row>
    <row r="1918" spans="1:12" x14ac:dyDescent="0.45">
      <c r="A1918" s="461">
        <v>3</v>
      </c>
      <c r="B1918" s="440">
        <v>9</v>
      </c>
      <c r="C1918" s="192">
        <v>1</v>
      </c>
      <c r="D1918" s="79"/>
      <c r="E1918" s="96"/>
      <c r="F1918" s="96"/>
      <c r="G1918" s="96"/>
      <c r="H1918" s="96"/>
      <c r="I1918" s="96"/>
      <c r="J1918" s="96"/>
      <c r="K1918" s="96"/>
      <c r="L1918" s="193"/>
    </row>
    <row r="1919" spans="1:12" x14ac:dyDescent="0.45">
      <c r="A1919" s="462"/>
      <c r="B1919" s="441"/>
      <c r="C1919" s="194">
        <v>2</v>
      </c>
      <c r="D1919" s="80"/>
      <c r="E1919" s="97"/>
      <c r="F1919" s="97"/>
      <c r="G1919" s="97"/>
      <c r="H1919" s="97"/>
      <c r="I1919" s="97"/>
      <c r="J1919" s="97"/>
      <c r="K1919" s="97"/>
      <c r="L1919" s="195"/>
    </row>
    <row r="1920" spans="1:12" x14ac:dyDescent="0.45">
      <c r="A1920" s="462"/>
      <c r="B1920" s="441"/>
      <c r="C1920" s="194">
        <v>3</v>
      </c>
      <c r="D1920" s="80"/>
      <c r="E1920" s="97"/>
      <c r="F1920" s="97"/>
      <c r="G1920" s="97"/>
      <c r="H1920" s="97"/>
      <c r="I1920" s="97"/>
      <c r="J1920" s="97"/>
      <c r="K1920" s="97"/>
      <c r="L1920" s="195"/>
    </row>
    <row r="1921" spans="1:12" x14ac:dyDescent="0.45">
      <c r="A1921" s="462"/>
      <c r="B1921" s="441"/>
      <c r="C1921" s="194">
        <v>4</v>
      </c>
      <c r="D1921" s="80"/>
      <c r="E1921" s="97"/>
      <c r="F1921" s="97"/>
      <c r="G1921" s="97"/>
      <c r="H1921" s="97"/>
      <c r="I1921" s="97"/>
      <c r="J1921" s="97"/>
      <c r="K1921" s="97"/>
      <c r="L1921" s="195"/>
    </row>
    <row r="1922" spans="1:12" x14ac:dyDescent="0.45">
      <c r="A1922" s="462"/>
      <c r="B1922" s="441"/>
      <c r="C1922" s="194">
        <v>5</v>
      </c>
      <c r="D1922" s="80"/>
      <c r="E1922" s="97"/>
      <c r="F1922" s="97"/>
      <c r="G1922" s="97"/>
      <c r="H1922" s="97"/>
      <c r="I1922" s="97"/>
      <c r="J1922" s="97"/>
      <c r="K1922" s="97"/>
      <c r="L1922" s="195"/>
    </row>
    <row r="1923" spans="1:12" x14ac:dyDescent="0.45">
      <c r="A1923" s="462"/>
      <c r="B1923" s="441"/>
      <c r="C1923" s="194">
        <v>6</v>
      </c>
      <c r="D1923" s="80"/>
      <c r="E1923" s="97"/>
      <c r="F1923" s="97"/>
      <c r="G1923" s="97"/>
      <c r="H1923" s="97"/>
      <c r="I1923" s="97"/>
      <c r="J1923" s="97"/>
      <c r="K1923" s="97"/>
      <c r="L1923" s="195"/>
    </row>
    <row r="1924" spans="1:12" x14ac:dyDescent="0.45">
      <c r="A1924" s="462"/>
      <c r="B1924" s="441"/>
      <c r="C1924" s="194">
        <v>7</v>
      </c>
      <c r="D1924" s="80"/>
      <c r="E1924" s="97"/>
      <c r="F1924" s="97"/>
      <c r="G1924" s="97"/>
      <c r="H1924" s="97"/>
      <c r="I1924" s="97"/>
      <c r="J1924" s="97"/>
      <c r="K1924" s="97"/>
      <c r="L1924" s="195"/>
    </row>
    <row r="1925" spans="1:12" x14ac:dyDescent="0.45">
      <c r="A1925" s="462"/>
      <c r="B1925" s="441"/>
      <c r="C1925" s="194">
        <v>8</v>
      </c>
      <c r="D1925" s="80"/>
      <c r="E1925" s="97"/>
      <c r="F1925" s="97"/>
      <c r="G1925" s="97"/>
      <c r="H1925" s="97"/>
      <c r="I1925" s="97"/>
      <c r="J1925" s="97"/>
      <c r="K1925" s="97"/>
      <c r="L1925" s="195"/>
    </row>
    <row r="1926" spans="1:12" x14ac:dyDescent="0.45">
      <c r="A1926" s="462"/>
      <c r="B1926" s="441"/>
      <c r="C1926" s="194">
        <v>9</v>
      </c>
      <c r="D1926" s="80"/>
      <c r="E1926" s="97"/>
      <c r="F1926" s="97"/>
      <c r="G1926" s="97"/>
      <c r="H1926" s="97"/>
      <c r="I1926" s="97"/>
      <c r="J1926" s="97"/>
      <c r="K1926" s="97"/>
      <c r="L1926" s="195"/>
    </row>
    <row r="1927" spans="1:12" x14ac:dyDescent="0.45">
      <c r="A1927" s="462"/>
      <c r="B1927" s="441"/>
      <c r="C1927" s="194">
        <v>10</v>
      </c>
      <c r="D1927" s="80"/>
      <c r="E1927" s="97"/>
      <c r="F1927" s="97"/>
      <c r="G1927" s="97"/>
      <c r="H1927" s="97"/>
      <c r="I1927" s="97"/>
      <c r="J1927" s="97"/>
      <c r="K1927" s="97"/>
      <c r="L1927" s="195"/>
    </row>
    <row r="1928" spans="1:12" x14ac:dyDescent="0.45">
      <c r="A1928" s="462"/>
      <c r="B1928" s="441"/>
      <c r="C1928" s="194">
        <v>11</v>
      </c>
      <c r="D1928" s="81"/>
      <c r="E1928" s="98"/>
      <c r="F1928" s="98"/>
      <c r="G1928" s="98"/>
      <c r="H1928" s="98"/>
      <c r="I1928" s="98"/>
      <c r="J1928" s="98"/>
      <c r="K1928" s="98"/>
      <c r="L1928" s="196"/>
    </row>
    <row r="1929" spans="1:12" ht="14.65" thickBot="1" x14ac:dyDescent="0.5">
      <c r="A1929" s="462"/>
      <c r="B1929" s="442"/>
      <c r="C1929" s="197">
        <v>12</v>
      </c>
      <c r="D1929" s="82"/>
      <c r="E1929" s="99"/>
      <c r="F1929" s="99"/>
      <c r="G1929" s="99"/>
      <c r="H1929" s="99"/>
      <c r="I1929" s="99"/>
      <c r="J1929" s="99"/>
      <c r="K1929" s="99"/>
      <c r="L1929" s="198"/>
    </row>
    <row r="1930" spans="1:12" x14ac:dyDescent="0.45">
      <c r="A1930" s="462"/>
      <c r="B1930" s="440">
        <v>10</v>
      </c>
      <c r="C1930" s="192">
        <v>1</v>
      </c>
      <c r="D1930" s="79"/>
      <c r="E1930" s="96"/>
      <c r="F1930" s="96"/>
      <c r="G1930" s="96"/>
      <c r="H1930" s="96"/>
      <c r="I1930" s="96"/>
      <c r="J1930" s="96"/>
      <c r="K1930" s="96"/>
      <c r="L1930" s="193"/>
    </row>
    <row r="1931" spans="1:12" x14ac:dyDescent="0.45">
      <c r="A1931" s="462"/>
      <c r="B1931" s="441"/>
      <c r="C1931" s="194">
        <v>2</v>
      </c>
      <c r="D1931" s="80"/>
      <c r="E1931" s="97"/>
      <c r="F1931" s="97"/>
      <c r="G1931" s="97"/>
      <c r="H1931" s="97"/>
      <c r="I1931" s="97"/>
      <c r="J1931" s="97"/>
      <c r="K1931" s="97"/>
      <c r="L1931" s="195"/>
    </row>
    <row r="1932" spans="1:12" x14ac:dyDescent="0.45">
      <c r="A1932" s="462"/>
      <c r="B1932" s="441"/>
      <c r="C1932" s="194">
        <v>3</v>
      </c>
      <c r="D1932" s="80"/>
      <c r="E1932" s="97"/>
      <c r="F1932" s="97"/>
      <c r="G1932" s="97"/>
      <c r="H1932" s="97"/>
      <c r="I1932" s="97"/>
      <c r="J1932" s="97"/>
      <c r="K1932" s="97"/>
      <c r="L1932" s="195"/>
    </row>
    <row r="1933" spans="1:12" x14ac:dyDescent="0.45">
      <c r="A1933" s="462"/>
      <c r="B1933" s="441"/>
      <c r="C1933" s="194">
        <v>4</v>
      </c>
      <c r="D1933" s="80"/>
      <c r="E1933" s="97"/>
      <c r="F1933" s="97"/>
      <c r="G1933" s="97"/>
      <c r="H1933" s="97"/>
      <c r="I1933" s="97"/>
      <c r="J1933" s="97"/>
      <c r="K1933" s="97"/>
      <c r="L1933" s="195"/>
    </row>
    <row r="1934" spans="1:12" x14ac:dyDescent="0.45">
      <c r="A1934" s="462"/>
      <c r="B1934" s="441"/>
      <c r="C1934" s="194">
        <v>5</v>
      </c>
      <c r="D1934" s="80"/>
      <c r="E1934" s="97"/>
      <c r="F1934" s="97"/>
      <c r="G1934" s="97"/>
      <c r="H1934" s="97"/>
      <c r="I1934" s="97"/>
      <c r="J1934" s="97"/>
      <c r="K1934" s="97"/>
      <c r="L1934" s="195"/>
    </row>
    <row r="1935" spans="1:12" x14ac:dyDescent="0.45">
      <c r="A1935" s="462"/>
      <c r="B1935" s="441"/>
      <c r="C1935" s="194">
        <v>6</v>
      </c>
      <c r="D1935" s="80"/>
      <c r="E1935" s="97"/>
      <c r="F1935" s="97"/>
      <c r="G1935" s="97"/>
      <c r="H1935" s="97"/>
      <c r="I1935" s="97"/>
      <c r="J1935" s="97"/>
      <c r="K1935" s="97"/>
      <c r="L1935" s="195"/>
    </row>
    <row r="1936" spans="1:12" x14ac:dyDescent="0.45">
      <c r="A1936" s="462"/>
      <c r="B1936" s="441"/>
      <c r="C1936" s="194">
        <v>7</v>
      </c>
      <c r="D1936" s="80"/>
      <c r="E1936" s="97"/>
      <c r="F1936" s="97"/>
      <c r="G1936" s="97"/>
      <c r="H1936" s="97"/>
      <c r="I1936" s="97"/>
      <c r="J1936" s="97"/>
      <c r="K1936" s="97"/>
      <c r="L1936" s="195"/>
    </row>
    <row r="1937" spans="1:12" x14ac:dyDescent="0.45">
      <c r="A1937" s="462"/>
      <c r="B1937" s="441"/>
      <c r="C1937" s="194">
        <v>8</v>
      </c>
      <c r="D1937" s="80"/>
      <c r="E1937" s="97"/>
      <c r="F1937" s="97"/>
      <c r="G1937" s="97"/>
      <c r="H1937" s="97"/>
      <c r="I1937" s="97"/>
      <c r="J1937" s="97"/>
      <c r="K1937" s="97"/>
      <c r="L1937" s="195"/>
    </row>
    <row r="1938" spans="1:12" x14ac:dyDescent="0.45">
      <c r="A1938" s="462"/>
      <c r="B1938" s="441"/>
      <c r="C1938" s="194">
        <v>9</v>
      </c>
      <c r="D1938" s="80"/>
      <c r="E1938" s="97"/>
      <c r="F1938" s="97"/>
      <c r="G1938" s="97"/>
      <c r="H1938" s="97"/>
      <c r="I1938" s="97"/>
      <c r="J1938" s="97"/>
      <c r="K1938" s="97"/>
      <c r="L1938" s="195"/>
    </row>
    <row r="1939" spans="1:12" x14ac:dyDescent="0.45">
      <c r="A1939" s="462"/>
      <c r="B1939" s="441"/>
      <c r="C1939" s="194">
        <v>10</v>
      </c>
      <c r="D1939" s="80"/>
      <c r="E1939" s="97"/>
      <c r="F1939" s="97"/>
      <c r="G1939" s="97"/>
      <c r="H1939" s="97"/>
      <c r="I1939" s="97"/>
      <c r="J1939" s="97"/>
      <c r="K1939" s="97"/>
      <c r="L1939" s="195"/>
    </row>
    <row r="1940" spans="1:12" x14ac:dyDescent="0.45">
      <c r="A1940" s="462"/>
      <c r="B1940" s="441"/>
      <c r="C1940" s="194">
        <v>11</v>
      </c>
      <c r="D1940" s="81"/>
      <c r="E1940" s="98"/>
      <c r="F1940" s="98"/>
      <c r="G1940" s="98"/>
      <c r="H1940" s="98"/>
      <c r="I1940" s="98"/>
      <c r="J1940" s="98"/>
      <c r="K1940" s="98"/>
      <c r="L1940" s="196"/>
    </row>
    <row r="1941" spans="1:12" ht="14.65" thickBot="1" x14ac:dyDescent="0.5">
      <c r="A1941" s="462"/>
      <c r="B1941" s="442"/>
      <c r="C1941" s="197">
        <v>12</v>
      </c>
      <c r="D1941" s="82"/>
      <c r="E1941" s="99"/>
      <c r="F1941" s="99"/>
      <c r="G1941" s="99"/>
      <c r="H1941" s="99"/>
      <c r="I1941" s="99"/>
      <c r="J1941" s="99"/>
      <c r="K1941" s="99"/>
      <c r="L1941" s="198"/>
    </row>
    <row r="1942" spans="1:12" x14ac:dyDescent="0.45">
      <c r="A1942" s="462"/>
      <c r="B1942" s="440">
        <v>11</v>
      </c>
      <c r="C1942" s="192">
        <v>1</v>
      </c>
      <c r="D1942" s="79"/>
      <c r="E1942" s="96"/>
      <c r="F1942" s="96"/>
      <c r="G1942" s="96"/>
      <c r="H1942" s="96"/>
      <c r="I1942" s="96"/>
      <c r="J1942" s="96"/>
      <c r="K1942" s="96"/>
      <c r="L1942" s="193"/>
    </row>
    <row r="1943" spans="1:12" x14ac:dyDescent="0.45">
      <c r="A1943" s="462"/>
      <c r="B1943" s="441"/>
      <c r="C1943" s="194">
        <v>2</v>
      </c>
      <c r="D1943" s="80"/>
      <c r="E1943" s="97"/>
      <c r="F1943" s="97"/>
      <c r="G1943" s="97"/>
      <c r="H1943" s="97"/>
      <c r="I1943" s="97"/>
      <c r="J1943" s="97"/>
      <c r="K1943" s="97"/>
      <c r="L1943" s="195"/>
    </row>
    <row r="1944" spans="1:12" x14ac:dyDescent="0.45">
      <c r="A1944" s="462"/>
      <c r="B1944" s="441"/>
      <c r="C1944" s="194">
        <v>3</v>
      </c>
      <c r="D1944" s="80"/>
      <c r="E1944" s="97"/>
      <c r="F1944" s="97"/>
      <c r="G1944" s="97"/>
      <c r="H1944" s="97"/>
      <c r="I1944" s="97"/>
      <c r="J1944" s="97"/>
      <c r="K1944" s="97"/>
      <c r="L1944" s="195"/>
    </row>
    <row r="1945" spans="1:12" x14ac:dyDescent="0.45">
      <c r="A1945" s="462"/>
      <c r="B1945" s="441"/>
      <c r="C1945" s="194">
        <v>4</v>
      </c>
      <c r="D1945" s="80"/>
      <c r="E1945" s="97"/>
      <c r="F1945" s="97"/>
      <c r="G1945" s="97"/>
      <c r="H1945" s="97"/>
      <c r="I1945" s="97"/>
      <c r="J1945" s="97"/>
      <c r="K1945" s="97"/>
      <c r="L1945" s="195"/>
    </row>
    <row r="1946" spans="1:12" x14ac:dyDescent="0.45">
      <c r="A1946" s="462"/>
      <c r="B1946" s="441"/>
      <c r="C1946" s="194">
        <v>5</v>
      </c>
      <c r="D1946" s="80"/>
      <c r="E1946" s="97"/>
      <c r="F1946" s="97"/>
      <c r="G1946" s="97"/>
      <c r="H1946" s="97"/>
      <c r="I1946" s="97"/>
      <c r="J1946" s="97"/>
      <c r="K1946" s="97"/>
      <c r="L1946" s="195"/>
    </row>
    <row r="1947" spans="1:12" x14ac:dyDescent="0.45">
      <c r="A1947" s="462"/>
      <c r="B1947" s="441"/>
      <c r="C1947" s="194">
        <v>6</v>
      </c>
      <c r="D1947" s="80"/>
      <c r="E1947" s="97"/>
      <c r="F1947" s="97"/>
      <c r="G1947" s="97"/>
      <c r="H1947" s="97"/>
      <c r="I1947" s="97"/>
      <c r="J1947" s="97"/>
      <c r="K1947" s="97"/>
      <c r="L1947" s="195"/>
    </row>
    <row r="1948" spans="1:12" x14ac:dyDescent="0.45">
      <c r="A1948" s="462"/>
      <c r="B1948" s="441"/>
      <c r="C1948" s="194">
        <v>7</v>
      </c>
      <c r="D1948" s="80"/>
      <c r="E1948" s="97"/>
      <c r="F1948" s="97"/>
      <c r="G1948" s="97"/>
      <c r="H1948" s="97"/>
      <c r="I1948" s="97"/>
      <c r="J1948" s="97"/>
      <c r="K1948" s="97"/>
      <c r="L1948" s="195"/>
    </row>
    <row r="1949" spans="1:12" x14ac:dyDescent="0.45">
      <c r="A1949" s="462"/>
      <c r="B1949" s="441"/>
      <c r="C1949" s="194">
        <v>8</v>
      </c>
      <c r="D1949" s="80"/>
      <c r="E1949" s="97"/>
      <c r="F1949" s="97"/>
      <c r="G1949" s="97"/>
      <c r="H1949" s="97"/>
      <c r="I1949" s="97"/>
      <c r="J1949" s="97"/>
      <c r="K1949" s="97"/>
      <c r="L1949" s="195"/>
    </row>
    <row r="1950" spans="1:12" x14ac:dyDescent="0.45">
      <c r="A1950" s="462"/>
      <c r="B1950" s="441"/>
      <c r="C1950" s="194">
        <v>9</v>
      </c>
      <c r="D1950" s="80"/>
      <c r="E1950" s="97"/>
      <c r="F1950" s="97"/>
      <c r="G1950" s="97"/>
      <c r="H1950" s="97"/>
      <c r="I1950" s="97"/>
      <c r="J1950" s="97"/>
      <c r="K1950" s="97"/>
      <c r="L1950" s="195"/>
    </row>
    <row r="1951" spans="1:12" x14ac:dyDescent="0.45">
      <c r="A1951" s="462"/>
      <c r="B1951" s="441"/>
      <c r="C1951" s="194">
        <v>10</v>
      </c>
      <c r="D1951" s="80"/>
      <c r="E1951" s="97"/>
      <c r="F1951" s="97"/>
      <c r="G1951" s="97"/>
      <c r="H1951" s="97"/>
      <c r="I1951" s="97"/>
      <c r="J1951" s="97"/>
      <c r="K1951" s="97"/>
      <c r="L1951" s="195"/>
    </row>
    <row r="1952" spans="1:12" x14ac:dyDescent="0.45">
      <c r="A1952" s="462"/>
      <c r="B1952" s="441"/>
      <c r="C1952" s="194">
        <v>11</v>
      </c>
      <c r="D1952" s="81"/>
      <c r="E1952" s="98"/>
      <c r="F1952" s="98"/>
      <c r="G1952" s="98"/>
      <c r="H1952" s="98"/>
      <c r="I1952" s="98"/>
      <c r="J1952" s="98"/>
      <c r="K1952" s="98"/>
      <c r="L1952" s="196"/>
    </row>
    <row r="1953" spans="1:12" ht="14.65" thickBot="1" x14ac:dyDescent="0.5">
      <c r="A1953" s="462"/>
      <c r="B1953" s="442"/>
      <c r="C1953" s="197">
        <v>12</v>
      </c>
      <c r="D1953" s="82"/>
      <c r="E1953" s="99"/>
      <c r="F1953" s="99"/>
      <c r="G1953" s="99"/>
      <c r="H1953" s="99"/>
      <c r="I1953" s="99"/>
      <c r="J1953" s="99"/>
      <c r="K1953" s="99"/>
      <c r="L1953" s="198"/>
    </row>
    <row r="1954" spans="1:12" x14ac:dyDescent="0.45">
      <c r="A1954" s="462"/>
      <c r="B1954" s="440">
        <v>12</v>
      </c>
      <c r="C1954" s="192">
        <v>1</v>
      </c>
      <c r="D1954" s="79"/>
      <c r="E1954" s="96"/>
      <c r="F1954" s="96"/>
      <c r="G1954" s="96"/>
      <c r="H1954" s="96"/>
      <c r="I1954" s="96"/>
      <c r="J1954" s="96"/>
      <c r="K1954" s="96"/>
      <c r="L1954" s="193"/>
    </row>
    <row r="1955" spans="1:12" x14ac:dyDescent="0.45">
      <c r="A1955" s="462"/>
      <c r="B1955" s="441"/>
      <c r="C1955" s="194">
        <v>2</v>
      </c>
      <c r="D1955" s="80"/>
      <c r="E1955" s="97"/>
      <c r="F1955" s="97"/>
      <c r="G1955" s="97"/>
      <c r="H1955" s="97"/>
      <c r="I1955" s="97"/>
      <c r="J1955" s="97"/>
      <c r="K1955" s="97"/>
      <c r="L1955" s="195"/>
    </row>
    <row r="1956" spans="1:12" x14ac:dyDescent="0.45">
      <c r="A1956" s="462"/>
      <c r="B1956" s="441"/>
      <c r="C1956" s="194">
        <v>3</v>
      </c>
      <c r="D1956" s="80"/>
      <c r="E1956" s="97"/>
      <c r="F1956" s="97"/>
      <c r="G1956" s="97"/>
      <c r="H1956" s="97"/>
      <c r="I1956" s="97"/>
      <c r="J1956" s="97"/>
      <c r="K1956" s="97"/>
      <c r="L1956" s="195"/>
    </row>
    <row r="1957" spans="1:12" x14ac:dyDescent="0.45">
      <c r="A1957" s="462"/>
      <c r="B1957" s="441"/>
      <c r="C1957" s="194">
        <v>4</v>
      </c>
      <c r="D1957" s="80"/>
      <c r="E1957" s="97"/>
      <c r="F1957" s="97"/>
      <c r="G1957" s="97"/>
      <c r="H1957" s="97"/>
      <c r="I1957" s="97"/>
      <c r="J1957" s="97"/>
      <c r="K1957" s="97"/>
      <c r="L1957" s="195"/>
    </row>
    <row r="1958" spans="1:12" x14ac:dyDescent="0.45">
      <c r="A1958" s="462"/>
      <c r="B1958" s="441"/>
      <c r="C1958" s="194">
        <v>5</v>
      </c>
      <c r="D1958" s="80"/>
      <c r="E1958" s="97"/>
      <c r="F1958" s="97"/>
      <c r="G1958" s="97"/>
      <c r="H1958" s="97"/>
      <c r="I1958" s="97"/>
      <c r="J1958" s="97"/>
      <c r="K1958" s="97"/>
      <c r="L1958" s="195"/>
    </row>
    <row r="1959" spans="1:12" x14ac:dyDescent="0.45">
      <c r="A1959" s="462"/>
      <c r="B1959" s="441"/>
      <c r="C1959" s="194">
        <v>6</v>
      </c>
      <c r="D1959" s="80"/>
      <c r="E1959" s="97"/>
      <c r="F1959" s="97"/>
      <c r="G1959" s="97"/>
      <c r="H1959" s="97"/>
      <c r="I1959" s="97"/>
      <c r="J1959" s="97"/>
      <c r="K1959" s="97"/>
      <c r="L1959" s="195"/>
    </row>
    <row r="1960" spans="1:12" x14ac:dyDescent="0.45">
      <c r="A1960" s="462"/>
      <c r="B1960" s="441"/>
      <c r="C1960" s="194">
        <v>7</v>
      </c>
      <c r="D1960" s="80"/>
      <c r="E1960" s="97"/>
      <c r="F1960" s="97"/>
      <c r="G1960" s="97"/>
      <c r="H1960" s="97"/>
      <c r="I1960" s="97"/>
      <c r="J1960" s="97"/>
      <c r="K1960" s="97"/>
      <c r="L1960" s="195"/>
    </row>
    <row r="1961" spans="1:12" x14ac:dyDescent="0.45">
      <c r="A1961" s="462"/>
      <c r="B1961" s="441"/>
      <c r="C1961" s="194">
        <v>8</v>
      </c>
      <c r="D1961" s="80"/>
      <c r="E1961" s="97"/>
      <c r="F1961" s="97"/>
      <c r="G1961" s="97"/>
      <c r="H1961" s="97"/>
      <c r="I1961" s="97"/>
      <c r="J1961" s="97"/>
      <c r="K1961" s="97"/>
      <c r="L1961" s="195"/>
    </row>
    <row r="1962" spans="1:12" x14ac:dyDescent="0.45">
      <c r="A1962" s="462"/>
      <c r="B1962" s="441"/>
      <c r="C1962" s="194">
        <v>9</v>
      </c>
      <c r="D1962" s="80"/>
      <c r="E1962" s="97"/>
      <c r="F1962" s="97"/>
      <c r="G1962" s="97"/>
      <c r="H1962" s="97"/>
      <c r="I1962" s="97"/>
      <c r="J1962" s="97"/>
      <c r="K1962" s="97"/>
      <c r="L1962" s="195"/>
    </row>
    <row r="1963" spans="1:12" x14ac:dyDescent="0.45">
      <c r="A1963" s="462"/>
      <c r="B1963" s="441"/>
      <c r="C1963" s="194">
        <v>10</v>
      </c>
      <c r="D1963" s="80"/>
      <c r="E1963" s="97"/>
      <c r="F1963" s="97"/>
      <c r="G1963" s="97"/>
      <c r="H1963" s="97"/>
      <c r="I1963" s="97"/>
      <c r="J1963" s="97"/>
      <c r="K1963" s="97"/>
      <c r="L1963" s="195"/>
    </row>
    <row r="1964" spans="1:12" x14ac:dyDescent="0.45">
      <c r="A1964" s="462"/>
      <c r="B1964" s="441"/>
      <c r="C1964" s="194">
        <v>11</v>
      </c>
      <c r="D1964" s="81"/>
      <c r="E1964" s="98"/>
      <c r="F1964" s="98"/>
      <c r="G1964" s="98"/>
      <c r="H1964" s="98"/>
      <c r="I1964" s="98"/>
      <c r="J1964" s="98"/>
      <c r="K1964" s="98"/>
      <c r="L1964" s="196"/>
    </row>
    <row r="1965" spans="1:12" ht="14.65" thickBot="1" x14ac:dyDescent="0.5">
      <c r="A1965" s="463"/>
      <c r="B1965" s="442"/>
      <c r="C1965" s="199">
        <v>12</v>
      </c>
      <c r="D1965" s="82"/>
      <c r="E1965" s="99"/>
      <c r="F1965" s="99"/>
      <c r="G1965" s="99"/>
      <c r="H1965" s="99"/>
      <c r="I1965" s="99"/>
      <c r="J1965" s="99"/>
      <c r="K1965" s="99"/>
      <c r="L1965" s="198"/>
    </row>
    <row r="1967" spans="1:12" s="91" customFormat="1" x14ac:dyDescent="0.45"/>
    <row r="1968" spans="1:12" ht="14.65" thickBot="1" x14ac:dyDescent="0.5"/>
    <row r="1969" spans="1:14" ht="28.9" thickBot="1" x14ac:dyDescent="0.5">
      <c r="A1969" s="187" t="s">
        <v>76</v>
      </c>
      <c r="B1969" s="186">
        <v>14</v>
      </c>
      <c r="C1969" s="109"/>
      <c r="D1969" s="109"/>
    </row>
    <row r="1970" spans="1:14" x14ac:dyDescent="0.45">
      <c r="A1970" s="443" t="s">
        <v>27</v>
      </c>
      <c r="B1970" s="448">
        <f>Name14</f>
        <v>0</v>
      </c>
      <c r="C1970" s="449"/>
      <c r="D1970" s="450"/>
      <c r="I1970" s="204"/>
      <c r="J1970" s="204"/>
      <c r="K1970" s="204"/>
      <c r="L1970" s="204"/>
      <c r="M1970" s="204"/>
      <c r="N1970" s="204"/>
    </row>
    <row r="1971" spans="1:14" x14ac:dyDescent="0.45">
      <c r="A1971" s="444"/>
      <c r="B1971" s="448"/>
      <c r="C1971" s="449"/>
      <c r="D1971" s="450"/>
      <c r="I1971" s="204"/>
      <c r="J1971" s="204"/>
      <c r="K1971" s="204"/>
      <c r="L1971" s="204"/>
      <c r="M1971" s="204"/>
      <c r="N1971" s="204"/>
    </row>
    <row r="1972" spans="1:14" x14ac:dyDescent="0.45">
      <c r="A1972" s="445"/>
      <c r="B1972" s="388"/>
      <c r="C1972" s="451"/>
      <c r="D1972" s="452"/>
      <c r="I1972" s="204"/>
      <c r="J1972" s="204"/>
      <c r="K1972" s="204"/>
      <c r="L1972" s="204"/>
      <c r="M1972" s="204"/>
      <c r="N1972" s="204"/>
    </row>
    <row r="1973" spans="1:14" ht="14.45" customHeight="1" x14ac:dyDescent="0.45">
      <c r="A1973" s="444" t="s">
        <v>155</v>
      </c>
      <c r="B1973" s="453">
        <f>GapA14</f>
        <v>0</v>
      </c>
      <c r="C1973" s="454"/>
      <c r="D1973" s="455"/>
      <c r="I1973" s="204"/>
      <c r="J1973" s="204"/>
      <c r="K1973" s="204"/>
      <c r="L1973" s="204"/>
      <c r="M1973" s="204"/>
      <c r="N1973" s="204"/>
    </row>
    <row r="1974" spans="1:14" x14ac:dyDescent="0.45">
      <c r="A1974" s="444"/>
      <c r="B1974" s="448"/>
      <c r="C1974" s="449"/>
      <c r="D1974" s="450"/>
      <c r="I1974" s="204"/>
      <c r="J1974" s="204"/>
      <c r="K1974" s="204"/>
      <c r="L1974" s="204"/>
      <c r="M1974" s="204"/>
      <c r="N1974" s="204"/>
    </row>
    <row r="1975" spans="1:14" x14ac:dyDescent="0.45">
      <c r="A1975" s="445"/>
      <c r="B1975" s="388"/>
      <c r="C1975" s="451"/>
      <c r="D1975" s="452"/>
      <c r="I1975" s="204"/>
      <c r="J1975" s="204"/>
      <c r="K1975" s="204"/>
      <c r="L1975" s="204"/>
      <c r="M1975" s="204"/>
      <c r="N1975" s="204"/>
    </row>
    <row r="1976" spans="1:14" x14ac:dyDescent="0.45">
      <c r="A1976" s="444" t="s">
        <v>159</v>
      </c>
      <c r="B1976" s="453">
        <f>Objective14</f>
        <v>0</v>
      </c>
      <c r="C1976" s="454"/>
      <c r="D1976" s="455"/>
      <c r="I1976" s="204"/>
      <c r="J1976" s="204"/>
      <c r="K1976" s="204"/>
      <c r="L1976" s="204"/>
      <c r="M1976" s="204"/>
      <c r="N1976" s="204"/>
    </row>
    <row r="1977" spans="1:14" x14ac:dyDescent="0.45">
      <c r="A1977" s="444"/>
      <c r="B1977" s="448"/>
      <c r="C1977" s="449"/>
      <c r="D1977" s="450"/>
      <c r="I1977" s="204"/>
      <c r="J1977" s="204"/>
      <c r="K1977" s="204"/>
      <c r="L1977" s="204"/>
      <c r="M1977" s="204"/>
      <c r="N1977" s="204"/>
    </row>
    <row r="1978" spans="1:14" x14ac:dyDescent="0.45">
      <c r="A1978" s="445"/>
      <c r="B1978" s="388"/>
      <c r="C1978" s="451"/>
      <c r="D1978" s="452"/>
      <c r="I1978" s="204"/>
      <c r="J1978" s="204"/>
      <c r="K1978" s="204"/>
      <c r="L1978" s="204"/>
      <c r="M1978" s="204"/>
      <c r="N1978" s="204"/>
    </row>
    <row r="1979" spans="1:14" ht="14.45" customHeight="1" x14ac:dyDescent="0.45">
      <c r="A1979" s="446" t="s">
        <v>166</v>
      </c>
      <c r="B1979" s="454">
        <f>Capacity14</f>
        <v>0</v>
      </c>
      <c r="C1979" s="454"/>
      <c r="D1979" s="455"/>
      <c r="I1979" s="204"/>
      <c r="J1979" s="204"/>
      <c r="K1979" s="204"/>
      <c r="L1979" s="204"/>
      <c r="M1979" s="204"/>
      <c r="N1979" s="204"/>
    </row>
    <row r="1980" spans="1:14" x14ac:dyDescent="0.45">
      <c r="A1980" s="447"/>
      <c r="B1980" s="449"/>
      <c r="C1980" s="449"/>
      <c r="D1980" s="450"/>
      <c r="I1980" s="204"/>
      <c r="J1980" s="204"/>
      <c r="K1980" s="204"/>
      <c r="L1980" s="204"/>
      <c r="M1980" s="204"/>
      <c r="N1980" s="204"/>
    </row>
    <row r="1981" spans="1:14" ht="14.65" thickBot="1" x14ac:dyDescent="0.5">
      <c r="A1981" s="464"/>
      <c r="B1981" s="456"/>
      <c r="C1981" s="456"/>
      <c r="D1981" s="457"/>
      <c r="I1981" s="204"/>
      <c r="J1981" s="204"/>
      <c r="K1981" s="204"/>
      <c r="L1981" s="204"/>
      <c r="M1981" s="204"/>
      <c r="N1981" s="204"/>
    </row>
    <row r="1983" spans="1:14" ht="14.65" thickBot="1" x14ac:dyDescent="0.5">
      <c r="A1983" s="90"/>
      <c r="B1983" s="90"/>
      <c r="C1983" s="90"/>
      <c r="D1983" s="90"/>
      <c r="E1983" s="90"/>
      <c r="F1983" s="90"/>
      <c r="G1983" s="90"/>
      <c r="H1983" s="90"/>
      <c r="I1983" s="90"/>
      <c r="J1983" s="90"/>
      <c r="K1983" s="90"/>
      <c r="L1983" s="90"/>
      <c r="M1983" s="90"/>
      <c r="N1983" s="90"/>
    </row>
    <row r="1984" spans="1:14" ht="21.75" customHeight="1" x14ac:dyDescent="0.45">
      <c r="A1984" s="458" t="s">
        <v>135</v>
      </c>
      <c r="B1984" s="459"/>
      <c r="C1984" s="459"/>
      <c r="D1984" s="459"/>
      <c r="E1984" s="459"/>
      <c r="F1984" s="459"/>
      <c r="G1984" s="459"/>
      <c r="H1984" s="459"/>
      <c r="I1984" s="459"/>
      <c r="J1984" s="459"/>
      <c r="K1984" s="459"/>
      <c r="L1984" s="460"/>
    </row>
    <row r="1985" spans="1:14" ht="29" customHeight="1" thickBot="1" x14ac:dyDescent="0.5">
      <c r="A1985" s="93" t="s">
        <v>74</v>
      </c>
      <c r="B1985" s="94" t="s">
        <v>28</v>
      </c>
      <c r="C1985" s="95" t="s">
        <v>320</v>
      </c>
      <c r="D1985" s="95" t="s">
        <v>127</v>
      </c>
      <c r="E1985" s="114" t="s">
        <v>90</v>
      </c>
      <c r="F1985" s="95" t="s">
        <v>175</v>
      </c>
      <c r="G1985" s="95" t="s">
        <v>176</v>
      </c>
      <c r="H1985" s="95" t="s">
        <v>156</v>
      </c>
      <c r="I1985" s="95" t="s">
        <v>157</v>
      </c>
      <c r="J1985" s="189" t="s">
        <v>321</v>
      </c>
      <c r="K1985" s="190" t="s">
        <v>29</v>
      </c>
      <c r="L1985" s="191" t="s">
        <v>322</v>
      </c>
    </row>
    <row r="1986" spans="1:14" x14ac:dyDescent="0.45">
      <c r="A1986" s="461">
        <v>1</v>
      </c>
      <c r="B1986" s="440">
        <v>1</v>
      </c>
      <c r="C1986" s="192">
        <v>1</v>
      </c>
      <c r="D1986" s="79"/>
      <c r="E1986" s="96"/>
      <c r="F1986" s="96"/>
      <c r="G1986" s="96"/>
      <c r="H1986" s="96"/>
      <c r="I1986" s="96"/>
      <c r="J1986" s="96"/>
      <c r="K1986" s="96"/>
      <c r="L1986" s="193"/>
    </row>
    <row r="1987" spans="1:14" x14ac:dyDescent="0.45">
      <c r="A1987" s="462"/>
      <c r="B1987" s="441"/>
      <c r="C1987" s="194">
        <v>2</v>
      </c>
      <c r="D1987" s="80"/>
      <c r="E1987" s="97"/>
      <c r="F1987" s="97"/>
      <c r="G1987" s="97"/>
      <c r="H1987" s="97"/>
      <c r="I1987" s="97"/>
      <c r="J1987" s="97"/>
      <c r="K1987" s="97"/>
      <c r="L1987" s="195"/>
    </row>
    <row r="1988" spans="1:14" x14ac:dyDescent="0.45">
      <c r="A1988" s="462"/>
      <c r="B1988" s="441"/>
      <c r="C1988" s="194">
        <v>3</v>
      </c>
      <c r="D1988" s="80"/>
      <c r="E1988" s="97"/>
      <c r="F1988" s="97"/>
      <c r="G1988" s="97"/>
      <c r="H1988" s="97"/>
      <c r="I1988" s="97"/>
      <c r="J1988" s="97"/>
      <c r="K1988" s="97"/>
      <c r="L1988" s="195"/>
    </row>
    <row r="1989" spans="1:14" x14ac:dyDescent="0.45">
      <c r="A1989" s="462"/>
      <c r="B1989" s="441"/>
      <c r="C1989" s="194">
        <v>4</v>
      </c>
      <c r="D1989" s="80"/>
      <c r="E1989" s="97"/>
      <c r="F1989" s="97"/>
      <c r="G1989" s="97"/>
      <c r="H1989" s="97"/>
      <c r="I1989" s="97"/>
      <c r="J1989" s="97"/>
      <c r="K1989" s="97"/>
      <c r="L1989" s="195"/>
    </row>
    <row r="1990" spans="1:14" x14ac:dyDescent="0.45">
      <c r="A1990" s="462"/>
      <c r="B1990" s="441"/>
      <c r="C1990" s="194">
        <v>5</v>
      </c>
      <c r="D1990" s="80"/>
      <c r="E1990" s="97"/>
      <c r="F1990" s="97"/>
      <c r="G1990" s="97"/>
      <c r="H1990" s="97"/>
      <c r="I1990" s="97"/>
      <c r="J1990" s="97"/>
      <c r="K1990" s="97"/>
      <c r="L1990" s="195"/>
    </row>
    <row r="1991" spans="1:14" x14ac:dyDescent="0.45">
      <c r="A1991" s="462"/>
      <c r="B1991" s="441"/>
      <c r="C1991" s="194">
        <v>6</v>
      </c>
      <c r="D1991" s="80"/>
      <c r="E1991" s="97"/>
      <c r="F1991" s="97"/>
      <c r="G1991" s="97"/>
      <c r="H1991" s="97"/>
      <c r="I1991" s="97"/>
      <c r="J1991" s="97"/>
      <c r="K1991" s="97"/>
      <c r="L1991" s="195"/>
    </row>
    <row r="1992" spans="1:14" x14ac:dyDescent="0.45">
      <c r="A1992" s="462"/>
      <c r="B1992" s="441"/>
      <c r="C1992" s="194">
        <v>7</v>
      </c>
      <c r="D1992" s="80"/>
      <c r="E1992" s="97"/>
      <c r="F1992" s="97"/>
      <c r="G1992" s="97"/>
      <c r="H1992" s="97"/>
      <c r="I1992" s="97"/>
      <c r="J1992" s="97"/>
      <c r="K1992" s="97"/>
      <c r="L1992" s="195"/>
    </row>
    <row r="1993" spans="1:14" x14ac:dyDescent="0.45">
      <c r="A1993" s="462"/>
      <c r="B1993" s="441"/>
      <c r="C1993" s="194">
        <v>8</v>
      </c>
      <c r="D1993" s="80"/>
      <c r="E1993" s="97"/>
      <c r="F1993" s="97"/>
      <c r="G1993" s="97"/>
      <c r="H1993" s="97"/>
      <c r="I1993" s="97"/>
      <c r="J1993" s="97"/>
      <c r="K1993" s="97"/>
      <c r="L1993" s="195"/>
    </row>
    <row r="1994" spans="1:14" x14ac:dyDescent="0.45">
      <c r="A1994" s="462"/>
      <c r="B1994" s="441"/>
      <c r="C1994" s="194">
        <v>9</v>
      </c>
      <c r="D1994" s="80"/>
      <c r="E1994" s="97"/>
      <c r="F1994" s="97"/>
      <c r="G1994" s="97"/>
      <c r="H1994" s="97"/>
      <c r="I1994" s="97"/>
      <c r="J1994" s="97"/>
      <c r="K1994" s="97"/>
      <c r="L1994" s="195"/>
    </row>
    <row r="1995" spans="1:14" x14ac:dyDescent="0.45">
      <c r="A1995" s="462"/>
      <c r="B1995" s="441"/>
      <c r="C1995" s="194">
        <v>10</v>
      </c>
      <c r="D1995" s="80"/>
      <c r="E1995" s="97"/>
      <c r="F1995" s="97"/>
      <c r="G1995" s="97"/>
      <c r="H1995" s="97"/>
      <c r="I1995" s="97"/>
      <c r="J1995" s="97"/>
      <c r="K1995" s="97"/>
      <c r="L1995" s="195"/>
    </row>
    <row r="1996" spans="1:14" x14ac:dyDescent="0.45">
      <c r="A1996" s="462"/>
      <c r="B1996" s="441"/>
      <c r="C1996" s="194">
        <v>11</v>
      </c>
      <c r="D1996" s="81"/>
      <c r="E1996" s="98"/>
      <c r="F1996" s="98"/>
      <c r="G1996" s="98"/>
      <c r="H1996" s="98"/>
      <c r="I1996" s="98"/>
      <c r="J1996" s="98"/>
      <c r="K1996" s="98"/>
      <c r="L1996" s="196"/>
    </row>
    <row r="1997" spans="1:14" s="90" customFormat="1" ht="14.65" thickBot="1" x14ac:dyDescent="0.5">
      <c r="A1997" s="462"/>
      <c r="B1997" s="442"/>
      <c r="C1997" s="197">
        <v>12</v>
      </c>
      <c r="D1997" s="82"/>
      <c r="E1997" s="99"/>
      <c r="F1997" s="99"/>
      <c r="G1997" s="99"/>
      <c r="H1997" s="99"/>
      <c r="I1997" s="99"/>
      <c r="J1997" s="99"/>
      <c r="K1997" s="99"/>
      <c r="L1997" s="198"/>
      <c r="M1997" s="61"/>
      <c r="N1997" s="61"/>
    </row>
    <row r="1998" spans="1:14" x14ac:dyDescent="0.45">
      <c r="A1998" s="462"/>
      <c r="B1998" s="440">
        <v>2</v>
      </c>
      <c r="C1998" s="192">
        <v>1</v>
      </c>
      <c r="D1998" s="79"/>
      <c r="E1998" s="96"/>
      <c r="F1998" s="96"/>
      <c r="G1998" s="96"/>
      <c r="H1998" s="96"/>
      <c r="I1998" s="96"/>
      <c r="J1998" s="96"/>
      <c r="K1998" s="96"/>
      <c r="L1998" s="193"/>
    </row>
    <row r="1999" spans="1:14" x14ac:dyDescent="0.45">
      <c r="A1999" s="462"/>
      <c r="B1999" s="441"/>
      <c r="C1999" s="194">
        <v>2</v>
      </c>
      <c r="D1999" s="80"/>
      <c r="E1999" s="97"/>
      <c r="F1999" s="97"/>
      <c r="G1999" s="97"/>
      <c r="H1999" s="97"/>
      <c r="I1999" s="97"/>
      <c r="J1999" s="97"/>
      <c r="K1999" s="97"/>
      <c r="L1999" s="195"/>
    </row>
    <row r="2000" spans="1:14" x14ac:dyDescent="0.45">
      <c r="A2000" s="462"/>
      <c r="B2000" s="441"/>
      <c r="C2000" s="194">
        <v>3</v>
      </c>
      <c r="D2000" s="80"/>
      <c r="E2000" s="97"/>
      <c r="F2000" s="97"/>
      <c r="G2000" s="97"/>
      <c r="H2000" s="97"/>
      <c r="I2000" s="97"/>
      <c r="J2000" s="97"/>
      <c r="K2000" s="97"/>
      <c r="L2000" s="195"/>
    </row>
    <row r="2001" spans="1:12" x14ac:dyDescent="0.45">
      <c r="A2001" s="462"/>
      <c r="B2001" s="441"/>
      <c r="C2001" s="194">
        <v>4</v>
      </c>
      <c r="D2001" s="80"/>
      <c r="E2001" s="97"/>
      <c r="F2001" s="97"/>
      <c r="G2001" s="97"/>
      <c r="H2001" s="97"/>
      <c r="I2001" s="97"/>
      <c r="J2001" s="97"/>
      <c r="K2001" s="97"/>
      <c r="L2001" s="195"/>
    </row>
    <row r="2002" spans="1:12" x14ac:dyDescent="0.45">
      <c r="A2002" s="462"/>
      <c r="B2002" s="441"/>
      <c r="C2002" s="194">
        <v>5</v>
      </c>
      <c r="D2002" s="80"/>
      <c r="E2002" s="97"/>
      <c r="F2002" s="97"/>
      <c r="G2002" s="97"/>
      <c r="H2002" s="97"/>
      <c r="I2002" s="97"/>
      <c r="J2002" s="97"/>
      <c r="K2002" s="97"/>
      <c r="L2002" s="195"/>
    </row>
    <row r="2003" spans="1:12" x14ac:dyDescent="0.45">
      <c r="A2003" s="462"/>
      <c r="B2003" s="441"/>
      <c r="C2003" s="194">
        <v>6</v>
      </c>
      <c r="D2003" s="80"/>
      <c r="E2003" s="97"/>
      <c r="F2003" s="97"/>
      <c r="G2003" s="97"/>
      <c r="H2003" s="97"/>
      <c r="I2003" s="97"/>
      <c r="J2003" s="97"/>
      <c r="K2003" s="97"/>
      <c r="L2003" s="195"/>
    </row>
    <row r="2004" spans="1:12" x14ac:dyDescent="0.45">
      <c r="A2004" s="462"/>
      <c r="B2004" s="441"/>
      <c r="C2004" s="194">
        <v>7</v>
      </c>
      <c r="D2004" s="80"/>
      <c r="E2004" s="97"/>
      <c r="F2004" s="97"/>
      <c r="G2004" s="97"/>
      <c r="H2004" s="97"/>
      <c r="I2004" s="97"/>
      <c r="J2004" s="97"/>
      <c r="K2004" s="97"/>
      <c r="L2004" s="195"/>
    </row>
    <row r="2005" spans="1:12" x14ac:dyDescent="0.45">
      <c r="A2005" s="462"/>
      <c r="B2005" s="441"/>
      <c r="C2005" s="194">
        <v>8</v>
      </c>
      <c r="D2005" s="80"/>
      <c r="E2005" s="97"/>
      <c r="F2005" s="97"/>
      <c r="G2005" s="97"/>
      <c r="H2005" s="97"/>
      <c r="I2005" s="97"/>
      <c r="J2005" s="97"/>
      <c r="K2005" s="97"/>
      <c r="L2005" s="195"/>
    </row>
    <row r="2006" spans="1:12" x14ac:dyDescent="0.45">
      <c r="A2006" s="462"/>
      <c r="B2006" s="441"/>
      <c r="C2006" s="194">
        <v>9</v>
      </c>
      <c r="D2006" s="80"/>
      <c r="E2006" s="97"/>
      <c r="F2006" s="97"/>
      <c r="G2006" s="97"/>
      <c r="H2006" s="97"/>
      <c r="I2006" s="97"/>
      <c r="J2006" s="97"/>
      <c r="K2006" s="97"/>
      <c r="L2006" s="195"/>
    </row>
    <row r="2007" spans="1:12" x14ac:dyDescent="0.45">
      <c r="A2007" s="462"/>
      <c r="B2007" s="441"/>
      <c r="C2007" s="194">
        <v>10</v>
      </c>
      <c r="D2007" s="80"/>
      <c r="E2007" s="97"/>
      <c r="F2007" s="97"/>
      <c r="G2007" s="97"/>
      <c r="H2007" s="97"/>
      <c r="I2007" s="97"/>
      <c r="J2007" s="97"/>
      <c r="K2007" s="97"/>
      <c r="L2007" s="195"/>
    </row>
    <row r="2008" spans="1:12" x14ac:dyDescent="0.45">
      <c r="A2008" s="462"/>
      <c r="B2008" s="441"/>
      <c r="C2008" s="194">
        <v>11</v>
      </c>
      <c r="D2008" s="81"/>
      <c r="E2008" s="98"/>
      <c r="F2008" s="98"/>
      <c r="G2008" s="98"/>
      <c r="H2008" s="98"/>
      <c r="I2008" s="98"/>
      <c r="J2008" s="98"/>
      <c r="K2008" s="98"/>
      <c r="L2008" s="196"/>
    </row>
    <row r="2009" spans="1:12" ht="14.65" thickBot="1" x14ac:dyDescent="0.5">
      <c r="A2009" s="462"/>
      <c r="B2009" s="442"/>
      <c r="C2009" s="197">
        <v>12</v>
      </c>
      <c r="D2009" s="82"/>
      <c r="E2009" s="99"/>
      <c r="F2009" s="99"/>
      <c r="G2009" s="99"/>
      <c r="H2009" s="99"/>
      <c r="I2009" s="99"/>
      <c r="J2009" s="99"/>
      <c r="K2009" s="99"/>
      <c r="L2009" s="198"/>
    </row>
    <row r="2010" spans="1:12" x14ac:dyDescent="0.45">
      <c r="A2010" s="462"/>
      <c r="B2010" s="440">
        <v>3</v>
      </c>
      <c r="C2010" s="192">
        <v>1</v>
      </c>
      <c r="D2010" s="79"/>
      <c r="E2010" s="96"/>
      <c r="F2010" s="96"/>
      <c r="G2010" s="96"/>
      <c r="H2010" s="96"/>
      <c r="I2010" s="96"/>
      <c r="J2010" s="96"/>
      <c r="K2010" s="96"/>
      <c r="L2010" s="193"/>
    </row>
    <row r="2011" spans="1:12" x14ac:dyDescent="0.45">
      <c r="A2011" s="462"/>
      <c r="B2011" s="441"/>
      <c r="C2011" s="194">
        <v>2</v>
      </c>
      <c r="D2011" s="80"/>
      <c r="E2011" s="97"/>
      <c r="F2011" s="97"/>
      <c r="G2011" s="97"/>
      <c r="H2011" s="97"/>
      <c r="I2011" s="97"/>
      <c r="J2011" s="97"/>
      <c r="K2011" s="97"/>
      <c r="L2011" s="195"/>
    </row>
    <row r="2012" spans="1:12" x14ac:dyDescent="0.45">
      <c r="A2012" s="462"/>
      <c r="B2012" s="441"/>
      <c r="C2012" s="194">
        <v>3</v>
      </c>
      <c r="D2012" s="80"/>
      <c r="E2012" s="97"/>
      <c r="F2012" s="97"/>
      <c r="G2012" s="97"/>
      <c r="H2012" s="97"/>
      <c r="I2012" s="97"/>
      <c r="J2012" s="97"/>
      <c r="K2012" s="97"/>
      <c r="L2012" s="195"/>
    </row>
    <row r="2013" spans="1:12" x14ac:dyDescent="0.45">
      <c r="A2013" s="462"/>
      <c r="B2013" s="441"/>
      <c r="C2013" s="194">
        <v>4</v>
      </c>
      <c r="D2013" s="80"/>
      <c r="E2013" s="97"/>
      <c r="F2013" s="97"/>
      <c r="G2013" s="97"/>
      <c r="H2013" s="97"/>
      <c r="I2013" s="97"/>
      <c r="J2013" s="97"/>
      <c r="K2013" s="97"/>
      <c r="L2013" s="195"/>
    </row>
    <row r="2014" spans="1:12" x14ac:dyDescent="0.45">
      <c r="A2014" s="462"/>
      <c r="B2014" s="441"/>
      <c r="C2014" s="194">
        <v>5</v>
      </c>
      <c r="D2014" s="80"/>
      <c r="E2014" s="97"/>
      <c r="F2014" s="97"/>
      <c r="G2014" s="97"/>
      <c r="H2014" s="97"/>
      <c r="I2014" s="97"/>
      <c r="J2014" s="97"/>
      <c r="K2014" s="97"/>
      <c r="L2014" s="195"/>
    </row>
    <row r="2015" spans="1:12" x14ac:dyDescent="0.45">
      <c r="A2015" s="462"/>
      <c r="B2015" s="441"/>
      <c r="C2015" s="194">
        <v>6</v>
      </c>
      <c r="D2015" s="80"/>
      <c r="E2015" s="97"/>
      <c r="F2015" s="97"/>
      <c r="G2015" s="97"/>
      <c r="H2015" s="97"/>
      <c r="I2015" s="97"/>
      <c r="J2015" s="97"/>
      <c r="K2015" s="97"/>
      <c r="L2015" s="195"/>
    </row>
    <row r="2016" spans="1:12" x14ac:dyDescent="0.45">
      <c r="A2016" s="462"/>
      <c r="B2016" s="441"/>
      <c r="C2016" s="194">
        <v>7</v>
      </c>
      <c r="D2016" s="80"/>
      <c r="E2016" s="97"/>
      <c r="F2016" s="97"/>
      <c r="G2016" s="97"/>
      <c r="H2016" s="97"/>
      <c r="I2016" s="97"/>
      <c r="J2016" s="97"/>
      <c r="K2016" s="97"/>
      <c r="L2016" s="195"/>
    </row>
    <row r="2017" spans="1:12" x14ac:dyDescent="0.45">
      <c r="A2017" s="462"/>
      <c r="B2017" s="441"/>
      <c r="C2017" s="194">
        <v>8</v>
      </c>
      <c r="D2017" s="80"/>
      <c r="E2017" s="97"/>
      <c r="F2017" s="97"/>
      <c r="G2017" s="97"/>
      <c r="H2017" s="97"/>
      <c r="I2017" s="97"/>
      <c r="J2017" s="97"/>
      <c r="K2017" s="97"/>
      <c r="L2017" s="195"/>
    </row>
    <row r="2018" spans="1:12" x14ac:dyDescent="0.45">
      <c r="A2018" s="462"/>
      <c r="B2018" s="441"/>
      <c r="C2018" s="194">
        <v>9</v>
      </c>
      <c r="D2018" s="80"/>
      <c r="E2018" s="97"/>
      <c r="F2018" s="97"/>
      <c r="G2018" s="97"/>
      <c r="H2018" s="97"/>
      <c r="I2018" s="97"/>
      <c r="J2018" s="97"/>
      <c r="K2018" s="97"/>
      <c r="L2018" s="195"/>
    </row>
    <row r="2019" spans="1:12" x14ac:dyDescent="0.45">
      <c r="A2019" s="462"/>
      <c r="B2019" s="441"/>
      <c r="C2019" s="194">
        <v>10</v>
      </c>
      <c r="D2019" s="80"/>
      <c r="E2019" s="97"/>
      <c r="F2019" s="97"/>
      <c r="G2019" s="97"/>
      <c r="H2019" s="97"/>
      <c r="I2019" s="97"/>
      <c r="J2019" s="97"/>
      <c r="K2019" s="97"/>
      <c r="L2019" s="195"/>
    </row>
    <row r="2020" spans="1:12" x14ac:dyDescent="0.45">
      <c r="A2020" s="462"/>
      <c r="B2020" s="441"/>
      <c r="C2020" s="194">
        <v>11</v>
      </c>
      <c r="D2020" s="81"/>
      <c r="E2020" s="98"/>
      <c r="F2020" s="98"/>
      <c r="G2020" s="98"/>
      <c r="H2020" s="98"/>
      <c r="I2020" s="98"/>
      <c r="J2020" s="98"/>
      <c r="K2020" s="98"/>
      <c r="L2020" s="196"/>
    </row>
    <row r="2021" spans="1:12" ht="14.65" thickBot="1" x14ac:dyDescent="0.5">
      <c r="A2021" s="462"/>
      <c r="B2021" s="442"/>
      <c r="C2021" s="197">
        <v>12</v>
      </c>
      <c r="D2021" s="82"/>
      <c r="E2021" s="99"/>
      <c r="F2021" s="99"/>
      <c r="G2021" s="99"/>
      <c r="H2021" s="99"/>
      <c r="I2021" s="99"/>
      <c r="J2021" s="99"/>
      <c r="K2021" s="99"/>
      <c r="L2021" s="198"/>
    </row>
    <row r="2022" spans="1:12" x14ac:dyDescent="0.45">
      <c r="A2022" s="462"/>
      <c r="B2022" s="440">
        <v>4</v>
      </c>
      <c r="C2022" s="192">
        <v>1</v>
      </c>
      <c r="D2022" s="79"/>
      <c r="E2022" s="96"/>
      <c r="F2022" s="96"/>
      <c r="G2022" s="96"/>
      <c r="H2022" s="96"/>
      <c r="I2022" s="96"/>
      <c r="J2022" s="96"/>
      <c r="K2022" s="96"/>
      <c r="L2022" s="193"/>
    </row>
    <row r="2023" spans="1:12" x14ac:dyDescent="0.45">
      <c r="A2023" s="462"/>
      <c r="B2023" s="441"/>
      <c r="C2023" s="194">
        <v>2</v>
      </c>
      <c r="D2023" s="80"/>
      <c r="E2023" s="97"/>
      <c r="F2023" s="97"/>
      <c r="G2023" s="97"/>
      <c r="H2023" s="97"/>
      <c r="I2023" s="97"/>
      <c r="J2023" s="97"/>
      <c r="K2023" s="97"/>
      <c r="L2023" s="195"/>
    </row>
    <row r="2024" spans="1:12" x14ac:dyDescent="0.45">
      <c r="A2024" s="462"/>
      <c r="B2024" s="441"/>
      <c r="C2024" s="194">
        <v>3</v>
      </c>
      <c r="D2024" s="80"/>
      <c r="E2024" s="97"/>
      <c r="F2024" s="97"/>
      <c r="G2024" s="97"/>
      <c r="H2024" s="97"/>
      <c r="I2024" s="97"/>
      <c r="J2024" s="97"/>
      <c r="K2024" s="97"/>
      <c r="L2024" s="195"/>
    </row>
    <row r="2025" spans="1:12" x14ac:dyDescent="0.45">
      <c r="A2025" s="462"/>
      <c r="B2025" s="441"/>
      <c r="C2025" s="194">
        <v>4</v>
      </c>
      <c r="D2025" s="80"/>
      <c r="E2025" s="97"/>
      <c r="F2025" s="97"/>
      <c r="G2025" s="97"/>
      <c r="H2025" s="97"/>
      <c r="I2025" s="97"/>
      <c r="J2025" s="97"/>
      <c r="K2025" s="97"/>
      <c r="L2025" s="195"/>
    </row>
    <row r="2026" spans="1:12" x14ac:dyDescent="0.45">
      <c r="A2026" s="462"/>
      <c r="B2026" s="441"/>
      <c r="C2026" s="194">
        <v>5</v>
      </c>
      <c r="D2026" s="80"/>
      <c r="E2026" s="97"/>
      <c r="F2026" s="97"/>
      <c r="G2026" s="97"/>
      <c r="H2026" s="97"/>
      <c r="I2026" s="97"/>
      <c r="J2026" s="97"/>
      <c r="K2026" s="97"/>
      <c r="L2026" s="195"/>
    </row>
    <row r="2027" spans="1:12" x14ac:dyDescent="0.45">
      <c r="A2027" s="462"/>
      <c r="B2027" s="441"/>
      <c r="C2027" s="194">
        <v>6</v>
      </c>
      <c r="D2027" s="80"/>
      <c r="E2027" s="97"/>
      <c r="F2027" s="97"/>
      <c r="G2027" s="97"/>
      <c r="H2027" s="97"/>
      <c r="I2027" s="97"/>
      <c r="J2027" s="97"/>
      <c r="K2027" s="97"/>
      <c r="L2027" s="195"/>
    </row>
    <row r="2028" spans="1:12" x14ac:dyDescent="0.45">
      <c r="A2028" s="462"/>
      <c r="B2028" s="441"/>
      <c r="C2028" s="194">
        <v>7</v>
      </c>
      <c r="D2028" s="80"/>
      <c r="E2028" s="97"/>
      <c r="F2028" s="97"/>
      <c r="G2028" s="97"/>
      <c r="H2028" s="97"/>
      <c r="I2028" s="97"/>
      <c r="J2028" s="97"/>
      <c r="K2028" s="97"/>
      <c r="L2028" s="195"/>
    </row>
    <row r="2029" spans="1:12" x14ac:dyDescent="0.45">
      <c r="A2029" s="462"/>
      <c r="B2029" s="441"/>
      <c r="C2029" s="194">
        <v>8</v>
      </c>
      <c r="D2029" s="80"/>
      <c r="E2029" s="97"/>
      <c r="F2029" s="97"/>
      <c r="G2029" s="97"/>
      <c r="H2029" s="97"/>
      <c r="I2029" s="97"/>
      <c r="J2029" s="97"/>
      <c r="K2029" s="97"/>
      <c r="L2029" s="195"/>
    </row>
    <row r="2030" spans="1:12" x14ac:dyDescent="0.45">
      <c r="A2030" s="462"/>
      <c r="B2030" s="441"/>
      <c r="C2030" s="194">
        <v>9</v>
      </c>
      <c r="D2030" s="80"/>
      <c r="E2030" s="97"/>
      <c r="F2030" s="97"/>
      <c r="G2030" s="97"/>
      <c r="H2030" s="97"/>
      <c r="I2030" s="97"/>
      <c r="J2030" s="97"/>
      <c r="K2030" s="97"/>
      <c r="L2030" s="195"/>
    </row>
    <row r="2031" spans="1:12" x14ac:dyDescent="0.45">
      <c r="A2031" s="462"/>
      <c r="B2031" s="441"/>
      <c r="C2031" s="194">
        <v>10</v>
      </c>
      <c r="D2031" s="80"/>
      <c r="E2031" s="97"/>
      <c r="F2031" s="97"/>
      <c r="G2031" s="97"/>
      <c r="H2031" s="97"/>
      <c r="I2031" s="97"/>
      <c r="J2031" s="97"/>
      <c r="K2031" s="97"/>
      <c r="L2031" s="195"/>
    </row>
    <row r="2032" spans="1:12" x14ac:dyDescent="0.45">
      <c r="A2032" s="462"/>
      <c r="B2032" s="441"/>
      <c r="C2032" s="194">
        <v>11</v>
      </c>
      <c r="D2032" s="81"/>
      <c r="E2032" s="98"/>
      <c r="F2032" s="98"/>
      <c r="G2032" s="98"/>
      <c r="H2032" s="98"/>
      <c r="I2032" s="98"/>
      <c r="J2032" s="98"/>
      <c r="K2032" s="98"/>
      <c r="L2032" s="196"/>
    </row>
    <row r="2033" spans="1:12" ht="14.65" thickBot="1" x14ac:dyDescent="0.5">
      <c r="A2033" s="463"/>
      <c r="B2033" s="442"/>
      <c r="C2033" s="197">
        <v>12</v>
      </c>
      <c r="D2033" s="82"/>
      <c r="E2033" s="99"/>
      <c r="F2033" s="99"/>
      <c r="G2033" s="99"/>
      <c r="H2033" s="99"/>
      <c r="I2033" s="99"/>
      <c r="J2033" s="99"/>
      <c r="K2033" s="99"/>
      <c r="L2033" s="198"/>
    </row>
    <row r="2034" spans="1:12" x14ac:dyDescent="0.45">
      <c r="A2034" s="461">
        <v>2</v>
      </c>
      <c r="B2034" s="440">
        <v>5</v>
      </c>
      <c r="C2034" s="192">
        <v>1</v>
      </c>
      <c r="D2034" s="79"/>
      <c r="E2034" s="96"/>
      <c r="F2034" s="96"/>
      <c r="G2034" s="96"/>
      <c r="H2034" s="96"/>
      <c r="I2034" s="96"/>
      <c r="J2034" s="96"/>
      <c r="K2034" s="96"/>
      <c r="L2034" s="193"/>
    </row>
    <row r="2035" spans="1:12" x14ac:dyDescent="0.45">
      <c r="A2035" s="462"/>
      <c r="B2035" s="441"/>
      <c r="C2035" s="194">
        <v>2</v>
      </c>
      <c r="D2035" s="80"/>
      <c r="E2035" s="97"/>
      <c r="F2035" s="97"/>
      <c r="G2035" s="97"/>
      <c r="H2035" s="97"/>
      <c r="I2035" s="97"/>
      <c r="J2035" s="97"/>
      <c r="K2035" s="97"/>
      <c r="L2035" s="195"/>
    </row>
    <row r="2036" spans="1:12" x14ac:dyDescent="0.45">
      <c r="A2036" s="462"/>
      <c r="B2036" s="441"/>
      <c r="C2036" s="194">
        <v>3</v>
      </c>
      <c r="D2036" s="80"/>
      <c r="E2036" s="97"/>
      <c r="F2036" s="97"/>
      <c r="G2036" s="97"/>
      <c r="H2036" s="97"/>
      <c r="I2036" s="97"/>
      <c r="J2036" s="97"/>
      <c r="K2036" s="97"/>
      <c r="L2036" s="195"/>
    </row>
    <row r="2037" spans="1:12" x14ac:dyDescent="0.45">
      <c r="A2037" s="462"/>
      <c r="B2037" s="441"/>
      <c r="C2037" s="194">
        <v>4</v>
      </c>
      <c r="D2037" s="80"/>
      <c r="E2037" s="97"/>
      <c r="F2037" s="97"/>
      <c r="G2037" s="97"/>
      <c r="H2037" s="97"/>
      <c r="I2037" s="97"/>
      <c r="J2037" s="97"/>
      <c r="K2037" s="97"/>
      <c r="L2037" s="195"/>
    </row>
    <row r="2038" spans="1:12" x14ac:dyDescent="0.45">
      <c r="A2038" s="462"/>
      <c r="B2038" s="441"/>
      <c r="C2038" s="194">
        <v>5</v>
      </c>
      <c r="D2038" s="80"/>
      <c r="E2038" s="97"/>
      <c r="F2038" s="97"/>
      <c r="G2038" s="97"/>
      <c r="H2038" s="97"/>
      <c r="I2038" s="97"/>
      <c r="J2038" s="97"/>
      <c r="K2038" s="97"/>
      <c r="L2038" s="195"/>
    </row>
    <row r="2039" spans="1:12" x14ac:dyDescent="0.45">
      <c r="A2039" s="462"/>
      <c r="B2039" s="441"/>
      <c r="C2039" s="194">
        <v>6</v>
      </c>
      <c r="D2039" s="80"/>
      <c r="E2039" s="97"/>
      <c r="F2039" s="97"/>
      <c r="G2039" s="97"/>
      <c r="H2039" s="97"/>
      <c r="I2039" s="97"/>
      <c r="J2039" s="97"/>
      <c r="K2039" s="97"/>
      <c r="L2039" s="195"/>
    </row>
    <row r="2040" spans="1:12" x14ac:dyDescent="0.45">
      <c r="A2040" s="462"/>
      <c r="B2040" s="441"/>
      <c r="C2040" s="194">
        <v>7</v>
      </c>
      <c r="D2040" s="80"/>
      <c r="E2040" s="97"/>
      <c r="F2040" s="97"/>
      <c r="G2040" s="97"/>
      <c r="H2040" s="97"/>
      <c r="I2040" s="97"/>
      <c r="J2040" s="97"/>
      <c r="K2040" s="97"/>
      <c r="L2040" s="195"/>
    </row>
    <row r="2041" spans="1:12" x14ac:dyDescent="0.45">
      <c r="A2041" s="462"/>
      <c r="B2041" s="441"/>
      <c r="C2041" s="194">
        <v>8</v>
      </c>
      <c r="D2041" s="80"/>
      <c r="E2041" s="97"/>
      <c r="F2041" s="97"/>
      <c r="G2041" s="97"/>
      <c r="H2041" s="97"/>
      <c r="I2041" s="97"/>
      <c r="J2041" s="97"/>
      <c r="K2041" s="97"/>
      <c r="L2041" s="195"/>
    </row>
    <row r="2042" spans="1:12" x14ac:dyDescent="0.45">
      <c r="A2042" s="462"/>
      <c r="B2042" s="441"/>
      <c r="C2042" s="194">
        <v>9</v>
      </c>
      <c r="D2042" s="80"/>
      <c r="E2042" s="97"/>
      <c r="F2042" s="97"/>
      <c r="G2042" s="97"/>
      <c r="H2042" s="97"/>
      <c r="I2042" s="97"/>
      <c r="J2042" s="97"/>
      <c r="K2042" s="97"/>
      <c r="L2042" s="195"/>
    </row>
    <row r="2043" spans="1:12" x14ac:dyDescent="0.45">
      <c r="A2043" s="462"/>
      <c r="B2043" s="441"/>
      <c r="C2043" s="194">
        <v>10</v>
      </c>
      <c r="D2043" s="80"/>
      <c r="E2043" s="97"/>
      <c r="F2043" s="97"/>
      <c r="G2043" s="97"/>
      <c r="H2043" s="97"/>
      <c r="I2043" s="97"/>
      <c r="J2043" s="97"/>
      <c r="K2043" s="97"/>
      <c r="L2043" s="195"/>
    </row>
    <row r="2044" spans="1:12" x14ac:dyDescent="0.45">
      <c r="A2044" s="462"/>
      <c r="B2044" s="441"/>
      <c r="C2044" s="194">
        <v>11</v>
      </c>
      <c r="D2044" s="81"/>
      <c r="E2044" s="98"/>
      <c r="F2044" s="98"/>
      <c r="G2044" s="98"/>
      <c r="H2044" s="98"/>
      <c r="I2044" s="98"/>
      <c r="J2044" s="98"/>
      <c r="K2044" s="98"/>
      <c r="L2044" s="196"/>
    </row>
    <row r="2045" spans="1:12" ht="14.65" thickBot="1" x14ac:dyDescent="0.5">
      <c r="A2045" s="462"/>
      <c r="B2045" s="442"/>
      <c r="C2045" s="197">
        <v>12</v>
      </c>
      <c r="D2045" s="82"/>
      <c r="E2045" s="99"/>
      <c r="F2045" s="99"/>
      <c r="G2045" s="99"/>
      <c r="H2045" s="99"/>
      <c r="I2045" s="99"/>
      <c r="J2045" s="99"/>
      <c r="K2045" s="99"/>
      <c r="L2045" s="198"/>
    </row>
    <row r="2046" spans="1:12" x14ac:dyDescent="0.45">
      <c r="A2046" s="462"/>
      <c r="B2046" s="440">
        <v>6</v>
      </c>
      <c r="C2046" s="192">
        <v>1</v>
      </c>
      <c r="D2046" s="79"/>
      <c r="E2046" s="96"/>
      <c r="F2046" s="96"/>
      <c r="G2046" s="96"/>
      <c r="H2046" s="96"/>
      <c r="I2046" s="96"/>
      <c r="J2046" s="96"/>
      <c r="K2046" s="96"/>
      <c r="L2046" s="193"/>
    </row>
    <row r="2047" spans="1:12" x14ac:dyDescent="0.45">
      <c r="A2047" s="462"/>
      <c r="B2047" s="441"/>
      <c r="C2047" s="194">
        <v>2</v>
      </c>
      <c r="D2047" s="80"/>
      <c r="E2047" s="97"/>
      <c r="F2047" s="97"/>
      <c r="G2047" s="97"/>
      <c r="H2047" s="97"/>
      <c r="I2047" s="97"/>
      <c r="J2047" s="97"/>
      <c r="K2047" s="97"/>
      <c r="L2047" s="195"/>
    </row>
    <row r="2048" spans="1:12" x14ac:dyDescent="0.45">
      <c r="A2048" s="462"/>
      <c r="B2048" s="441"/>
      <c r="C2048" s="194">
        <v>3</v>
      </c>
      <c r="D2048" s="80"/>
      <c r="E2048" s="97"/>
      <c r="F2048" s="97"/>
      <c r="G2048" s="97"/>
      <c r="H2048" s="97"/>
      <c r="I2048" s="97"/>
      <c r="J2048" s="97"/>
      <c r="K2048" s="97"/>
      <c r="L2048" s="195"/>
    </row>
    <row r="2049" spans="1:12" x14ac:dyDescent="0.45">
      <c r="A2049" s="462"/>
      <c r="B2049" s="441"/>
      <c r="C2049" s="194">
        <v>4</v>
      </c>
      <c r="D2049" s="80"/>
      <c r="E2049" s="97"/>
      <c r="F2049" s="97"/>
      <c r="G2049" s="97"/>
      <c r="H2049" s="97"/>
      <c r="I2049" s="97"/>
      <c r="J2049" s="97"/>
      <c r="K2049" s="97"/>
      <c r="L2049" s="195"/>
    </row>
    <row r="2050" spans="1:12" x14ac:dyDescent="0.45">
      <c r="A2050" s="462"/>
      <c r="B2050" s="441"/>
      <c r="C2050" s="194">
        <v>5</v>
      </c>
      <c r="D2050" s="80"/>
      <c r="E2050" s="97"/>
      <c r="F2050" s="97"/>
      <c r="G2050" s="97"/>
      <c r="H2050" s="97"/>
      <c r="I2050" s="97"/>
      <c r="J2050" s="97"/>
      <c r="K2050" s="97"/>
      <c r="L2050" s="195"/>
    </row>
    <row r="2051" spans="1:12" x14ac:dyDescent="0.45">
      <c r="A2051" s="462"/>
      <c r="B2051" s="441"/>
      <c r="C2051" s="194">
        <v>6</v>
      </c>
      <c r="D2051" s="80"/>
      <c r="E2051" s="97"/>
      <c r="F2051" s="97"/>
      <c r="G2051" s="97"/>
      <c r="H2051" s="97"/>
      <c r="I2051" s="97"/>
      <c r="J2051" s="97"/>
      <c r="K2051" s="97"/>
      <c r="L2051" s="195"/>
    </row>
    <row r="2052" spans="1:12" x14ac:dyDescent="0.45">
      <c r="A2052" s="462"/>
      <c r="B2052" s="441"/>
      <c r="C2052" s="194">
        <v>7</v>
      </c>
      <c r="D2052" s="80"/>
      <c r="E2052" s="97"/>
      <c r="F2052" s="97"/>
      <c r="G2052" s="97"/>
      <c r="H2052" s="97"/>
      <c r="I2052" s="97"/>
      <c r="J2052" s="97"/>
      <c r="K2052" s="97"/>
      <c r="L2052" s="195"/>
    </row>
    <row r="2053" spans="1:12" x14ac:dyDescent="0.45">
      <c r="A2053" s="462"/>
      <c r="B2053" s="441"/>
      <c r="C2053" s="194">
        <v>8</v>
      </c>
      <c r="D2053" s="80"/>
      <c r="E2053" s="97"/>
      <c r="F2053" s="97"/>
      <c r="G2053" s="97"/>
      <c r="H2053" s="97"/>
      <c r="I2053" s="97"/>
      <c r="J2053" s="97"/>
      <c r="K2053" s="97"/>
      <c r="L2053" s="195"/>
    </row>
    <row r="2054" spans="1:12" x14ac:dyDescent="0.45">
      <c r="A2054" s="462"/>
      <c r="B2054" s="441"/>
      <c r="C2054" s="194">
        <v>9</v>
      </c>
      <c r="D2054" s="80"/>
      <c r="E2054" s="97"/>
      <c r="F2054" s="97"/>
      <c r="G2054" s="97"/>
      <c r="H2054" s="97"/>
      <c r="I2054" s="97"/>
      <c r="J2054" s="97"/>
      <c r="K2054" s="97"/>
      <c r="L2054" s="195"/>
    </row>
    <row r="2055" spans="1:12" x14ac:dyDescent="0.45">
      <c r="A2055" s="462"/>
      <c r="B2055" s="441"/>
      <c r="C2055" s="194">
        <v>10</v>
      </c>
      <c r="D2055" s="80"/>
      <c r="E2055" s="97"/>
      <c r="F2055" s="97"/>
      <c r="G2055" s="97"/>
      <c r="H2055" s="97"/>
      <c r="I2055" s="97"/>
      <c r="J2055" s="97"/>
      <c r="K2055" s="97"/>
      <c r="L2055" s="195"/>
    </row>
    <row r="2056" spans="1:12" x14ac:dyDescent="0.45">
      <c r="A2056" s="462"/>
      <c r="B2056" s="441"/>
      <c r="C2056" s="194">
        <v>11</v>
      </c>
      <c r="D2056" s="81"/>
      <c r="E2056" s="98"/>
      <c r="F2056" s="98"/>
      <c r="G2056" s="98"/>
      <c r="H2056" s="98"/>
      <c r="I2056" s="98"/>
      <c r="J2056" s="98"/>
      <c r="K2056" s="98"/>
      <c r="L2056" s="196"/>
    </row>
    <row r="2057" spans="1:12" ht="14.65" thickBot="1" x14ac:dyDescent="0.5">
      <c r="A2057" s="462"/>
      <c r="B2057" s="442"/>
      <c r="C2057" s="197">
        <v>12</v>
      </c>
      <c r="D2057" s="82"/>
      <c r="E2057" s="99"/>
      <c r="F2057" s="99"/>
      <c r="G2057" s="99"/>
      <c r="H2057" s="99"/>
      <c r="I2057" s="99"/>
      <c r="J2057" s="99"/>
      <c r="K2057" s="99"/>
      <c r="L2057" s="198"/>
    </row>
    <row r="2058" spans="1:12" x14ac:dyDescent="0.45">
      <c r="A2058" s="462"/>
      <c r="B2058" s="440">
        <v>7</v>
      </c>
      <c r="C2058" s="192">
        <v>1</v>
      </c>
      <c r="D2058" s="79"/>
      <c r="E2058" s="96"/>
      <c r="F2058" s="96"/>
      <c r="G2058" s="96"/>
      <c r="H2058" s="96"/>
      <c r="I2058" s="96"/>
      <c r="J2058" s="96"/>
      <c r="K2058" s="96"/>
      <c r="L2058" s="193"/>
    </row>
    <row r="2059" spans="1:12" x14ac:dyDescent="0.45">
      <c r="A2059" s="462"/>
      <c r="B2059" s="441"/>
      <c r="C2059" s="194">
        <v>2</v>
      </c>
      <c r="D2059" s="80"/>
      <c r="E2059" s="97"/>
      <c r="F2059" s="97"/>
      <c r="G2059" s="97"/>
      <c r="H2059" s="97"/>
      <c r="I2059" s="97"/>
      <c r="J2059" s="97"/>
      <c r="K2059" s="97"/>
      <c r="L2059" s="195"/>
    </row>
    <row r="2060" spans="1:12" x14ac:dyDescent="0.45">
      <c r="A2060" s="462"/>
      <c r="B2060" s="441"/>
      <c r="C2060" s="194">
        <v>3</v>
      </c>
      <c r="D2060" s="80"/>
      <c r="E2060" s="97"/>
      <c r="F2060" s="97"/>
      <c r="G2060" s="97"/>
      <c r="H2060" s="97"/>
      <c r="I2060" s="97"/>
      <c r="J2060" s="97"/>
      <c r="K2060" s="97"/>
      <c r="L2060" s="195"/>
    </row>
    <row r="2061" spans="1:12" x14ac:dyDescent="0.45">
      <c r="A2061" s="462"/>
      <c r="B2061" s="441"/>
      <c r="C2061" s="194">
        <v>4</v>
      </c>
      <c r="D2061" s="80"/>
      <c r="E2061" s="97"/>
      <c r="F2061" s="97"/>
      <c r="G2061" s="97"/>
      <c r="H2061" s="97"/>
      <c r="I2061" s="97"/>
      <c r="J2061" s="97"/>
      <c r="K2061" s="97"/>
      <c r="L2061" s="195"/>
    </row>
    <row r="2062" spans="1:12" x14ac:dyDescent="0.45">
      <c r="A2062" s="462"/>
      <c r="B2062" s="441"/>
      <c r="C2062" s="194">
        <v>5</v>
      </c>
      <c r="D2062" s="80"/>
      <c r="E2062" s="97"/>
      <c r="F2062" s="97"/>
      <c r="G2062" s="97"/>
      <c r="H2062" s="97"/>
      <c r="I2062" s="97"/>
      <c r="J2062" s="97"/>
      <c r="K2062" s="97"/>
      <c r="L2062" s="195"/>
    </row>
    <row r="2063" spans="1:12" x14ac:dyDescent="0.45">
      <c r="A2063" s="462"/>
      <c r="B2063" s="441"/>
      <c r="C2063" s="194">
        <v>6</v>
      </c>
      <c r="D2063" s="80"/>
      <c r="E2063" s="97"/>
      <c r="F2063" s="97"/>
      <c r="G2063" s="97"/>
      <c r="H2063" s="97"/>
      <c r="I2063" s="97"/>
      <c r="J2063" s="97"/>
      <c r="K2063" s="97"/>
      <c r="L2063" s="195"/>
    </row>
    <row r="2064" spans="1:12" x14ac:dyDescent="0.45">
      <c r="A2064" s="462"/>
      <c r="B2064" s="441"/>
      <c r="C2064" s="194">
        <v>7</v>
      </c>
      <c r="D2064" s="80"/>
      <c r="E2064" s="97"/>
      <c r="F2064" s="97"/>
      <c r="G2064" s="97"/>
      <c r="H2064" s="97"/>
      <c r="I2064" s="97"/>
      <c r="J2064" s="97"/>
      <c r="K2064" s="97"/>
      <c r="L2064" s="195"/>
    </row>
    <row r="2065" spans="1:12" x14ac:dyDescent="0.45">
      <c r="A2065" s="462"/>
      <c r="B2065" s="441"/>
      <c r="C2065" s="194">
        <v>8</v>
      </c>
      <c r="D2065" s="80"/>
      <c r="E2065" s="97"/>
      <c r="F2065" s="97"/>
      <c r="G2065" s="97"/>
      <c r="H2065" s="97"/>
      <c r="I2065" s="97"/>
      <c r="J2065" s="97"/>
      <c r="K2065" s="97"/>
      <c r="L2065" s="195"/>
    </row>
    <row r="2066" spans="1:12" x14ac:dyDescent="0.45">
      <c r="A2066" s="462"/>
      <c r="B2066" s="441"/>
      <c r="C2066" s="194">
        <v>9</v>
      </c>
      <c r="D2066" s="80"/>
      <c r="E2066" s="97"/>
      <c r="F2066" s="97"/>
      <c r="G2066" s="97"/>
      <c r="H2066" s="97"/>
      <c r="I2066" s="97"/>
      <c r="J2066" s="97"/>
      <c r="K2066" s="97"/>
      <c r="L2066" s="195"/>
    </row>
    <row r="2067" spans="1:12" x14ac:dyDescent="0.45">
      <c r="A2067" s="462"/>
      <c r="B2067" s="441"/>
      <c r="C2067" s="194">
        <v>10</v>
      </c>
      <c r="D2067" s="80"/>
      <c r="E2067" s="97"/>
      <c r="F2067" s="97"/>
      <c r="G2067" s="97"/>
      <c r="H2067" s="97"/>
      <c r="I2067" s="97"/>
      <c r="J2067" s="97"/>
      <c r="K2067" s="97"/>
      <c r="L2067" s="195"/>
    </row>
    <row r="2068" spans="1:12" x14ac:dyDescent="0.45">
      <c r="A2068" s="462"/>
      <c r="B2068" s="441"/>
      <c r="C2068" s="194">
        <v>11</v>
      </c>
      <c r="D2068" s="81"/>
      <c r="E2068" s="98"/>
      <c r="F2068" s="98"/>
      <c r="G2068" s="98"/>
      <c r="H2068" s="98"/>
      <c r="I2068" s="98"/>
      <c r="J2068" s="98"/>
      <c r="K2068" s="98"/>
      <c r="L2068" s="196"/>
    </row>
    <row r="2069" spans="1:12" ht="14.65" thickBot="1" x14ac:dyDescent="0.5">
      <c r="A2069" s="462"/>
      <c r="B2069" s="442"/>
      <c r="C2069" s="197">
        <v>12</v>
      </c>
      <c r="D2069" s="82"/>
      <c r="E2069" s="99"/>
      <c r="F2069" s="99"/>
      <c r="G2069" s="99"/>
      <c r="H2069" s="99"/>
      <c r="I2069" s="99"/>
      <c r="J2069" s="99"/>
      <c r="K2069" s="99"/>
      <c r="L2069" s="198"/>
    </row>
    <row r="2070" spans="1:12" x14ac:dyDescent="0.45">
      <c r="A2070" s="462"/>
      <c r="B2070" s="440">
        <v>8</v>
      </c>
      <c r="C2070" s="192">
        <v>1</v>
      </c>
      <c r="D2070" s="79"/>
      <c r="E2070" s="96"/>
      <c r="F2070" s="96"/>
      <c r="G2070" s="96"/>
      <c r="H2070" s="96"/>
      <c r="I2070" s="96"/>
      <c r="J2070" s="96"/>
      <c r="K2070" s="96"/>
      <c r="L2070" s="193"/>
    </row>
    <row r="2071" spans="1:12" x14ac:dyDescent="0.45">
      <c r="A2071" s="462"/>
      <c r="B2071" s="441"/>
      <c r="C2071" s="194">
        <v>2</v>
      </c>
      <c r="D2071" s="80"/>
      <c r="E2071" s="97"/>
      <c r="F2071" s="97"/>
      <c r="G2071" s="97"/>
      <c r="H2071" s="97"/>
      <c r="I2071" s="97"/>
      <c r="J2071" s="97"/>
      <c r="K2071" s="97"/>
      <c r="L2071" s="195"/>
    </row>
    <row r="2072" spans="1:12" x14ac:dyDescent="0.45">
      <c r="A2072" s="462"/>
      <c r="B2072" s="441"/>
      <c r="C2072" s="194">
        <v>3</v>
      </c>
      <c r="D2072" s="80"/>
      <c r="E2072" s="97"/>
      <c r="F2072" s="97"/>
      <c r="G2072" s="97"/>
      <c r="H2072" s="97"/>
      <c r="I2072" s="97"/>
      <c r="J2072" s="97"/>
      <c r="K2072" s="97"/>
      <c r="L2072" s="195"/>
    </row>
    <row r="2073" spans="1:12" x14ac:dyDescent="0.45">
      <c r="A2073" s="462"/>
      <c r="B2073" s="441"/>
      <c r="C2073" s="194">
        <v>4</v>
      </c>
      <c r="D2073" s="80"/>
      <c r="E2073" s="97"/>
      <c r="F2073" s="97"/>
      <c r="G2073" s="97"/>
      <c r="H2073" s="97"/>
      <c r="I2073" s="97"/>
      <c r="J2073" s="97"/>
      <c r="K2073" s="97"/>
      <c r="L2073" s="195"/>
    </row>
    <row r="2074" spans="1:12" x14ac:dyDescent="0.45">
      <c r="A2074" s="462"/>
      <c r="B2074" s="441"/>
      <c r="C2074" s="194">
        <v>5</v>
      </c>
      <c r="D2074" s="80"/>
      <c r="E2074" s="97"/>
      <c r="F2074" s="97"/>
      <c r="G2074" s="97"/>
      <c r="H2074" s="97"/>
      <c r="I2074" s="97"/>
      <c r="J2074" s="97"/>
      <c r="K2074" s="97"/>
      <c r="L2074" s="195"/>
    </row>
    <row r="2075" spans="1:12" x14ac:dyDescent="0.45">
      <c r="A2075" s="462"/>
      <c r="B2075" s="441"/>
      <c r="C2075" s="194">
        <v>6</v>
      </c>
      <c r="D2075" s="80"/>
      <c r="E2075" s="97"/>
      <c r="F2075" s="97"/>
      <c r="G2075" s="97"/>
      <c r="H2075" s="97"/>
      <c r="I2075" s="97"/>
      <c r="J2075" s="97"/>
      <c r="K2075" s="97"/>
      <c r="L2075" s="195"/>
    </row>
    <row r="2076" spans="1:12" x14ac:dyDescent="0.45">
      <c r="A2076" s="462"/>
      <c r="B2076" s="441"/>
      <c r="C2076" s="194">
        <v>7</v>
      </c>
      <c r="D2076" s="80"/>
      <c r="E2076" s="97"/>
      <c r="F2076" s="97"/>
      <c r="G2076" s="97"/>
      <c r="H2076" s="97"/>
      <c r="I2076" s="97"/>
      <c r="J2076" s="97"/>
      <c r="K2076" s="97"/>
      <c r="L2076" s="195"/>
    </row>
    <row r="2077" spans="1:12" x14ac:dyDescent="0.45">
      <c r="A2077" s="462"/>
      <c r="B2077" s="441"/>
      <c r="C2077" s="194">
        <v>8</v>
      </c>
      <c r="D2077" s="80"/>
      <c r="E2077" s="97"/>
      <c r="F2077" s="97"/>
      <c r="G2077" s="97"/>
      <c r="H2077" s="97"/>
      <c r="I2077" s="97"/>
      <c r="J2077" s="97"/>
      <c r="K2077" s="97"/>
      <c r="L2077" s="195"/>
    </row>
    <row r="2078" spans="1:12" x14ac:dyDescent="0.45">
      <c r="A2078" s="462"/>
      <c r="B2078" s="441"/>
      <c r="C2078" s="194">
        <v>9</v>
      </c>
      <c r="D2078" s="80"/>
      <c r="E2078" s="97"/>
      <c r="F2078" s="97"/>
      <c r="G2078" s="97"/>
      <c r="H2078" s="97"/>
      <c r="I2078" s="97"/>
      <c r="J2078" s="97"/>
      <c r="K2078" s="97"/>
      <c r="L2078" s="195"/>
    </row>
    <row r="2079" spans="1:12" x14ac:dyDescent="0.45">
      <c r="A2079" s="462"/>
      <c r="B2079" s="441"/>
      <c r="C2079" s="194">
        <v>10</v>
      </c>
      <c r="D2079" s="80"/>
      <c r="E2079" s="97"/>
      <c r="F2079" s="97"/>
      <c r="G2079" s="97"/>
      <c r="H2079" s="97"/>
      <c r="I2079" s="97"/>
      <c r="J2079" s="97"/>
      <c r="K2079" s="97"/>
      <c r="L2079" s="195"/>
    </row>
    <row r="2080" spans="1:12" x14ac:dyDescent="0.45">
      <c r="A2080" s="462"/>
      <c r="B2080" s="441"/>
      <c r="C2080" s="194">
        <v>11</v>
      </c>
      <c r="D2080" s="81"/>
      <c r="E2080" s="98"/>
      <c r="F2080" s="98"/>
      <c r="G2080" s="98"/>
      <c r="H2080" s="98"/>
      <c r="I2080" s="98"/>
      <c r="J2080" s="98"/>
      <c r="K2080" s="98"/>
      <c r="L2080" s="196"/>
    </row>
    <row r="2081" spans="1:12" ht="14.65" thickBot="1" x14ac:dyDescent="0.5">
      <c r="A2081" s="463"/>
      <c r="B2081" s="442"/>
      <c r="C2081" s="197">
        <v>12</v>
      </c>
      <c r="D2081" s="82"/>
      <c r="E2081" s="99"/>
      <c r="F2081" s="99"/>
      <c r="G2081" s="99"/>
      <c r="H2081" s="99"/>
      <c r="I2081" s="99"/>
      <c r="J2081" s="99"/>
      <c r="K2081" s="99"/>
      <c r="L2081" s="198"/>
    </row>
    <row r="2082" spans="1:12" x14ac:dyDescent="0.45">
      <c r="A2082" s="461">
        <v>3</v>
      </c>
      <c r="B2082" s="440">
        <v>9</v>
      </c>
      <c r="C2082" s="192">
        <v>1</v>
      </c>
      <c r="D2082" s="79"/>
      <c r="E2082" s="96"/>
      <c r="F2082" s="96"/>
      <c r="G2082" s="96"/>
      <c r="H2082" s="96"/>
      <c r="I2082" s="96"/>
      <c r="J2082" s="96"/>
      <c r="K2082" s="96"/>
      <c r="L2082" s="193"/>
    </row>
    <row r="2083" spans="1:12" x14ac:dyDescent="0.45">
      <c r="A2083" s="462"/>
      <c r="B2083" s="441"/>
      <c r="C2083" s="194">
        <v>2</v>
      </c>
      <c r="D2083" s="80"/>
      <c r="E2083" s="97"/>
      <c r="F2083" s="97"/>
      <c r="G2083" s="97"/>
      <c r="H2083" s="97"/>
      <c r="I2083" s="97"/>
      <c r="J2083" s="97"/>
      <c r="K2083" s="97"/>
      <c r="L2083" s="195"/>
    </row>
    <row r="2084" spans="1:12" x14ac:dyDescent="0.45">
      <c r="A2084" s="462"/>
      <c r="B2084" s="441"/>
      <c r="C2084" s="194">
        <v>3</v>
      </c>
      <c r="D2084" s="80"/>
      <c r="E2084" s="97"/>
      <c r="F2084" s="97"/>
      <c r="G2084" s="97"/>
      <c r="H2084" s="97"/>
      <c r="I2084" s="97"/>
      <c r="J2084" s="97"/>
      <c r="K2084" s="97"/>
      <c r="L2084" s="195"/>
    </row>
    <row r="2085" spans="1:12" x14ac:dyDescent="0.45">
      <c r="A2085" s="462"/>
      <c r="B2085" s="441"/>
      <c r="C2085" s="194">
        <v>4</v>
      </c>
      <c r="D2085" s="80"/>
      <c r="E2085" s="97"/>
      <c r="F2085" s="97"/>
      <c r="G2085" s="97"/>
      <c r="H2085" s="97"/>
      <c r="I2085" s="97"/>
      <c r="J2085" s="97"/>
      <c r="K2085" s="97"/>
      <c r="L2085" s="195"/>
    </row>
    <row r="2086" spans="1:12" x14ac:dyDescent="0.45">
      <c r="A2086" s="462"/>
      <c r="B2086" s="441"/>
      <c r="C2086" s="194">
        <v>5</v>
      </c>
      <c r="D2086" s="80"/>
      <c r="E2086" s="97"/>
      <c r="F2086" s="97"/>
      <c r="G2086" s="97"/>
      <c r="H2086" s="97"/>
      <c r="I2086" s="97"/>
      <c r="J2086" s="97"/>
      <c r="K2086" s="97"/>
      <c r="L2086" s="195"/>
    </row>
    <row r="2087" spans="1:12" x14ac:dyDescent="0.45">
      <c r="A2087" s="462"/>
      <c r="B2087" s="441"/>
      <c r="C2087" s="194">
        <v>6</v>
      </c>
      <c r="D2087" s="80"/>
      <c r="E2087" s="97"/>
      <c r="F2087" s="97"/>
      <c r="G2087" s="97"/>
      <c r="H2087" s="97"/>
      <c r="I2087" s="97"/>
      <c r="J2087" s="97"/>
      <c r="K2087" s="97"/>
      <c r="L2087" s="195"/>
    </row>
    <row r="2088" spans="1:12" x14ac:dyDescent="0.45">
      <c r="A2088" s="462"/>
      <c r="B2088" s="441"/>
      <c r="C2088" s="194">
        <v>7</v>
      </c>
      <c r="D2088" s="80"/>
      <c r="E2088" s="97"/>
      <c r="F2088" s="97"/>
      <c r="G2088" s="97"/>
      <c r="H2088" s="97"/>
      <c r="I2088" s="97"/>
      <c r="J2088" s="97"/>
      <c r="K2088" s="97"/>
      <c r="L2088" s="195"/>
    </row>
    <row r="2089" spans="1:12" x14ac:dyDescent="0.45">
      <c r="A2089" s="462"/>
      <c r="B2089" s="441"/>
      <c r="C2089" s="194">
        <v>8</v>
      </c>
      <c r="D2089" s="80"/>
      <c r="E2089" s="97"/>
      <c r="F2089" s="97"/>
      <c r="G2089" s="97"/>
      <c r="H2089" s="97"/>
      <c r="I2089" s="97"/>
      <c r="J2089" s="97"/>
      <c r="K2089" s="97"/>
      <c r="L2089" s="195"/>
    </row>
    <row r="2090" spans="1:12" x14ac:dyDescent="0.45">
      <c r="A2090" s="462"/>
      <c r="B2090" s="441"/>
      <c r="C2090" s="194">
        <v>9</v>
      </c>
      <c r="D2090" s="80"/>
      <c r="E2090" s="97"/>
      <c r="F2090" s="97"/>
      <c r="G2090" s="97"/>
      <c r="H2090" s="97"/>
      <c r="I2090" s="97"/>
      <c r="J2090" s="97"/>
      <c r="K2090" s="97"/>
      <c r="L2090" s="195"/>
    </row>
    <row r="2091" spans="1:12" x14ac:dyDescent="0.45">
      <c r="A2091" s="462"/>
      <c r="B2091" s="441"/>
      <c r="C2091" s="194">
        <v>10</v>
      </c>
      <c r="D2091" s="80"/>
      <c r="E2091" s="97"/>
      <c r="F2091" s="97"/>
      <c r="G2091" s="97"/>
      <c r="H2091" s="97"/>
      <c r="I2091" s="97"/>
      <c r="J2091" s="97"/>
      <c r="K2091" s="97"/>
      <c r="L2091" s="195"/>
    </row>
    <row r="2092" spans="1:12" x14ac:dyDescent="0.45">
      <c r="A2092" s="462"/>
      <c r="B2092" s="441"/>
      <c r="C2092" s="194">
        <v>11</v>
      </c>
      <c r="D2092" s="81"/>
      <c r="E2092" s="98"/>
      <c r="F2092" s="98"/>
      <c r="G2092" s="98"/>
      <c r="H2092" s="98"/>
      <c r="I2092" s="98"/>
      <c r="J2092" s="98"/>
      <c r="K2092" s="98"/>
      <c r="L2092" s="196"/>
    </row>
    <row r="2093" spans="1:12" ht="14.65" thickBot="1" x14ac:dyDescent="0.5">
      <c r="A2093" s="462"/>
      <c r="B2093" s="442"/>
      <c r="C2093" s="197">
        <v>12</v>
      </c>
      <c r="D2093" s="82"/>
      <c r="E2093" s="99"/>
      <c r="F2093" s="99"/>
      <c r="G2093" s="99"/>
      <c r="H2093" s="99"/>
      <c r="I2093" s="99"/>
      <c r="J2093" s="99"/>
      <c r="K2093" s="99"/>
      <c r="L2093" s="198"/>
    </row>
    <row r="2094" spans="1:12" x14ac:dyDescent="0.45">
      <c r="A2094" s="462"/>
      <c r="B2094" s="440">
        <v>10</v>
      </c>
      <c r="C2094" s="192">
        <v>1</v>
      </c>
      <c r="D2094" s="79"/>
      <c r="E2094" s="96"/>
      <c r="F2094" s="96"/>
      <c r="G2094" s="96"/>
      <c r="H2094" s="96"/>
      <c r="I2094" s="96"/>
      <c r="J2094" s="96"/>
      <c r="K2094" s="96"/>
      <c r="L2094" s="193"/>
    </row>
    <row r="2095" spans="1:12" x14ac:dyDescent="0.45">
      <c r="A2095" s="462"/>
      <c r="B2095" s="441"/>
      <c r="C2095" s="194">
        <v>2</v>
      </c>
      <c r="D2095" s="80"/>
      <c r="E2095" s="97"/>
      <c r="F2095" s="97"/>
      <c r="G2095" s="97"/>
      <c r="H2095" s="97"/>
      <c r="I2095" s="97"/>
      <c r="J2095" s="97"/>
      <c r="K2095" s="97"/>
      <c r="L2095" s="195"/>
    </row>
    <row r="2096" spans="1:12" x14ac:dyDescent="0.45">
      <c r="A2096" s="462"/>
      <c r="B2096" s="441"/>
      <c r="C2096" s="194">
        <v>3</v>
      </c>
      <c r="D2096" s="80"/>
      <c r="E2096" s="97"/>
      <c r="F2096" s="97"/>
      <c r="G2096" s="97"/>
      <c r="H2096" s="97"/>
      <c r="I2096" s="97"/>
      <c r="J2096" s="97"/>
      <c r="K2096" s="97"/>
      <c r="L2096" s="195"/>
    </row>
    <row r="2097" spans="1:12" x14ac:dyDescent="0.45">
      <c r="A2097" s="462"/>
      <c r="B2097" s="441"/>
      <c r="C2097" s="194">
        <v>4</v>
      </c>
      <c r="D2097" s="80"/>
      <c r="E2097" s="97"/>
      <c r="F2097" s="97"/>
      <c r="G2097" s="97"/>
      <c r="H2097" s="97"/>
      <c r="I2097" s="97"/>
      <c r="J2097" s="97"/>
      <c r="K2097" s="97"/>
      <c r="L2097" s="195"/>
    </row>
    <row r="2098" spans="1:12" x14ac:dyDescent="0.45">
      <c r="A2098" s="462"/>
      <c r="B2098" s="441"/>
      <c r="C2098" s="194">
        <v>5</v>
      </c>
      <c r="D2098" s="80"/>
      <c r="E2098" s="97"/>
      <c r="F2098" s="97"/>
      <c r="G2098" s="97"/>
      <c r="H2098" s="97"/>
      <c r="I2098" s="97"/>
      <c r="J2098" s="97"/>
      <c r="K2098" s="97"/>
      <c r="L2098" s="195"/>
    </row>
    <row r="2099" spans="1:12" x14ac:dyDescent="0.45">
      <c r="A2099" s="462"/>
      <c r="B2099" s="441"/>
      <c r="C2099" s="194">
        <v>6</v>
      </c>
      <c r="D2099" s="80"/>
      <c r="E2099" s="97"/>
      <c r="F2099" s="97"/>
      <c r="G2099" s="97"/>
      <c r="H2099" s="97"/>
      <c r="I2099" s="97"/>
      <c r="J2099" s="97"/>
      <c r="K2099" s="97"/>
      <c r="L2099" s="195"/>
    </row>
    <row r="2100" spans="1:12" x14ac:dyDescent="0.45">
      <c r="A2100" s="462"/>
      <c r="B2100" s="441"/>
      <c r="C2100" s="194">
        <v>7</v>
      </c>
      <c r="D2100" s="80"/>
      <c r="E2100" s="97"/>
      <c r="F2100" s="97"/>
      <c r="G2100" s="97"/>
      <c r="H2100" s="97"/>
      <c r="I2100" s="97"/>
      <c r="J2100" s="97"/>
      <c r="K2100" s="97"/>
      <c r="L2100" s="195"/>
    </row>
    <row r="2101" spans="1:12" x14ac:dyDescent="0.45">
      <c r="A2101" s="462"/>
      <c r="B2101" s="441"/>
      <c r="C2101" s="194">
        <v>8</v>
      </c>
      <c r="D2101" s="80"/>
      <c r="E2101" s="97"/>
      <c r="F2101" s="97"/>
      <c r="G2101" s="97"/>
      <c r="H2101" s="97"/>
      <c r="I2101" s="97"/>
      <c r="J2101" s="97"/>
      <c r="K2101" s="97"/>
      <c r="L2101" s="195"/>
    </row>
    <row r="2102" spans="1:12" x14ac:dyDescent="0.45">
      <c r="A2102" s="462"/>
      <c r="B2102" s="441"/>
      <c r="C2102" s="194">
        <v>9</v>
      </c>
      <c r="D2102" s="80"/>
      <c r="E2102" s="97"/>
      <c r="F2102" s="97"/>
      <c r="G2102" s="97"/>
      <c r="H2102" s="97"/>
      <c r="I2102" s="97"/>
      <c r="J2102" s="97"/>
      <c r="K2102" s="97"/>
      <c r="L2102" s="195"/>
    </row>
    <row r="2103" spans="1:12" x14ac:dyDescent="0.45">
      <c r="A2103" s="462"/>
      <c r="B2103" s="441"/>
      <c r="C2103" s="194">
        <v>10</v>
      </c>
      <c r="D2103" s="80"/>
      <c r="E2103" s="97"/>
      <c r="F2103" s="97"/>
      <c r="G2103" s="97"/>
      <c r="H2103" s="97"/>
      <c r="I2103" s="97"/>
      <c r="J2103" s="97"/>
      <c r="K2103" s="97"/>
      <c r="L2103" s="195"/>
    </row>
    <row r="2104" spans="1:12" x14ac:dyDescent="0.45">
      <c r="A2104" s="462"/>
      <c r="B2104" s="441"/>
      <c r="C2104" s="194">
        <v>11</v>
      </c>
      <c r="D2104" s="81"/>
      <c r="E2104" s="98"/>
      <c r="F2104" s="98"/>
      <c r="G2104" s="98"/>
      <c r="H2104" s="98"/>
      <c r="I2104" s="98"/>
      <c r="J2104" s="98"/>
      <c r="K2104" s="98"/>
      <c r="L2104" s="196"/>
    </row>
    <row r="2105" spans="1:12" ht="14.65" thickBot="1" x14ac:dyDescent="0.5">
      <c r="A2105" s="462"/>
      <c r="B2105" s="442"/>
      <c r="C2105" s="197">
        <v>12</v>
      </c>
      <c r="D2105" s="82"/>
      <c r="E2105" s="99"/>
      <c r="F2105" s="99"/>
      <c r="G2105" s="99"/>
      <c r="H2105" s="99"/>
      <c r="I2105" s="99"/>
      <c r="J2105" s="99"/>
      <c r="K2105" s="99"/>
      <c r="L2105" s="198"/>
    </row>
    <row r="2106" spans="1:12" x14ac:dyDescent="0.45">
      <c r="A2106" s="462"/>
      <c r="B2106" s="440">
        <v>11</v>
      </c>
      <c r="C2106" s="192">
        <v>1</v>
      </c>
      <c r="D2106" s="79"/>
      <c r="E2106" s="96"/>
      <c r="F2106" s="96"/>
      <c r="G2106" s="96"/>
      <c r="H2106" s="96"/>
      <c r="I2106" s="96"/>
      <c r="J2106" s="96"/>
      <c r="K2106" s="96"/>
      <c r="L2106" s="193"/>
    </row>
    <row r="2107" spans="1:12" x14ac:dyDescent="0.45">
      <c r="A2107" s="462"/>
      <c r="B2107" s="441"/>
      <c r="C2107" s="194">
        <v>2</v>
      </c>
      <c r="D2107" s="80"/>
      <c r="E2107" s="97"/>
      <c r="F2107" s="97"/>
      <c r="G2107" s="97"/>
      <c r="H2107" s="97"/>
      <c r="I2107" s="97"/>
      <c r="J2107" s="97"/>
      <c r="K2107" s="97"/>
      <c r="L2107" s="195"/>
    </row>
    <row r="2108" spans="1:12" x14ac:dyDescent="0.45">
      <c r="A2108" s="462"/>
      <c r="B2108" s="441"/>
      <c r="C2108" s="194">
        <v>3</v>
      </c>
      <c r="D2108" s="80"/>
      <c r="E2108" s="97"/>
      <c r="F2108" s="97"/>
      <c r="G2108" s="97"/>
      <c r="H2108" s="97"/>
      <c r="I2108" s="97"/>
      <c r="J2108" s="97"/>
      <c r="K2108" s="97"/>
      <c r="L2108" s="195"/>
    </row>
    <row r="2109" spans="1:12" x14ac:dyDescent="0.45">
      <c r="A2109" s="462"/>
      <c r="B2109" s="441"/>
      <c r="C2109" s="194">
        <v>4</v>
      </c>
      <c r="D2109" s="80"/>
      <c r="E2109" s="97"/>
      <c r="F2109" s="97"/>
      <c r="G2109" s="97"/>
      <c r="H2109" s="97"/>
      <c r="I2109" s="97"/>
      <c r="J2109" s="97"/>
      <c r="K2109" s="97"/>
      <c r="L2109" s="195"/>
    </row>
    <row r="2110" spans="1:12" x14ac:dyDescent="0.45">
      <c r="A2110" s="462"/>
      <c r="B2110" s="441"/>
      <c r="C2110" s="194">
        <v>5</v>
      </c>
      <c r="D2110" s="80"/>
      <c r="E2110" s="97"/>
      <c r="F2110" s="97"/>
      <c r="G2110" s="97"/>
      <c r="H2110" s="97"/>
      <c r="I2110" s="97"/>
      <c r="J2110" s="97"/>
      <c r="K2110" s="97"/>
      <c r="L2110" s="195"/>
    </row>
    <row r="2111" spans="1:12" x14ac:dyDescent="0.45">
      <c r="A2111" s="462"/>
      <c r="B2111" s="441"/>
      <c r="C2111" s="194">
        <v>6</v>
      </c>
      <c r="D2111" s="80"/>
      <c r="E2111" s="97"/>
      <c r="F2111" s="97"/>
      <c r="G2111" s="97"/>
      <c r="H2111" s="97"/>
      <c r="I2111" s="97"/>
      <c r="J2111" s="97"/>
      <c r="K2111" s="97"/>
      <c r="L2111" s="195"/>
    </row>
    <row r="2112" spans="1:12" x14ac:dyDescent="0.45">
      <c r="A2112" s="462"/>
      <c r="B2112" s="441"/>
      <c r="C2112" s="194">
        <v>7</v>
      </c>
      <c r="D2112" s="80"/>
      <c r="E2112" s="97"/>
      <c r="F2112" s="97"/>
      <c r="G2112" s="97"/>
      <c r="H2112" s="97"/>
      <c r="I2112" s="97"/>
      <c r="J2112" s="97"/>
      <c r="K2112" s="97"/>
      <c r="L2112" s="195"/>
    </row>
    <row r="2113" spans="1:12" x14ac:dyDescent="0.45">
      <c r="A2113" s="462"/>
      <c r="B2113" s="441"/>
      <c r="C2113" s="194">
        <v>8</v>
      </c>
      <c r="D2113" s="80"/>
      <c r="E2113" s="97"/>
      <c r="F2113" s="97"/>
      <c r="G2113" s="97"/>
      <c r="H2113" s="97"/>
      <c r="I2113" s="97"/>
      <c r="J2113" s="97"/>
      <c r="K2113" s="97"/>
      <c r="L2113" s="195"/>
    </row>
    <row r="2114" spans="1:12" x14ac:dyDescent="0.45">
      <c r="A2114" s="462"/>
      <c r="B2114" s="441"/>
      <c r="C2114" s="194">
        <v>9</v>
      </c>
      <c r="D2114" s="80"/>
      <c r="E2114" s="97"/>
      <c r="F2114" s="97"/>
      <c r="G2114" s="97"/>
      <c r="H2114" s="97"/>
      <c r="I2114" s="97"/>
      <c r="J2114" s="97"/>
      <c r="K2114" s="97"/>
      <c r="L2114" s="195"/>
    </row>
    <row r="2115" spans="1:12" x14ac:dyDescent="0.45">
      <c r="A2115" s="462"/>
      <c r="B2115" s="441"/>
      <c r="C2115" s="194">
        <v>10</v>
      </c>
      <c r="D2115" s="80"/>
      <c r="E2115" s="97"/>
      <c r="F2115" s="97"/>
      <c r="G2115" s="97"/>
      <c r="H2115" s="97"/>
      <c r="I2115" s="97"/>
      <c r="J2115" s="97"/>
      <c r="K2115" s="97"/>
      <c r="L2115" s="195"/>
    </row>
    <row r="2116" spans="1:12" x14ac:dyDescent="0.45">
      <c r="A2116" s="462"/>
      <c r="B2116" s="441"/>
      <c r="C2116" s="194">
        <v>11</v>
      </c>
      <c r="D2116" s="81"/>
      <c r="E2116" s="98"/>
      <c r="F2116" s="98"/>
      <c r="G2116" s="98"/>
      <c r="H2116" s="98"/>
      <c r="I2116" s="98"/>
      <c r="J2116" s="98"/>
      <c r="K2116" s="98"/>
      <c r="L2116" s="196"/>
    </row>
    <row r="2117" spans="1:12" ht="14.65" thickBot="1" x14ac:dyDescent="0.5">
      <c r="A2117" s="462"/>
      <c r="B2117" s="442"/>
      <c r="C2117" s="197">
        <v>12</v>
      </c>
      <c r="D2117" s="82"/>
      <c r="E2117" s="99"/>
      <c r="F2117" s="99"/>
      <c r="G2117" s="99"/>
      <c r="H2117" s="99"/>
      <c r="I2117" s="99"/>
      <c r="J2117" s="99"/>
      <c r="K2117" s="99"/>
      <c r="L2117" s="198"/>
    </row>
    <row r="2118" spans="1:12" x14ac:dyDescent="0.45">
      <c r="A2118" s="462"/>
      <c r="B2118" s="440">
        <v>12</v>
      </c>
      <c r="C2118" s="192">
        <v>1</v>
      </c>
      <c r="D2118" s="79"/>
      <c r="E2118" s="96"/>
      <c r="F2118" s="96"/>
      <c r="G2118" s="96"/>
      <c r="H2118" s="96"/>
      <c r="I2118" s="96"/>
      <c r="J2118" s="96"/>
      <c r="K2118" s="96"/>
      <c r="L2118" s="193"/>
    </row>
    <row r="2119" spans="1:12" x14ac:dyDescent="0.45">
      <c r="A2119" s="462"/>
      <c r="B2119" s="441"/>
      <c r="C2119" s="194">
        <v>2</v>
      </c>
      <c r="D2119" s="80"/>
      <c r="E2119" s="97"/>
      <c r="F2119" s="97"/>
      <c r="G2119" s="97"/>
      <c r="H2119" s="97"/>
      <c r="I2119" s="97"/>
      <c r="J2119" s="97"/>
      <c r="K2119" s="97"/>
      <c r="L2119" s="195"/>
    </row>
    <row r="2120" spans="1:12" x14ac:dyDescent="0.45">
      <c r="A2120" s="462"/>
      <c r="B2120" s="441"/>
      <c r="C2120" s="194">
        <v>3</v>
      </c>
      <c r="D2120" s="80"/>
      <c r="E2120" s="97"/>
      <c r="F2120" s="97"/>
      <c r="G2120" s="97"/>
      <c r="H2120" s="97"/>
      <c r="I2120" s="97"/>
      <c r="J2120" s="97"/>
      <c r="K2120" s="97"/>
      <c r="L2120" s="195"/>
    </row>
    <row r="2121" spans="1:12" x14ac:dyDescent="0.45">
      <c r="A2121" s="462"/>
      <c r="B2121" s="441"/>
      <c r="C2121" s="194">
        <v>4</v>
      </c>
      <c r="D2121" s="80"/>
      <c r="E2121" s="97"/>
      <c r="F2121" s="97"/>
      <c r="G2121" s="97"/>
      <c r="H2121" s="97"/>
      <c r="I2121" s="97"/>
      <c r="J2121" s="97"/>
      <c r="K2121" s="97"/>
      <c r="L2121" s="195"/>
    </row>
    <row r="2122" spans="1:12" x14ac:dyDescent="0.45">
      <c r="A2122" s="462"/>
      <c r="B2122" s="441"/>
      <c r="C2122" s="194">
        <v>5</v>
      </c>
      <c r="D2122" s="80"/>
      <c r="E2122" s="97"/>
      <c r="F2122" s="97"/>
      <c r="G2122" s="97"/>
      <c r="H2122" s="97"/>
      <c r="I2122" s="97"/>
      <c r="J2122" s="97"/>
      <c r="K2122" s="97"/>
      <c r="L2122" s="195"/>
    </row>
    <row r="2123" spans="1:12" x14ac:dyDescent="0.45">
      <c r="A2123" s="462"/>
      <c r="B2123" s="441"/>
      <c r="C2123" s="194">
        <v>6</v>
      </c>
      <c r="D2123" s="80"/>
      <c r="E2123" s="97"/>
      <c r="F2123" s="97"/>
      <c r="G2123" s="97"/>
      <c r="H2123" s="97"/>
      <c r="I2123" s="97"/>
      <c r="J2123" s="97"/>
      <c r="K2123" s="97"/>
      <c r="L2123" s="195"/>
    </row>
    <row r="2124" spans="1:12" x14ac:dyDescent="0.45">
      <c r="A2124" s="462"/>
      <c r="B2124" s="441"/>
      <c r="C2124" s="194">
        <v>7</v>
      </c>
      <c r="D2124" s="80"/>
      <c r="E2124" s="97"/>
      <c r="F2124" s="97"/>
      <c r="G2124" s="97"/>
      <c r="H2124" s="97"/>
      <c r="I2124" s="97"/>
      <c r="J2124" s="97"/>
      <c r="K2124" s="97"/>
      <c r="L2124" s="195"/>
    </row>
    <row r="2125" spans="1:12" x14ac:dyDescent="0.45">
      <c r="A2125" s="462"/>
      <c r="B2125" s="441"/>
      <c r="C2125" s="194">
        <v>8</v>
      </c>
      <c r="D2125" s="80"/>
      <c r="E2125" s="97"/>
      <c r="F2125" s="97"/>
      <c r="G2125" s="97"/>
      <c r="H2125" s="97"/>
      <c r="I2125" s="97"/>
      <c r="J2125" s="97"/>
      <c r="K2125" s="97"/>
      <c r="L2125" s="195"/>
    </row>
    <row r="2126" spans="1:12" x14ac:dyDescent="0.45">
      <c r="A2126" s="462"/>
      <c r="B2126" s="441"/>
      <c r="C2126" s="194">
        <v>9</v>
      </c>
      <c r="D2126" s="80"/>
      <c r="E2126" s="97"/>
      <c r="F2126" s="97"/>
      <c r="G2126" s="97"/>
      <c r="H2126" s="97"/>
      <c r="I2126" s="97"/>
      <c r="J2126" s="97"/>
      <c r="K2126" s="97"/>
      <c r="L2126" s="195"/>
    </row>
    <row r="2127" spans="1:12" x14ac:dyDescent="0.45">
      <c r="A2127" s="462"/>
      <c r="B2127" s="441"/>
      <c r="C2127" s="194">
        <v>10</v>
      </c>
      <c r="D2127" s="80"/>
      <c r="E2127" s="97"/>
      <c r="F2127" s="97"/>
      <c r="G2127" s="97"/>
      <c r="H2127" s="97"/>
      <c r="I2127" s="97"/>
      <c r="J2127" s="97"/>
      <c r="K2127" s="97"/>
      <c r="L2127" s="195"/>
    </row>
    <row r="2128" spans="1:12" x14ac:dyDescent="0.45">
      <c r="A2128" s="462"/>
      <c r="B2128" s="441"/>
      <c r="C2128" s="194">
        <v>11</v>
      </c>
      <c r="D2128" s="81"/>
      <c r="E2128" s="98"/>
      <c r="F2128" s="98"/>
      <c r="G2128" s="98"/>
      <c r="H2128" s="98"/>
      <c r="I2128" s="98"/>
      <c r="J2128" s="98"/>
      <c r="K2128" s="98"/>
      <c r="L2128" s="196"/>
    </row>
    <row r="2129" spans="1:12" ht="14.65" thickBot="1" x14ac:dyDescent="0.5">
      <c r="A2129" s="463"/>
      <c r="B2129" s="442"/>
      <c r="C2129" s="199">
        <v>12</v>
      </c>
      <c r="D2129" s="82"/>
      <c r="E2129" s="99"/>
      <c r="F2129" s="99"/>
      <c r="G2129" s="99"/>
      <c r="H2129" s="99"/>
      <c r="I2129" s="99"/>
      <c r="J2129" s="99"/>
      <c r="K2129" s="99"/>
      <c r="L2129" s="198"/>
    </row>
    <row r="2131" spans="1:12" s="91" customFormat="1" x14ac:dyDescent="0.45"/>
    <row r="2132" spans="1:12" ht="14.65" thickBot="1" x14ac:dyDescent="0.5"/>
    <row r="2133" spans="1:12" ht="28.9" thickBot="1" x14ac:dyDescent="0.5">
      <c r="A2133" s="187" t="s">
        <v>76</v>
      </c>
      <c r="B2133" s="186">
        <v>15</v>
      </c>
      <c r="C2133" s="109"/>
      <c r="D2133" s="109"/>
    </row>
    <row r="2134" spans="1:12" x14ac:dyDescent="0.45">
      <c r="A2134" s="443" t="s">
        <v>27</v>
      </c>
      <c r="B2134" s="448">
        <f>Name15</f>
        <v>0</v>
      </c>
      <c r="C2134" s="449"/>
      <c r="D2134" s="450"/>
      <c r="I2134" s="204"/>
      <c r="J2134" s="204"/>
      <c r="K2134" s="204"/>
      <c r="L2134" s="204"/>
    </row>
    <row r="2135" spans="1:12" x14ac:dyDescent="0.45">
      <c r="A2135" s="444"/>
      <c r="B2135" s="448"/>
      <c r="C2135" s="449"/>
      <c r="D2135" s="450"/>
      <c r="I2135" s="204"/>
      <c r="J2135" s="204"/>
      <c r="K2135" s="204"/>
      <c r="L2135" s="204"/>
    </row>
    <row r="2136" spans="1:12" x14ac:dyDescent="0.45">
      <c r="A2136" s="445"/>
      <c r="B2136" s="388"/>
      <c r="C2136" s="451"/>
      <c r="D2136" s="452"/>
      <c r="I2136" s="204"/>
      <c r="J2136" s="204"/>
      <c r="K2136" s="204"/>
      <c r="L2136" s="204"/>
    </row>
    <row r="2137" spans="1:12" ht="14.45" customHeight="1" x14ac:dyDescent="0.45">
      <c r="A2137" s="444" t="s">
        <v>155</v>
      </c>
      <c r="B2137" s="453">
        <f>GapA15</f>
        <v>0</v>
      </c>
      <c r="C2137" s="454"/>
      <c r="D2137" s="455"/>
      <c r="I2137" s="204"/>
      <c r="J2137" s="204"/>
      <c r="K2137" s="204"/>
      <c r="L2137" s="204"/>
    </row>
    <row r="2138" spans="1:12" x14ac:dyDescent="0.45">
      <c r="A2138" s="444"/>
      <c r="B2138" s="448"/>
      <c r="C2138" s="449"/>
      <c r="D2138" s="450"/>
      <c r="I2138" s="204"/>
      <c r="J2138" s="204"/>
      <c r="K2138" s="204"/>
      <c r="L2138" s="204"/>
    </row>
    <row r="2139" spans="1:12" x14ac:dyDescent="0.45">
      <c r="A2139" s="445"/>
      <c r="B2139" s="388"/>
      <c r="C2139" s="451"/>
      <c r="D2139" s="452"/>
      <c r="I2139" s="204"/>
      <c r="J2139" s="204"/>
      <c r="K2139" s="204"/>
      <c r="L2139" s="204"/>
    </row>
    <row r="2140" spans="1:12" x14ac:dyDescent="0.45">
      <c r="A2140" s="444" t="s">
        <v>159</v>
      </c>
      <c r="B2140" s="453">
        <f>Objective15</f>
        <v>0</v>
      </c>
      <c r="C2140" s="454"/>
      <c r="D2140" s="455"/>
      <c r="I2140" s="204"/>
      <c r="J2140" s="204"/>
      <c r="K2140" s="204"/>
      <c r="L2140" s="204"/>
    </row>
    <row r="2141" spans="1:12" x14ac:dyDescent="0.45">
      <c r="A2141" s="444"/>
      <c r="B2141" s="448"/>
      <c r="C2141" s="449"/>
      <c r="D2141" s="450"/>
      <c r="I2141" s="204"/>
      <c r="J2141" s="204"/>
      <c r="K2141" s="204"/>
      <c r="L2141" s="204"/>
    </row>
    <row r="2142" spans="1:12" x14ac:dyDescent="0.45">
      <c r="A2142" s="445"/>
      <c r="B2142" s="388"/>
      <c r="C2142" s="451"/>
      <c r="D2142" s="452"/>
      <c r="I2142" s="204"/>
      <c r="J2142" s="204"/>
      <c r="K2142" s="204"/>
      <c r="L2142" s="204"/>
    </row>
    <row r="2143" spans="1:12" ht="14.45" customHeight="1" x14ac:dyDescent="0.45">
      <c r="A2143" s="446" t="s">
        <v>166</v>
      </c>
      <c r="B2143" s="454">
        <f>Capacity15</f>
        <v>0</v>
      </c>
      <c r="C2143" s="454"/>
      <c r="D2143" s="455"/>
      <c r="I2143" s="204"/>
      <c r="J2143" s="204"/>
      <c r="K2143" s="204"/>
      <c r="L2143" s="204"/>
    </row>
    <row r="2144" spans="1:12" x14ac:dyDescent="0.45">
      <c r="A2144" s="447"/>
      <c r="B2144" s="449"/>
      <c r="C2144" s="449"/>
      <c r="D2144" s="450"/>
      <c r="I2144" s="204"/>
      <c r="J2144" s="204"/>
      <c r="K2144" s="204"/>
      <c r="L2144" s="204"/>
    </row>
    <row r="2145" spans="1:14" ht="14.65" thickBot="1" x14ac:dyDescent="0.5">
      <c r="A2145" s="464"/>
      <c r="B2145" s="456"/>
      <c r="C2145" s="456"/>
      <c r="D2145" s="457"/>
      <c r="I2145" s="204"/>
      <c r="J2145" s="204"/>
      <c r="K2145" s="204"/>
      <c r="L2145" s="204"/>
    </row>
    <row r="2147" spans="1:14" ht="14.65" thickBot="1" x14ac:dyDescent="0.5">
      <c r="A2147" s="90"/>
      <c r="B2147" s="90"/>
      <c r="C2147" s="90"/>
      <c r="D2147" s="90"/>
      <c r="E2147" s="90"/>
      <c r="F2147" s="90"/>
      <c r="G2147" s="90"/>
      <c r="H2147" s="90"/>
      <c r="I2147" s="90"/>
      <c r="J2147" s="90"/>
      <c r="K2147" s="90"/>
      <c r="L2147" s="90"/>
      <c r="M2147" s="204"/>
      <c r="N2147" s="204"/>
    </row>
    <row r="2148" spans="1:14" ht="21.75" customHeight="1" x14ac:dyDescent="0.45">
      <c r="A2148" s="458" t="s">
        <v>135</v>
      </c>
      <c r="B2148" s="459"/>
      <c r="C2148" s="459"/>
      <c r="D2148" s="459"/>
      <c r="E2148" s="459"/>
      <c r="F2148" s="459"/>
      <c r="G2148" s="459"/>
      <c r="H2148" s="459"/>
      <c r="I2148" s="459"/>
      <c r="J2148" s="459"/>
      <c r="K2148" s="459"/>
      <c r="L2148" s="460"/>
    </row>
    <row r="2149" spans="1:14" ht="29" customHeight="1" thickBot="1" x14ac:dyDescent="0.5">
      <c r="A2149" s="93" t="s">
        <v>74</v>
      </c>
      <c r="B2149" s="94" t="s">
        <v>28</v>
      </c>
      <c r="C2149" s="95" t="s">
        <v>320</v>
      </c>
      <c r="D2149" s="95" t="s">
        <v>127</v>
      </c>
      <c r="E2149" s="114" t="s">
        <v>90</v>
      </c>
      <c r="F2149" s="95" t="s">
        <v>175</v>
      </c>
      <c r="G2149" s="95" t="s">
        <v>176</v>
      </c>
      <c r="H2149" s="95" t="s">
        <v>156</v>
      </c>
      <c r="I2149" s="95" t="s">
        <v>157</v>
      </c>
      <c r="J2149" s="189" t="s">
        <v>321</v>
      </c>
      <c r="K2149" s="190" t="s">
        <v>29</v>
      </c>
      <c r="L2149" s="191" t="s">
        <v>322</v>
      </c>
    </row>
    <row r="2150" spans="1:14" x14ac:dyDescent="0.45">
      <c r="A2150" s="461">
        <v>1</v>
      </c>
      <c r="B2150" s="440">
        <v>1</v>
      </c>
      <c r="C2150" s="192">
        <v>1</v>
      </c>
      <c r="D2150" s="79"/>
      <c r="E2150" s="96"/>
      <c r="F2150" s="96"/>
      <c r="G2150" s="96"/>
      <c r="H2150" s="96"/>
      <c r="I2150" s="96"/>
      <c r="J2150" s="96"/>
      <c r="K2150" s="96"/>
      <c r="L2150" s="193"/>
    </row>
    <row r="2151" spans="1:14" x14ac:dyDescent="0.45">
      <c r="A2151" s="462"/>
      <c r="B2151" s="441"/>
      <c r="C2151" s="194">
        <v>2</v>
      </c>
      <c r="D2151" s="80"/>
      <c r="E2151" s="97"/>
      <c r="F2151" s="97"/>
      <c r="G2151" s="97"/>
      <c r="H2151" s="97"/>
      <c r="I2151" s="97"/>
      <c r="J2151" s="97"/>
      <c r="K2151" s="97"/>
      <c r="L2151" s="195"/>
    </row>
    <row r="2152" spans="1:14" x14ac:dyDescent="0.45">
      <c r="A2152" s="462"/>
      <c r="B2152" s="441"/>
      <c r="C2152" s="194">
        <v>3</v>
      </c>
      <c r="D2152" s="80"/>
      <c r="E2152" s="97"/>
      <c r="F2152" s="97"/>
      <c r="G2152" s="97"/>
      <c r="H2152" s="97"/>
      <c r="I2152" s="97"/>
      <c r="J2152" s="97"/>
      <c r="K2152" s="97"/>
      <c r="L2152" s="195"/>
    </row>
    <row r="2153" spans="1:14" x14ac:dyDescent="0.45">
      <c r="A2153" s="462"/>
      <c r="B2153" s="441"/>
      <c r="C2153" s="194">
        <v>4</v>
      </c>
      <c r="D2153" s="80"/>
      <c r="E2153" s="97"/>
      <c r="F2153" s="97"/>
      <c r="G2153" s="97"/>
      <c r="H2153" s="97"/>
      <c r="I2153" s="97"/>
      <c r="J2153" s="97"/>
      <c r="K2153" s="97"/>
      <c r="L2153" s="195"/>
    </row>
    <row r="2154" spans="1:14" x14ac:dyDescent="0.45">
      <c r="A2154" s="462"/>
      <c r="B2154" s="441"/>
      <c r="C2154" s="194">
        <v>5</v>
      </c>
      <c r="D2154" s="80"/>
      <c r="E2154" s="97"/>
      <c r="F2154" s="97"/>
      <c r="G2154" s="97"/>
      <c r="H2154" s="97"/>
      <c r="I2154" s="97"/>
      <c r="J2154" s="97"/>
      <c r="K2154" s="97"/>
      <c r="L2154" s="195"/>
    </row>
    <row r="2155" spans="1:14" x14ac:dyDescent="0.45">
      <c r="A2155" s="462"/>
      <c r="B2155" s="441"/>
      <c r="C2155" s="194">
        <v>6</v>
      </c>
      <c r="D2155" s="80"/>
      <c r="E2155" s="97"/>
      <c r="F2155" s="97"/>
      <c r="G2155" s="97"/>
      <c r="H2155" s="97"/>
      <c r="I2155" s="97"/>
      <c r="J2155" s="97"/>
      <c r="K2155" s="97"/>
      <c r="L2155" s="195"/>
    </row>
    <row r="2156" spans="1:14" x14ac:dyDescent="0.45">
      <c r="A2156" s="462"/>
      <c r="B2156" s="441"/>
      <c r="C2156" s="194">
        <v>7</v>
      </c>
      <c r="D2156" s="80"/>
      <c r="E2156" s="97"/>
      <c r="F2156" s="97"/>
      <c r="G2156" s="97"/>
      <c r="H2156" s="97"/>
      <c r="I2156" s="97"/>
      <c r="J2156" s="97"/>
      <c r="K2156" s="97"/>
      <c r="L2156" s="195"/>
    </row>
    <row r="2157" spans="1:14" x14ac:dyDescent="0.45">
      <c r="A2157" s="462"/>
      <c r="B2157" s="441"/>
      <c r="C2157" s="194">
        <v>8</v>
      </c>
      <c r="D2157" s="80"/>
      <c r="E2157" s="97"/>
      <c r="F2157" s="97"/>
      <c r="G2157" s="97"/>
      <c r="H2157" s="97"/>
      <c r="I2157" s="97"/>
      <c r="J2157" s="97"/>
      <c r="K2157" s="97"/>
      <c r="L2157" s="195"/>
    </row>
    <row r="2158" spans="1:14" x14ac:dyDescent="0.45">
      <c r="A2158" s="462"/>
      <c r="B2158" s="441"/>
      <c r="C2158" s="194">
        <v>9</v>
      </c>
      <c r="D2158" s="80"/>
      <c r="E2158" s="97"/>
      <c r="F2158" s="97"/>
      <c r="G2158" s="97"/>
      <c r="H2158" s="97"/>
      <c r="I2158" s="97"/>
      <c r="J2158" s="97"/>
      <c r="K2158" s="97"/>
      <c r="L2158" s="195"/>
    </row>
    <row r="2159" spans="1:14" x14ac:dyDescent="0.45">
      <c r="A2159" s="462"/>
      <c r="B2159" s="441"/>
      <c r="C2159" s="194">
        <v>10</v>
      </c>
      <c r="D2159" s="80"/>
      <c r="E2159" s="97"/>
      <c r="F2159" s="97"/>
      <c r="G2159" s="97"/>
      <c r="H2159" s="97"/>
      <c r="I2159" s="97"/>
      <c r="J2159" s="97"/>
      <c r="K2159" s="97"/>
      <c r="L2159" s="195"/>
    </row>
    <row r="2160" spans="1:14" x14ac:dyDescent="0.45">
      <c r="A2160" s="462"/>
      <c r="B2160" s="441"/>
      <c r="C2160" s="194">
        <v>11</v>
      </c>
      <c r="D2160" s="81"/>
      <c r="E2160" s="98"/>
      <c r="F2160" s="98"/>
      <c r="G2160" s="98"/>
      <c r="H2160" s="98"/>
      <c r="I2160" s="98"/>
      <c r="J2160" s="98"/>
      <c r="K2160" s="98"/>
      <c r="L2160" s="196"/>
    </row>
    <row r="2161" spans="1:14" s="90" customFormat="1" ht="14.65" thickBot="1" x14ac:dyDescent="0.5">
      <c r="A2161" s="462"/>
      <c r="B2161" s="442"/>
      <c r="C2161" s="197">
        <v>12</v>
      </c>
      <c r="D2161" s="82"/>
      <c r="E2161" s="99"/>
      <c r="F2161" s="99"/>
      <c r="G2161" s="99"/>
      <c r="H2161" s="99"/>
      <c r="I2161" s="99"/>
      <c r="J2161" s="99"/>
      <c r="K2161" s="99"/>
      <c r="L2161" s="198"/>
      <c r="M2161" s="61"/>
      <c r="N2161" s="61"/>
    </row>
    <row r="2162" spans="1:14" x14ac:dyDescent="0.45">
      <c r="A2162" s="462"/>
      <c r="B2162" s="440">
        <v>2</v>
      </c>
      <c r="C2162" s="192">
        <v>1</v>
      </c>
      <c r="D2162" s="79"/>
      <c r="E2162" s="96"/>
      <c r="F2162" s="96"/>
      <c r="G2162" s="96"/>
      <c r="H2162" s="96"/>
      <c r="I2162" s="96"/>
      <c r="J2162" s="96"/>
      <c r="K2162" s="96"/>
      <c r="L2162" s="193"/>
    </row>
    <row r="2163" spans="1:14" x14ac:dyDescent="0.45">
      <c r="A2163" s="462"/>
      <c r="B2163" s="441"/>
      <c r="C2163" s="194">
        <v>2</v>
      </c>
      <c r="D2163" s="80"/>
      <c r="E2163" s="97"/>
      <c r="F2163" s="97"/>
      <c r="G2163" s="97"/>
      <c r="H2163" s="97"/>
      <c r="I2163" s="97"/>
      <c r="J2163" s="97"/>
      <c r="K2163" s="97"/>
      <c r="L2163" s="195"/>
    </row>
    <row r="2164" spans="1:14" x14ac:dyDescent="0.45">
      <c r="A2164" s="462"/>
      <c r="B2164" s="441"/>
      <c r="C2164" s="194">
        <v>3</v>
      </c>
      <c r="D2164" s="80"/>
      <c r="E2164" s="97"/>
      <c r="F2164" s="97"/>
      <c r="G2164" s="97"/>
      <c r="H2164" s="97"/>
      <c r="I2164" s="97"/>
      <c r="J2164" s="97"/>
      <c r="K2164" s="97"/>
      <c r="L2164" s="195"/>
    </row>
    <row r="2165" spans="1:14" x14ac:dyDescent="0.45">
      <c r="A2165" s="462"/>
      <c r="B2165" s="441"/>
      <c r="C2165" s="194">
        <v>4</v>
      </c>
      <c r="D2165" s="80"/>
      <c r="E2165" s="97"/>
      <c r="F2165" s="97"/>
      <c r="G2165" s="97"/>
      <c r="H2165" s="97"/>
      <c r="I2165" s="97"/>
      <c r="J2165" s="97"/>
      <c r="K2165" s="97"/>
      <c r="L2165" s="195"/>
    </row>
    <row r="2166" spans="1:14" x14ac:dyDescent="0.45">
      <c r="A2166" s="462"/>
      <c r="B2166" s="441"/>
      <c r="C2166" s="194">
        <v>5</v>
      </c>
      <c r="D2166" s="80"/>
      <c r="E2166" s="97"/>
      <c r="F2166" s="97"/>
      <c r="G2166" s="97"/>
      <c r="H2166" s="97"/>
      <c r="I2166" s="97"/>
      <c r="J2166" s="97"/>
      <c r="K2166" s="97"/>
      <c r="L2166" s="195"/>
    </row>
    <row r="2167" spans="1:14" x14ac:dyDescent="0.45">
      <c r="A2167" s="462"/>
      <c r="B2167" s="441"/>
      <c r="C2167" s="194">
        <v>6</v>
      </c>
      <c r="D2167" s="80"/>
      <c r="E2167" s="97"/>
      <c r="F2167" s="97"/>
      <c r="G2167" s="97"/>
      <c r="H2167" s="97"/>
      <c r="I2167" s="97"/>
      <c r="J2167" s="97"/>
      <c r="K2167" s="97"/>
      <c r="L2167" s="195"/>
    </row>
    <row r="2168" spans="1:14" x14ac:dyDescent="0.45">
      <c r="A2168" s="462"/>
      <c r="B2168" s="441"/>
      <c r="C2168" s="194">
        <v>7</v>
      </c>
      <c r="D2168" s="80"/>
      <c r="E2168" s="97"/>
      <c r="F2168" s="97"/>
      <c r="G2168" s="97"/>
      <c r="H2168" s="97"/>
      <c r="I2168" s="97"/>
      <c r="J2168" s="97"/>
      <c r="K2168" s="97"/>
      <c r="L2168" s="195"/>
    </row>
    <row r="2169" spans="1:14" x14ac:dyDescent="0.45">
      <c r="A2169" s="462"/>
      <c r="B2169" s="441"/>
      <c r="C2169" s="194">
        <v>8</v>
      </c>
      <c r="D2169" s="80"/>
      <c r="E2169" s="97"/>
      <c r="F2169" s="97"/>
      <c r="G2169" s="97"/>
      <c r="H2169" s="97"/>
      <c r="I2169" s="97"/>
      <c r="J2169" s="97"/>
      <c r="K2169" s="97"/>
      <c r="L2169" s="195"/>
    </row>
    <row r="2170" spans="1:14" x14ac:dyDescent="0.45">
      <c r="A2170" s="462"/>
      <c r="B2170" s="441"/>
      <c r="C2170" s="194">
        <v>9</v>
      </c>
      <c r="D2170" s="80"/>
      <c r="E2170" s="97"/>
      <c r="F2170" s="97"/>
      <c r="G2170" s="97"/>
      <c r="H2170" s="97"/>
      <c r="I2170" s="97"/>
      <c r="J2170" s="97"/>
      <c r="K2170" s="97"/>
      <c r="L2170" s="195"/>
    </row>
    <row r="2171" spans="1:14" x14ac:dyDescent="0.45">
      <c r="A2171" s="462"/>
      <c r="B2171" s="441"/>
      <c r="C2171" s="194">
        <v>10</v>
      </c>
      <c r="D2171" s="80"/>
      <c r="E2171" s="97"/>
      <c r="F2171" s="97"/>
      <c r="G2171" s="97"/>
      <c r="H2171" s="97"/>
      <c r="I2171" s="97"/>
      <c r="J2171" s="97"/>
      <c r="K2171" s="97"/>
      <c r="L2171" s="195"/>
    </row>
    <row r="2172" spans="1:14" x14ac:dyDescent="0.45">
      <c r="A2172" s="462"/>
      <c r="B2172" s="441"/>
      <c r="C2172" s="194">
        <v>11</v>
      </c>
      <c r="D2172" s="81"/>
      <c r="E2172" s="98"/>
      <c r="F2172" s="98"/>
      <c r="G2172" s="98"/>
      <c r="H2172" s="98"/>
      <c r="I2172" s="98"/>
      <c r="J2172" s="98"/>
      <c r="K2172" s="98"/>
      <c r="L2172" s="196"/>
    </row>
    <row r="2173" spans="1:14" ht="14.65" thickBot="1" x14ac:dyDescent="0.5">
      <c r="A2173" s="462"/>
      <c r="B2173" s="442"/>
      <c r="C2173" s="197">
        <v>12</v>
      </c>
      <c r="D2173" s="82"/>
      <c r="E2173" s="99"/>
      <c r="F2173" s="99"/>
      <c r="G2173" s="99"/>
      <c r="H2173" s="99"/>
      <c r="I2173" s="99"/>
      <c r="J2173" s="99"/>
      <c r="K2173" s="99"/>
      <c r="L2173" s="198"/>
    </row>
    <row r="2174" spans="1:14" x14ac:dyDescent="0.45">
      <c r="A2174" s="462"/>
      <c r="B2174" s="440">
        <v>3</v>
      </c>
      <c r="C2174" s="192">
        <v>1</v>
      </c>
      <c r="D2174" s="79"/>
      <c r="E2174" s="96"/>
      <c r="F2174" s="96"/>
      <c r="G2174" s="96"/>
      <c r="H2174" s="96"/>
      <c r="I2174" s="96"/>
      <c r="J2174" s="96"/>
      <c r="K2174" s="96"/>
      <c r="L2174" s="193"/>
    </row>
    <row r="2175" spans="1:14" x14ac:dyDescent="0.45">
      <c r="A2175" s="462"/>
      <c r="B2175" s="441"/>
      <c r="C2175" s="194">
        <v>2</v>
      </c>
      <c r="D2175" s="80"/>
      <c r="E2175" s="97"/>
      <c r="F2175" s="97"/>
      <c r="G2175" s="97"/>
      <c r="H2175" s="97"/>
      <c r="I2175" s="97"/>
      <c r="J2175" s="97"/>
      <c r="K2175" s="97"/>
      <c r="L2175" s="195"/>
    </row>
    <row r="2176" spans="1:14" x14ac:dyDescent="0.45">
      <c r="A2176" s="462"/>
      <c r="B2176" s="441"/>
      <c r="C2176" s="194">
        <v>3</v>
      </c>
      <c r="D2176" s="80"/>
      <c r="E2176" s="97"/>
      <c r="F2176" s="97"/>
      <c r="G2176" s="97"/>
      <c r="H2176" s="97"/>
      <c r="I2176" s="97"/>
      <c r="J2176" s="97"/>
      <c r="K2176" s="97"/>
      <c r="L2176" s="195"/>
    </row>
    <row r="2177" spans="1:12" x14ac:dyDescent="0.45">
      <c r="A2177" s="462"/>
      <c r="B2177" s="441"/>
      <c r="C2177" s="194">
        <v>4</v>
      </c>
      <c r="D2177" s="80"/>
      <c r="E2177" s="97"/>
      <c r="F2177" s="97"/>
      <c r="G2177" s="97"/>
      <c r="H2177" s="97"/>
      <c r="I2177" s="97"/>
      <c r="J2177" s="97"/>
      <c r="K2177" s="97"/>
      <c r="L2177" s="195"/>
    </row>
    <row r="2178" spans="1:12" x14ac:dyDescent="0.45">
      <c r="A2178" s="462"/>
      <c r="B2178" s="441"/>
      <c r="C2178" s="194">
        <v>5</v>
      </c>
      <c r="D2178" s="80"/>
      <c r="E2178" s="97"/>
      <c r="F2178" s="97"/>
      <c r="G2178" s="97"/>
      <c r="H2178" s="97"/>
      <c r="I2178" s="97"/>
      <c r="J2178" s="97"/>
      <c r="K2178" s="97"/>
      <c r="L2178" s="195"/>
    </row>
    <row r="2179" spans="1:12" x14ac:dyDescent="0.45">
      <c r="A2179" s="462"/>
      <c r="B2179" s="441"/>
      <c r="C2179" s="194">
        <v>6</v>
      </c>
      <c r="D2179" s="80"/>
      <c r="E2179" s="97"/>
      <c r="F2179" s="97"/>
      <c r="G2179" s="97"/>
      <c r="H2179" s="97"/>
      <c r="I2179" s="97"/>
      <c r="J2179" s="97"/>
      <c r="K2179" s="97"/>
      <c r="L2179" s="195"/>
    </row>
    <row r="2180" spans="1:12" x14ac:dyDescent="0.45">
      <c r="A2180" s="462"/>
      <c r="B2180" s="441"/>
      <c r="C2180" s="194">
        <v>7</v>
      </c>
      <c r="D2180" s="80"/>
      <c r="E2180" s="97"/>
      <c r="F2180" s="97"/>
      <c r="G2180" s="97"/>
      <c r="H2180" s="97"/>
      <c r="I2180" s="97"/>
      <c r="J2180" s="97"/>
      <c r="K2180" s="97"/>
      <c r="L2180" s="195"/>
    </row>
    <row r="2181" spans="1:12" x14ac:dyDescent="0.45">
      <c r="A2181" s="462"/>
      <c r="B2181" s="441"/>
      <c r="C2181" s="194">
        <v>8</v>
      </c>
      <c r="D2181" s="80"/>
      <c r="E2181" s="97"/>
      <c r="F2181" s="97"/>
      <c r="G2181" s="97"/>
      <c r="H2181" s="97"/>
      <c r="I2181" s="97"/>
      <c r="J2181" s="97"/>
      <c r="K2181" s="97"/>
      <c r="L2181" s="195"/>
    </row>
    <row r="2182" spans="1:12" x14ac:dyDescent="0.45">
      <c r="A2182" s="462"/>
      <c r="B2182" s="441"/>
      <c r="C2182" s="194">
        <v>9</v>
      </c>
      <c r="D2182" s="80"/>
      <c r="E2182" s="97"/>
      <c r="F2182" s="97"/>
      <c r="G2182" s="97"/>
      <c r="H2182" s="97"/>
      <c r="I2182" s="97"/>
      <c r="J2182" s="97"/>
      <c r="K2182" s="97"/>
      <c r="L2182" s="195"/>
    </row>
    <row r="2183" spans="1:12" x14ac:dyDescent="0.45">
      <c r="A2183" s="462"/>
      <c r="B2183" s="441"/>
      <c r="C2183" s="194">
        <v>10</v>
      </c>
      <c r="D2183" s="80"/>
      <c r="E2183" s="97"/>
      <c r="F2183" s="97"/>
      <c r="G2183" s="97"/>
      <c r="H2183" s="97"/>
      <c r="I2183" s="97"/>
      <c r="J2183" s="97"/>
      <c r="K2183" s="97"/>
      <c r="L2183" s="195"/>
    </row>
    <row r="2184" spans="1:12" x14ac:dyDescent="0.45">
      <c r="A2184" s="462"/>
      <c r="B2184" s="441"/>
      <c r="C2184" s="194">
        <v>11</v>
      </c>
      <c r="D2184" s="81"/>
      <c r="E2184" s="98"/>
      <c r="F2184" s="98"/>
      <c r="G2184" s="98"/>
      <c r="H2184" s="98"/>
      <c r="I2184" s="98"/>
      <c r="J2184" s="98"/>
      <c r="K2184" s="98"/>
      <c r="L2184" s="196"/>
    </row>
    <row r="2185" spans="1:12" ht="14.65" thickBot="1" x14ac:dyDescent="0.5">
      <c r="A2185" s="462"/>
      <c r="B2185" s="442"/>
      <c r="C2185" s="197">
        <v>12</v>
      </c>
      <c r="D2185" s="82"/>
      <c r="E2185" s="99"/>
      <c r="F2185" s="99"/>
      <c r="G2185" s="99"/>
      <c r="H2185" s="99"/>
      <c r="I2185" s="99"/>
      <c r="J2185" s="99"/>
      <c r="K2185" s="99"/>
      <c r="L2185" s="198"/>
    </row>
    <row r="2186" spans="1:12" x14ac:dyDescent="0.45">
      <c r="A2186" s="462"/>
      <c r="B2186" s="440">
        <v>4</v>
      </c>
      <c r="C2186" s="192">
        <v>1</v>
      </c>
      <c r="D2186" s="79"/>
      <c r="E2186" s="96"/>
      <c r="F2186" s="96"/>
      <c r="G2186" s="96"/>
      <c r="H2186" s="96"/>
      <c r="I2186" s="96"/>
      <c r="J2186" s="96"/>
      <c r="K2186" s="96"/>
      <c r="L2186" s="193"/>
    </row>
    <row r="2187" spans="1:12" x14ac:dyDescent="0.45">
      <c r="A2187" s="462"/>
      <c r="B2187" s="441"/>
      <c r="C2187" s="194">
        <v>2</v>
      </c>
      <c r="D2187" s="80"/>
      <c r="E2187" s="97"/>
      <c r="F2187" s="97"/>
      <c r="G2187" s="97"/>
      <c r="H2187" s="97"/>
      <c r="I2187" s="97"/>
      <c r="J2187" s="97"/>
      <c r="K2187" s="97"/>
      <c r="L2187" s="195"/>
    </row>
    <row r="2188" spans="1:12" x14ac:dyDescent="0.45">
      <c r="A2188" s="462"/>
      <c r="B2188" s="441"/>
      <c r="C2188" s="194">
        <v>3</v>
      </c>
      <c r="D2188" s="80"/>
      <c r="E2188" s="97"/>
      <c r="F2188" s="97"/>
      <c r="G2188" s="97"/>
      <c r="H2188" s="97"/>
      <c r="I2188" s="97"/>
      <c r="J2188" s="97"/>
      <c r="K2188" s="97"/>
      <c r="L2188" s="195"/>
    </row>
    <row r="2189" spans="1:12" x14ac:dyDescent="0.45">
      <c r="A2189" s="462"/>
      <c r="B2189" s="441"/>
      <c r="C2189" s="194">
        <v>4</v>
      </c>
      <c r="D2189" s="80"/>
      <c r="E2189" s="97"/>
      <c r="F2189" s="97"/>
      <c r="G2189" s="97"/>
      <c r="H2189" s="97"/>
      <c r="I2189" s="97"/>
      <c r="J2189" s="97"/>
      <c r="K2189" s="97"/>
      <c r="L2189" s="195"/>
    </row>
    <row r="2190" spans="1:12" x14ac:dyDescent="0.45">
      <c r="A2190" s="462"/>
      <c r="B2190" s="441"/>
      <c r="C2190" s="194">
        <v>5</v>
      </c>
      <c r="D2190" s="80"/>
      <c r="E2190" s="97"/>
      <c r="F2190" s="97"/>
      <c r="G2190" s="97"/>
      <c r="H2190" s="97"/>
      <c r="I2190" s="97"/>
      <c r="J2190" s="97"/>
      <c r="K2190" s="97"/>
      <c r="L2190" s="195"/>
    </row>
    <row r="2191" spans="1:12" x14ac:dyDescent="0.45">
      <c r="A2191" s="462"/>
      <c r="B2191" s="441"/>
      <c r="C2191" s="194">
        <v>6</v>
      </c>
      <c r="D2191" s="80"/>
      <c r="E2191" s="97"/>
      <c r="F2191" s="97"/>
      <c r="G2191" s="97"/>
      <c r="H2191" s="97"/>
      <c r="I2191" s="97"/>
      <c r="J2191" s="97"/>
      <c r="K2191" s="97"/>
      <c r="L2191" s="195"/>
    </row>
    <row r="2192" spans="1:12" x14ac:dyDescent="0.45">
      <c r="A2192" s="462"/>
      <c r="B2192" s="441"/>
      <c r="C2192" s="194">
        <v>7</v>
      </c>
      <c r="D2192" s="80"/>
      <c r="E2192" s="97"/>
      <c r="F2192" s="97"/>
      <c r="G2192" s="97"/>
      <c r="H2192" s="97"/>
      <c r="I2192" s="97"/>
      <c r="J2192" s="97"/>
      <c r="K2192" s="97"/>
      <c r="L2192" s="195"/>
    </row>
    <row r="2193" spans="1:12" x14ac:dyDescent="0.45">
      <c r="A2193" s="462"/>
      <c r="B2193" s="441"/>
      <c r="C2193" s="194">
        <v>8</v>
      </c>
      <c r="D2193" s="80"/>
      <c r="E2193" s="97"/>
      <c r="F2193" s="97"/>
      <c r="G2193" s="97"/>
      <c r="H2193" s="97"/>
      <c r="I2193" s="97"/>
      <c r="J2193" s="97"/>
      <c r="K2193" s="97"/>
      <c r="L2193" s="195"/>
    </row>
    <row r="2194" spans="1:12" x14ac:dyDescent="0.45">
      <c r="A2194" s="462"/>
      <c r="B2194" s="441"/>
      <c r="C2194" s="194">
        <v>9</v>
      </c>
      <c r="D2194" s="80"/>
      <c r="E2194" s="97"/>
      <c r="F2194" s="97"/>
      <c r="G2194" s="97"/>
      <c r="H2194" s="97"/>
      <c r="I2194" s="97"/>
      <c r="J2194" s="97"/>
      <c r="K2194" s="97"/>
      <c r="L2194" s="195"/>
    </row>
    <row r="2195" spans="1:12" x14ac:dyDescent="0.45">
      <c r="A2195" s="462"/>
      <c r="B2195" s="441"/>
      <c r="C2195" s="194">
        <v>10</v>
      </c>
      <c r="D2195" s="80"/>
      <c r="E2195" s="97"/>
      <c r="F2195" s="97"/>
      <c r="G2195" s="97"/>
      <c r="H2195" s="97"/>
      <c r="I2195" s="97"/>
      <c r="J2195" s="97"/>
      <c r="K2195" s="97"/>
      <c r="L2195" s="195"/>
    </row>
    <row r="2196" spans="1:12" x14ac:dyDescent="0.45">
      <c r="A2196" s="462"/>
      <c r="B2196" s="441"/>
      <c r="C2196" s="194">
        <v>11</v>
      </c>
      <c r="D2196" s="81"/>
      <c r="E2196" s="98"/>
      <c r="F2196" s="98"/>
      <c r="G2196" s="98"/>
      <c r="H2196" s="98"/>
      <c r="I2196" s="98"/>
      <c r="J2196" s="98"/>
      <c r="K2196" s="98"/>
      <c r="L2196" s="196"/>
    </row>
    <row r="2197" spans="1:12" ht="14.65" thickBot="1" x14ac:dyDescent="0.5">
      <c r="A2197" s="463"/>
      <c r="B2197" s="442"/>
      <c r="C2197" s="197">
        <v>12</v>
      </c>
      <c r="D2197" s="82"/>
      <c r="E2197" s="99"/>
      <c r="F2197" s="99"/>
      <c r="G2197" s="99"/>
      <c r="H2197" s="99"/>
      <c r="I2197" s="99"/>
      <c r="J2197" s="99"/>
      <c r="K2197" s="99"/>
      <c r="L2197" s="198"/>
    </row>
    <row r="2198" spans="1:12" x14ac:dyDescent="0.45">
      <c r="A2198" s="461">
        <v>2</v>
      </c>
      <c r="B2198" s="440">
        <v>5</v>
      </c>
      <c r="C2198" s="192">
        <v>1</v>
      </c>
      <c r="D2198" s="79"/>
      <c r="E2198" s="96"/>
      <c r="F2198" s="96"/>
      <c r="G2198" s="96"/>
      <c r="H2198" s="96"/>
      <c r="I2198" s="96"/>
      <c r="J2198" s="96"/>
      <c r="K2198" s="96"/>
      <c r="L2198" s="193"/>
    </row>
    <row r="2199" spans="1:12" x14ac:dyDescent="0.45">
      <c r="A2199" s="462"/>
      <c r="B2199" s="441"/>
      <c r="C2199" s="194">
        <v>2</v>
      </c>
      <c r="D2199" s="80"/>
      <c r="E2199" s="97"/>
      <c r="F2199" s="97"/>
      <c r="G2199" s="97"/>
      <c r="H2199" s="97"/>
      <c r="I2199" s="97"/>
      <c r="J2199" s="97"/>
      <c r="K2199" s="97"/>
      <c r="L2199" s="195"/>
    </row>
    <row r="2200" spans="1:12" x14ac:dyDescent="0.45">
      <c r="A2200" s="462"/>
      <c r="B2200" s="441"/>
      <c r="C2200" s="194">
        <v>3</v>
      </c>
      <c r="D2200" s="80"/>
      <c r="E2200" s="97"/>
      <c r="F2200" s="97"/>
      <c r="G2200" s="97"/>
      <c r="H2200" s="97"/>
      <c r="I2200" s="97"/>
      <c r="J2200" s="97"/>
      <c r="K2200" s="97"/>
      <c r="L2200" s="195"/>
    </row>
    <row r="2201" spans="1:12" x14ac:dyDescent="0.45">
      <c r="A2201" s="462"/>
      <c r="B2201" s="441"/>
      <c r="C2201" s="194">
        <v>4</v>
      </c>
      <c r="D2201" s="80"/>
      <c r="E2201" s="97"/>
      <c r="F2201" s="97"/>
      <c r="G2201" s="97"/>
      <c r="H2201" s="97"/>
      <c r="I2201" s="97"/>
      <c r="J2201" s="97"/>
      <c r="K2201" s="97"/>
      <c r="L2201" s="195"/>
    </row>
    <row r="2202" spans="1:12" x14ac:dyDescent="0.45">
      <c r="A2202" s="462"/>
      <c r="B2202" s="441"/>
      <c r="C2202" s="194">
        <v>5</v>
      </c>
      <c r="D2202" s="80"/>
      <c r="E2202" s="97"/>
      <c r="F2202" s="97"/>
      <c r="G2202" s="97"/>
      <c r="H2202" s="97"/>
      <c r="I2202" s="97"/>
      <c r="J2202" s="97"/>
      <c r="K2202" s="97"/>
      <c r="L2202" s="195"/>
    </row>
    <row r="2203" spans="1:12" x14ac:dyDescent="0.45">
      <c r="A2203" s="462"/>
      <c r="B2203" s="441"/>
      <c r="C2203" s="194">
        <v>6</v>
      </c>
      <c r="D2203" s="80"/>
      <c r="E2203" s="97"/>
      <c r="F2203" s="97"/>
      <c r="G2203" s="97"/>
      <c r="H2203" s="97"/>
      <c r="I2203" s="97"/>
      <c r="J2203" s="97"/>
      <c r="K2203" s="97"/>
      <c r="L2203" s="195"/>
    </row>
    <row r="2204" spans="1:12" x14ac:dyDescent="0.45">
      <c r="A2204" s="462"/>
      <c r="B2204" s="441"/>
      <c r="C2204" s="194">
        <v>7</v>
      </c>
      <c r="D2204" s="80"/>
      <c r="E2204" s="97"/>
      <c r="F2204" s="97"/>
      <c r="G2204" s="97"/>
      <c r="H2204" s="97"/>
      <c r="I2204" s="97"/>
      <c r="J2204" s="97"/>
      <c r="K2204" s="97"/>
      <c r="L2204" s="195"/>
    </row>
    <row r="2205" spans="1:12" x14ac:dyDescent="0.45">
      <c r="A2205" s="462"/>
      <c r="B2205" s="441"/>
      <c r="C2205" s="194">
        <v>8</v>
      </c>
      <c r="D2205" s="80"/>
      <c r="E2205" s="97"/>
      <c r="F2205" s="97"/>
      <c r="G2205" s="97"/>
      <c r="H2205" s="97"/>
      <c r="I2205" s="97"/>
      <c r="J2205" s="97"/>
      <c r="K2205" s="97"/>
      <c r="L2205" s="195"/>
    </row>
    <row r="2206" spans="1:12" x14ac:dyDescent="0.45">
      <c r="A2206" s="462"/>
      <c r="B2206" s="441"/>
      <c r="C2206" s="194">
        <v>9</v>
      </c>
      <c r="D2206" s="80"/>
      <c r="E2206" s="97"/>
      <c r="F2206" s="97"/>
      <c r="G2206" s="97"/>
      <c r="H2206" s="97"/>
      <c r="I2206" s="97"/>
      <c r="J2206" s="97"/>
      <c r="K2206" s="97"/>
      <c r="L2206" s="195"/>
    </row>
    <row r="2207" spans="1:12" x14ac:dyDescent="0.45">
      <c r="A2207" s="462"/>
      <c r="B2207" s="441"/>
      <c r="C2207" s="194">
        <v>10</v>
      </c>
      <c r="D2207" s="80"/>
      <c r="E2207" s="97"/>
      <c r="F2207" s="97"/>
      <c r="G2207" s="97"/>
      <c r="H2207" s="97"/>
      <c r="I2207" s="97"/>
      <c r="J2207" s="97"/>
      <c r="K2207" s="97"/>
      <c r="L2207" s="195"/>
    </row>
    <row r="2208" spans="1:12" x14ac:dyDescent="0.45">
      <c r="A2208" s="462"/>
      <c r="B2208" s="441"/>
      <c r="C2208" s="194">
        <v>11</v>
      </c>
      <c r="D2208" s="81"/>
      <c r="E2208" s="98"/>
      <c r="F2208" s="98"/>
      <c r="G2208" s="98"/>
      <c r="H2208" s="98"/>
      <c r="I2208" s="98"/>
      <c r="J2208" s="98"/>
      <c r="K2208" s="98"/>
      <c r="L2208" s="196"/>
    </row>
    <row r="2209" spans="1:12" ht="14.65" thickBot="1" x14ac:dyDescent="0.5">
      <c r="A2209" s="462"/>
      <c r="B2209" s="442"/>
      <c r="C2209" s="197">
        <v>12</v>
      </c>
      <c r="D2209" s="82"/>
      <c r="E2209" s="99"/>
      <c r="F2209" s="99"/>
      <c r="G2209" s="99"/>
      <c r="H2209" s="99"/>
      <c r="I2209" s="99"/>
      <c r="J2209" s="99"/>
      <c r="K2209" s="99"/>
      <c r="L2209" s="198"/>
    </row>
    <row r="2210" spans="1:12" x14ac:dyDescent="0.45">
      <c r="A2210" s="462"/>
      <c r="B2210" s="440">
        <v>6</v>
      </c>
      <c r="C2210" s="192">
        <v>1</v>
      </c>
      <c r="D2210" s="79"/>
      <c r="E2210" s="96"/>
      <c r="F2210" s="96"/>
      <c r="G2210" s="96"/>
      <c r="H2210" s="96"/>
      <c r="I2210" s="96"/>
      <c r="J2210" s="96"/>
      <c r="K2210" s="96"/>
      <c r="L2210" s="193"/>
    </row>
    <row r="2211" spans="1:12" x14ac:dyDescent="0.45">
      <c r="A2211" s="462"/>
      <c r="B2211" s="441"/>
      <c r="C2211" s="194">
        <v>2</v>
      </c>
      <c r="D2211" s="80"/>
      <c r="E2211" s="97"/>
      <c r="F2211" s="97"/>
      <c r="G2211" s="97"/>
      <c r="H2211" s="97"/>
      <c r="I2211" s="97"/>
      <c r="J2211" s="97"/>
      <c r="K2211" s="97"/>
      <c r="L2211" s="195"/>
    </row>
    <row r="2212" spans="1:12" x14ac:dyDescent="0.45">
      <c r="A2212" s="462"/>
      <c r="B2212" s="441"/>
      <c r="C2212" s="194">
        <v>3</v>
      </c>
      <c r="D2212" s="80"/>
      <c r="E2212" s="97"/>
      <c r="F2212" s="97"/>
      <c r="G2212" s="97"/>
      <c r="H2212" s="97"/>
      <c r="I2212" s="97"/>
      <c r="J2212" s="97"/>
      <c r="K2212" s="97"/>
      <c r="L2212" s="195"/>
    </row>
    <row r="2213" spans="1:12" x14ac:dyDescent="0.45">
      <c r="A2213" s="462"/>
      <c r="B2213" s="441"/>
      <c r="C2213" s="194">
        <v>4</v>
      </c>
      <c r="D2213" s="80"/>
      <c r="E2213" s="97"/>
      <c r="F2213" s="97"/>
      <c r="G2213" s="97"/>
      <c r="H2213" s="97"/>
      <c r="I2213" s="97"/>
      <c r="J2213" s="97"/>
      <c r="K2213" s="97"/>
      <c r="L2213" s="195"/>
    </row>
    <row r="2214" spans="1:12" x14ac:dyDescent="0.45">
      <c r="A2214" s="462"/>
      <c r="B2214" s="441"/>
      <c r="C2214" s="194">
        <v>5</v>
      </c>
      <c r="D2214" s="80"/>
      <c r="E2214" s="97"/>
      <c r="F2214" s="97"/>
      <c r="G2214" s="97"/>
      <c r="H2214" s="97"/>
      <c r="I2214" s="97"/>
      <c r="J2214" s="97"/>
      <c r="K2214" s="97"/>
      <c r="L2214" s="195"/>
    </row>
    <row r="2215" spans="1:12" x14ac:dyDescent="0.45">
      <c r="A2215" s="462"/>
      <c r="B2215" s="441"/>
      <c r="C2215" s="194">
        <v>6</v>
      </c>
      <c r="D2215" s="80"/>
      <c r="E2215" s="97"/>
      <c r="F2215" s="97"/>
      <c r="G2215" s="97"/>
      <c r="H2215" s="97"/>
      <c r="I2215" s="97"/>
      <c r="J2215" s="97"/>
      <c r="K2215" s="97"/>
      <c r="L2215" s="195"/>
    </row>
    <row r="2216" spans="1:12" x14ac:dyDescent="0.45">
      <c r="A2216" s="462"/>
      <c r="B2216" s="441"/>
      <c r="C2216" s="194">
        <v>7</v>
      </c>
      <c r="D2216" s="80"/>
      <c r="E2216" s="97"/>
      <c r="F2216" s="97"/>
      <c r="G2216" s="97"/>
      <c r="H2216" s="97"/>
      <c r="I2216" s="97"/>
      <c r="J2216" s="97"/>
      <c r="K2216" s="97"/>
      <c r="L2216" s="195"/>
    </row>
    <row r="2217" spans="1:12" x14ac:dyDescent="0.45">
      <c r="A2217" s="462"/>
      <c r="B2217" s="441"/>
      <c r="C2217" s="194">
        <v>8</v>
      </c>
      <c r="D2217" s="80"/>
      <c r="E2217" s="97"/>
      <c r="F2217" s="97"/>
      <c r="G2217" s="97"/>
      <c r="H2217" s="97"/>
      <c r="I2217" s="97"/>
      <c r="J2217" s="97"/>
      <c r="K2217" s="97"/>
      <c r="L2217" s="195"/>
    </row>
    <row r="2218" spans="1:12" x14ac:dyDescent="0.45">
      <c r="A2218" s="462"/>
      <c r="B2218" s="441"/>
      <c r="C2218" s="194">
        <v>9</v>
      </c>
      <c r="D2218" s="80"/>
      <c r="E2218" s="97"/>
      <c r="F2218" s="97"/>
      <c r="G2218" s="97"/>
      <c r="H2218" s="97"/>
      <c r="I2218" s="97"/>
      <c r="J2218" s="97"/>
      <c r="K2218" s="97"/>
      <c r="L2218" s="195"/>
    </row>
    <row r="2219" spans="1:12" x14ac:dyDescent="0.45">
      <c r="A2219" s="462"/>
      <c r="B2219" s="441"/>
      <c r="C2219" s="194">
        <v>10</v>
      </c>
      <c r="D2219" s="80"/>
      <c r="E2219" s="97"/>
      <c r="F2219" s="97"/>
      <c r="G2219" s="97"/>
      <c r="H2219" s="97"/>
      <c r="I2219" s="97"/>
      <c r="J2219" s="97"/>
      <c r="K2219" s="97"/>
      <c r="L2219" s="195"/>
    </row>
    <row r="2220" spans="1:12" x14ac:dyDescent="0.45">
      <c r="A2220" s="462"/>
      <c r="B2220" s="441"/>
      <c r="C2220" s="194">
        <v>11</v>
      </c>
      <c r="D2220" s="81"/>
      <c r="E2220" s="98"/>
      <c r="F2220" s="98"/>
      <c r="G2220" s="98"/>
      <c r="H2220" s="98"/>
      <c r="I2220" s="98"/>
      <c r="J2220" s="98"/>
      <c r="K2220" s="98"/>
      <c r="L2220" s="196"/>
    </row>
    <row r="2221" spans="1:12" ht="14.65" thickBot="1" x14ac:dyDescent="0.5">
      <c r="A2221" s="462"/>
      <c r="B2221" s="442"/>
      <c r="C2221" s="197">
        <v>12</v>
      </c>
      <c r="D2221" s="82"/>
      <c r="E2221" s="99"/>
      <c r="F2221" s="99"/>
      <c r="G2221" s="99"/>
      <c r="H2221" s="99"/>
      <c r="I2221" s="99"/>
      <c r="J2221" s="99"/>
      <c r="K2221" s="99"/>
      <c r="L2221" s="198"/>
    </row>
    <row r="2222" spans="1:12" x14ac:dyDescent="0.45">
      <c r="A2222" s="462"/>
      <c r="B2222" s="440">
        <v>7</v>
      </c>
      <c r="C2222" s="192">
        <v>1</v>
      </c>
      <c r="D2222" s="79"/>
      <c r="E2222" s="96"/>
      <c r="F2222" s="96"/>
      <c r="G2222" s="96"/>
      <c r="H2222" s="96"/>
      <c r="I2222" s="96"/>
      <c r="J2222" s="96"/>
      <c r="K2222" s="96"/>
      <c r="L2222" s="193"/>
    </row>
    <row r="2223" spans="1:12" x14ac:dyDescent="0.45">
      <c r="A2223" s="462"/>
      <c r="B2223" s="441"/>
      <c r="C2223" s="194">
        <v>2</v>
      </c>
      <c r="D2223" s="80"/>
      <c r="E2223" s="97"/>
      <c r="F2223" s="97"/>
      <c r="G2223" s="97"/>
      <c r="H2223" s="97"/>
      <c r="I2223" s="97"/>
      <c r="J2223" s="97"/>
      <c r="K2223" s="97"/>
      <c r="L2223" s="195"/>
    </row>
    <row r="2224" spans="1:12" x14ac:dyDescent="0.45">
      <c r="A2224" s="462"/>
      <c r="B2224" s="441"/>
      <c r="C2224" s="194">
        <v>3</v>
      </c>
      <c r="D2224" s="80"/>
      <c r="E2224" s="97"/>
      <c r="F2224" s="97"/>
      <c r="G2224" s="97"/>
      <c r="H2224" s="97"/>
      <c r="I2224" s="97"/>
      <c r="J2224" s="97"/>
      <c r="K2224" s="97"/>
      <c r="L2224" s="195"/>
    </row>
    <row r="2225" spans="1:12" x14ac:dyDescent="0.45">
      <c r="A2225" s="462"/>
      <c r="B2225" s="441"/>
      <c r="C2225" s="194">
        <v>4</v>
      </c>
      <c r="D2225" s="80"/>
      <c r="E2225" s="97"/>
      <c r="F2225" s="97"/>
      <c r="G2225" s="97"/>
      <c r="H2225" s="97"/>
      <c r="I2225" s="97"/>
      <c r="J2225" s="97"/>
      <c r="K2225" s="97"/>
      <c r="L2225" s="195"/>
    </row>
    <row r="2226" spans="1:12" x14ac:dyDescent="0.45">
      <c r="A2226" s="462"/>
      <c r="B2226" s="441"/>
      <c r="C2226" s="194">
        <v>5</v>
      </c>
      <c r="D2226" s="80"/>
      <c r="E2226" s="97"/>
      <c r="F2226" s="97"/>
      <c r="G2226" s="97"/>
      <c r="H2226" s="97"/>
      <c r="I2226" s="97"/>
      <c r="J2226" s="97"/>
      <c r="K2226" s="97"/>
      <c r="L2226" s="195"/>
    </row>
    <row r="2227" spans="1:12" x14ac:dyDescent="0.45">
      <c r="A2227" s="462"/>
      <c r="B2227" s="441"/>
      <c r="C2227" s="194">
        <v>6</v>
      </c>
      <c r="D2227" s="80"/>
      <c r="E2227" s="97"/>
      <c r="F2227" s="97"/>
      <c r="G2227" s="97"/>
      <c r="H2227" s="97"/>
      <c r="I2227" s="97"/>
      <c r="J2227" s="97"/>
      <c r="K2227" s="97"/>
      <c r="L2227" s="195"/>
    </row>
    <row r="2228" spans="1:12" x14ac:dyDescent="0.45">
      <c r="A2228" s="462"/>
      <c r="B2228" s="441"/>
      <c r="C2228" s="194">
        <v>7</v>
      </c>
      <c r="D2228" s="80"/>
      <c r="E2228" s="97"/>
      <c r="F2228" s="97"/>
      <c r="G2228" s="97"/>
      <c r="H2228" s="97"/>
      <c r="I2228" s="97"/>
      <c r="J2228" s="97"/>
      <c r="K2228" s="97"/>
      <c r="L2228" s="195"/>
    </row>
    <row r="2229" spans="1:12" x14ac:dyDescent="0.45">
      <c r="A2229" s="462"/>
      <c r="B2229" s="441"/>
      <c r="C2229" s="194">
        <v>8</v>
      </c>
      <c r="D2229" s="80"/>
      <c r="E2229" s="97"/>
      <c r="F2229" s="97"/>
      <c r="G2229" s="97"/>
      <c r="H2229" s="97"/>
      <c r="I2229" s="97"/>
      <c r="J2229" s="97"/>
      <c r="K2229" s="97"/>
      <c r="L2229" s="195"/>
    </row>
    <row r="2230" spans="1:12" x14ac:dyDescent="0.45">
      <c r="A2230" s="462"/>
      <c r="B2230" s="441"/>
      <c r="C2230" s="194">
        <v>9</v>
      </c>
      <c r="D2230" s="80"/>
      <c r="E2230" s="97"/>
      <c r="F2230" s="97"/>
      <c r="G2230" s="97"/>
      <c r="H2230" s="97"/>
      <c r="I2230" s="97"/>
      <c r="J2230" s="97"/>
      <c r="K2230" s="97"/>
      <c r="L2230" s="195"/>
    </row>
    <row r="2231" spans="1:12" x14ac:dyDescent="0.45">
      <c r="A2231" s="462"/>
      <c r="B2231" s="441"/>
      <c r="C2231" s="194">
        <v>10</v>
      </c>
      <c r="D2231" s="80"/>
      <c r="E2231" s="97"/>
      <c r="F2231" s="97"/>
      <c r="G2231" s="97"/>
      <c r="H2231" s="97"/>
      <c r="I2231" s="97"/>
      <c r="J2231" s="97"/>
      <c r="K2231" s="97"/>
      <c r="L2231" s="195"/>
    </row>
    <row r="2232" spans="1:12" x14ac:dyDescent="0.45">
      <c r="A2232" s="462"/>
      <c r="B2232" s="441"/>
      <c r="C2232" s="194">
        <v>11</v>
      </c>
      <c r="D2232" s="81"/>
      <c r="E2232" s="98"/>
      <c r="F2232" s="98"/>
      <c r="G2232" s="98"/>
      <c r="H2232" s="98"/>
      <c r="I2232" s="98"/>
      <c r="J2232" s="98"/>
      <c r="K2232" s="98"/>
      <c r="L2232" s="196"/>
    </row>
    <row r="2233" spans="1:12" ht="14.65" thickBot="1" x14ac:dyDescent="0.5">
      <c r="A2233" s="462"/>
      <c r="B2233" s="442"/>
      <c r="C2233" s="197">
        <v>12</v>
      </c>
      <c r="D2233" s="82"/>
      <c r="E2233" s="99"/>
      <c r="F2233" s="99"/>
      <c r="G2233" s="99"/>
      <c r="H2233" s="99"/>
      <c r="I2233" s="99"/>
      <c r="J2233" s="99"/>
      <c r="K2233" s="99"/>
      <c r="L2233" s="198"/>
    </row>
    <row r="2234" spans="1:12" x14ac:dyDescent="0.45">
      <c r="A2234" s="462"/>
      <c r="B2234" s="440">
        <v>8</v>
      </c>
      <c r="C2234" s="192">
        <v>1</v>
      </c>
      <c r="D2234" s="79"/>
      <c r="E2234" s="96"/>
      <c r="F2234" s="96"/>
      <c r="G2234" s="96"/>
      <c r="H2234" s="96"/>
      <c r="I2234" s="96"/>
      <c r="J2234" s="96"/>
      <c r="K2234" s="96"/>
      <c r="L2234" s="193"/>
    </row>
    <row r="2235" spans="1:12" x14ac:dyDescent="0.45">
      <c r="A2235" s="462"/>
      <c r="B2235" s="441"/>
      <c r="C2235" s="194">
        <v>2</v>
      </c>
      <c r="D2235" s="80"/>
      <c r="E2235" s="97"/>
      <c r="F2235" s="97"/>
      <c r="G2235" s="97"/>
      <c r="H2235" s="97"/>
      <c r="I2235" s="97"/>
      <c r="J2235" s="97"/>
      <c r="K2235" s="97"/>
      <c r="L2235" s="195"/>
    </row>
    <row r="2236" spans="1:12" x14ac:dyDescent="0.45">
      <c r="A2236" s="462"/>
      <c r="B2236" s="441"/>
      <c r="C2236" s="194">
        <v>3</v>
      </c>
      <c r="D2236" s="80"/>
      <c r="E2236" s="97"/>
      <c r="F2236" s="97"/>
      <c r="G2236" s="97"/>
      <c r="H2236" s="97"/>
      <c r="I2236" s="97"/>
      <c r="J2236" s="97"/>
      <c r="K2236" s="97"/>
      <c r="L2236" s="195"/>
    </row>
    <row r="2237" spans="1:12" x14ac:dyDescent="0.45">
      <c r="A2237" s="462"/>
      <c r="B2237" s="441"/>
      <c r="C2237" s="194">
        <v>4</v>
      </c>
      <c r="D2237" s="80"/>
      <c r="E2237" s="97"/>
      <c r="F2237" s="97"/>
      <c r="G2237" s="97"/>
      <c r="H2237" s="97"/>
      <c r="I2237" s="97"/>
      <c r="J2237" s="97"/>
      <c r="K2237" s="97"/>
      <c r="L2237" s="195"/>
    </row>
    <row r="2238" spans="1:12" x14ac:dyDescent="0.45">
      <c r="A2238" s="462"/>
      <c r="B2238" s="441"/>
      <c r="C2238" s="194">
        <v>5</v>
      </c>
      <c r="D2238" s="80"/>
      <c r="E2238" s="97"/>
      <c r="F2238" s="97"/>
      <c r="G2238" s="97"/>
      <c r="H2238" s="97"/>
      <c r="I2238" s="97"/>
      <c r="J2238" s="97"/>
      <c r="K2238" s="97"/>
      <c r="L2238" s="195"/>
    </row>
    <row r="2239" spans="1:12" x14ac:dyDescent="0.45">
      <c r="A2239" s="462"/>
      <c r="B2239" s="441"/>
      <c r="C2239" s="194">
        <v>6</v>
      </c>
      <c r="D2239" s="80"/>
      <c r="E2239" s="97"/>
      <c r="F2239" s="97"/>
      <c r="G2239" s="97"/>
      <c r="H2239" s="97"/>
      <c r="I2239" s="97"/>
      <c r="J2239" s="97"/>
      <c r="K2239" s="97"/>
      <c r="L2239" s="195"/>
    </row>
    <row r="2240" spans="1:12" x14ac:dyDescent="0.45">
      <c r="A2240" s="462"/>
      <c r="B2240" s="441"/>
      <c r="C2240" s="194">
        <v>7</v>
      </c>
      <c r="D2240" s="80"/>
      <c r="E2240" s="97"/>
      <c r="F2240" s="97"/>
      <c r="G2240" s="97"/>
      <c r="H2240" s="97"/>
      <c r="I2240" s="97"/>
      <c r="J2240" s="97"/>
      <c r="K2240" s="97"/>
      <c r="L2240" s="195"/>
    </row>
    <row r="2241" spans="1:12" x14ac:dyDescent="0.45">
      <c r="A2241" s="462"/>
      <c r="B2241" s="441"/>
      <c r="C2241" s="194">
        <v>8</v>
      </c>
      <c r="D2241" s="80"/>
      <c r="E2241" s="97"/>
      <c r="F2241" s="97"/>
      <c r="G2241" s="97"/>
      <c r="H2241" s="97"/>
      <c r="I2241" s="97"/>
      <c r="J2241" s="97"/>
      <c r="K2241" s="97"/>
      <c r="L2241" s="195"/>
    </row>
    <row r="2242" spans="1:12" x14ac:dyDescent="0.45">
      <c r="A2242" s="462"/>
      <c r="B2242" s="441"/>
      <c r="C2242" s="194">
        <v>9</v>
      </c>
      <c r="D2242" s="80"/>
      <c r="E2242" s="97"/>
      <c r="F2242" s="97"/>
      <c r="G2242" s="97"/>
      <c r="H2242" s="97"/>
      <c r="I2242" s="97"/>
      <c r="J2242" s="97"/>
      <c r="K2242" s="97"/>
      <c r="L2242" s="195"/>
    </row>
    <row r="2243" spans="1:12" x14ac:dyDescent="0.45">
      <c r="A2243" s="462"/>
      <c r="B2243" s="441"/>
      <c r="C2243" s="194">
        <v>10</v>
      </c>
      <c r="D2243" s="80"/>
      <c r="E2243" s="97"/>
      <c r="F2243" s="97"/>
      <c r="G2243" s="97"/>
      <c r="H2243" s="97"/>
      <c r="I2243" s="97"/>
      <c r="J2243" s="97"/>
      <c r="K2243" s="97"/>
      <c r="L2243" s="195"/>
    </row>
    <row r="2244" spans="1:12" x14ac:dyDescent="0.45">
      <c r="A2244" s="462"/>
      <c r="B2244" s="441"/>
      <c r="C2244" s="194">
        <v>11</v>
      </c>
      <c r="D2244" s="81"/>
      <c r="E2244" s="98"/>
      <c r="F2244" s="98"/>
      <c r="G2244" s="98"/>
      <c r="H2244" s="98"/>
      <c r="I2244" s="98"/>
      <c r="J2244" s="98"/>
      <c r="K2244" s="98"/>
      <c r="L2244" s="196"/>
    </row>
    <row r="2245" spans="1:12" ht="14.65" thickBot="1" x14ac:dyDescent="0.5">
      <c r="A2245" s="463"/>
      <c r="B2245" s="442"/>
      <c r="C2245" s="197">
        <v>12</v>
      </c>
      <c r="D2245" s="82"/>
      <c r="E2245" s="99"/>
      <c r="F2245" s="99"/>
      <c r="G2245" s="99"/>
      <c r="H2245" s="99"/>
      <c r="I2245" s="99"/>
      <c r="J2245" s="99"/>
      <c r="K2245" s="99"/>
      <c r="L2245" s="198"/>
    </row>
    <row r="2246" spans="1:12" x14ac:dyDescent="0.45">
      <c r="A2246" s="461">
        <v>3</v>
      </c>
      <c r="B2246" s="440">
        <v>9</v>
      </c>
      <c r="C2246" s="192">
        <v>1</v>
      </c>
      <c r="D2246" s="79"/>
      <c r="E2246" s="96"/>
      <c r="F2246" s="96"/>
      <c r="G2246" s="96"/>
      <c r="H2246" s="96"/>
      <c r="I2246" s="96"/>
      <c r="J2246" s="96"/>
      <c r="K2246" s="96"/>
      <c r="L2246" s="193"/>
    </row>
    <row r="2247" spans="1:12" x14ac:dyDescent="0.45">
      <c r="A2247" s="462"/>
      <c r="B2247" s="441"/>
      <c r="C2247" s="194">
        <v>2</v>
      </c>
      <c r="D2247" s="80"/>
      <c r="E2247" s="97"/>
      <c r="F2247" s="97"/>
      <c r="G2247" s="97"/>
      <c r="H2247" s="97"/>
      <c r="I2247" s="97"/>
      <c r="J2247" s="97"/>
      <c r="K2247" s="97"/>
      <c r="L2247" s="195"/>
    </row>
    <row r="2248" spans="1:12" x14ac:dyDescent="0.45">
      <c r="A2248" s="462"/>
      <c r="B2248" s="441"/>
      <c r="C2248" s="194">
        <v>3</v>
      </c>
      <c r="D2248" s="80"/>
      <c r="E2248" s="97"/>
      <c r="F2248" s="97"/>
      <c r="G2248" s="97"/>
      <c r="H2248" s="97"/>
      <c r="I2248" s="97"/>
      <c r="J2248" s="97"/>
      <c r="K2248" s="97"/>
      <c r="L2248" s="195"/>
    </row>
    <row r="2249" spans="1:12" x14ac:dyDescent="0.45">
      <c r="A2249" s="462"/>
      <c r="B2249" s="441"/>
      <c r="C2249" s="194">
        <v>4</v>
      </c>
      <c r="D2249" s="80"/>
      <c r="E2249" s="97"/>
      <c r="F2249" s="97"/>
      <c r="G2249" s="97"/>
      <c r="H2249" s="97"/>
      <c r="I2249" s="97"/>
      <c r="J2249" s="97"/>
      <c r="K2249" s="97"/>
      <c r="L2249" s="195"/>
    </row>
    <row r="2250" spans="1:12" x14ac:dyDescent="0.45">
      <c r="A2250" s="462"/>
      <c r="B2250" s="441"/>
      <c r="C2250" s="194">
        <v>5</v>
      </c>
      <c r="D2250" s="80"/>
      <c r="E2250" s="97"/>
      <c r="F2250" s="97"/>
      <c r="G2250" s="97"/>
      <c r="H2250" s="97"/>
      <c r="I2250" s="97"/>
      <c r="J2250" s="97"/>
      <c r="K2250" s="97"/>
      <c r="L2250" s="195"/>
    </row>
    <row r="2251" spans="1:12" x14ac:dyDescent="0.45">
      <c r="A2251" s="462"/>
      <c r="B2251" s="441"/>
      <c r="C2251" s="194">
        <v>6</v>
      </c>
      <c r="D2251" s="80"/>
      <c r="E2251" s="97"/>
      <c r="F2251" s="97"/>
      <c r="G2251" s="97"/>
      <c r="H2251" s="97"/>
      <c r="I2251" s="97"/>
      <c r="J2251" s="97"/>
      <c r="K2251" s="97"/>
      <c r="L2251" s="195"/>
    </row>
    <row r="2252" spans="1:12" x14ac:dyDescent="0.45">
      <c r="A2252" s="462"/>
      <c r="B2252" s="441"/>
      <c r="C2252" s="194">
        <v>7</v>
      </c>
      <c r="D2252" s="80"/>
      <c r="E2252" s="97"/>
      <c r="F2252" s="97"/>
      <c r="G2252" s="97"/>
      <c r="H2252" s="97"/>
      <c r="I2252" s="97"/>
      <c r="J2252" s="97"/>
      <c r="K2252" s="97"/>
      <c r="L2252" s="195"/>
    </row>
    <row r="2253" spans="1:12" x14ac:dyDescent="0.45">
      <c r="A2253" s="462"/>
      <c r="B2253" s="441"/>
      <c r="C2253" s="194">
        <v>8</v>
      </c>
      <c r="D2253" s="80"/>
      <c r="E2253" s="97"/>
      <c r="F2253" s="97"/>
      <c r="G2253" s="97"/>
      <c r="H2253" s="97"/>
      <c r="I2253" s="97"/>
      <c r="J2253" s="97"/>
      <c r="K2253" s="97"/>
      <c r="L2253" s="195"/>
    </row>
    <row r="2254" spans="1:12" x14ac:dyDescent="0.45">
      <c r="A2254" s="462"/>
      <c r="B2254" s="441"/>
      <c r="C2254" s="194">
        <v>9</v>
      </c>
      <c r="D2254" s="80"/>
      <c r="E2254" s="97"/>
      <c r="F2254" s="97"/>
      <c r="G2254" s="97"/>
      <c r="H2254" s="97"/>
      <c r="I2254" s="97"/>
      <c r="J2254" s="97"/>
      <c r="K2254" s="97"/>
      <c r="L2254" s="195"/>
    </row>
    <row r="2255" spans="1:12" x14ac:dyDescent="0.45">
      <c r="A2255" s="462"/>
      <c r="B2255" s="441"/>
      <c r="C2255" s="194">
        <v>10</v>
      </c>
      <c r="D2255" s="80"/>
      <c r="E2255" s="97"/>
      <c r="F2255" s="97"/>
      <c r="G2255" s="97"/>
      <c r="H2255" s="97"/>
      <c r="I2255" s="97"/>
      <c r="J2255" s="97"/>
      <c r="K2255" s="97"/>
      <c r="L2255" s="195"/>
    </row>
    <row r="2256" spans="1:12" x14ac:dyDescent="0.45">
      <c r="A2256" s="462"/>
      <c r="B2256" s="441"/>
      <c r="C2256" s="194">
        <v>11</v>
      </c>
      <c r="D2256" s="81"/>
      <c r="E2256" s="98"/>
      <c r="F2256" s="98"/>
      <c r="G2256" s="98"/>
      <c r="H2256" s="98"/>
      <c r="I2256" s="98"/>
      <c r="J2256" s="98"/>
      <c r="K2256" s="98"/>
      <c r="L2256" s="196"/>
    </row>
    <row r="2257" spans="1:12" ht="14.65" thickBot="1" x14ac:dyDescent="0.5">
      <c r="A2257" s="462"/>
      <c r="B2257" s="442"/>
      <c r="C2257" s="197">
        <v>12</v>
      </c>
      <c r="D2257" s="82"/>
      <c r="E2257" s="99"/>
      <c r="F2257" s="99"/>
      <c r="G2257" s="99"/>
      <c r="H2257" s="99"/>
      <c r="I2257" s="99"/>
      <c r="J2257" s="99"/>
      <c r="K2257" s="99"/>
      <c r="L2257" s="198"/>
    </row>
    <row r="2258" spans="1:12" x14ac:dyDescent="0.45">
      <c r="A2258" s="462"/>
      <c r="B2258" s="440">
        <v>10</v>
      </c>
      <c r="C2258" s="192">
        <v>1</v>
      </c>
      <c r="D2258" s="79"/>
      <c r="E2258" s="96"/>
      <c r="F2258" s="96"/>
      <c r="G2258" s="96"/>
      <c r="H2258" s="96"/>
      <c r="I2258" s="96"/>
      <c r="J2258" s="96"/>
      <c r="K2258" s="96"/>
      <c r="L2258" s="193"/>
    </row>
    <row r="2259" spans="1:12" x14ac:dyDescent="0.45">
      <c r="A2259" s="462"/>
      <c r="B2259" s="441"/>
      <c r="C2259" s="194">
        <v>2</v>
      </c>
      <c r="D2259" s="80"/>
      <c r="E2259" s="97"/>
      <c r="F2259" s="97"/>
      <c r="G2259" s="97"/>
      <c r="H2259" s="97"/>
      <c r="I2259" s="97"/>
      <c r="J2259" s="97"/>
      <c r="K2259" s="97"/>
      <c r="L2259" s="195"/>
    </row>
    <row r="2260" spans="1:12" x14ac:dyDescent="0.45">
      <c r="A2260" s="462"/>
      <c r="B2260" s="441"/>
      <c r="C2260" s="194">
        <v>3</v>
      </c>
      <c r="D2260" s="80"/>
      <c r="E2260" s="97"/>
      <c r="F2260" s="97"/>
      <c r="G2260" s="97"/>
      <c r="H2260" s="97"/>
      <c r="I2260" s="97"/>
      <c r="J2260" s="97"/>
      <c r="K2260" s="97"/>
      <c r="L2260" s="195"/>
    </row>
    <row r="2261" spans="1:12" x14ac:dyDescent="0.45">
      <c r="A2261" s="462"/>
      <c r="B2261" s="441"/>
      <c r="C2261" s="194">
        <v>4</v>
      </c>
      <c r="D2261" s="80"/>
      <c r="E2261" s="97"/>
      <c r="F2261" s="97"/>
      <c r="G2261" s="97"/>
      <c r="H2261" s="97"/>
      <c r="I2261" s="97"/>
      <c r="J2261" s="97"/>
      <c r="K2261" s="97"/>
      <c r="L2261" s="195"/>
    </row>
    <row r="2262" spans="1:12" x14ac:dyDescent="0.45">
      <c r="A2262" s="462"/>
      <c r="B2262" s="441"/>
      <c r="C2262" s="194">
        <v>5</v>
      </c>
      <c r="D2262" s="80"/>
      <c r="E2262" s="97"/>
      <c r="F2262" s="97"/>
      <c r="G2262" s="97"/>
      <c r="H2262" s="97"/>
      <c r="I2262" s="97"/>
      <c r="J2262" s="97"/>
      <c r="K2262" s="97"/>
      <c r="L2262" s="195"/>
    </row>
    <row r="2263" spans="1:12" x14ac:dyDescent="0.45">
      <c r="A2263" s="462"/>
      <c r="B2263" s="441"/>
      <c r="C2263" s="194">
        <v>6</v>
      </c>
      <c r="D2263" s="80"/>
      <c r="E2263" s="97"/>
      <c r="F2263" s="97"/>
      <c r="G2263" s="97"/>
      <c r="H2263" s="97"/>
      <c r="I2263" s="97"/>
      <c r="J2263" s="97"/>
      <c r="K2263" s="97"/>
      <c r="L2263" s="195"/>
    </row>
    <row r="2264" spans="1:12" x14ac:dyDescent="0.45">
      <c r="A2264" s="462"/>
      <c r="B2264" s="441"/>
      <c r="C2264" s="194">
        <v>7</v>
      </c>
      <c r="D2264" s="80"/>
      <c r="E2264" s="97"/>
      <c r="F2264" s="97"/>
      <c r="G2264" s="97"/>
      <c r="H2264" s="97"/>
      <c r="I2264" s="97"/>
      <c r="J2264" s="97"/>
      <c r="K2264" s="97"/>
      <c r="L2264" s="195"/>
    </row>
    <row r="2265" spans="1:12" x14ac:dyDescent="0.45">
      <c r="A2265" s="462"/>
      <c r="B2265" s="441"/>
      <c r="C2265" s="194">
        <v>8</v>
      </c>
      <c r="D2265" s="80"/>
      <c r="E2265" s="97"/>
      <c r="F2265" s="97"/>
      <c r="G2265" s="97"/>
      <c r="H2265" s="97"/>
      <c r="I2265" s="97"/>
      <c r="J2265" s="97"/>
      <c r="K2265" s="97"/>
      <c r="L2265" s="195"/>
    </row>
    <row r="2266" spans="1:12" x14ac:dyDescent="0.45">
      <c r="A2266" s="462"/>
      <c r="B2266" s="441"/>
      <c r="C2266" s="194">
        <v>9</v>
      </c>
      <c r="D2266" s="80"/>
      <c r="E2266" s="97"/>
      <c r="F2266" s="97"/>
      <c r="G2266" s="97"/>
      <c r="H2266" s="97"/>
      <c r="I2266" s="97"/>
      <c r="J2266" s="97"/>
      <c r="K2266" s="97"/>
      <c r="L2266" s="195"/>
    </row>
    <row r="2267" spans="1:12" x14ac:dyDescent="0.45">
      <c r="A2267" s="462"/>
      <c r="B2267" s="441"/>
      <c r="C2267" s="194">
        <v>10</v>
      </c>
      <c r="D2267" s="80"/>
      <c r="E2267" s="97"/>
      <c r="F2267" s="97"/>
      <c r="G2267" s="97"/>
      <c r="H2267" s="97"/>
      <c r="I2267" s="97"/>
      <c r="J2267" s="97"/>
      <c r="K2267" s="97"/>
      <c r="L2267" s="195"/>
    </row>
    <row r="2268" spans="1:12" x14ac:dyDescent="0.45">
      <c r="A2268" s="462"/>
      <c r="B2268" s="441"/>
      <c r="C2268" s="194">
        <v>11</v>
      </c>
      <c r="D2268" s="81"/>
      <c r="E2268" s="98"/>
      <c r="F2268" s="98"/>
      <c r="G2268" s="98"/>
      <c r="H2268" s="98"/>
      <c r="I2268" s="98"/>
      <c r="J2268" s="98"/>
      <c r="K2268" s="98"/>
      <c r="L2268" s="196"/>
    </row>
    <row r="2269" spans="1:12" ht="14.65" thickBot="1" x14ac:dyDescent="0.5">
      <c r="A2269" s="462"/>
      <c r="B2269" s="442"/>
      <c r="C2269" s="197">
        <v>12</v>
      </c>
      <c r="D2269" s="82"/>
      <c r="E2269" s="99"/>
      <c r="F2269" s="99"/>
      <c r="G2269" s="99"/>
      <c r="H2269" s="99"/>
      <c r="I2269" s="99"/>
      <c r="J2269" s="99"/>
      <c r="K2269" s="99"/>
      <c r="L2269" s="198"/>
    </row>
    <row r="2270" spans="1:12" x14ac:dyDescent="0.45">
      <c r="A2270" s="462"/>
      <c r="B2270" s="440">
        <v>11</v>
      </c>
      <c r="C2270" s="192">
        <v>1</v>
      </c>
      <c r="D2270" s="79"/>
      <c r="E2270" s="96"/>
      <c r="F2270" s="96"/>
      <c r="G2270" s="96"/>
      <c r="H2270" s="96"/>
      <c r="I2270" s="96"/>
      <c r="J2270" s="96"/>
      <c r="K2270" s="96"/>
      <c r="L2270" s="193"/>
    </row>
    <row r="2271" spans="1:12" x14ac:dyDescent="0.45">
      <c r="A2271" s="462"/>
      <c r="B2271" s="441"/>
      <c r="C2271" s="194">
        <v>2</v>
      </c>
      <c r="D2271" s="80"/>
      <c r="E2271" s="97"/>
      <c r="F2271" s="97"/>
      <c r="G2271" s="97"/>
      <c r="H2271" s="97"/>
      <c r="I2271" s="97"/>
      <c r="J2271" s="97"/>
      <c r="K2271" s="97"/>
      <c r="L2271" s="195"/>
    </row>
    <row r="2272" spans="1:12" x14ac:dyDescent="0.45">
      <c r="A2272" s="462"/>
      <c r="B2272" s="441"/>
      <c r="C2272" s="194">
        <v>3</v>
      </c>
      <c r="D2272" s="80"/>
      <c r="E2272" s="97"/>
      <c r="F2272" s="97"/>
      <c r="G2272" s="97"/>
      <c r="H2272" s="97"/>
      <c r="I2272" s="97"/>
      <c r="J2272" s="97"/>
      <c r="K2272" s="97"/>
      <c r="L2272" s="195"/>
    </row>
    <row r="2273" spans="1:12" x14ac:dyDescent="0.45">
      <c r="A2273" s="462"/>
      <c r="B2273" s="441"/>
      <c r="C2273" s="194">
        <v>4</v>
      </c>
      <c r="D2273" s="80"/>
      <c r="E2273" s="97"/>
      <c r="F2273" s="97"/>
      <c r="G2273" s="97"/>
      <c r="H2273" s="97"/>
      <c r="I2273" s="97"/>
      <c r="J2273" s="97"/>
      <c r="K2273" s="97"/>
      <c r="L2273" s="195"/>
    </row>
    <row r="2274" spans="1:12" x14ac:dyDescent="0.45">
      <c r="A2274" s="462"/>
      <c r="B2274" s="441"/>
      <c r="C2274" s="194">
        <v>5</v>
      </c>
      <c r="D2274" s="80"/>
      <c r="E2274" s="97"/>
      <c r="F2274" s="97"/>
      <c r="G2274" s="97"/>
      <c r="H2274" s="97"/>
      <c r="I2274" s="97"/>
      <c r="J2274" s="97"/>
      <c r="K2274" s="97"/>
      <c r="L2274" s="195"/>
    </row>
    <row r="2275" spans="1:12" x14ac:dyDescent="0.45">
      <c r="A2275" s="462"/>
      <c r="B2275" s="441"/>
      <c r="C2275" s="194">
        <v>6</v>
      </c>
      <c r="D2275" s="80"/>
      <c r="E2275" s="97"/>
      <c r="F2275" s="97"/>
      <c r="G2275" s="97"/>
      <c r="H2275" s="97"/>
      <c r="I2275" s="97"/>
      <c r="J2275" s="97"/>
      <c r="K2275" s="97"/>
      <c r="L2275" s="195"/>
    </row>
    <row r="2276" spans="1:12" x14ac:dyDescent="0.45">
      <c r="A2276" s="462"/>
      <c r="B2276" s="441"/>
      <c r="C2276" s="194">
        <v>7</v>
      </c>
      <c r="D2276" s="80"/>
      <c r="E2276" s="97"/>
      <c r="F2276" s="97"/>
      <c r="G2276" s="97"/>
      <c r="H2276" s="97"/>
      <c r="I2276" s="97"/>
      <c r="J2276" s="97"/>
      <c r="K2276" s="97"/>
      <c r="L2276" s="195"/>
    </row>
    <row r="2277" spans="1:12" x14ac:dyDescent="0.45">
      <c r="A2277" s="462"/>
      <c r="B2277" s="441"/>
      <c r="C2277" s="194">
        <v>8</v>
      </c>
      <c r="D2277" s="80"/>
      <c r="E2277" s="97"/>
      <c r="F2277" s="97"/>
      <c r="G2277" s="97"/>
      <c r="H2277" s="97"/>
      <c r="I2277" s="97"/>
      <c r="J2277" s="97"/>
      <c r="K2277" s="97"/>
      <c r="L2277" s="195"/>
    </row>
    <row r="2278" spans="1:12" x14ac:dyDescent="0.45">
      <c r="A2278" s="462"/>
      <c r="B2278" s="441"/>
      <c r="C2278" s="194">
        <v>9</v>
      </c>
      <c r="D2278" s="80"/>
      <c r="E2278" s="97"/>
      <c r="F2278" s="97"/>
      <c r="G2278" s="97"/>
      <c r="H2278" s="97"/>
      <c r="I2278" s="97"/>
      <c r="J2278" s="97"/>
      <c r="K2278" s="97"/>
      <c r="L2278" s="195"/>
    </row>
    <row r="2279" spans="1:12" x14ac:dyDescent="0.45">
      <c r="A2279" s="462"/>
      <c r="B2279" s="441"/>
      <c r="C2279" s="194">
        <v>10</v>
      </c>
      <c r="D2279" s="80"/>
      <c r="E2279" s="97"/>
      <c r="F2279" s="97"/>
      <c r="G2279" s="97"/>
      <c r="H2279" s="97"/>
      <c r="I2279" s="97"/>
      <c r="J2279" s="97"/>
      <c r="K2279" s="97"/>
      <c r="L2279" s="195"/>
    </row>
    <row r="2280" spans="1:12" x14ac:dyDescent="0.45">
      <c r="A2280" s="462"/>
      <c r="B2280" s="441"/>
      <c r="C2280" s="194">
        <v>11</v>
      </c>
      <c r="D2280" s="81"/>
      <c r="E2280" s="98"/>
      <c r="F2280" s="98"/>
      <c r="G2280" s="98"/>
      <c r="H2280" s="98"/>
      <c r="I2280" s="98"/>
      <c r="J2280" s="98"/>
      <c r="K2280" s="98"/>
      <c r="L2280" s="196"/>
    </row>
    <row r="2281" spans="1:12" ht="14.65" thickBot="1" x14ac:dyDescent="0.5">
      <c r="A2281" s="462"/>
      <c r="B2281" s="442"/>
      <c r="C2281" s="197">
        <v>12</v>
      </c>
      <c r="D2281" s="82"/>
      <c r="E2281" s="99"/>
      <c r="F2281" s="99"/>
      <c r="G2281" s="99"/>
      <c r="H2281" s="99"/>
      <c r="I2281" s="99"/>
      <c r="J2281" s="99"/>
      <c r="K2281" s="99"/>
      <c r="L2281" s="198"/>
    </row>
    <row r="2282" spans="1:12" x14ac:dyDescent="0.45">
      <c r="A2282" s="462"/>
      <c r="B2282" s="440">
        <v>12</v>
      </c>
      <c r="C2282" s="192">
        <v>1</v>
      </c>
      <c r="D2282" s="79"/>
      <c r="E2282" s="96"/>
      <c r="F2282" s="96"/>
      <c r="G2282" s="96"/>
      <c r="H2282" s="96"/>
      <c r="I2282" s="96"/>
      <c r="J2282" s="96"/>
      <c r="K2282" s="96"/>
      <c r="L2282" s="193"/>
    </row>
    <row r="2283" spans="1:12" x14ac:dyDescent="0.45">
      <c r="A2283" s="462"/>
      <c r="B2283" s="441"/>
      <c r="C2283" s="194">
        <v>2</v>
      </c>
      <c r="D2283" s="80"/>
      <c r="E2283" s="97"/>
      <c r="F2283" s="97"/>
      <c r="G2283" s="97"/>
      <c r="H2283" s="97"/>
      <c r="I2283" s="97"/>
      <c r="J2283" s="97"/>
      <c r="K2283" s="97"/>
      <c r="L2283" s="195"/>
    </row>
    <row r="2284" spans="1:12" x14ac:dyDescent="0.45">
      <c r="A2284" s="462"/>
      <c r="B2284" s="441"/>
      <c r="C2284" s="194">
        <v>3</v>
      </c>
      <c r="D2284" s="80"/>
      <c r="E2284" s="97"/>
      <c r="F2284" s="97"/>
      <c r="G2284" s="97"/>
      <c r="H2284" s="97"/>
      <c r="I2284" s="97"/>
      <c r="J2284" s="97"/>
      <c r="K2284" s="97"/>
      <c r="L2284" s="195"/>
    </row>
    <row r="2285" spans="1:12" x14ac:dyDescent="0.45">
      <c r="A2285" s="462"/>
      <c r="B2285" s="441"/>
      <c r="C2285" s="194">
        <v>4</v>
      </c>
      <c r="D2285" s="80"/>
      <c r="E2285" s="97"/>
      <c r="F2285" s="97"/>
      <c r="G2285" s="97"/>
      <c r="H2285" s="97"/>
      <c r="I2285" s="97"/>
      <c r="J2285" s="97"/>
      <c r="K2285" s="97"/>
      <c r="L2285" s="195"/>
    </row>
    <row r="2286" spans="1:12" x14ac:dyDescent="0.45">
      <c r="A2286" s="462"/>
      <c r="B2286" s="441"/>
      <c r="C2286" s="194">
        <v>5</v>
      </c>
      <c r="D2286" s="80"/>
      <c r="E2286" s="97"/>
      <c r="F2286" s="97"/>
      <c r="G2286" s="97"/>
      <c r="H2286" s="97"/>
      <c r="I2286" s="97"/>
      <c r="J2286" s="97"/>
      <c r="K2286" s="97"/>
      <c r="L2286" s="195"/>
    </row>
    <row r="2287" spans="1:12" x14ac:dyDescent="0.45">
      <c r="A2287" s="462"/>
      <c r="B2287" s="441"/>
      <c r="C2287" s="194">
        <v>6</v>
      </c>
      <c r="D2287" s="80"/>
      <c r="E2287" s="97"/>
      <c r="F2287" s="97"/>
      <c r="G2287" s="97"/>
      <c r="H2287" s="97"/>
      <c r="I2287" s="97"/>
      <c r="J2287" s="97"/>
      <c r="K2287" s="97"/>
      <c r="L2287" s="195"/>
    </row>
    <row r="2288" spans="1:12" x14ac:dyDescent="0.45">
      <c r="A2288" s="462"/>
      <c r="B2288" s="441"/>
      <c r="C2288" s="194">
        <v>7</v>
      </c>
      <c r="D2288" s="80"/>
      <c r="E2288" s="97"/>
      <c r="F2288" s="97"/>
      <c r="G2288" s="97"/>
      <c r="H2288" s="97"/>
      <c r="I2288" s="97"/>
      <c r="J2288" s="97"/>
      <c r="K2288" s="97"/>
      <c r="L2288" s="195"/>
    </row>
    <row r="2289" spans="1:12" x14ac:dyDescent="0.45">
      <c r="A2289" s="462"/>
      <c r="B2289" s="441"/>
      <c r="C2289" s="194">
        <v>8</v>
      </c>
      <c r="D2289" s="80"/>
      <c r="E2289" s="97"/>
      <c r="F2289" s="97"/>
      <c r="G2289" s="97"/>
      <c r="H2289" s="97"/>
      <c r="I2289" s="97"/>
      <c r="J2289" s="97"/>
      <c r="K2289" s="97"/>
      <c r="L2289" s="195"/>
    </row>
    <row r="2290" spans="1:12" x14ac:dyDescent="0.45">
      <c r="A2290" s="462"/>
      <c r="B2290" s="441"/>
      <c r="C2290" s="194">
        <v>9</v>
      </c>
      <c r="D2290" s="80"/>
      <c r="E2290" s="97"/>
      <c r="F2290" s="97"/>
      <c r="G2290" s="97"/>
      <c r="H2290" s="97"/>
      <c r="I2290" s="97"/>
      <c r="J2290" s="97"/>
      <c r="K2290" s="97"/>
      <c r="L2290" s="195"/>
    </row>
    <row r="2291" spans="1:12" x14ac:dyDescent="0.45">
      <c r="A2291" s="462"/>
      <c r="B2291" s="441"/>
      <c r="C2291" s="194">
        <v>10</v>
      </c>
      <c r="D2291" s="80"/>
      <c r="E2291" s="97"/>
      <c r="F2291" s="97"/>
      <c r="G2291" s="97"/>
      <c r="H2291" s="97"/>
      <c r="I2291" s="97"/>
      <c r="J2291" s="97"/>
      <c r="K2291" s="97"/>
      <c r="L2291" s="195"/>
    </row>
    <row r="2292" spans="1:12" x14ac:dyDescent="0.45">
      <c r="A2292" s="462"/>
      <c r="B2292" s="441"/>
      <c r="C2292" s="194">
        <v>11</v>
      </c>
      <c r="D2292" s="81"/>
      <c r="E2292" s="98"/>
      <c r="F2292" s="98"/>
      <c r="G2292" s="98"/>
      <c r="H2292" s="98"/>
      <c r="I2292" s="98"/>
      <c r="J2292" s="98"/>
      <c r="K2292" s="98"/>
      <c r="L2292" s="196"/>
    </row>
    <row r="2293" spans="1:12" ht="14.65" thickBot="1" x14ac:dyDescent="0.5">
      <c r="A2293" s="463"/>
      <c r="B2293" s="442"/>
      <c r="C2293" s="199">
        <v>12</v>
      </c>
      <c r="D2293" s="82"/>
      <c r="E2293" s="99"/>
      <c r="F2293" s="99"/>
      <c r="G2293" s="99"/>
      <c r="H2293" s="99"/>
      <c r="I2293" s="99"/>
      <c r="J2293" s="99"/>
      <c r="K2293" s="99"/>
      <c r="L2293" s="198"/>
    </row>
    <row r="2295" spans="1:12" s="91" customFormat="1" x14ac:dyDescent="0.45"/>
    <row r="2296" spans="1:12" ht="14.65" thickBot="1" x14ac:dyDescent="0.5"/>
    <row r="2297" spans="1:12" ht="28.9" thickBot="1" x14ac:dyDescent="0.5">
      <c r="A2297" s="187" t="s">
        <v>76</v>
      </c>
      <c r="B2297" s="186">
        <v>16</v>
      </c>
      <c r="C2297" s="109"/>
      <c r="D2297" s="109"/>
    </row>
    <row r="2298" spans="1:12" x14ac:dyDescent="0.45">
      <c r="A2298" s="443" t="s">
        <v>27</v>
      </c>
      <c r="B2298" s="448">
        <f>Name16</f>
        <v>0</v>
      </c>
      <c r="C2298" s="449"/>
      <c r="D2298" s="450"/>
      <c r="I2298" s="204"/>
      <c r="J2298" s="204"/>
      <c r="K2298" s="204"/>
      <c r="L2298" s="204"/>
    </row>
    <row r="2299" spans="1:12" x14ac:dyDescent="0.45">
      <c r="A2299" s="444"/>
      <c r="B2299" s="448"/>
      <c r="C2299" s="449"/>
      <c r="D2299" s="450"/>
      <c r="I2299" s="204"/>
      <c r="J2299" s="204"/>
      <c r="K2299" s="204"/>
      <c r="L2299" s="204"/>
    </row>
    <row r="2300" spans="1:12" x14ac:dyDescent="0.45">
      <c r="A2300" s="445"/>
      <c r="B2300" s="388"/>
      <c r="C2300" s="451"/>
      <c r="D2300" s="452"/>
      <c r="I2300" s="204"/>
      <c r="J2300" s="204"/>
      <c r="K2300" s="204"/>
      <c r="L2300" s="204"/>
    </row>
    <row r="2301" spans="1:12" ht="14.45" customHeight="1" x14ac:dyDescent="0.45">
      <c r="A2301" s="444" t="s">
        <v>155</v>
      </c>
      <c r="B2301" s="453">
        <f>GapA16</f>
        <v>0</v>
      </c>
      <c r="C2301" s="454"/>
      <c r="D2301" s="455"/>
      <c r="I2301" s="204"/>
      <c r="J2301" s="204"/>
      <c r="K2301" s="204"/>
      <c r="L2301" s="204"/>
    </row>
    <row r="2302" spans="1:12" x14ac:dyDescent="0.45">
      <c r="A2302" s="444"/>
      <c r="B2302" s="448"/>
      <c r="C2302" s="449"/>
      <c r="D2302" s="450"/>
      <c r="I2302" s="204"/>
      <c r="J2302" s="204"/>
      <c r="K2302" s="204"/>
      <c r="L2302" s="204"/>
    </row>
    <row r="2303" spans="1:12" x14ac:dyDescent="0.45">
      <c r="A2303" s="445"/>
      <c r="B2303" s="388"/>
      <c r="C2303" s="451"/>
      <c r="D2303" s="452"/>
      <c r="I2303" s="204"/>
      <c r="J2303" s="204"/>
      <c r="K2303" s="204"/>
      <c r="L2303" s="204"/>
    </row>
    <row r="2304" spans="1:12" x14ac:dyDescent="0.45">
      <c r="A2304" s="444" t="s">
        <v>159</v>
      </c>
      <c r="B2304" s="453">
        <f>Objective16</f>
        <v>0</v>
      </c>
      <c r="C2304" s="454"/>
      <c r="D2304" s="455"/>
      <c r="I2304" s="204"/>
      <c r="J2304" s="204"/>
      <c r="K2304" s="204"/>
      <c r="L2304" s="204"/>
    </row>
    <row r="2305" spans="1:14" x14ac:dyDescent="0.45">
      <c r="A2305" s="444"/>
      <c r="B2305" s="448"/>
      <c r="C2305" s="449"/>
      <c r="D2305" s="450"/>
      <c r="I2305" s="204"/>
      <c r="J2305" s="204"/>
      <c r="K2305" s="204"/>
      <c r="L2305" s="204"/>
    </row>
    <row r="2306" spans="1:14" x14ac:dyDescent="0.45">
      <c r="A2306" s="445"/>
      <c r="B2306" s="388"/>
      <c r="C2306" s="451"/>
      <c r="D2306" s="452"/>
      <c r="I2306" s="204"/>
      <c r="J2306" s="204"/>
      <c r="K2306" s="204"/>
      <c r="L2306" s="204"/>
    </row>
    <row r="2307" spans="1:14" ht="14.45" customHeight="1" x14ac:dyDescent="0.45">
      <c r="A2307" s="446" t="s">
        <v>166</v>
      </c>
      <c r="B2307" s="454">
        <f>Capacity16</f>
        <v>0</v>
      </c>
      <c r="C2307" s="454"/>
      <c r="D2307" s="455"/>
      <c r="I2307" s="204"/>
      <c r="J2307" s="204"/>
      <c r="K2307" s="204"/>
      <c r="L2307" s="204"/>
    </row>
    <row r="2308" spans="1:14" x14ac:dyDescent="0.45">
      <c r="A2308" s="447"/>
      <c r="B2308" s="449"/>
      <c r="C2308" s="449"/>
      <c r="D2308" s="450"/>
      <c r="I2308" s="204"/>
      <c r="J2308" s="204"/>
      <c r="K2308" s="204"/>
      <c r="L2308" s="204"/>
    </row>
    <row r="2309" spans="1:14" ht="14.65" thickBot="1" x14ac:dyDescent="0.5">
      <c r="A2309" s="447"/>
      <c r="B2309" s="456"/>
      <c r="C2309" s="456"/>
      <c r="D2309" s="457"/>
      <c r="I2309" s="204"/>
      <c r="J2309" s="204"/>
      <c r="K2309" s="204"/>
      <c r="L2309" s="204"/>
    </row>
    <row r="2310" spans="1:14" x14ac:dyDescent="0.45">
      <c r="A2310" s="188"/>
    </row>
    <row r="2311" spans="1:14" ht="14.65" thickBot="1" x14ac:dyDescent="0.5">
      <c r="A2311" s="90"/>
      <c r="B2311" s="90"/>
      <c r="C2311" s="90"/>
      <c r="D2311" s="90"/>
      <c r="E2311" s="90"/>
      <c r="F2311" s="90"/>
      <c r="G2311" s="90"/>
      <c r="H2311" s="90"/>
      <c r="I2311" s="90"/>
      <c r="J2311" s="90"/>
      <c r="K2311" s="90"/>
      <c r="L2311" s="90"/>
      <c r="M2311" s="204"/>
      <c r="N2311" s="204"/>
    </row>
    <row r="2312" spans="1:14" ht="21.75" customHeight="1" x14ac:dyDescent="0.45">
      <c r="A2312" s="458" t="s">
        <v>135</v>
      </c>
      <c r="B2312" s="459"/>
      <c r="C2312" s="459"/>
      <c r="D2312" s="459"/>
      <c r="E2312" s="459"/>
      <c r="F2312" s="459"/>
      <c r="G2312" s="459"/>
      <c r="H2312" s="459"/>
      <c r="I2312" s="459"/>
      <c r="J2312" s="459"/>
      <c r="K2312" s="459"/>
      <c r="L2312" s="460"/>
    </row>
    <row r="2313" spans="1:14" ht="29" customHeight="1" thickBot="1" x14ac:dyDescent="0.5">
      <c r="A2313" s="93" t="s">
        <v>74</v>
      </c>
      <c r="B2313" s="94" t="s">
        <v>28</v>
      </c>
      <c r="C2313" s="95" t="s">
        <v>320</v>
      </c>
      <c r="D2313" s="95" t="s">
        <v>127</v>
      </c>
      <c r="E2313" s="114" t="s">
        <v>90</v>
      </c>
      <c r="F2313" s="95" t="s">
        <v>175</v>
      </c>
      <c r="G2313" s="95" t="s">
        <v>176</v>
      </c>
      <c r="H2313" s="95" t="s">
        <v>156</v>
      </c>
      <c r="I2313" s="95" t="s">
        <v>157</v>
      </c>
      <c r="J2313" s="189" t="s">
        <v>321</v>
      </c>
      <c r="K2313" s="190" t="s">
        <v>29</v>
      </c>
      <c r="L2313" s="191" t="s">
        <v>322</v>
      </c>
    </row>
    <row r="2314" spans="1:14" x14ac:dyDescent="0.45">
      <c r="A2314" s="461">
        <v>1</v>
      </c>
      <c r="B2314" s="440">
        <v>1</v>
      </c>
      <c r="C2314" s="192">
        <v>1</v>
      </c>
      <c r="D2314" s="79"/>
      <c r="E2314" s="96"/>
      <c r="F2314" s="96"/>
      <c r="G2314" s="96"/>
      <c r="H2314" s="96"/>
      <c r="I2314" s="96"/>
      <c r="J2314" s="96"/>
      <c r="K2314" s="96"/>
      <c r="L2314" s="193"/>
    </row>
    <row r="2315" spans="1:14" x14ac:dyDescent="0.45">
      <c r="A2315" s="462"/>
      <c r="B2315" s="441"/>
      <c r="C2315" s="194">
        <v>2</v>
      </c>
      <c r="D2315" s="80"/>
      <c r="E2315" s="97"/>
      <c r="F2315" s="97"/>
      <c r="G2315" s="97"/>
      <c r="H2315" s="97"/>
      <c r="I2315" s="97"/>
      <c r="J2315" s="97"/>
      <c r="K2315" s="97"/>
      <c r="L2315" s="195"/>
    </row>
    <row r="2316" spans="1:14" x14ac:dyDescent="0.45">
      <c r="A2316" s="462"/>
      <c r="B2316" s="441"/>
      <c r="C2316" s="194">
        <v>3</v>
      </c>
      <c r="D2316" s="80"/>
      <c r="E2316" s="97"/>
      <c r="F2316" s="97"/>
      <c r="G2316" s="97"/>
      <c r="H2316" s="97"/>
      <c r="I2316" s="97"/>
      <c r="J2316" s="97"/>
      <c r="K2316" s="97"/>
      <c r="L2316" s="195"/>
    </row>
    <row r="2317" spans="1:14" x14ac:dyDescent="0.45">
      <c r="A2317" s="462"/>
      <c r="B2317" s="441"/>
      <c r="C2317" s="194">
        <v>4</v>
      </c>
      <c r="D2317" s="80"/>
      <c r="E2317" s="97"/>
      <c r="F2317" s="97"/>
      <c r="G2317" s="97"/>
      <c r="H2317" s="97"/>
      <c r="I2317" s="97"/>
      <c r="J2317" s="97"/>
      <c r="K2317" s="97"/>
      <c r="L2317" s="195"/>
    </row>
    <row r="2318" spans="1:14" x14ac:dyDescent="0.45">
      <c r="A2318" s="462"/>
      <c r="B2318" s="441"/>
      <c r="C2318" s="194">
        <v>5</v>
      </c>
      <c r="D2318" s="80"/>
      <c r="E2318" s="97"/>
      <c r="F2318" s="97"/>
      <c r="G2318" s="97"/>
      <c r="H2318" s="97"/>
      <c r="I2318" s="97"/>
      <c r="J2318" s="97"/>
      <c r="K2318" s="97"/>
      <c r="L2318" s="195"/>
    </row>
    <row r="2319" spans="1:14" x14ac:dyDescent="0.45">
      <c r="A2319" s="462"/>
      <c r="B2319" s="441"/>
      <c r="C2319" s="194">
        <v>6</v>
      </c>
      <c r="D2319" s="80"/>
      <c r="E2319" s="97"/>
      <c r="F2319" s="97"/>
      <c r="G2319" s="97"/>
      <c r="H2319" s="97"/>
      <c r="I2319" s="97"/>
      <c r="J2319" s="97"/>
      <c r="K2319" s="97"/>
      <c r="L2319" s="195"/>
    </row>
    <row r="2320" spans="1:14" x14ac:dyDescent="0.45">
      <c r="A2320" s="462"/>
      <c r="B2320" s="441"/>
      <c r="C2320" s="194">
        <v>7</v>
      </c>
      <c r="D2320" s="80"/>
      <c r="E2320" s="97"/>
      <c r="F2320" s="97"/>
      <c r="G2320" s="97"/>
      <c r="H2320" s="97"/>
      <c r="I2320" s="97"/>
      <c r="J2320" s="97"/>
      <c r="K2320" s="97"/>
      <c r="L2320" s="195"/>
    </row>
    <row r="2321" spans="1:14" x14ac:dyDescent="0.45">
      <c r="A2321" s="462"/>
      <c r="B2321" s="441"/>
      <c r="C2321" s="194">
        <v>8</v>
      </c>
      <c r="D2321" s="80"/>
      <c r="E2321" s="97"/>
      <c r="F2321" s="97"/>
      <c r="G2321" s="97"/>
      <c r="H2321" s="97"/>
      <c r="I2321" s="97"/>
      <c r="J2321" s="97"/>
      <c r="K2321" s="97"/>
      <c r="L2321" s="195"/>
    </row>
    <row r="2322" spans="1:14" x14ac:dyDescent="0.45">
      <c r="A2322" s="462"/>
      <c r="B2322" s="441"/>
      <c r="C2322" s="194">
        <v>9</v>
      </c>
      <c r="D2322" s="80"/>
      <c r="E2322" s="97"/>
      <c r="F2322" s="97"/>
      <c r="G2322" s="97"/>
      <c r="H2322" s="97"/>
      <c r="I2322" s="97"/>
      <c r="J2322" s="97"/>
      <c r="K2322" s="97"/>
      <c r="L2322" s="195"/>
    </row>
    <row r="2323" spans="1:14" x14ac:dyDescent="0.45">
      <c r="A2323" s="462"/>
      <c r="B2323" s="441"/>
      <c r="C2323" s="194">
        <v>10</v>
      </c>
      <c r="D2323" s="80"/>
      <c r="E2323" s="97"/>
      <c r="F2323" s="97"/>
      <c r="G2323" s="97"/>
      <c r="H2323" s="97"/>
      <c r="I2323" s="97"/>
      <c r="J2323" s="97"/>
      <c r="K2323" s="97"/>
      <c r="L2323" s="195"/>
    </row>
    <row r="2324" spans="1:14" x14ac:dyDescent="0.45">
      <c r="A2324" s="462"/>
      <c r="B2324" s="441"/>
      <c r="C2324" s="194">
        <v>11</v>
      </c>
      <c r="D2324" s="81"/>
      <c r="E2324" s="98"/>
      <c r="F2324" s="98"/>
      <c r="G2324" s="98"/>
      <c r="H2324" s="98"/>
      <c r="I2324" s="98"/>
      <c r="J2324" s="98"/>
      <c r="K2324" s="98"/>
      <c r="L2324" s="196"/>
    </row>
    <row r="2325" spans="1:14" s="90" customFormat="1" ht="14.65" thickBot="1" x14ac:dyDescent="0.5">
      <c r="A2325" s="462"/>
      <c r="B2325" s="442"/>
      <c r="C2325" s="197">
        <v>12</v>
      </c>
      <c r="D2325" s="82"/>
      <c r="E2325" s="99"/>
      <c r="F2325" s="99"/>
      <c r="G2325" s="99"/>
      <c r="H2325" s="99"/>
      <c r="I2325" s="99"/>
      <c r="J2325" s="99"/>
      <c r="K2325" s="99"/>
      <c r="L2325" s="198"/>
      <c r="M2325" s="61"/>
      <c r="N2325" s="61"/>
    </row>
    <row r="2326" spans="1:14" x14ac:dyDescent="0.45">
      <c r="A2326" s="462"/>
      <c r="B2326" s="440">
        <v>2</v>
      </c>
      <c r="C2326" s="192">
        <v>1</v>
      </c>
      <c r="D2326" s="79"/>
      <c r="E2326" s="96"/>
      <c r="F2326" s="96"/>
      <c r="G2326" s="96"/>
      <c r="H2326" s="96"/>
      <c r="I2326" s="96"/>
      <c r="J2326" s="96"/>
      <c r="K2326" s="96"/>
      <c r="L2326" s="193"/>
    </row>
    <row r="2327" spans="1:14" x14ac:dyDescent="0.45">
      <c r="A2327" s="462"/>
      <c r="B2327" s="441"/>
      <c r="C2327" s="194">
        <v>2</v>
      </c>
      <c r="D2327" s="80"/>
      <c r="E2327" s="97"/>
      <c r="F2327" s="97"/>
      <c r="G2327" s="97"/>
      <c r="H2327" s="97"/>
      <c r="I2327" s="97"/>
      <c r="J2327" s="97"/>
      <c r="K2327" s="97"/>
      <c r="L2327" s="195"/>
    </row>
    <row r="2328" spans="1:14" x14ac:dyDescent="0.45">
      <c r="A2328" s="462"/>
      <c r="B2328" s="441"/>
      <c r="C2328" s="194">
        <v>3</v>
      </c>
      <c r="D2328" s="80"/>
      <c r="E2328" s="97"/>
      <c r="F2328" s="97"/>
      <c r="G2328" s="97"/>
      <c r="H2328" s="97"/>
      <c r="I2328" s="97"/>
      <c r="J2328" s="97"/>
      <c r="K2328" s="97"/>
      <c r="L2328" s="195"/>
    </row>
    <row r="2329" spans="1:14" x14ac:dyDescent="0.45">
      <c r="A2329" s="462"/>
      <c r="B2329" s="441"/>
      <c r="C2329" s="194">
        <v>4</v>
      </c>
      <c r="D2329" s="80"/>
      <c r="E2329" s="97"/>
      <c r="F2329" s="97"/>
      <c r="G2329" s="97"/>
      <c r="H2329" s="97"/>
      <c r="I2329" s="97"/>
      <c r="J2329" s="97"/>
      <c r="K2329" s="97"/>
      <c r="L2329" s="195"/>
    </row>
    <row r="2330" spans="1:14" x14ac:dyDescent="0.45">
      <c r="A2330" s="462"/>
      <c r="B2330" s="441"/>
      <c r="C2330" s="194">
        <v>5</v>
      </c>
      <c r="D2330" s="80"/>
      <c r="E2330" s="97"/>
      <c r="F2330" s="97"/>
      <c r="G2330" s="97"/>
      <c r="H2330" s="97"/>
      <c r="I2330" s="97"/>
      <c r="J2330" s="97"/>
      <c r="K2330" s="97"/>
      <c r="L2330" s="195"/>
    </row>
    <row r="2331" spans="1:14" x14ac:dyDescent="0.45">
      <c r="A2331" s="462"/>
      <c r="B2331" s="441"/>
      <c r="C2331" s="194">
        <v>6</v>
      </c>
      <c r="D2331" s="80"/>
      <c r="E2331" s="97"/>
      <c r="F2331" s="97"/>
      <c r="G2331" s="97"/>
      <c r="H2331" s="97"/>
      <c r="I2331" s="97"/>
      <c r="J2331" s="97"/>
      <c r="K2331" s="97"/>
      <c r="L2331" s="195"/>
    </row>
    <row r="2332" spans="1:14" x14ac:dyDescent="0.45">
      <c r="A2332" s="462"/>
      <c r="B2332" s="441"/>
      <c r="C2332" s="194">
        <v>7</v>
      </c>
      <c r="D2332" s="80"/>
      <c r="E2332" s="97"/>
      <c r="F2332" s="97"/>
      <c r="G2332" s="97"/>
      <c r="H2332" s="97"/>
      <c r="I2332" s="97"/>
      <c r="J2332" s="97"/>
      <c r="K2332" s="97"/>
      <c r="L2332" s="195"/>
    </row>
    <row r="2333" spans="1:14" x14ac:dyDescent="0.45">
      <c r="A2333" s="462"/>
      <c r="B2333" s="441"/>
      <c r="C2333" s="194">
        <v>8</v>
      </c>
      <c r="D2333" s="80"/>
      <c r="E2333" s="97"/>
      <c r="F2333" s="97"/>
      <c r="G2333" s="97"/>
      <c r="H2333" s="97"/>
      <c r="I2333" s="97"/>
      <c r="J2333" s="97"/>
      <c r="K2333" s="97"/>
      <c r="L2333" s="195"/>
    </row>
    <row r="2334" spans="1:14" x14ac:dyDescent="0.45">
      <c r="A2334" s="462"/>
      <c r="B2334" s="441"/>
      <c r="C2334" s="194">
        <v>9</v>
      </c>
      <c r="D2334" s="80"/>
      <c r="E2334" s="97"/>
      <c r="F2334" s="97"/>
      <c r="G2334" s="97"/>
      <c r="H2334" s="97"/>
      <c r="I2334" s="97"/>
      <c r="J2334" s="97"/>
      <c r="K2334" s="97"/>
      <c r="L2334" s="195"/>
    </row>
    <row r="2335" spans="1:14" x14ac:dyDescent="0.45">
      <c r="A2335" s="462"/>
      <c r="B2335" s="441"/>
      <c r="C2335" s="194">
        <v>10</v>
      </c>
      <c r="D2335" s="80"/>
      <c r="E2335" s="97"/>
      <c r="F2335" s="97"/>
      <c r="G2335" s="97"/>
      <c r="H2335" s="97"/>
      <c r="I2335" s="97"/>
      <c r="J2335" s="97"/>
      <c r="K2335" s="97"/>
      <c r="L2335" s="195"/>
    </row>
    <row r="2336" spans="1:14" x14ac:dyDescent="0.45">
      <c r="A2336" s="462"/>
      <c r="B2336" s="441"/>
      <c r="C2336" s="194">
        <v>11</v>
      </c>
      <c r="D2336" s="81"/>
      <c r="E2336" s="98"/>
      <c r="F2336" s="98"/>
      <c r="G2336" s="98"/>
      <c r="H2336" s="98"/>
      <c r="I2336" s="98"/>
      <c r="J2336" s="98"/>
      <c r="K2336" s="98"/>
      <c r="L2336" s="196"/>
    </row>
    <row r="2337" spans="1:12" ht="14.65" thickBot="1" x14ac:dyDescent="0.5">
      <c r="A2337" s="462"/>
      <c r="B2337" s="442"/>
      <c r="C2337" s="197">
        <v>12</v>
      </c>
      <c r="D2337" s="82"/>
      <c r="E2337" s="99"/>
      <c r="F2337" s="99"/>
      <c r="G2337" s="99"/>
      <c r="H2337" s="99"/>
      <c r="I2337" s="99"/>
      <c r="J2337" s="99"/>
      <c r="K2337" s="99"/>
      <c r="L2337" s="198"/>
    </row>
    <row r="2338" spans="1:12" x14ac:dyDescent="0.45">
      <c r="A2338" s="462"/>
      <c r="B2338" s="440">
        <v>3</v>
      </c>
      <c r="C2338" s="192">
        <v>1</v>
      </c>
      <c r="D2338" s="79"/>
      <c r="E2338" s="96"/>
      <c r="F2338" s="96"/>
      <c r="G2338" s="96"/>
      <c r="H2338" s="96"/>
      <c r="I2338" s="96"/>
      <c r="J2338" s="96"/>
      <c r="K2338" s="96"/>
      <c r="L2338" s="193"/>
    </row>
    <row r="2339" spans="1:12" x14ac:dyDescent="0.45">
      <c r="A2339" s="462"/>
      <c r="B2339" s="441"/>
      <c r="C2339" s="194">
        <v>2</v>
      </c>
      <c r="D2339" s="80"/>
      <c r="E2339" s="97"/>
      <c r="F2339" s="97"/>
      <c r="G2339" s="97"/>
      <c r="H2339" s="97"/>
      <c r="I2339" s="97"/>
      <c r="J2339" s="97"/>
      <c r="K2339" s="97"/>
      <c r="L2339" s="195"/>
    </row>
    <row r="2340" spans="1:12" x14ac:dyDescent="0.45">
      <c r="A2340" s="462"/>
      <c r="B2340" s="441"/>
      <c r="C2340" s="194">
        <v>3</v>
      </c>
      <c r="D2340" s="80"/>
      <c r="E2340" s="97"/>
      <c r="F2340" s="97"/>
      <c r="G2340" s="97"/>
      <c r="H2340" s="97"/>
      <c r="I2340" s="97"/>
      <c r="J2340" s="97"/>
      <c r="K2340" s="97"/>
      <c r="L2340" s="195"/>
    </row>
    <row r="2341" spans="1:12" x14ac:dyDescent="0.45">
      <c r="A2341" s="462"/>
      <c r="B2341" s="441"/>
      <c r="C2341" s="194">
        <v>4</v>
      </c>
      <c r="D2341" s="80"/>
      <c r="E2341" s="97"/>
      <c r="F2341" s="97"/>
      <c r="G2341" s="97"/>
      <c r="H2341" s="97"/>
      <c r="I2341" s="97"/>
      <c r="J2341" s="97"/>
      <c r="K2341" s="97"/>
      <c r="L2341" s="195"/>
    </row>
    <row r="2342" spans="1:12" x14ac:dyDescent="0.45">
      <c r="A2342" s="462"/>
      <c r="B2342" s="441"/>
      <c r="C2342" s="194">
        <v>5</v>
      </c>
      <c r="D2342" s="80"/>
      <c r="E2342" s="97"/>
      <c r="F2342" s="97"/>
      <c r="G2342" s="97"/>
      <c r="H2342" s="97"/>
      <c r="I2342" s="97"/>
      <c r="J2342" s="97"/>
      <c r="K2342" s="97"/>
      <c r="L2342" s="195"/>
    </row>
    <row r="2343" spans="1:12" x14ac:dyDescent="0.45">
      <c r="A2343" s="462"/>
      <c r="B2343" s="441"/>
      <c r="C2343" s="194">
        <v>6</v>
      </c>
      <c r="D2343" s="80"/>
      <c r="E2343" s="97"/>
      <c r="F2343" s="97"/>
      <c r="G2343" s="97"/>
      <c r="H2343" s="97"/>
      <c r="I2343" s="97"/>
      <c r="J2343" s="97"/>
      <c r="K2343" s="97"/>
      <c r="L2343" s="195"/>
    </row>
    <row r="2344" spans="1:12" x14ac:dyDescent="0.45">
      <c r="A2344" s="462"/>
      <c r="B2344" s="441"/>
      <c r="C2344" s="194">
        <v>7</v>
      </c>
      <c r="D2344" s="80"/>
      <c r="E2344" s="97"/>
      <c r="F2344" s="97"/>
      <c r="G2344" s="97"/>
      <c r="H2344" s="97"/>
      <c r="I2344" s="97"/>
      <c r="J2344" s="97"/>
      <c r="K2344" s="97"/>
      <c r="L2344" s="195"/>
    </row>
    <row r="2345" spans="1:12" x14ac:dyDescent="0.45">
      <c r="A2345" s="462"/>
      <c r="B2345" s="441"/>
      <c r="C2345" s="194">
        <v>8</v>
      </c>
      <c r="D2345" s="80"/>
      <c r="E2345" s="97"/>
      <c r="F2345" s="97"/>
      <c r="G2345" s="97"/>
      <c r="H2345" s="97"/>
      <c r="I2345" s="97"/>
      <c r="J2345" s="97"/>
      <c r="K2345" s="97"/>
      <c r="L2345" s="195"/>
    </row>
    <row r="2346" spans="1:12" x14ac:dyDescent="0.45">
      <c r="A2346" s="462"/>
      <c r="B2346" s="441"/>
      <c r="C2346" s="194">
        <v>9</v>
      </c>
      <c r="D2346" s="80"/>
      <c r="E2346" s="97"/>
      <c r="F2346" s="97"/>
      <c r="G2346" s="97"/>
      <c r="H2346" s="97"/>
      <c r="I2346" s="97"/>
      <c r="J2346" s="97"/>
      <c r="K2346" s="97"/>
      <c r="L2346" s="195"/>
    </row>
    <row r="2347" spans="1:12" x14ac:dyDescent="0.45">
      <c r="A2347" s="462"/>
      <c r="B2347" s="441"/>
      <c r="C2347" s="194">
        <v>10</v>
      </c>
      <c r="D2347" s="80"/>
      <c r="E2347" s="97"/>
      <c r="F2347" s="97"/>
      <c r="G2347" s="97"/>
      <c r="H2347" s="97"/>
      <c r="I2347" s="97"/>
      <c r="J2347" s="97"/>
      <c r="K2347" s="97"/>
      <c r="L2347" s="195"/>
    </row>
    <row r="2348" spans="1:12" x14ac:dyDescent="0.45">
      <c r="A2348" s="462"/>
      <c r="B2348" s="441"/>
      <c r="C2348" s="194">
        <v>11</v>
      </c>
      <c r="D2348" s="81"/>
      <c r="E2348" s="98"/>
      <c r="F2348" s="98"/>
      <c r="G2348" s="98"/>
      <c r="H2348" s="98"/>
      <c r="I2348" s="98"/>
      <c r="J2348" s="98"/>
      <c r="K2348" s="98"/>
      <c r="L2348" s="196"/>
    </row>
    <row r="2349" spans="1:12" ht="14.65" thickBot="1" x14ac:dyDescent="0.5">
      <c r="A2349" s="462"/>
      <c r="B2349" s="442"/>
      <c r="C2349" s="197">
        <v>12</v>
      </c>
      <c r="D2349" s="82"/>
      <c r="E2349" s="99"/>
      <c r="F2349" s="99"/>
      <c r="G2349" s="99"/>
      <c r="H2349" s="99"/>
      <c r="I2349" s="99"/>
      <c r="J2349" s="99"/>
      <c r="K2349" s="99"/>
      <c r="L2349" s="198"/>
    </row>
    <row r="2350" spans="1:12" x14ac:dyDescent="0.45">
      <c r="A2350" s="462"/>
      <c r="B2350" s="440">
        <v>4</v>
      </c>
      <c r="C2350" s="192">
        <v>1</v>
      </c>
      <c r="D2350" s="79"/>
      <c r="E2350" s="96"/>
      <c r="F2350" s="96"/>
      <c r="G2350" s="96"/>
      <c r="H2350" s="96"/>
      <c r="I2350" s="96"/>
      <c r="J2350" s="96"/>
      <c r="K2350" s="96"/>
      <c r="L2350" s="193"/>
    </row>
    <row r="2351" spans="1:12" x14ac:dyDescent="0.45">
      <c r="A2351" s="462"/>
      <c r="B2351" s="441"/>
      <c r="C2351" s="194">
        <v>2</v>
      </c>
      <c r="D2351" s="80"/>
      <c r="E2351" s="97"/>
      <c r="F2351" s="97"/>
      <c r="G2351" s="97"/>
      <c r="H2351" s="97"/>
      <c r="I2351" s="97"/>
      <c r="J2351" s="97"/>
      <c r="K2351" s="97"/>
      <c r="L2351" s="195"/>
    </row>
    <row r="2352" spans="1:12" x14ac:dyDescent="0.45">
      <c r="A2352" s="462"/>
      <c r="B2352" s="441"/>
      <c r="C2352" s="194">
        <v>3</v>
      </c>
      <c r="D2352" s="80"/>
      <c r="E2352" s="97"/>
      <c r="F2352" s="97"/>
      <c r="G2352" s="97"/>
      <c r="H2352" s="97"/>
      <c r="I2352" s="97"/>
      <c r="J2352" s="97"/>
      <c r="K2352" s="97"/>
      <c r="L2352" s="195"/>
    </row>
    <row r="2353" spans="1:12" x14ac:dyDescent="0.45">
      <c r="A2353" s="462"/>
      <c r="B2353" s="441"/>
      <c r="C2353" s="194">
        <v>4</v>
      </c>
      <c r="D2353" s="80"/>
      <c r="E2353" s="97"/>
      <c r="F2353" s="97"/>
      <c r="G2353" s="97"/>
      <c r="H2353" s="97"/>
      <c r="I2353" s="97"/>
      <c r="J2353" s="97"/>
      <c r="K2353" s="97"/>
      <c r="L2353" s="195"/>
    </row>
    <row r="2354" spans="1:12" x14ac:dyDescent="0.45">
      <c r="A2354" s="462"/>
      <c r="B2354" s="441"/>
      <c r="C2354" s="194">
        <v>5</v>
      </c>
      <c r="D2354" s="80"/>
      <c r="E2354" s="97"/>
      <c r="F2354" s="97"/>
      <c r="G2354" s="97"/>
      <c r="H2354" s="97"/>
      <c r="I2354" s="97"/>
      <c r="J2354" s="97"/>
      <c r="K2354" s="97"/>
      <c r="L2354" s="195"/>
    </row>
    <row r="2355" spans="1:12" x14ac:dyDescent="0.45">
      <c r="A2355" s="462"/>
      <c r="B2355" s="441"/>
      <c r="C2355" s="194">
        <v>6</v>
      </c>
      <c r="D2355" s="80"/>
      <c r="E2355" s="97"/>
      <c r="F2355" s="97"/>
      <c r="G2355" s="97"/>
      <c r="H2355" s="97"/>
      <c r="I2355" s="97"/>
      <c r="J2355" s="97"/>
      <c r="K2355" s="97"/>
      <c r="L2355" s="195"/>
    </row>
    <row r="2356" spans="1:12" x14ac:dyDescent="0.45">
      <c r="A2356" s="462"/>
      <c r="B2356" s="441"/>
      <c r="C2356" s="194">
        <v>7</v>
      </c>
      <c r="D2356" s="80"/>
      <c r="E2356" s="97"/>
      <c r="F2356" s="97"/>
      <c r="G2356" s="97"/>
      <c r="H2356" s="97"/>
      <c r="I2356" s="97"/>
      <c r="J2356" s="97"/>
      <c r="K2356" s="97"/>
      <c r="L2356" s="195"/>
    </row>
    <row r="2357" spans="1:12" x14ac:dyDescent="0.45">
      <c r="A2357" s="462"/>
      <c r="B2357" s="441"/>
      <c r="C2357" s="194">
        <v>8</v>
      </c>
      <c r="D2357" s="80"/>
      <c r="E2357" s="97"/>
      <c r="F2357" s="97"/>
      <c r="G2357" s="97"/>
      <c r="H2357" s="97"/>
      <c r="I2357" s="97"/>
      <c r="J2357" s="97"/>
      <c r="K2357" s="97"/>
      <c r="L2357" s="195"/>
    </row>
    <row r="2358" spans="1:12" x14ac:dyDescent="0.45">
      <c r="A2358" s="462"/>
      <c r="B2358" s="441"/>
      <c r="C2358" s="194">
        <v>9</v>
      </c>
      <c r="D2358" s="80"/>
      <c r="E2358" s="97"/>
      <c r="F2358" s="97"/>
      <c r="G2358" s="97"/>
      <c r="H2358" s="97"/>
      <c r="I2358" s="97"/>
      <c r="J2358" s="97"/>
      <c r="K2358" s="97"/>
      <c r="L2358" s="195"/>
    </row>
    <row r="2359" spans="1:12" x14ac:dyDescent="0.45">
      <c r="A2359" s="462"/>
      <c r="B2359" s="441"/>
      <c r="C2359" s="194">
        <v>10</v>
      </c>
      <c r="D2359" s="80"/>
      <c r="E2359" s="97"/>
      <c r="F2359" s="97"/>
      <c r="G2359" s="97"/>
      <c r="H2359" s="97"/>
      <c r="I2359" s="97"/>
      <c r="J2359" s="97"/>
      <c r="K2359" s="97"/>
      <c r="L2359" s="195"/>
    </row>
    <row r="2360" spans="1:12" x14ac:dyDescent="0.45">
      <c r="A2360" s="462"/>
      <c r="B2360" s="441"/>
      <c r="C2360" s="194">
        <v>11</v>
      </c>
      <c r="D2360" s="81"/>
      <c r="E2360" s="98"/>
      <c r="F2360" s="98"/>
      <c r="G2360" s="98"/>
      <c r="H2360" s="98"/>
      <c r="I2360" s="98"/>
      <c r="J2360" s="98"/>
      <c r="K2360" s="98"/>
      <c r="L2360" s="196"/>
    </row>
    <row r="2361" spans="1:12" ht="14.65" thickBot="1" x14ac:dyDescent="0.5">
      <c r="A2361" s="463"/>
      <c r="B2361" s="442"/>
      <c r="C2361" s="197">
        <v>12</v>
      </c>
      <c r="D2361" s="82"/>
      <c r="E2361" s="99"/>
      <c r="F2361" s="99"/>
      <c r="G2361" s="99"/>
      <c r="H2361" s="99"/>
      <c r="I2361" s="99"/>
      <c r="J2361" s="99"/>
      <c r="K2361" s="99"/>
      <c r="L2361" s="198"/>
    </row>
    <row r="2362" spans="1:12" x14ac:dyDescent="0.45">
      <c r="A2362" s="461">
        <v>2</v>
      </c>
      <c r="B2362" s="440">
        <v>5</v>
      </c>
      <c r="C2362" s="192">
        <v>1</v>
      </c>
      <c r="D2362" s="79"/>
      <c r="E2362" s="96"/>
      <c r="F2362" s="96"/>
      <c r="G2362" s="96"/>
      <c r="H2362" s="96"/>
      <c r="I2362" s="96"/>
      <c r="J2362" s="96"/>
      <c r="K2362" s="96"/>
      <c r="L2362" s="193"/>
    </row>
    <row r="2363" spans="1:12" x14ac:dyDescent="0.45">
      <c r="A2363" s="462"/>
      <c r="B2363" s="441"/>
      <c r="C2363" s="194">
        <v>2</v>
      </c>
      <c r="D2363" s="80"/>
      <c r="E2363" s="97"/>
      <c r="F2363" s="97"/>
      <c r="G2363" s="97"/>
      <c r="H2363" s="97"/>
      <c r="I2363" s="97"/>
      <c r="J2363" s="97"/>
      <c r="K2363" s="97"/>
      <c r="L2363" s="195"/>
    </row>
    <row r="2364" spans="1:12" x14ac:dyDescent="0.45">
      <c r="A2364" s="462"/>
      <c r="B2364" s="441"/>
      <c r="C2364" s="194">
        <v>3</v>
      </c>
      <c r="D2364" s="80"/>
      <c r="E2364" s="97"/>
      <c r="F2364" s="97"/>
      <c r="G2364" s="97"/>
      <c r="H2364" s="97"/>
      <c r="I2364" s="97"/>
      <c r="J2364" s="97"/>
      <c r="K2364" s="97"/>
      <c r="L2364" s="195"/>
    </row>
    <row r="2365" spans="1:12" x14ac:dyDescent="0.45">
      <c r="A2365" s="462"/>
      <c r="B2365" s="441"/>
      <c r="C2365" s="194">
        <v>4</v>
      </c>
      <c r="D2365" s="80"/>
      <c r="E2365" s="97"/>
      <c r="F2365" s="97"/>
      <c r="G2365" s="97"/>
      <c r="H2365" s="97"/>
      <c r="I2365" s="97"/>
      <c r="J2365" s="97"/>
      <c r="K2365" s="97"/>
      <c r="L2365" s="195"/>
    </row>
    <row r="2366" spans="1:12" x14ac:dyDescent="0.45">
      <c r="A2366" s="462"/>
      <c r="B2366" s="441"/>
      <c r="C2366" s="194">
        <v>5</v>
      </c>
      <c r="D2366" s="80"/>
      <c r="E2366" s="97"/>
      <c r="F2366" s="97"/>
      <c r="G2366" s="97"/>
      <c r="H2366" s="97"/>
      <c r="I2366" s="97"/>
      <c r="J2366" s="97"/>
      <c r="K2366" s="97"/>
      <c r="L2366" s="195"/>
    </row>
    <row r="2367" spans="1:12" x14ac:dyDescent="0.45">
      <c r="A2367" s="462"/>
      <c r="B2367" s="441"/>
      <c r="C2367" s="194">
        <v>6</v>
      </c>
      <c r="D2367" s="80"/>
      <c r="E2367" s="97"/>
      <c r="F2367" s="97"/>
      <c r="G2367" s="97"/>
      <c r="H2367" s="97"/>
      <c r="I2367" s="97"/>
      <c r="J2367" s="97"/>
      <c r="K2367" s="97"/>
      <c r="L2367" s="195"/>
    </row>
    <row r="2368" spans="1:12" x14ac:dyDescent="0.45">
      <c r="A2368" s="462"/>
      <c r="B2368" s="441"/>
      <c r="C2368" s="194">
        <v>7</v>
      </c>
      <c r="D2368" s="80"/>
      <c r="E2368" s="97"/>
      <c r="F2368" s="97"/>
      <c r="G2368" s="97"/>
      <c r="H2368" s="97"/>
      <c r="I2368" s="97"/>
      <c r="J2368" s="97"/>
      <c r="K2368" s="97"/>
      <c r="L2368" s="195"/>
    </row>
    <row r="2369" spans="1:12" x14ac:dyDescent="0.45">
      <c r="A2369" s="462"/>
      <c r="B2369" s="441"/>
      <c r="C2369" s="194">
        <v>8</v>
      </c>
      <c r="D2369" s="80"/>
      <c r="E2369" s="97"/>
      <c r="F2369" s="97"/>
      <c r="G2369" s="97"/>
      <c r="H2369" s="97"/>
      <c r="I2369" s="97"/>
      <c r="J2369" s="97"/>
      <c r="K2369" s="97"/>
      <c r="L2369" s="195"/>
    </row>
    <row r="2370" spans="1:12" x14ac:dyDescent="0.45">
      <c r="A2370" s="462"/>
      <c r="B2370" s="441"/>
      <c r="C2370" s="194">
        <v>9</v>
      </c>
      <c r="D2370" s="80"/>
      <c r="E2370" s="97"/>
      <c r="F2370" s="97"/>
      <c r="G2370" s="97"/>
      <c r="H2370" s="97"/>
      <c r="I2370" s="97"/>
      <c r="J2370" s="97"/>
      <c r="K2370" s="97"/>
      <c r="L2370" s="195"/>
    </row>
    <row r="2371" spans="1:12" x14ac:dyDescent="0.45">
      <c r="A2371" s="462"/>
      <c r="B2371" s="441"/>
      <c r="C2371" s="194">
        <v>10</v>
      </c>
      <c r="D2371" s="80"/>
      <c r="E2371" s="97"/>
      <c r="F2371" s="97"/>
      <c r="G2371" s="97"/>
      <c r="H2371" s="97"/>
      <c r="I2371" s="97"/>
      <c r="J2371" s="97"/>
      <c r="K2371" s="97"/>
      <c r="L2371" s="195"/>
    </row>
    <row r="2372" spans="1:12" x14ac:dyDescent="0.45">
      <c r="A2372" s="462"/>
      <c r="B2372" s="441"/>
      <c r="C2372" s="194">
        <v>11</v>
      </c>
      <c r="D2372" s="81"/>
      <c r="E2372" s="98"/>
      <c r="F2372" s="98"/>
      <c r="G2372" s="98"/>
      <c r="H2372" s="98"/>
      <c r="I2372" s="98"/>
      <c r="J2372" s="98"/>
      <c r="K2372" s="98"/>
      <c r="L2372" s="196"/>
    </row>
    <row r="2373" spans="1:12" ht="14.65" thickBot="1" x14ac:dyDescent="0.5">
      <c r="A2373" s="462"/>
      <c r="B2373" s="442"/>
      <c r="C2373" s="197">
        <v>12</v>
      </c>
      <c r="D2373" s="82"/>
      <c r="E2373" s="99"/>
      <c r="F2373" s="99"/>
      <c r="G2373" s="99"/>
      <c r="H2373" s="99"/>
      <c r="I2373" s="99"/>
      <c r="J2373" s="99"/>
      <c r="K2373" s="99"/>
      <c r="L2373" s="198"/>
    </row>
    <row r="2374" spans="1:12" x14ac:dyDescent="0.45">
      <c r="A2374" s="462"/>
      <c r="B2374" s="440">
        <v>6</v>
      </c>
      <c r="C2374" s="192">
        <v>1</v>
      </c>
      <c r="D2374" s="79"/>
      <c r="E2374" s="96"/>
      <c r="F2374" s="96"/>
      <c r="G2374" s="96"/>
      <c r="H2374" s="96"/>
      <c r="I2374" s="96"/>
      <c r="J2374" s="96"/>
      <c r="K2374" s="96"/>
      <c r="L2374" s="193"/>
    </row>
    <row r="2375" spans="1:12" x14ac:dyDescent="0.45">
      <c r="A2375" s="462"/>
      <c r="B2375" s="441"/>
      <c r="C2375" s="194">
        <v>2</v>
      </c>
      <c r="D2375" s="80"/>
      <c r="E2375" s="97"/>
      <c r="F2375" s="97"/>
      <c r="G2375" s="97"/>
      <c r="H2375" s="97"/>
      <c r="I2375" s="97"/>
      <c r="J2375" s="97"/>
      <c r="K2375" s="97"/>
      <c r="L2375" s="195"/>
    </row>
    <row r="2376" spans="1:12" x14ac:dyDescent="0.45">
      <c r="A2376" s="462"/>
      <c r="B2376" s="441"/>
      <c r="C2376" s="194">
        <v>3</v>
      </c>
      <c r="D2376" s="80"/>
      <c r="E2376" s="97"/>
      <c r="F2376" s="97"/>
      <c r="G2376" s="97"/>
      <c r="H2376" s="97"/>
      <c r="I2376" s="97"/>
      <c r="J2376" s="97"/>
      <c r="K2376" s="97"/>
      <c r="L2376" s="195"/>
    </row>
    <row r="2377" spans="1:12" x14ac:dyDescent="0.45">
      <c r="A2377" s="462"/>
      <c r="B2377" s="441"/>
      <c r="C2377" s="194">
        <v>4</v>
      </c>
      <c r="D2377" s="80"/>
      <c r="E2377" s="97"/>
      <c r="F2377" s="97"/>
      <c r="G2377" s="97"/>
      <c r="H2377" s="97"/>
      <c r="I2377" s="97"/>
      <c r="J2377" s="97"/>
      <c r="K2377" s="97"/>
      <c r="L2377" s="195"/>
    </row>
    <row r="2378" spans="1:12" x14ac:dyDescent="0.45">
      <c r="A2378" s="462"/>
      <c r="B2378" s="441"/>
      <c r="C2378" s="194">
        <v>5</v>
      </c>
      <c r="D2378" s="80"/>
      <c r="E2378" s="97"/>
      <c r="F2378" s="97"/>
      <c r="G2378" s="97"/>
      <c r="H2378" s="97"/>
      <c r="I2378" s="97"/>
      <c r="J2378" s="97"/>
      <c r="K2378" s="97"/>
      <c r="L2378" s="195"/>
    </row>
    <row r="2379" spans="1:12" x14ac:dyDescent="0.45">
      <c r="A2379" s="462"/>
      <c r="B2379" s="441"/>
      <c r="C2379" s="194">
        <v>6</v>
      </c>
      <c r="D2379" s="80"/>
      <c r="E2379" s="97"/>
      <c r="F2379" s="97"/>
      <c r="G2379" s="97"/>
      <c r="H2379" s="97"/>
      <c r="I2379" s="97"/>
      <c r="J2379" s="97"/>
      <c r="K2379" s="97"/>
      <c r="L2379" s="195"/>
    </row>
    <row r="2380" spans="1:12" x14ac:dyDescent="0.45">
      <c r="A2380" s="462"/>
      <c r="B2380" s="441"/>
      <c r="C2380" s="194">
        <v>7</v>
      </c>
      <c r="D2380" s="80"/>
      <c r="E2380" s="97"/>
      <c r="F2380" s="97"/>
      <c r="G2380" s="97"/>
      <c r="H2380" s="97"/>
      <c r="I2380" s="97"/>
      <c r="J2380" s="97"/>
      <c r="K2380" s="97"/>
      <c r="L2380" s="195"/>
    </row>
    <row r="2381" spans="1:12" x14ac:dyDescent="0.45">
      <c r="A2381" s="462"/>
      <c r="B2381" s="441"/>
      <c r="C2381" s="194">
        <v>8</v>
      </c>
      <c r="D2381" s="80"/>
      <c r="E2381" s="97"/>
      <c r="F2381" s="97"/>
      <c r="G2381" s="97"/>
      <c r="H2381" s="97"/>
      <c r="I2381" s="97"/>
      <c r="J2381" s="97"/>
      <c r="K2381" s="97"/>
      <c r="L2381" s="195"/>
    </row>
    <row r="2382" spans="1:12" x14ac:dyDescent="0.45">
      <c r="A2382" s="462"/>
      <c r="B2382" s="441"/>
      <c r="C2382" s="194">
        <v>9</v>
      </c>
      <c r="D2382" s="80"/>
      <c r="E2382" s="97"/>
      <c r="F2382" s="97"/>
      <c r="G2382" s="97"/>
      <c r="H2382" s="97"/>
      <c r="I2382" s="97"/>
      <c r="J2382" s="97"/>
      <c r="K2382" s="97"/>
      <c r="L2382" s="195"/>
    </row>
    <row r="2383" spans="1:12" x14ac:dyDescent="0.45">
      <c r="A2383" s="462"/>
      <c r="B2383" s="441"/>
      <c r="C2383" s="194">
        <v>10</v>
      </c>
      <c r="D2383" s="80"/>
      <c r="E2383" s="97"/>
      <c r="F2383" s="97"/>
      <c r="G2383" s="97"/>
      <c r="H2383" s="97"/>
      <c r="I2383" s="97"/>
      <c r="J2383" s="97"/>
      <c r="K2383" s="97"/>
      <c r="L2383" s="195"/>
    </row>
    <row r="2384" spans="1:12" x14ac:dyDescent="0.45">
      <c r="A2384" s="462"/>
      <c r="B2384" s="441"/>
      <c r="C2384" s="194">
        <v>11</v>
      </c>
      <c r="D2384" s="81"/>
      <c r="E2384" s="98"/>
      <c r="F2384" s="98"/>
      <c r="G2384" s="98"/>
      <c r="H2384" s="98"/>
      <c r="I2384" s="98"/>
      <c r="J2384" s="98"/>
      <c r="K2384" s="98"/>
      <c r="L2384" s="196"/>
    </row>
    <row r="2385" spans="1:12" ht="14.65" thickBot="1" x14ac:dyDescent="0.5">
      <c r="A2385" s="462"/>
      <c r="B2385" s="442"/>
      <c r="C2385" s="197">
        <v>12</v>
      </c>
      <c r="D2385" s="82"/>
      <c r="E2385" s="99"/>
      <c r="F2385" s="99"/>
      <c r="G2385" s="99"/>
      <c r="H2385" s="99"/>
      <c r="I2385" s="99"/>
      <c r="J2385" s="99"/>
      <c r="K2385" s="99"/>
      <c r="L2385" s="198"/>
    </row>
    <row r="2386" spans="1:12" x14ac:dyDescent="0.45">
      <c r="A2386" s="462"/>
      <c r="B2386" s="440">
        <v>7</v>
      </c>
      <c r="C2386" s="192">
        <v>1</v>
      </c>
      <c r="D2386" s="79"/>
      <c r="E2386" s="96"/>
      <c r="F2386" s="96"/>
      <c r="G2386" s="96"/>
      <c r="H2386" s="96"/>
      <c r="I2386" s="96"/>
      <c r="J2386" s="96"/>
      <c r="K2386" s="96"/>
      <c r="L2386" s="193"/>
    </row>
    <row r="2387" spans="1:12" x14ac:dyDescent="0.45">
      <c r="A2387" s="462"/>
      <c r="B2387" s="441"/>
      <c r="C2387" s="194">
        <v>2</v>
      </c>
      <c r="D2387" s="80"/>
      <c r="E2387" s="97"/>
      <c r="F2387" s="97"/>
      <c r="G2387" s="97"/>
      <c r="H2387" s="97"/>
      <c r="I2387" s="97"/>
      <c r="J2387" s="97"/>
      <c r="K2387" s="97"/>
      <c r="L2387" s="195"/>
    </row>
    <row r="2388" spans="1:12" x14ac:dyDescent="0.45">
      <c r="A2388" s="462"/>
      <c r="B2388" s="441"/>
      <c r="C2388" s="194">
        <v>3</v>
      </c>
      <c r="D2388" s="80"/>
      <c r="E2388" s="97"/>
      <c r="F2388" s="97"/>
      <c r="G2388" s="97"/>
      <c r="H2388" s="97"/>
      <c r="I2388" s="97"/>
      <c r="J2388" s="97"/>
      <c r="K2388" s="97"/>
      <c r="L2388" s="195"/>
    </row>
    <row r="2389" spans="1:12" x14ac:dyDescent="0.45">
      <c r="A2389" s="462"/>
      <c r="B2389" s="441"/>
      <c r="C2389" s="194">
        <v>4</v>
      </c>
      <c r="D2389" s="80"/>
      <c r="E2389" s="97"/>
      <c r="F2389" s="97"/>
      <c r="G2389" s="97"/>
      <c r="H2389" s="97"/>
      <c r="I2389" s="97"/>
      <c r="J2389" s="97"/>
      <c r="K2389" s="97"/>
      <c r="L2389" s="195"/>
    </row>
    <row r="2390" spans="1:12" x14ac:dyDescent="0.45">
      <c r="A2390" s="462"/>
      <c r="B2390" s="441"/>
      <c r="C2390" s="194">
        <v>5</v>
      </c>
      <c r="D2390" s="80"/>
      <c r="E2390" s="97"/>
      <c r="F2390" s="97"/>
      <c r="G2390" s="97"/>
      <c r="H2390" s="97"/>
      <c r="I2390" s="97"/>
      <c r="J2390" s="97"/>
      <c r="K2390" s="97"/>
      <c r="L2390" s="195"/>
    </row>
    <row r="2391" spans="1:12" x14ac:dyDescent="0.45">
      <c r="A2391" s="462"/>
      <c r="B2391" s="441"/>
      <c r="C2391" s="194">
        <v>6</v>
      </c>
      <c r="D2391" s="80"/>
      <c r="E2391" s="97"/>
      <c r="F2391" s="97"/>
      <c r="G2391" s="97"/>
      <c r="H2391" s="97"/>
      <c r="I2391" s="97"/>
      <c r="J2391" s="97"/>
      <c r="K2391" s="97"/>
      <c r="L2391" s="195"/>
    </row>
    <row r="2392" spans="1:12" x14ac:dyDescent="0.45">
      <c r="A2392" s="462"/>
      <c r="B2392" s="441"/>
      <c r="C2392" s="194">
        <v>7</v>
      </c>
      <c r="D2392" s="80"/>
      <c r="E2392" s="97"/>
      <c r="F2392" s="97"/>
      <c r="G2392" s="97"/>
      <c r="H2392" s="97"/>
      <c r="I2392" s="97"/>
      <c r="J2392" s="97"/>
      <c r="K2392" s="97"/>
      <c r="L2392" s="195"/>
    </row>
    <row r="2393" spans="1:12" x14ac:dyDescent="0.45">
      <c r="A2393" s="462"/>
      <c r="B2393" s="441"/>
      <c r="C2393" s="194">
        <v>8</v>
      </c>
      <c r="D2393" s="80"/>
      <c r="E2393" s="97"/>
      <c r="F2393" s="97"/>
      <c r="G2393" s="97"/>
      <c r="H2393" s="97"/>
      <c r="I2393" s="97"/>
      <c r="J2393" s="97"/>
      <c r="K2393" s="97"/>
      <c r="L2393" s="195"/>
    </row>
    <row r="2394" spans="1:12" x14ac:dyDescent="0.45">
      <c r="A2394" s="462"/>
      <c r="B2394" s="441"/>
      <c r="C2394" s="194">
        <v>9</v>
      </c>
      <c r="D2394" s="80"/>
      <c r="E2394" s="97"/>
      <c r="F2394" s="97"/>
      <c r="G2394" s="97"/>
      <c r="H2394" s="97"/>
      <c r="I2394" s="97"/>
      <c r="J2394" s="97"/>
      <c r="K2394" s="97"/>
      <c r="L2394" s="195"/>
    </row>
    <row r="2395" spans="1:12" x14ac:dyDescent="0.45">
      <c r="A2395" s="462"/>
      <c r="B2395" s="441"/>
      <c r="C2395" s="194">
        <v>10</v>
      </c>
      <c r="D2395" s="80"/>
      <c r="E2395" s="97"/>
      <c r="F2395" s="97"/>
      <c r="G2395" s="97"/>
      <c r="H2395" s="97"/>
      <c r="I2395" s="97"/>
      <c r="J2395" s="97"/>
      <c r="K2395" s="97"/>
      <c r="L2395" s="195"/>
    </row>
    <row r="2396" spans="1:12" x14ac:dyDescent="0.45">
      <c r="A2396" s="462"/>
      <c r="B2396" s="441"/>
      <c r="C2396" s="194">
        <v>11</v>
      </c>
      <c r="D2396" s="81"/>
      <c r="E2396" s="98"/>
      <c r="F2396" s="98"/>
      <c r="G2396" s="98"/>
      <c r="H2396" s="98"/>
      <c r="I2396" s="98"/>
      <c r="J2396" s="98"/>
      <c r="K2396" s="98"/>
      <c r="L2396" s="196"/>
    </row>
    <row r="2397" spans="1:12" ht="14.65" thickBot="1" x14ac:dyDescent="0.5">
      <c r="A2397" s="462"/>
      <c r="B2397" s="442"/>
      <c r="C2397" s="197">
        <v>12</v>
      </c>
      <c r="D2397" s="82"/>
      <c r="E2397" s="99"/>
      <c r="F2397" s="99"/>
      <c r="G2397" s="99"/>
      <c r="H2397" s="99"/>
      <c r="I2397" s="99"/>
      <c r="J2397" s="99"/>
      <c r="K2397" s="99"/>
      <c r="L2397" s="198"/>
    </row>
    <row r="2398" spans="1:12" x14ac:dyDescent="0.45">
      <c r="A2398" s="462"/>
      <c r="B2398" s="440">
        <v>8</v>
      </c>
      <c r="C2398" s="192">
        <v>1</v>
      </c>
      <c r="D2398" s="79"/>
      <c r="E2398" s="96"/>
      <c r="F2398" s="96"/>
      <c r="G2398" s="96"/>
      <c r="H2398" s="96"/>
      <c r="I2398" s="96"/>
      <c r="J2398" s="96"/>
      <c r="K2398" s="96"/>
      <c r="L2398" s="193"/>
    </row>
    <row r="2399" spans="1:12" x14ac:dyDescent="0.45">
      <c r="A2399" s="462"/>
      <c r="B2399" s="441"/>
      <c r="C2399" s="194">
        <v>2</v>
      </c>
      <c r="D2399" s="80"/>
      <c r="E2399" s="97"/>
      <c r="F2399" s="97"/>
      <c r="G2399" s="97"/>
      <c r="H2399" s="97"/>
      <c r="I2399" s="97"/>
      <c r="J2399" s="97"/>
      <c r="K2399" s="97"/>
      <c r="L2399" s="195"/>
    </row>
    <row r="2400" spans="1:12" x14ac:dyDescent="0.45">
      <c r="A2400" s="462"/>
      <c r="B2400" s="441"/>
      <c r="C2400" s="194">
        <v>3</v>
      </c>
      <c r="D2400" s="80"/>
      <c r="E2400" s="97"/>
      <c r="F2400" s="97"/>
      <c r="G2400" s="97"/>
      <c r="H2400" s="97"/>
      <c r="I2400" s="97"/>
      <c r="J2400" s="97"/>
      <c r="K2400" s="97"/>
      <c r="L2400" s="195"/>
    </row>
    <row r="2401" spans="1:12" x14ac:dyDescent="0.45">
      <c r="A2401" s="462"/>
      <c r="B2401" s="441"/>
      <c r="C2401" s="194">
        <v>4</v>
      </c>
      <c r="D2401" s="80"/>
      <c r="E2401" s="97"/>
      <c r="F2401" s="97"/>
      <c r="G2401" s="97"/>
      <c r="H2401" s="97"/>
      <c r="I2401" s="97"/>
      <c r="J2401" s="97"/>
      <c r="K2401" s="97"/>
      <c r="L2401" s="195"/>
    </row>
    <row r="2402" spans="1:12" x14ac:dyDescent="0.45">
      <c r="A2402" s="462"/>
      <c r="B2402" s="441"/>
      <c r="C2402" s="194">
        <v>5</v>
      </c>
      <c r="D2402" s="80"/>
      <c r="E2402" s="97"/>
      <c r="F2402" s="97"/>
      <c r="G2402" s="97"/>
      <c r="H2402" s="97"/>
      <c r="I2402" s="97"/>
      <c r="J2402" s="97"/>
      <c r="K2402" s="97"/>
      <c r="L2402" s="195"/>
    </row>
    <row r="2403" spans="1:12" x14ac:dyDescent="0.45">
      <c r="A2403" s="462"/>
      <c r="B2403" s="441"/>
      <c r="C2403" s="194">
        <v>6</v>
      </c>
      <c r="D2403" s="80"/>
      <c r="E2403" s="97"/>
      <c r="F2403" s="97"/>
      <c r="G2403" s="97"/>
      <c r="H2403" s="97"/>
      <c r="I2403" s="97"/>
      <c r="J2403" s="97"/>
      <c r="K2403" s="97"/>
      <c r="L2403" s="195"/>
    </row>
    <row r="2404" spans="1:12" x14ac:dyDescent="0.45">
      <c r="A2404" s="462"/>
      <c r="B2404" s="441"/>
      <c r="C2404" s="194">
        <v>7</v>
      </c>
      <c r="D2404" s="80"/>
      <c r="E2404" s="97"/>
      <c r="F2404" s="97"/>
      <c r="G2404" s="97"/>
      <c r="H2404" s="97"/>
      <c r="I2404" s="97"/>
      <c r="J2404" s="97"/>
      <c r="K2404" s="97"/>
      <c r="L2404" s="195"/>
    </row>
    <row r="2405" spans="1:12" x14ac:dyDescent="0.45">
      <c r="A2405" s="462"/>
      <c r="B2405" s="441"/>
      <c r="C2405" s="194">
        <v>8</v>
      </c>
      <c r="D2405" s="80"/>
      <c r="E2405" s="97"/>
      <c r="F2405" s="97"/>
      <c r="G2405" s="97"/>
      <c r="H2405" s="97"/>
      <c r="I2405" s="97"/>
      <c r="J2405" s="97"/>
      <c r="K2405" s="97"/>
      <c r="L2405" s="195"/>
    </row>
    <row r="2406" spans="1:12" x14ac:dyDescent="0.45">
      <c r="A2406" s="462"/>
      <c r="B2406" s="441"/>
      <c r="C2406" s="194">
        <v>9</v>
      </c>
      <c r="D2406" s="80"/>
      <c r="E2406" s="97"/>
      <c r="F2406" s="97"/>
      <c r="G2406" s="97"/>
      <c r="H2406" s="97"/>
      <c r="I2406" s="97"/>
      <c r="J2406" s="97"/>
      <c r="K2406" s="97"/>
      <c r="L2406" s="195"/>
    </row>
    <row r="2407" spans="1:12" x14ac:dyDescent="0.45">
      <c r="A2407" s="462"/>
      <c r="B2407" s="441"/>
      <c r="C2407" s="194">
        <v>10</v>
      </c>
      <c r="D2407" s="80"/>
      <c r="E2407" s="97"/>
      <c r="F2407" s="97"/>
      <c r="G2407" s="97"/>
      <c r="H2407" s="97"/>
      <c r="I2407" s="97"/>
      <c r="J2407" s="97"/>
      <c r="K2407" s="97"/>
      <c r="L2407" s="195"/>
    </row>
    <row r="2408" spans="1:12" x14ac:dyDescent="0.45">
      <c r="A2408" s="462"/>
      <c r="B2408" s="441"/>
      <c r="C2408" s="194">
        <v>11</v>
      </c>
      <c r="D2408" s="81"/>
      <c r="E2408" s="98"/>
      <c r="F2408" s="98"/>
      <c r="G2408" s="98"/>
      <c r="H2408" s="98"/>
      <c r="I2408" s="98"/>
      <c r="J2408" s="98"/>
      <c r="K2408" s="98"/>
      <c r="L2408" s="196"/>
    </row>
    <row r="2409" spans="1:12" ht="14.65" thickBot="1" x14ac:dyDescent="0.5">
      <c r="A2409" s="463"/>
      <c r="B2409" s="442"/>
      <c r="C2409" s="197">
        <v>12</v>
      </c>
      <c r="D2409" s="82"/>
      <c r="E2409" s="99"/>
      <c r="F2409" s="99"/>
      <c r="G2409" s="99"/>
      <c r="H2409" s="99"/>
      <c r="I2409" s="99"/>
      <c r="J2409" s="99"/>
      <c r="K2409" s="99"/>
      <c r="L2409" s="198"/>
    </row>
    <row r="2410" spans="1:12" x14ac:dyDescent="0.45">
      <c r="A2410" s="461">
        <v>3</v>
      </c>
      <c r="B2410" s="440">
        <v>9</v>
      </c>
      <c r="C2410" s="192">
        <v>1</v>
      </c>
      <c r="D2410" s="79"/>
      <c r="E2410" s="96"/>
      <c r="F2410" s="96"/>
      <c r="G2410" s="96"/>
      <c r="H2410" s="96"/>
      <c r="I2410" s="96"/>
      <c r="J2410" s="96"/>
      <c r="K2410" s="96"/>
      <c r="L2410" s="193"/>
    </row>
    <row r="2411" spans="1:12" x14ac:dyDescent="0.45">
      <c r="A2411" s="462"/>
      <c r="B2411" s="441"/>
      <c r="C2411" s="194">
        <v>2</v>
      </c>
      <c r="D2411" s="80"/>
      <c r="E2411" s="97"/>
      <c r="F2411" s="97"/>
      <c r="G2411" s="97"/>
      <c r="H2411" s="97"/>
      <c r="I2411" s="97"/>
      <c r="J2411" s="97"/>
      <c r="K2411" s="97"/>
      <c r="L2411" s="195"/>
    </row>
    <row r="2412" spans="1:12" x14ac:dyDescent="0.45">
      <c r="A2412" s="462"/>
      <c r="B2412" s="441"/>
      <c r="C2412" s="194">
        <v>3</v>
      </c>
      <c r="D2412" s="80"/>
      <c r="E2412" s="97"/>
      <c r="F2412" s="97"/>
      <c r="G2412" s="97"/>
      <c r="H2412" s="97"/>
      <c r="I2412" s="97"/>
      <c r="J2412" s="97"/>
      <c r="K2412" s="97"/>
      <c r="L2412" s="195"/>
    </row>
    <row r="2413" spans="1:12" x14ac:dyDescent="0.45">
      <c r="A2413" s="462"/>
      <c r="B2413" s="441"/>
      <c r="C2413" s="194">
        <v>4</v>
      </c>
      <c r="D2413" s="80"/>
      <c r="E2413" s="97"/>
      <c r="F2413" s="97"/>
      <c r="G2413" s="97"/>
      <c r="H2413" s="97"/>
      <c r="I2413" s="97"/>
      <c r="J2413" s="97"/>
      <c r="K2413" s="97"/>
      <c r="L2413" s="195"/>
    </row>
    <row r="2414" spans="1:12" x14ac:dyDescent="0.45">
      <c r="A2414" s="462"/>
      <c r="B2414" s="441"/>
      <c r="C2414" s="194">
        <v>5</v>
      </c>
      <c r="D2414" s="80"/>
      <c r="E2414" s="97"/>
      <c r="F2414" s="97"/>
      <c r="G2414" s="97"/>
      <c r="H2414" s="97"/>
      <c r="I2414" s="97"/>
      <c r="J2414" s="97"/>
      <c r="K2414" s="97"/>
      <c r="L2414" s="195"/>
    </row>
    <row r="2415" spans="1:12" x14ac:dyDescent="0.45">
      <c r="A2415" s="462"/>
      <c r="B2415" s="441"/>
      <c r="C2415" s="194">
        <v>6</v>
      </c>
      <c r="D2415" s="80"/>
      <c r="E2415" s="97"/>
      <c r="F2415" s="97"/>
      <c r="G2415" s="97"/>
      <c r="H2415" s="97"/>
      <c r="I2415" s="97"/>
      <c r="J2415" s="97"/>
      <c r="K2415" s="97"/>
      <c r="L2415" s="195"/>
    </row>
    <row r="2416" spans="1:12" x14ac:dyDescent="0.45">
      <c r="A2416" s="462"/>
      <c r="B2416" s="441"/>
      <c r="C2416" s="194">
        <v>7</v>
      </c>
      <c r="D2416" s="80"/>
      <c r="E2416" s="97"/>
      <c r="F2416" s="97"/>
      <c r="G2416" s="97"/>
      <c r="H2416" s="97"/>
      <c r="I2416" s="97"/>
      <c r="J2416" s="97"/>
      <c r="K2416" s="97"/>
      <c r="L2416" s="195"/>
    </row>
    <row r="2417" spans="1:12" x14ac:dyDescent="0.45">
      <c r="A2417" s="462"/>
      <c r="B2417" s="441"/>
      <c r="C2417" s="194">
        <v>8</v>
      </c>
      <c r="D2417" s="80"/>
      <c r="E2417" s="97"/>
      <c r="F2417" s="97"/>
      <c r="G2417" s="97"/>
      <c r="H2417" s="97"/>
      <c r="I2417" s="97"/>
      <c r="J2417" s="97"/>
      <c r="K2417" s="97"/>
      <c r="L2417" s="195"/>
    </row>
    <row r="2418" spans="1:12" x14ac:dyDescent="0.45">
      <c r="A2418" s="462"/>
      <c r="B2418" s="441"/>
      <c r="C2418" s="194">
        <v>9</v>
      </c>
      <c r="D2418" s="80"/>
      <c r="E2418" s="97"/>
      <c r="F2418" s="97"/>
      <c r="G2418" s="97"/>
      <c r="H2418" s="97"/>
      <c r="I2418" s="97"/>
      <c r="J2418" s="97"/>
      <c r="K2418" s="97"/>
      <c r="L2418" s="195"/>
    </row>
    <row r="2419" spans="1:12" x14ac:dyDescent="0.45">
      <c r="A2419" s="462"/>
      <c r="B2419" s="441"/>
      <c r="C2419" s="194">
        <v>10</v>
      </c>
      <c r="D2419" s="80"/>
      <c r="E2419" s="97"/>
      <c r="F2419" s="97"/>
      <c r="G2419" s="97"/>
      <c r="H2419" s="97"/>
      <c r="I2419" s="97"/>
      <c r="J2419" s="97"/>
      <c r="K2419" s="97"/>
      <c r="L2419" s="195"/>
    </row>
    <row r="2420" spans="1:12" x14ac:dyDescent="0.45">
      <c r="A2420" s="462"/>
      <c r="B2420" s="441"/>
      <c r="C2420" s="194">
        <v>11</v>
      </c>
      <c r="D2420" s="81"/>
      <c r="E2420" s="98"/>
      <c r="F2420" s="98"/>
      <c r="G2420" s="98"/>
      <c r="H2420" s="98"/>
      <c r="I2420" s="98"/>
      <c r="J2420" s="98"/>
      <c r="K2420" s="98"/>
      <c r="L2420" s="196"/>
    </row>
    <row r="2421" spans="1:12" ht="14.65" thickBot="1" x14ac:dyDescent="0.5">
      <c r="A2421" s="462"/>
      <c r="B2421" s="442"/>
      <c r="C2421" s="197">
        <v>12</v>
      </c>
      <c r="D2421" s="82"/>
      <c r="E2421" s="99"/>
      <c r="F2421" s="99"/>
      <c r="G2421" s="99"/>
      <c r="H2421" s="99"/>
      <c r="I2421" s="99"/>
      <c r="J2421" s="99"/>
      <c r="K2421" s="99"/>
      <c r="L2421" s="198"/>
    </row>
    <row r="2422" spans="1:12" x14ac:dyDescent="0.45">
      <c r="A2422" s="462"/>
      <c r="B2422" s="440">
        <v>10</v>
      </c>
      <c r="C2422" s="192">
        <v>1</v>
      </c>
      <c r="D2422" s="79"/>
      <c r="E2422" s="96"/>
      <c r="F2422" s="96"/>
      <c r="G2422" s="96"/>
      <c r="H2422" s="96"/>
      <c r="I2422" s="96"/>
      <c r="J2422" s="96"/>
      <c r="K2422" s="96"/>
      <c r="L2422" s="193"/>
    </row>
    <row r="2423" spans="1:12" x14ac:dyDescent="0.45">
      <c r="A2423" s="462"/>
      <c r="B2423" s="441"/>
      <c r="C2423" s="194">
        <v>2</v>
      </c>
      <c r="D2423" s="80"/>
      <c r="E2423" s="97"/>
      <c r="F2423" s="97"/>
      <c r="G2423" s="97"/>
      <c r="H2423" s="97"/>
      <c r="I2423" s="97"/>
      <c r="J2423" s="97"/>
      <c r="K2423" s="97"/>
      <c r="L2423" s="195"/>
    </row>
    <row r="2424" spans="1:12" x14ac:dyDescent="0.45">
      <c r="A2424" s="462"/>
      <c r="B2424" s="441"/>
      <c r="C2424" s="194">
        <v>3</v>
      </c>
      <c r="D2424" s="80"/>
      <c r="E2424" s="97"/>
      <c r="F2424" s="97"/>
      <c r="G2424" s="97"/>
      <c r="H2424" s="97"/>
      <c r="I2424" s="97"/>
      <c r="J2424" s="97"/>
      <c r="K2424" s="97"/>
      <c r="L2424" s="195"/>
    </row>
    <row r="2425" spans="1:12" x14ac:dyDescent="0.45">
      <c r="A2425" s="462"/>
      <c r="B2425" s="441"/>
      <c r="C2425" s="194">
        <v>4</v>
      </c>
      <c r="D2425" s="80"/>
      <c r="E2425" s="97"/>
      <c r="F2425" s="97"/>
      <c r="G2425" s="97"/>
      <c r="H2425" s="97"/>
      <c r="I2425" s="97"/>
      <c r="J2425" s="97"/>
      <c r="K2425" s="97"/>
      <c r="L2425" s="195"/>
    </row>
    <row r="2426" spans="1:12" x14ac:dyDescent="0.45">
      <c r="A2426" s="462"/>
      <c r="B2426" s="441"/>
      <c r="C2426" s="194">
        <v>5</v>
      </c>
      <c r="D2426" s="80"/>
      <c r="E2426" s="97"/>
      <c r="F2426" s="97"/>
      <c r="G2426" s="97"/>
      <c r="H2426" s="97"/>
      <c r="I2426" s="97"/>
      <c r="J2426" s="97"/>
      <c r="K2426" s="97"/>
      <c r="L2426" s="195"/>
    </row>
    <row r="2427" spans="1:12" x14ac:dyDescent="0.45">
      <c r="A2427" s="462"/>
      <c r="B2427" s="441"/>
      <c r="C2427" s="194">
        <v>6</v>
      </c>
      <c r="D2427" s="80"/>
      <c r="E2427" s="97"/>
      <c r="F2427" s="97"/>
      <c r="G2427" s="97"/>
      <c r="H2427" s="97"/>
      <c r="I2427" s="97"/>
      <c r="J2427" s="97"/>
      <c r="K2427" s="97"/>
      <c r="L2427" s="195"/>
    </row>
    <row r="2428" spans="1:12" x14ac:dyDescent="0.45">
      <c r="A2428" s="462"/>
      <c r="B2428" s="441"/>
      <c r="C2428" s="194">
        <v>7</v>
      </c>
      <c r="D2428" s="80"/>
      <c r="E2428" s="97"/>
      <c r="F2428" s="97"/>
      <c r="G2428" s="97"/>
      <c r="H2428" s="97"/>
      <c r="I2428" s="97"/>
      <c r="J2428" s="97"/>
      <c r="K2428" s="97"/>
      <c r="L2428" s="195"/>
    </row>
    <row r="2429" spans="1:12" x14ac:dyDescent="0.45">
      <c r="A2429" s="462"/>
      <c r="B2429" s="441"/>
      <c r="C2429" s="194">
        <v>8</v>
      </c>
      <c r="D2429" s="80"/>
      <c r="E2429" s="97"/>
      <c r="F2429" s="97"/>
      <c r="G2429" s="97"/>
      <c r="H2429" s="97"/>
      <c r="I2429" s="97"/>
      <c r="J2429" s="97"/>
      <c r="K2429" s="97"/>
      <c r="L2429" s="195"/>
    </row>
    <row r="2430" spans="1:12" x14ac:dyDescent="0.45">
      <c r="A2430" s="462"/>
      <c r="B2430" s="441"/>
      <c r="C2430" s="194">
        <v>9</v>
      </c>
      <c r="D2430" s="80"/>
      <c r="E2430" s="97"/>
      <c r="F2430" s="97"/>
      <c r="G2430" s="97"/>
      <c r="H2430" s="97"/>
      <c r="I2430" s="97"/>
      <c r="J2430" s="97"/>
      <c r="K2430" s="97"/>
      <c r="L2430" s="195"/>
    </row>
    <row r="2431" spans="1:12" x14ac:dyDescent="0.45">
      <c r="A2431" s="462"/>
      <c r="B2431" s="441"/>
      <c r="C2431" s="194">
        <v>10</v>
      </c>
      <c r="D2431" s="80"/>
      <c r="E2431" s="97"/>
      <c r="F2431" s="97"/>
      <c r="G2431" s="97"/>
      <c r="H2431" s="97"/>
      <c r="I2431" s="97"/>
      <c r="J2431" s="97"/>
      <c r="K2431" s="97"/>
      <c r="L2431" s="195"/>
    </row>
    <row r="2432" spans="1:12" x14ac:dyDescent="0.45">
      <c r="A2432" s="462"/>
      <c r="B2432" s="441"/>
      <c r="C2432" s="194">
        <v>11</v>
      </c>
      <c r="D2432" s="81"/>
      <c r="E2432" s="98"/>
      <c r="F2432" s="98"/>
      <c r="G2432" s="98"/>
      <c r="H2432" s="98"/>
      <c r="I2432" s="98"/>
      <c r="J2432" s="98"/>
      <c r="K2432" s="98"/>
      <c r="L2432" s="196"/>
    </row>
    <row r="2433" spans="1:12" ht="14.65" thickBot="1" x14ac:dyDescent="0.5">
      <c r="A2433" s="462"/>
      <c r="B2433" s="442"/>
      <c r="C2433" s="197">
        <v>12</v>
      </c>
      <c r="D2433" s="82"/>
      <c r="E2433" s="99"/>
      <c r="F2433" s="99"/>
      <c r="G2433" s="99"/>
      <c r="H2433" s="99"/>
      <c r="I2433" s="99"/>
      <c r="J2433" s="99"/>
      <c r="K2433" s="99"/>
      <c r="L2433" s="198"/>
    </row>
    <row r="2434" spans="1:12" x14ac:dyDescent="0.45">
      <c r="A2434" s="462"/>
      <c r="B2434" s="440">
        <v>11</v>
      </c>
      <c r="C2434" s="192">
        <v>1</v>
      </c>
      <c r="D2434" s="79"/>
      <c r="E2434" s="96"/>
      <c r="F2434" s="96"/>
      <c r="G2434" s="96"/>
      <c r="H2434" s="96"/>
      <c r="I2434" s="96"/>
      <c r="J2434" s="96"/>
      <c r="K2434" s="96"/>
      <c r="L2434" s="193"/>
    </row>
    <row r="2435" spans="1:12" x14ac:dyDescent="0.45">
      <c r="A2435" s="462"/>
      <c r="B2435" s="441"/>
      <c r="C2435" s="194">
        <v>2</v>
      </c>
      <c r="D2435" s="80"/>
      <c r="E2435" s="97"/>
      <c r="F2435" s="97"/>
      <c r="G2435" s="97"/>
      <c r="H2435" s="97"/>
      <c r="I2435" s="97"/>
      <c r="J2435" s="97"/>
      <c r="K2435" s="97"/>
      <c r="L2435" s="195"/>
    </row>
    <row r="2436" spans="1:12" x14ac:dyDescent="0.45">
      <c r="A2436" s="462"/>
      <c r="B2436" s="441"/>
      <c r="C2436" s="194">
        <v>3</v>
      </c>
      <c r="D2436" s="80"/>
      <c r="E2436" s="97"/>
      <c r="F2436" s="97"/>
      <c r="G2436" s="97"/>
      <c r="H2436" s="97"/>
      <c r="I2436" s="97"/>
      <c r="J2436" s="97"/>
      <c r="K2436" s="97"/>
      <c r="L2436" s="195"/>
    </row>
    <row r="2437" spans="1:12" x14ac:dyDescent="0.45">
      <c r="A2437" s="462"/>
      <c r="B2437" s="441"/>
      <c r="C2437" s="194">
        <v>4</v>
      </c>
      <c r="D2437" s="80"/>
      <c r="E2437" s="97"/>
      <c r="F2437" s="97"/>
      <c r="G2437" s="97"/>
      <c r="H2437" s="97"/>
      <c r="I2437" s="97"/>
      <c r="J2437" s="97"/>
      <c r="K2437" s="97"/>
      <c r="L2437" s="195"/>
    </row>
    <row r="2438" spans="1:12" x14ac:dyDescent="0.45">
      <c r="A2438" s="462"/>
      <c r="B2438" s="441"/>
      <c r="C2438" s="194">
        <v>5</v>
      </c>
      <c r="D2438" s="80"/>
      <c r="E2438" s="97"/>
      <c r="F2438" s="97"/>
      <c r="G2438" s="97"/>
      <c r="H2438" s="97"/>
      <c r="I2438" s="97"/>
      <c r="J2438" s="97"/>
      <c r="K2438" s="97"/>
      <c r="L2438" s="195"/>
    </row>
    <row r="2439" spans="1:12" x14ac:dyDescent="0.45">
      <c r="A2439" s="462"/>
      <c r="B2439" s="441"/>
      <c r="C2439" s="194">
        <v>6</v>
      </c>
      <c r="D2439" s="80"/>
      <c r="E2439" s="97"/>
      <c r="F2439" s="97"/>
      <c r="G2439" s="97"/>
      <c r="H2439" s="97"/>
      <c r="I2439" s="97"/>
      <c r="J2439" s="97"/>
      <c r="K2439" s="97"/>
      <c r="L2439" s="195"/>
    </row>
    <row r="2440" spans="1:12" x14ac:dyDescent="0.45">
      <c r="A2440" s="462"/>
      <c r="B2440" s="441"/>
      <c r="C2440" s="194">
        <v>7</v>
      </c>
      <c r="D2440" s="80"/>
      <c r="E2440" s="97"/>
      <c r="F2440" s="97"/>
      <c r="G2440" s="97"/>
      <c r="H2440" s="97"/>
      <c r="I2440" s="97"/>
      <c r="J2440" s="97"/>
      <c r="K2440" s="97"/>
      <c r="L2440" s="195"/>
    </row>
    <row r="2441" spans="1:12" x14ac:dyDescent="0.45">
      <c r="A2441" s="462"/>
      <c r="B2441" s="441"/>
      <c r="C2441" s="194">
        <v>8</v>
      </c>
      <c r="D2441" s="80"/>
      <c r="E2441" s="97"/>
      <c r="F2441" s="97"/>
      <c r="G2441" s="97"/>
      <c r="H2441" s="97"/>
      <c r="I2441" s="97"/>
      <c r="J2441" s="97"/>
      <c r="K2441" s="97"/>
      <c r="L2441" s="195"/>
    </row>
    <row r="2442" spans="1:12" x14ac:dyDescent="0.45">
      <c r="A2442" s="462"/>
      <c r="B2442" s="441"/>
      <c r="C2442" s="194">
        <v>9</v>
      </c>
      <c r="D2442" s="80"/>
      <c r="E2442" s="97"/>
      <c r="F2442" s="97"/>
      <c r="G2442" s="97"/>
      <c r="H2442" s="97"/>
      <c r="I2442" s="97"/>
      <c r="J2442" s="97"/>
      <c r="K2442" s="97"/>
      <c r="L2442" s="195"/>
    </row>
    <row r="2443" spans="1:12" x14ac:dyDescent="0.45">
      <c r="A2443" s="462"/>
      <c r="B2443" s="441"/>
      <c r="C2443" s="194">
        <v>10</v>
      </c>
      <c r="D2443" s="80"/>
      <c r="E2443" s="97"/>
      <c r="F2443" s="97"/>
      <c r="G2443" s="97"/>
      <c r="H2443" s="97"/>
      <c r="I2443" s="97"/>
      <c r="J2443" s="97"/>
      <c r="K2443" s="97"/>
      <c r="L2443" s="195"/>
    </row>
    <row r="2444" spans="1:12" x14ac:dyDescent="0.45">
      <c r="A2444" s="462"/>
      <c r="B2444" s="441"/>
      <c r="C2444" s="194">
        <v>11</v>
      </c>
      <c r="D2444" s="81"/>
      <c r="E2444" s="98"/>
      <c r="F2444" s="98"/>
      <c r="G2444" s="98"/>
      <c r="H2444" s="98"/>
      <c r="I2444" s="98"/>
      <c r="J2444" s="98"/>
      <c r="K2444" s="98"/>
      <c r="L2444" s="196"/>
    </row>
    <row r="2445" spans="1:12" ht="14.65" thickBot="1" x14ac:dyDescent="0.5">
      <c r="A2445" s="462"/>
      <c r="B2445" s="442"/>
      <c r="C2445" s="197">
        <v>12</v>
      </c>
      <c r="D2445" s="82"/>
      <c r="E2445" s="99"/>
      <c r="F2445" s="99"/>
      <c r="G2445" s="99"/>
      <c r="H2445" s="99"/>
      <c r="I2445" s="99"/>
      <c r="J2445" s="99"/>
      <c r="K2445" s="99"/>
      <c r="L2445" s="198"/>
    </row>
    <row r="2446" spans="1:12" x14ac:dyDescent="0.45">
      <c r="A2446" s="462"/>
      <c r="B2446" s="440">
        <v>12</v>
      </c>
      <c r="C2446" s="192">
        <v>1</v>
      </c>
      <c r="D2446" s="79"/>
      <c r="E2446" s="96"/>
      <c r="F2446" s="96"/>
      <c r="G2446" s="96"/>
      <c r="H2446" s="96"/>
      <c r="I2446" s="96"/>
      <c r="J2446" s="96"/>
      <c r="K2446" s="96"/>
      <c r="L2446" s="193"/>
    </row>
    <row r="2447" spans="1:12" x14ac:dyDescent="0.45">
      <c r="A2447" s="462"/>
      <c r="B2447" s="441"/>
      <c r="C2447" s="194">
        <v>2</v>
      </c>
      <c r="D2447" s="80"/>
      <c r="E2447" s="97"/>
      <c r="F2447" s="97"/>
      <c r="G2447" s="97"/>
      <c r="H2447" s="97"/>
      <c r="I2447" s="97"/>
      <c r="J2447" s="97"/>
      <c r="K2447" s="97"/>
      <c r="L2447" s="195"/>
    </row>
    <row r="2448" spans="1:12" x14ac:dyDescent="0.45">
      <c r="A2448" s="462"/>
      <c r="B2448" s="441"/>
      <c r="C2448" s="194">
        <v>3</v>
      </c>
      <c r="D2448" s="80"/>
      <c r="E2448" s="97"/>
      <c r="F2448" s="97"/>
      <c r="G2448" s="97"/>
      <c r="H2448" s="97"/>
      <c r="I2448" s="97"/>
      <c r="J2448" s="97"/>
      <c r="K2448" s="97"/>
      <c r="L2448" s="195"/>
    </row>
    <row r="2449" spans="1:12" x14ac:dyDescent="0.45">
      <c r="A2449" s="462"/>
      <c r="B2449" s="441"/>
      <c r="C2449" s="194">
        <v>4</v>
      </c>
      <c r="D2449" s="80"/>
      <c r="E2449" s="97"/>
      <c r="F2449" s="97"/>
      <c r="G2449" s="97"/>
      <c r="H2449" s="97"/>
      <c r="I2449" s="97"/>
      <c r="J2449" s="97"/>
      <c r="K2449" s="97"/>
      <c r="L2449" s="195"/>
    </row>
    <row r="2450" spans="1:12" x14ac:dyDescent="0.45">
      <c r="A2450" s="462"/>
      <c r="B2450" s="441"/>
      <c r="C2450" s="194">
        <v>5</v>
      </c>
      <c r="D2450" s="80"/>
      <c r="E2450" s="97"/>
      <c r="F2450" s="97"/>
      <c r="G2450" s="97"/>
      <c r="H2450" s="97"/>
      <c r="I2450" s="97"/>
      <c r="J2450" s="97"/>
      <c r="K2450" s="97"/>
      <c r="L2450" s="195"/>
    </row>
    <row r="2451" spans="1:12" x14ac:dyDescent="0.45">
      <c r="A2451" s="462"/>
      <c r="B2451" s="441"/>
      <c r="C2451" s="194">
        <v>6</v>
      </c>
      <c r="D2451" s="80"/>
      <c r="E2451" s="97"/>
      <c r="F2451" s="97"/>
      <c r="G2451" s="97"/>
      <c r="H2451" s="97"/>
      <c r="I2451" s="97"/>
      <c r="J2451" s="97"/>
      <c r="K2451" s="97"/>
      <c r="L2451" s="195"/>
    </row>
    <row r="2452" spans="1:12" x14ac:dyDescent="0.45">
      <c r="A2452" s="462"/>
      <c r="B2452" s="441"/>
      <c r="C2452" s="194">
        <v>7</v>
      </c>
      <c r="D2452" s="80"/>
      <c r="E2452" s="97"/>
      <c r="F2452" s="97"/>
      <c r="G2452" s="97"/>
      <c r="H2452" s="97"/>
      <c r="I2452" s="97"/>
      <c r="J2452" s="97"/>
      <c r="K2452" s="97"/>
      <c r="L2452" s="195"/>
    </row>
    <row r="2453" spans="1:12" x14ac:dyDescent="0.45">
      <c r="A2453" s="462"/>
      <c r="B2453" s="441"/>
      <c r="C2453" s="194">
        <v>8</v>
      </c>
      <c r="D2453" s="80"/>
      <c r="E2453" s="97"/>
      <c r="F2453" s="97"/>
      <c r="G2453" s="97"/>
      <c r="H2453" s="97"/>
      <c r="I2453" s="97"/>
      <c r="J2453" s="97"/>
      <c r="K2453" s="97"/>
      <c r="L2453" s="195"/>
    </row>
    <row r="2454" spans="1:12" x14ac:dyDescent="0.45">
      <c r="A2454" s="462"/>
      <c r="B2454" s="441"/>
      <c r="C2454" s="194">
        <v>9</v>
      </c>
      <c r="D2454" s="80"/>
      <c r="E2454" s="97"/>
      <c r="F2454" s="97"/>
      <c r="G2454" s="97"/>
      <c r="H2454" s="97"/>
      <c r="I2454" s="97"/>
      <c r="J2454" s="97"/>
      <c r="K2454" s="97"/>
      <c r="L2454" s="195"/>
    </row>
    <row r="2455" spans="1:12" x14ac:dyDescent="0.45">
      <c r="A2455" s="462"/>
      <c r="B2455" s="441"/>
      <c r="C2455" s="194">
        <v>10</v>
      </c>
      <c r="D2455" s="80"/>
      <c r="E2455" s="97"/>
      <c r="F2455" s="97"/>
      <c r="G2455" s="97"/>
      <c r="H2455" s="97"/>
      <c r="I2455" s="97"/>
      <c r="J2455" s="97"/>
      <c r="K2455" s="97"/>
      <c r="L2455" s="195"/>
    </row>
    <row r="2456" spans="1:12" x14ac:dyDescent="0.45">
      <c r="A2456" s="462"/>
      <c r="B2456" s="441"/>
      <c r="C2456" s="194">
        <v>11</v>
      </c>
      <c r="D2456" s="81"/>
      <c r="E2456" s="98"/>
      <c r="F2456" s="98"/>
      <c r="G2456" s="98"/>
      <c r="H2456" s="98"/>
      <c r="I2456" s="98"/>
      <c r="J2456" s="98"/>
      <c r="K2456" s="98"/>
      <c r="L2456" s="196"/>
    </row>
    <row r="2457" spans="1:12" ht="14.65" thickBot="1" x14ac:dyDescent="0.5">
      <c r="A2457" s="463"/>
      <c r="B2457" s="442"/>
      <c r="C2457" s="199">
        <v>12</v>
      </c>
      <c r="D2457" s="82"/>
      <c r="E2457" s="99"/>
      <c r="F2457" s="99"/>
      <c r="G2457" s="99"/>
      <c r="H2457" s="99"/>
      <c r="I2457" s="99"/>
      <c r="J2457" s="99"/>
      <c r="K2457" s="99"/>
      <c r="L2457" s="198"/>
    </row>
    <row r="2459" spans="1:12" s="91" customFormat="1" x14ac:dyDescent="0.45"/>
    <row r="2460" spans="1:12" ht="14.65" thickBot="1" x14ac:dyDescent="0.5"/>
    <row r="2461" spans="1:12" ht="28.9" thickBot="1" x14ac:dyDescent="0.5">
      <c r="A2461" s="187" t="s">
        <v>76</v>
      </c>
      <c r="B2461" s="186">
        <v>17</v>
      </c>
      <c r="C2461" s="109"/>
      <c r="D2461" s="109"/>
    </row>
    <row r="2462" spans="1:12" ht="14.45" customHeight="1" x14ac:dyDescent="0.45">
      <c r="A2462" s="443" t="s">
        <v>27</v>
      </c>
      <c r="B2462" s="448">
        <f>Name17</f>
        <v>0</v>
      </c>
      <c r="C2462" s="449"/>
      <c r="D2462" s="450"/>
      <c r="I2462" s="204"/>
      <c r="J2462" s="204"/>
      <c r="K2462" s="204"/>
      <c r="L2462" s="204"/>
    </row>
    <row r="2463" spans="1:12" x14ac:dyDescent="0.45">
      <c r="A2463" s="444"/>
      <c r="B2463" s="448"/>
      <c r="C2463" s="449"/>
      <c r="D2463" s="450"/>
      <c r="I2463" s="204"/>
      <c r="J2463" s="204"/>
      <c r="K2463" s="204"/>
      <c r="L2463" s="204"/>
    </row>
    <row r="2464" spans="1:12" x14ac:dyDescent="0.45">
      <c r="A2464" s="445"/>
      <c r="B2464" s="388"/>
      <c r="C2464" s="451"/>
      <c r="D2464" s="452"/>
      <c r="I2464" s="204"/>
      <c r="J2464" s="204"/>
      <c r="K2464" s="204"/>
      <c r="L2464" s="204"/>
    </row>
    <row r="2465" spans="1:14" ht="14.45" customHeight="1" x14ac:dyDescent="0.45">
      <c r="A2465" s="443" t="s">
        <v>155</v>
      </c>
      <c r="B2465" s="453">
        <f>GapA17</f>
        <v>0</v>
      </c>
      <c r="C2465" s="454"/>
      <c r="D2465" s="455"/>
      <c r="I2465" s="204"/>
      <c r="J2465" s="204"/>
      <c r="K2465" s="204"/>
      <c r="L2465" s="204"/>
    </row>
    <row r="2466" spans="1:14" x14ac:dyDescent="0.45">
      <c r="A2466" s="444"/>
      <c r="B2466" s="448"/>
      <c r="C2466" s="449"/>
      <c r="D2466" s="450"/>
      <c r="I2466" s="204"/>
      <c r="J2466" s="204"/>
      <c r="K2466" s="204"/>
      <c r="L2466" s="204"/>
    </row>
    <row r="2467" spans="1:14" x14ac:dyDescent="0.45">
      <c r="A2467" s="445"/>
      <c r="B2467" s="388"/>
      <c r="C2467" s="451"/>
      <c r="D2467" s="452"/>
      <c r="I2467" s="204"/>
      <c r="J2467" s="204"/>
      <c r="K2467" s="204"/>
      <c r="L2467" s="204"/>
    </row>
    <row r="2468" spans="1:14" ht="14.45" customHeight="1" x14ac:dyDescent="0.45">
      <c r="A2468" s="443" t="s">
        <v>159</v>
      </c>
      <c r="B2468" s="453">
        <f>Objective17</f>
        <v>0</v>
      </c>
      <c r="C2468" s="454"/>
      <c r="D2468" s="455"/>
      <c r="I2468" s="204"/>
      <c r="J2468" s="204"/>
      <c r="K2468" s="204"/>
      <c r="L2468" s="204"/>
    </row>
    <row r="2469" spans="1:14" x14ac:dyDescent="0.45">
      <c r="A2469" s="444"/>
      <c r="B2469" s="448"/>
      <c r="C2469" s="449"/>
      <c r="D2469" s="450"/>
      <c r="I2469" s="204"/>
      <c r="J2469" s="204"/>
      <c r="K2469" s="204"/>
      <c r="L2469" s="204"/>
    </row>
    <row r="2470" spans="1:14" x14ac:dyDescent="0.45">
      <c r="A2470" s="445"/>
      <c r="B2470" s="388"/>
      <c r="C2470" s="451"/>
      <c r="D2470" s="452"/>
      <c r="I2470" s="204"/>
      <c r="J2470" s="204"/>
      <c r="K2470" s="204"/>
      <c r="L2470" s="204"/>
    </row>
    <row r="2471" spans="1:14" ht="14.45" customHeight="1" x14ac:dyDescent="0.45">
      <c r="A2471" s="446" t="s">
        <v>166</v>
      </c>
      <c r="B2471" s="454">
        <f>Capacity17</f>
        <v>0</v>
      </c>
      <c r="C2471" s="454"/>
      <c r="D2471" s="455"/>
      <c r="I2471" s="204"/>
      <c r="J2471" s="204"/>
      <c r="K2471" s="204"/>
      <c r="L2471" s="204"/>
    </row>
    <row r="2472" spans="1:14" x14ac:dyDescent="0.45">
      <c r="A2472" s="447"/>
      <c r="B2472" s="449"/>
      <c r="C2472" s="449"/>
      <c r="D2472" s="450"/>
      <c r="I2472" s="204"/>
      <c r="J2472" s="204"/>
      <c r="K2472" s="204"/>
      <c r="L2472" s="204"/>
    </row>
    <row r="2473" spans="1:14" ht="14.65" thickBot="1" x14ac:dyDescent="0.5">
      <c r="A2473" s="464"/>
      <c r="B2473" s="456"/>
      <c r="C2473" s="456"/>
      <c r="D2473" s="457"/>
      <c r="I2473" s="204"/>
      <c r="J2473" s="204"/>
      <c r="K2473" s="204"/>
      <c r="L2473" s="204"/>
    </row>
    <row r="2475" spans="1:14" ht="14.65" thickBot="1" x14ac:dyDescent="0.5">
      <c r="A2475" s="90"/>
      <c r="B2475" s="90"/>
      <c r="C2475" s="90"/>
      <c r="D2475" s="90"/>
      <c r="E2475" s="90"/>
      <c r="F2475" s="90"/>
      <c r="G2475" s="90"/>
      <c r="H2475" s="90"/>
      <c r="I2475" s="90"/>
      <c r="J2475" s="90"/>
      <c r="K2475" s="90"/>
      <c r="L2475" s="90"/>
      <c r="M2475" s="204"/>
      <c r="N2475" s="204"/>
    </row>
    <row r="2476" spans="1:14" ht="21.75" customHeight="1" x14ac:dyDescent="0.45">
      <c r="A2476" s="458" t="s">
        <v>135</v>
      </c>
      <c r="B2476" s="459"/>
      <c r="C2476" s="459"/>
      <c r="D2476" s="459"/>
      <c r="E2476" s="459"/>
      <c r="F2476" s="459"/>
      <c r="G2476" s="459"/>
      <c r="H2476" s="459"/>
      <c r="I2476" s="459"/>
      <c r="J2476" s="459"/>
      <c r="K2476" s="459"/>
      <c r="L2476" s="460"/>
    </row>
    <row r="2477" spans="1:14" ht="29" customHeight="1" thickBot="1" x14ac:dyDescent="0.5">
      <c r="A2477" s="93" t="s">
        <v>74</v>
      </c>
      <c r="B2477" s="94" t="s">
        <v>28</v>
      </c>
      <c r="C2477" s="95" t="s">
        <v>320</v>
      </c>
      <c r="D2477" s="95" t="s">
        <v>127</v>
      </c>
      <c r="E2477" s="114" t="s">
        <v>90</v>
      </c>
      <c r="F2477" s="95" t="s">
        <v>175</v>
      </c>
      <c r="G2477" s="95" t="s">
        <v>176</v>
      </c>
      <c r="H2477" s="95" t="s">
        <v>156</v>
      </c>
      <c r="I2477" s="95" t="s">
        <v>157</v>
      </c>
      <c r="J2477" s="189" t="s">
        <v>321</v>
      </c>
      <c r="K2477" s="190" t="s">
        <v>29</v>
      </c>
      <c r="L2477" s="191" t="s">
        <v>322</v>
      </c>
    </row>
    <row r="2478" spans="1:14" x14ac:dyDescent="0.45">
      <c r="A2478" s="461">
        <v>1</v>
      </c>
      <c r="B2478" s="440">
        <v>1</v>
      </c>
      <c r="C2478" s="192">
        <v>1</v>
      </c>
      <c r="D2478" s="79"/>
      <c r="E2478" s="96"/>
      <c r="F2478" s="96"/>
      <c r="G2478" s="96"/>
      <c r="H2478" s="96"/>
      <c r="I2478" s="96"/>
      <c r="J2478" s="96"/>
      <c r="K2478" s="96"/>
      <c r="L2478" s="193"/>
    </row>
    <row r="2479" spans="1:14" x14ac:dyDescent="0.45">
      <c r="A2479" s="462"/>
      <c r="B2479" s="441"/>
      <c r="C2479" s="194">
        <v>2</v>
      </c>
      <c r="D2479" s="80"/>
      <c r="E2479" s="97"/>
      <c r="F2479" s="97"/>
      <c r="G2479" s="97"/>
      <c r="H2479" s="97"/>
      <c r="I2479" s="97"/>
      <c r="J2479" s="97"/>
      <c r="K2479" s="97"/>
      <c r="L2479" s="195"/>
    </row>
    <row r="2480" spans="1:14" x14ac:dyDescent="0.45">
      <c r="A2480" s="462"/>
      <c r="B2480" s="441"/>
      <c r="C2480" s="194">
        <v>3</v>
      </c>
      <c r="D2480" s="80"/>
      <c r="E2480" s="97"/>
      <c r="F2480" s="97"/>
      <c r="G2480" s="97"/>
      <c r="H2480" s="97"/>
      <c r="I2480" s="97"/>
      <c r="J2480" s="97"/>
      <c r="K2480" s="97"/>
      <c r="L2480" s="195"/>
    </row>
    <row r="2481" spans="1:14" x14ac:dyDescent="0.45">
      <c r="A2481" s="462"/>
      <c r="B2481" s="441"/>
      <c r="C2481" s="194">
        <v>4</v>
      </c>
      <c r="D2481" s="80"/>
      <c r="E2481" s="97"/>
      <c r="F2481" s="97"/>
      <c r="G2481" s="97"/>
      <c r="H2481" s="97"/>
      <c r="I2481" s="97"/>
      <c r="J2481" s="97"/>
      <c r="K2481" s="97"/>
      <c r="L2481" s="195"/>
    </row>
    <row r="2482" spans="1:14" x14ac:dyDescent="0.45">
      <c r="A2482" s="462"/>
      <c r="B2482" s="441"/>
      <c r="C2482" s="194">
        <v>5</v>
      </c>
      <c r="D2482" s="80"/>
      <c r="E2482" s="97"/>
      <c r="F2482" s="97"/>
      <c r="G2482" s="97"/>
      <c r="H2482" s="97"/>
      <c r="I2482" s="97"/>
      <c r="J2482" s="97"/>
      <c r="K2482" s="97"/>
      <c r="L2482" s="195"/>
    </row>
    <row r="2483" spans="1:14" x14ac:dyDescent="0.45">
      <c r="A2483" s="462"/>
      <c r="B2483" s="441"/>
      <c r="C2483" s="194">
        <v>6</v>
      </c>
      <c r="D2483" s="80"/>
      <c r="E2483" s="97"/>
      <c r="F2483" s="97"/>
      <c r="G2483" s="97"/>
      <c r="H2483" s="97"/>
      <c r="I2483" s="97"/>
      <c r="J2483" s="97"/>
      <c r="K2483" s="97"/>
      <c r="L2483" s="195"/>
    </row>
    <row r="2484" spans="1:14" x14ac:dyDescent="0.45">
      <c r="A2484" s="462"/>
      <c r="B2484" s="441"/>
      <c r="C2484" s="194">
        <v>7</v>
      </c>
      <c r="D2484" s="80"/>
      <c r="E2484" s="97"/>
      <c r="F2484" s="97"/>
      <c r="G2484" s="97"/>
      <c r="H2484" s="97"/>
      <c r="I2484" s="97"/>
      <c r="J2484" s="97"/>
      <c r="K2484" s="97"/>
      <c r="L2484" s="195"/>
    </row>
    <row r="2485" spans="1:14" x14ac:dyDescent="0.45">
      <c r="A2485" s="462"/>
      <c r="B2485" s="441"/>
      <c r="C2485" s="194">
        <v>8</v>
      </c>
      <c r="D2485" s="80"/>
      <c r="E2485" s="97"/>
      <c r="F2485" s="97"/>
      <c r="G2485" s="97"/>
      <c r="H2485" s="97"/>
      <c r="I2485" s="97"/>
      <c r="J2485" s="97"/>
      <c r="K2485" s="97"/>
      <c r="L2485" s="195"/>
    </row>
    <row r="2486" spans="1:14" x14ac:dyDescent="0.45">
      <c r="A2486" s="462"/>
      <c r="B2486" s="441"/>
      <c r="C2486" s="194">
        <v>9</v>
      </c>
      <c r="D2486" s="80"/>
      <c r="E2486" s="97"/>
      <c r="F2486" s="97"/>
      <c r="G2486" s="97"/>
      <c r="H2486" s="97"/>
      <c r="I2486" s="97"/>
      <c r="J2486" s="97"/>
      <c r="K2486" s="97"/>
      <c r="L2486" s="195"/>
    </row>
    <row r="2487" spans="1:14" x14ac:dyDescent="0.45">
      <c r="A2487" s="462"/>
      <c r="B2487" s="441"/>
      <c r="C2487" s="194">
        <v>10</v>
      </c>
      <c r="D2487" s="80"/>
      <c r="E2487" s="97"/>
      <c r="F2487" s="97"/>
      <c r="G2487" s="97"/>
      <c r="H2487" s="97"/>
      <c r="I2487" s="97"/>
      <c r="J2487" s="97"/>
      <c r="K2487" s="97"/>
      <c r="L2487" s="195"/>
    </row>
    <row r="2488" spans="1:14" x14ac:dyDescent="0.45">
      <c r="A2488" s="462"/>
      <c r="B2488" s="441"/>
      <c r="C2488" s="194">
        <v>11</v>
      </c>
      <c r="D2488" s="81"/>
      <c r="E2488" s="98"/>
      <c r="F2488" s="98"/>
      <c r="G2488" s="98"/>
      <c r="H2488" s="98"/>
      <c r="I2488" s="98"/>
      <c r="J2488" s="98"/>
      <c r="K2488" s="98"/>
      <c r="L2488" s="196"/>
    </row>
    <row r="2489" spans="1:14" s="90" customFormat="1" ht="14.65" thickBot="1" x14ac:dyDescent="0.5">
      <c r="A2489" s="462"/>
      <c r="B2489" s="442"/>
      <c r="C2489" s="197">
        <v>12</v>
      </c>
      <c r="D2489" s="82"/>
      <c r="E2489" s="99"/>
      <c r="F2489" s="99"/>
      <c r="G2489" s="99"/>
      <c r="H2489" s="99"/>
      <c r="I2489" s="99"/>
      <c r="J2489" s="99"/>
      <c r="K2489" s="99"/>
      <c r="L2489" s="198"/>
      <c r="M2489" s="61"/>
      <c r="N2489" s="61"/>
    </row>
    <row r="2490" spans="1:14" x14ac:dyDescent="0.45">
      <c r="A2490" s="462"/>
      <c r="B2490" s="440">
        <v>2</v>
      </c>
      <c r="C2490" s="192">
        <v>1</v>
      </c>
      <c r="D2490" s="79"/>
      <c r="E2490" s="96"/>
      <c r="F2490" s="96"/>
      <c r="G2490" s="96"/>
      <c r="H2490" s="96"/>
      <c r="I2490" s="96"/>
      <c r="J2490" s="96"/>
      <c r="K2490" s="96"/>
      <c r="L2490" s="193"/>
    </row>
    <row r="2491" spans="1:14" x14ac:dyDescent="0.45">
      <c r="A2491" s="462"/>
      <c r="B2491" s="441"/>
      <c r="C2491" s="194">
        <v>2</v>
      </c>
      <c r="D2491" s="80"/>
      <c r="E2491" s="97"/>
      <c r="F2491" s="97"/>
      <c r="G2491" s="97"/>
      <c r="H2491" s="97"/>
      <c r="I2491" s="97"/>
      <c r="J2491" s="97"/>
      <c r="K2491" s="97"/>
      <c r="L2491" s="195"/>
    </row>
    <row r="2492" spans="1:14" x14ac:dyDescent="0.45">
      <c r="A2492" s="462"/>
      <c r="B2492" s="441"/>
      <c r="C2492" s="194">
        <v>3</v>
      </c>
      <c r="D2492" s="80"/>
      <c r="E2492" s="97"/>
      <c r="F2492" s="97"/>
      <c r="G2492" s="97"/>
      <c r="H2492" s="97"/>
      <c r="I2492" s="97"/>
      <c r="J2492" s="97"/>
      <c r="K2492" s="97"/>
      <c r="L2492" s="195"/>
    </row>
    <row r="2493" spans="1:14" x14ac:dyDescent="0.45">
      <c r="A2493" s="462"/>
      <c r="B2493" s="441"/>
      <c r="C2493" s="194">
        <v>4</v>
      </c>
      <c r="D2493" s="80"/>
      <c r="E2493" s="97"/>
      <c r="F2493" s="97"/>
      <c r="G2493" s="97"/>
      <c r="H2493" s="97"/>
      <c r="I2493" s="97"/>
      <c r="J2493" s="97"/>
      <c r="K2493" s="97"/>
      <c r="L2493" s="195"/>
    </row>
    <row r="2494" spans="1:14" x14ac:dyDescent="0.45">
      <c r="A2494" s="462"/>
      <c r="B2494" s="441"/>
      <c r="C2494" s="194">
        <v>5</v>
      </c>
      <c r="D2494" s="80"/>
      <c r="E2494" s="97"/>
      <c r="F2494" s="97"/>
      <c r="G2494" s="97"/>
      <c r="H2494" s="97"/>
      <c r="I2494" s="97"/>
      <c r="J2494" s="97"/>
      <c r="K2494" s="97"/>
      <c r="L2494" s="195"/>
    </row>
    <row r="2495" spans="1:14" x14ac:dyDescent="0.45">
      <c r="A2495" s="462"/>
      <c r="B2495" s="441"/>
      <c r="C2495" s="194">
        <v>6</v>
      </c>
      <c r="D2495" s="80"/>
      <c r="E2495" s="97"/>
      <c r="F2495" s="97"/>
      <c r="G2495" s="97"/>
      <c r="H2495" s="97"/>
      <c r="I2495" s="97"/>
      <c r="J2495" s="97"/>
      <c r="K2495" s="97"/>
      <c r="L2495" s="195"/>
    </row>
    <row r="2496" spans="1:14" x14ac:dyDescent="0.45">
      <c r="A2496" s="462"/>
      <c r="B2496" s="441"/>
      <c r="C2496" s="194">
        <v>7</v>
      </c>
      <c r="D2496" s="80"/>
      <c r="E2496" s="97"/>
      <c r="F2496" s="97"/>
      <c r="G2496" s="97"/>
      <c r="H2496" s="97"/>
      <c r="I2496" s="97"/>
      <c r="J2496" s="97"/>
      <c r="K2496" s="97"/>
      <c r="L2496" s="195"/>
    </row>
    <row r="2497" spans="1:12" x14ac:dyDescent="0.45">
      <c r="A2497" s="462"/>
      <c r="B2497" s="441"/>
      <c r="C2497" s="194">
        <v>8</v>
      </c>
      <c r="D2497" s="80"/>
      <c r="E2497" s="97"/>
      <c r="F2497" s="97"/>
      <c r="G2497" s="97"/>
      <c r="H2497" s="97"/>
      <c r="I2497" s="97"/>
      <c r="J2497" s="97"/>
      <c r="K2497" s="97"/>
      <c r="L2497" s="195"/>
    </row>
    <row r="2498" spans="1:12" x14ac:dyDescent="0.45">
      <c r="A2498" s="462"/>
      <c r="B2498" s="441"/>
      <c r="C2498" s="194">
        <v>9</v>
      </c>
      <c r="D2498" s="80"/>
      <c r="E2498" s="97"/>
      <c r="F2498" s="97"/>
      <c r="G2498" s="97"/>
      <c r="H2498" s="97"/>
      <c r="I2498" s="97"/>
      <c r="J2498" s="97"/>
      <c r="K2498" s="97"/>
      <c r="L2498" s="195"/>
    </row>
    <row r="2499" spans="1:12" x14ac:dyDescent="0.45">
      <c r="A2499" s="462"/>
      <c r="B2499" s="441"/>
      <c r="C2499" s="194">
        <v>10</v>
      </c>
      <c r="D2499" s="80"/>
      <c r="E2499" s="97"/>
      <c r="F2499" s="97"/>
      <c r="G2499" s="97"/>
      <c r="H2499" s="97"/>
      <c r="I2499" s="97"/>
      <c r="J2499" s="97"/>
      <c r="K2499" s="97"/>
      <c r="L2499" s="195"/>
    </row>
    <row r="2500" spans="1:12" x14ac:dyDescent="0.45">
      <c r="A2500" s="462"/>
      <c r="B2500" s="441"/>
      <c r="C2500" s="194">
        <v>11</v>
      </c>
      <c r="D2500" s="81"/>
      <c r="E2500" s="98"/>
      <c r="F2500" s="98"/>
      <c r="G2500" s="98"/>
      <c r="H2500" s="98"/>
      <c r="I2500" s="98"/>
      <c r="J2500" s="98"/>
      <c r="K2500" s="98"/>
      <c r="L2500" s="196"/>
    </row>
    <row r="2501" spans="1:12" ht="14.65" thickBot="1" x14ac:dyDescent="0.5">
      <c r="A2501" s="462"/>
      <c r="B2501" s="442"/>
      <c r="C2501" s="197">
        <v>12</v>
      </c>
      <c r="D2501" s="82"/>
      <c r="E2501" s="99"/>
      <c r="F2501" s="99"/>
      <c r="G2501" s="99"/>
      <c r="H2501" s="99"/>
      <c r="I2501" s="99"/>
      <c r="J2501" s="99"/>
      <c r="K2501" s="99"/>
      <c r="L2501" s="198"/>
    </row>
    <row r="2502" spans="1:12" x14ac:dyDescent="0.45">
      <c r="A2502" s="462"/>
      <c r="B2502" s="440">
        <v>3</v>
      </c>
      <c r="C2502" s="192">
        <v>1</v>
      </c>
      <c r="D2502" s="79"/>
      <c r="E2502" s="96"/>
      <c r="F2502" s="96"/>
      <c r="G2502" s="96"/>
      <c r="H2502" s="96"/>
      <c r="I2502" s="96"/>
      <c r="J2502" s="96"/>
      <c r="K2502" s="96"/>
      <c r="L2502" s="193"/>
    </row>
    <row r="2503" spans="1:12" x14ac:dyDescent="0.45">
      <c r="A2503" s="462"/>
      <c r="B2503" s="441"/>
      <c r="C2503" s="194">
        <v>2</v>
      </c>
      <c r="D2503" s="80"/>
      <c r="E2503" s="97"/>
      <c r="F2503" s="97"/>
      <c r="G2503" s="97"/>
      <c r="H2503" s="97"/>
      <c r="I2503" s="97"/>
      <c r="J2503" s="97"/>
      <c r="K2503" s="97"/>
      <c r="L2503" s="195"/>
    </row>
    <row r="2504" spans="1:12" x14ac:dyDescent="0.45">
      <c r="A2504" s="462"/>
      <c r="B2504" s="441"/>
      <c r="C2504" s="194">
        <v>3</v>
      </c>
      <c r="D2504" s="80"/>
      <c r="E2504" s="97"/>
      <c r="F2504" s="97"/>
      <c r="G2504" s="97"/>
      <c r="H2504" s="97"/>
      <c r="I2504" s="97"/>
      <c r="J2504" s="97"/>
      <c r="K2504" s="97"/>
      <c r="L2504" s="195"/>
    </row>
    <row r="2505" spans="1:12" x14ac:dyDescent="0.45">
      <c r="A2505" s="462"/>
      <c r="B2505" s="441"/>
      <c r="C2505" s="194">
        <v>4</v>
      </c>
      <c r="D2505" s="80"/>
      <c r="E2505" s="97"/>
      <c r="F2505" s="97"/>
      <c r="G2505" s="97"/>
      <c r="H2505" s="97"/>
      <c r="I2505" s="97"/>
      <c r="J2505" s="97"/>
      <c r="K2505" s="97"/>
      <c r="L2505" s="195"/>
    </row>
    <row r="2506" spans="1:12" x14ac:dyDescent="0.45">
      <c r="A2506" s="462"/>
      <c r="B2506" s="441"/>
      <c r="C2506" s="194">
        <v>5</v>
      </c>
      <c r="D2506" s="80"/>
      <c r="E2506" s="97"/>
      <c r="F2506" s="97"/>
      <c r="G2506" s="97"/>
      <c r="H2506" s="97"/>
      <c r="I2506" s="97"/>
      <c r="J2506" s="97"/>
      <c r="K2506" s="97"/>
      <c r="L2506" s="195"/>
    </row>
    <row r="2507" spans="1:12" x14ac:dyDescent="0.45">
      <c r="A2507" s="462"/>
      <c r="B2507" s="441"/>
      <c r="C2507" s="194">
        <v>6</v>
      </c>
      <c r="D2507" s="80"/>
      <c r="E2507" s="97"/>
      <c r="F2507" s="97"/>
      <c r="G2507" s="97"/>
      <c r="H2507" s="97"/>
      <c r="I2507" s="97"/>
      <c r="J2507" s="97"/>
      <c r="K2507" s="97"/>
      <c r="L2507" s="195"/>
    </row>
    <row r="2508" spans="1:12" x14ac:dyDescent="0.45">
      <c r="A2508" s="462"/>
      <c r="B2508" s="441"/>
      <c r="C2508" s="194">
        <v>7</v>
      </c>
      <c r="D2508" s="80"/>
      <c r="E2508" s="97"/>
      <c r="F2508" s="97"/>
      <c r="G2508" s="97"/>
      <c r="H2508" s="97"/>
      <c r="I2508" s="97"/>
      <c r="J2508" s="97"/>
      <c r="K2508" s="97"/>
      <c r="L2508" s="195"/>
    </row>
    <row r="2509" spans="1:12" x14ac:dyDescent="0.45">
      <c r="A2509" s="462"/>
      <c r="B2509" s="441"/>
      <c r="C2509" s="194">
        <v>8</v>
      </c>
      <c r="D2509" s="80"/>
      <c r="E2509" s="97"/>
      <c r="F2509" s="97"/>
      <c r="G2509" s="97"/>
      <c r="H2509" s="97"/>
      <c r="I2509" s="97"/>
      <c r="J2509" s="97"/>
      <c r="K2509" s="97"/>
      <c r="L2509" s="195"/>
    </row>
    <row r="2510" spans="1:12" x14ac:dyDescent="0.45">
      <c r="A2510" s="462"/>
      <c r="B2510" s="441"/>
      <c r="C2510" s="194">
        <v>9</v>
      </c>
      <c r="D2510" s="80"/>
      <c r="E2510" s="97"/>
      <c r="F2510" s="97"/>
      <c r="G2510" s="97"/>
      <c r="H2510" s="97"/>
      <c r="I2510" s="97"/>
      <c r="J2510" s="97"/>
      <c r="K2510" s="97"/>
      <c r="L2510" s="195"/>
    </row>
    <row r="2511" spans="1:12" x14ac:dyDescent="0.45">
      <c r="A2511" s="462"/>
      <c r="B2511" s="441"/>
      <c r="C2511" s="194">
        <v>10</v>
      </c>
      <c r="D2511" s="80"/>
      <c r="E2511" s="97"/>
      <c r="F2511" s="97"/>
      <c r="G2511" s="97"/>
      <c r="H2511" s="97"/>
      <c r="I2511" s="97"/>
      <c r="J2511" s="97"/>
      <c r="K2511" s="97"/>
      <c r="L2511" s="195"/>
    </row>
    <row r="2512" spans="1:12" x14ac:dyDescent="0.45">
      <c r="A2512" s="462"/>
      <c r="B2512" s="441"/>
      <c r="C2512" s="194">
        <v>11</v>
      </c>
      <c r="D2512" s="81"/>
      <c r="E2512" s="98"/>
      <c r="F2512" s="98"/>
      <c r="G2512" s="98"/>
      <c r="H2512" s="98"/>
      <c r="I2512" s="98"/>
      <c r="J2512" s="98"/>
      <c r="K2512" s="98"/>
      <c r="L2512" s="196"/>
    </row>
    <row r="2513" spans="1:12" ht="14.65" thickBot="1" x14ac:dyDescent="0.5">
      <c r="A2513" s="462"/>
      <c r="B2513" s="442"/>
      <c r="C2513" s="197">
        <v>12</v>
      </c>
      <c r="D2513" s="82"/>
      <c r="E2513" s="99"/>
      <c r="F2513" s="99"/>
      <c r="G2513" s="99"/>
      <c r="H2513" s="99"/>
      <c r="I2513" s="99"/>
      <c r="J2513" s="99"/>
      <c r="K2513" s="99"/>
      <c r="L2513" s="198"/>
    </row>
    <row r="2514" spans="1:12" x14ac:dyDescent="0.45">
      <c r="A2514" s="462"/>
      <c r="B2514" s="440">
        <v>4</v>
      </c>
      <c r="C2514" s="192">
        <v>1</v>
      </c>
      <c r="D2514" s="79"/>
      <c r="E2514" s="96"/>
      <c r="F2514" s="96"/>
      <c r="G2514" s="96"/>
      <c r="H2514" s="96"/>
      <c r="I2514" s="96"/>
      <c r="J2514" s="96"/>
      <c r="K2514" s="96"/>
      <c r="L2514" s="193"/>
    </row>
    <row r="2515" spans="1:12" x14ac:dyDescent="0.45">
      <c r="A2515" s="462"/>
      <c r="B2515" s="441"/>
      <c r="C2515" s="194">
        <v>2</v>
      </c>
      <c r="D2515" s="80"/>
      <c r="E2515" s="97"/>
      <c r="F2515" s="97"/>
      <c r="G2515" s="97"/>
      <c r="H2515" s="97"/>
      <c r="I2515" s="97"/>
      <c r="J2515" s="97"/>
      <c r="K2515" s="97"/>
      <c r="L2515" s="195"/>
    </row>
    <row r="2516" spans="1:12" x14ac:dyDescent="0.45">
      <c r="A2516" s="462"/>
      <c r="B2516" s="441"/>
      <c r="C2516" s="194">
        <v>3</v>
      </c>
      <c r="D2516" s="80"/>
      <c r="E2516" s="97"/>
      <c r="F2516" s="97"/>
      <c r="G2516" s="97"/>
      <c r="H2516" s="97"/>
      <c r="I2516" s="97"/>
      <c r="J2516" s="97"/>
      <c r="K2516" s="97"/>
      <c r="L2516" s="195"/>
    </row>
    <row r="2517" spans="1:12" x14ac:dyDescent="0.45">
      <c r="A2517" s="462"/>
      <c r="B2517" s="441"/>
      <c r="C2517" s="194">
        <v>4</v>
      </c>
      <c r="D2517" s="80"/>
      <c r="E2517" s="97"/>
      <c r="F2517" s="97"/>
      <c r="G2517" s="97"/>
      <c r="H2517" s="97"/>
      <c r="I2517" s="97"/>
      <c r="J2517" s="97"/>
      <c r="K2517" s="97"/>
      <c r="L2517" s="195"/>
    </row>
    <row r="2518" spans="1:12" x14ac:dyDescent="0.45">
      <c r="A2518" s="462"/>
      <c r="B2518" s="441"/>
      <c r="C2518" s="194">
        <v>5</v>
      </c>
      <c r="D2518" s="80"/>
      <c r="E2518" s="97"/>
      <c r="F2518" s="97"/>
      <c r="G2518" s="97"/>
      <c r="H2518" s="97"/>
      <c r="I2518" s="97"/>
      <c r="J2518" s="97"/>
      <c r="K2518" s="97"/>
      <c r="L2518" s="195"/>
    </row>
    <row r="2519" spans="1:12" x14ac:dyDescent="0.45">
      <c r="A2519" s="462"/>
      <c r="B2519" s="441"/>
      <c r="C2519" s="194">
        <v>6</v>
      </c>
      <c r="D2519" s="80"/>
      <c r="E2519" s="97"/>
      <c r="F2519" s="97"/>
      <c r="G2519" s="97"/>
      <c r="H2519" s="97"/>
      <c r="I2519" s="97"/>
      <c r="J2519" s="97"/>
      <c r="K2519" s="97"/>
      <c r="L2519" s="195"/>
    </row>
    <row r="2520" spans="1:12" x14ac:dyDescent="0.45">
      <c r="A2520" s="462"/>
      <c r="B2520" s="441"/>
      <c r="C2520" s="194">
        <v>7</v>
      </c>
      <c r="D2520" s="80"/>
      <c r="E2520" s="97"/>
      <c r="F2520" s="97"/>
      <c r="G2520" s="97"/>
      <c r="H2520" s="97"/>
      <c r="I2520" s="97"/>
      <c r="J2520" s="97"/>
      <c r="K2520" s="97"/>
      <c r="L2520" s="195"/>
    </row>
    <row r="2521" spans="1:12" x14ac:dyDescent="0.45">
      <c r="A2521" s="462"/>
      <c r="B2521" s="441"/>
      <c r="C2521" s="194">
        <v>8</v>
      </c>
      <c r="D2521" s="80"/>
      <c r="E2521" s="97"/>
      <c r="F2521" s="97"/>
      <c r="G2521" s="97"/>
      <c r="H2521" s="97"/>
      <c r="I2521" s="97"/>
      <c r="J2521" s="97"/>
      <c r="K2521" s="97"/>
      <c r="L2521" s="195"/>
    </row>
    <row r="2522" spans="1:12" x14ac:dyDescent="0.45">
      <c r="A2522" s="462"/>
      <c r="B2522" s="441"/>
      <c r="C2522" s="194">
        <v>9</v>
      </c>
      <c r="D2522" s="80"/>
      <c r="E2522" s="97"/>
      <c r="F2522" s="97"/>
      <c r="G2522" s="97"/>
      <c r="H2522" s="97"/>
      <c r="I2522" s="97"/>
      <c r="J2522" s="97"/>
      <c r="K2522" s="97"/>
      <c r="L2522" s="195"/>
    </row>
    <row r="2523" spans="1:12" x14ac:dyDescent="0.45">
      <c r="A2523" s="462"/>
      <c r="B2523" s="441"/>
      <c r="C2523" s="194">
        <v>10</v>
      </c>
      <c r="D2523" s="80"/>
      <c r="E2523" s="97"/>
      <c r="F2523" s="97"/>
      <c r="G2523" s="97"/>
      <c r="H2523" s="97"/>
      <c r="I2523" s="97"/>
      <c r="J2523" s="97"/>
      <c r="K2523" s="97"/>
      <c r="L2523" s="195"/>
    </row>
    <row r="2524" spans="1:12" x14ac:dyDescent="0.45">
      <c r="A2524" s="462"/>
      <c r="B2524" s="441"/>
      <c r="C2524" s="194">
        <v>11</v>
      </c>
      <c r="D2524" s="81"/>
      <c r="E2524" s="98"/>
      <c r="F2524" s="98"/>
      <c r="G2524" s="98"/>
      <c r="H2524" s="98"/>
      <c r="I2524" s="98"/>
      <c r="J2524" s="98"/>
      <c r="K2524" s="98"/>
      <c r="L2524" s="196"/>
    </row>
    <row r="2525" spans="1:12" ht="14.65" thickBot="1" x14ac:dyDescent="0.5">
      <c r="A2525" s="463"/>
      <c r="B2525" s="442"/>
      <c r="C2525" s="197">
        <v>12</v>
      </c>
      <c r="D2525" s="82"/>
      <c r="E2525" s="99"/>
      <c r="F2525" s="99"/>
      <c r="G2525" s="99"/>
      <c r="H2525" s="99"/>
      <c r="I2525" s="99"/>
      <c r="J2525" s="99"/>
      <c r="K2525" s="99"/>
      <c r="L2525" s="198"/>
    </row>
    <row r="2526" spans="1:12" x14ac:dyDescent="0.45">
      <c r="A2526" s="461">
        <v>2</v>
      </c>
      <c r="B2526" s="440">
        <v>5</v>
      </c>
      <c r="C2526" s="192">
        <v>1</v>
      </c>
      <c r="D2526" s="79"/>
      <c r="E2526" s="96"/>
      <c r="F2526" s="96"/>
      <c r="G2526" s="96"/>
      <c r="H2526" s="96"/>
      <c r="I2526" s="96"/>
      <c r="J2526" s="96"/>
      <c r="K2526" s="96"/>
      <c r="L2526" s="193"/>
    </row>
    <row r="2527" spans="1:12" x14ac:dyDescent="0.45">
      <c r="A2527" s="462"/>
      <c r="B2527" s="441"/>
      <c r="C2527" s="194">
        <v>2</v>
      </c>
      <c r="D2527" s="80"/>
      <c r="E2527" s="97"/>
      <c r="F2527" s="97"/>
      <c r="G2527" s="97"/>
      <c r="H2527" s="97"/>
      <c r="I2527" s="97"/>
      <c r="J2527" s="97"/>
      <c r="K2527" s="97"/>
      <c r="L2527" s="195"/>
    </row>
    <row r="2528" spans="1:12" x14ac:dyDescent="0.45">
      <c r="A2528" s="462"/>
      <c r="B2528" s="441"/>
      <c r="C2528" s="194">
        <v>3</v>
      </c>
      <c r="D2528" s="80"/>
      <c r="E2528" s="97"/>
      <c r="F2528" s="97"/>
      <c r="G2528" s="97"/>
      <c r="H2528" s="97"/>
      <c r="I2528" s="97"/>
      <c r="J2528" s="97"/>
      <c r="K2528" s="97"/>
      <c r="L2528" s="195"/>
    </row>
    <row r="2529" spans="1:12" x14ac:dyDescent="0.45">
      <c r="A2529" s="462"/>
      <c r="B2529" s="441"/>
      <c r="C2529" s="194">
        <v>4</v>
      </c>
      <c r="D2529" s="80"/>
      <c r="E2529" s="97"/>
      <c r="F2529" s="97"/>
      <c r="G2529" s="97"/>
      <c r="H2529" s="97"/>
      <c r="I2529" s="97"/>
      <c r="J2529" s="97"/>
      <c r="K2529" s="97"/>
      <c r="L2529" s="195"/>
    </row>
    <row r="2530" spans="1:12" x14ac:dyDescent="0.45">
      <c r="A2530" s="462"/>
      <c r="B2530" s="441"/>
      <c r="C2530" s="194">
        <v>5</v>
      </c>
      <c r="D2530" s="80"/>
      <c r="E2530" s="97"/>
      <c r="F2530" s="97"/>
      <c r="G2530" s="97"/>
      <c r="H2530" s="97"/>
      <c r="I2530" s="97"/>
      <c r="J2530" s="97"/>
      <c r="K2530" s="97"/>
      <c r="L2530" s="195"/>
    </row>
    <row r="2531" spans="1:12" x14ac:dyDescent="0.45">
      <c r="A2531" s="462"/>
      <c r="B2531" s="441"/>
      <c r="C2531" s="194">
        <v>6</v>
      </c>
      <c r="D2531" s="80"/>
      <c r="E2531" s="97"/>
      <c r="F2531" s="97"/>
      <c r="G2531" s="97"/>
      <c r="H2531" s="97"/>
      <c r="I2531" s="97"/>
      <c r="J2531" s="97"/>
      <c r="K2531" s="97"/>
      <c r="L2531" s="195"/>
    </row>
    <row r="2532" spans="1:12" x14ac:dyDescent="0.45">
      <c r="A2532" s="462"/>
      <c r="B2532" s="441"/>
      <c r="C2532" s="194">
        <v>7</v>
      </c>
      <c r="D2532" s="80"/>
      <c r="E2532" s="97"/>
      <c r="F2532" s="97"/>
      <c r="G2532" s="97"/>
      <c r="H2532" s="97"/>
      <c r="I2532" s="97"/>
      <c r="J2532" s="97"/>
      <c r="K2532" s="97"/>
      <c r="L2532" s="195"/>
    </row>
    <row r="2533" spans="1:12" x14ac:dyDescent="0.45">
      <c r="A2533" s="462"/>
      <c r="B2533" s="441"/>
      <c r="C2533" s="194">
        <v>8</v>
      </c>
      <c r="D2533" s="80"/>
      <c r="E2533" s="97"/>
      <c r="F2533" s="97"/>
      <c r="G2533" s="97"/>
      <c r="H2533" s="97"/>
      <c r="I2533" s="97"/>
      <c r="J2533" s="97"/>
      <c r="K2533" s="97"/>
      <c r="L2533" s="195"/>
    </row>
    <row r="2534" spans="1:12" x14ac:dyDescent="0.45">
      <c r="A2534" s="462"/>
      <c r="B2534" s="441"/>
      <c r="C2534" s="194">
        <v>9</v>
      </c>
      <c r="D2534" s="80"/>
      <c r="E2534" s="97"/>
      <c r="F2534" s="97"/>
      <c r="G2534" s="97"/>
      <c r="H2534" s="97"/>
      <c r="I2534" s="97"/>
      <c r="J2534" s="97"/>
      <c r="K2534" s="97"/>
      <c r="L2534" s="195"/>
    </row>
    <row r="2535" spans="1:12" x14ac:dyDescent="0.45">
      <c r="A2535" s="462"/>
      <c r="B2535" s="441"/>
      <c r="C2535" s="194">
        <v>10</v>
      </c>
      <c r="D2535" s="80"/>
      <c r="E2535" s="97"/>
      <c r="F2535" s="97"/>
      <c r="G2535" s="97"/>
      <c r="H2535" s="97"/>
      <c r="I2535" s="97"/>
      <c r="J2535" s="97"/>
      <c r="K2535" s="97"/>
      <c r="L2535" s="195"/>
    </row>
    <row r="2536" spans="1:12" x14ac:dyDescent="0.45">
      <c r="A2536" s="462"/>
      <c r="B2536" s="441"/>
      <c r="C2536" s="194">
        <v>11</v>
      </c>
      <c r="D2536" s="81"/>
      <c r="E2536" s="98"/>
      <c r="F2536" s="98"/>
      <c r="G2536" s="98"/>
      <c r="H2536" s="98"/>
      <c r="I2536" s="98"/>
      <c r="J2536" s="98"/>
      <c r="K2536" s="98"/>
      <c r="L2536" s="196"/>
    </row>
    <row r="2537" spans="1:12" ht="14.65" thickBot="1" x14ac:dyDescent="0.5">
      <c r="A2537" s="462"/>
      <c r="B2537" s="442"/>
      <c r="C2537" s="197">
        <v>12</v>
      </c>
      <c r="D2537" s="82"/>
      <c r="E2537" s="99"/>
      <c r="F2537" s="99"/>
      <c r="G2537" s="99"/>
      <c r="H2537" s="99"/>
      <c r="I2537" s="99"/>
      <c r="J2537" s="99"/>
      <c r="K2537" s="99"/>
      <c r="L2537" s="198"/>
    </row>
    <row r="2538" spans="1:12" x14ac:dyDescent="0.45">
      <c r="A2538" s="462"/>
      <c r="B2538" s="440">
        <v>6</v>
      </c>
      <c r="C2538" s="192">
        <v>1</v>
      </c>
      <c r="D2538" s="79"/>
      <c r="E2538" s="96"/>
      <c r="F2538" s="96"/>
      <c r="G2538" s="96"/>
      <c r="H2538" s="96"/>
      <c r="I2538" s="96"/>
      <c r="J2538" s="96"/>
      <c r="K2538" s="96"/>
      <c r="L2538" s="193"/>
    </row>
    <row r="2539" spans="1:12" x14ac:dyDescent="0.45">
      <c r="A2539" s="462"/>
      <c r="B2539" s="441"/>
      <c r="C2539" s="194">
        <v>2</v>
      </c>
      <c r="D2539" s="80"/>
      <c r="E2539" s="97"/>
      <c r="F2539" s="97"/>
      <c r="G2539" s="97"/>
      <c r="H2539" s="97"/>
      <c r="I2539" s="97"/>
      <c r="J2539" s="97"/>
      <c r="K2539" s="97"/>
      <c r="L2539" s="195"/>
    </row>
    <row r="2540" spans="1:12" x14ac:dyDescent="0.45">
      <c r="A2540" s="462"/>
      <c r="B2540" s="441"/>
      <c r="C2540" s="194">
        <v>3</v>
      </c>
      <c r="D2540" s="80"/>
      <c r="E2540" s="97"/>
      <c r="F2540" s="97"/>
      <c r="G2540" s="97"/>
      <c r="H2540" s="97"/>
      <c r="I2540" s="97"/>
      <c r="J2540" s="97"/>
      <c r="K2540" s="97"/>
      <c r="L2540" s="195"/>
    </row>
    <row r="2541" spans="1:12" x14ac:dyDescent="0.45">
      <c r="A2541" s="462"/>
      <c r="B2541" s="441"/>
      <c r="C2541" s="194">
        <v>4</v>
      </c>
      <c r="D2541" s="80"/>
      <c r="E2541" s="97"/>
      <c r="F2541" s="97"/>
      <c r="G2541" s="97"/>
      <c r="H2541" s="97"/>
      <c r="I2541" s="97"/>
      <c r="J2541" s="97"/>
      <c r="K2541" s="97"/>
      <c r="L2541" s="195"/>
    </row>
    <row r="2542" spans="1:12" x14ac:dyDescent="0.45">
      <c r="A2542" s="462"/>
      <c r="B2542" s="441"/>
      <c r="C2542" s="194">
        <v>5</v>
      </c>
      <c r="D2542" s="80"/>
      <c r="E2542" s="97"/>
      <c r="F2542" s="97"/>
      <c r="G2542" s="97"/>
      <c r="H2542" s="97"/>
      <c r="I2542" s="97"/>
      <c r="J2542" s="97"/>
      <c r="K2542" s="97"/>
      <c r="L2542" s="195"/>
    </row>
    <row r="2543" spans="1:12" x14ac:dyDescent="0.45">
      <c r="A2543" s="462"/>
      <c r="B2543" s="441"/>
      <c r="C2543" s="194">
        <v>6</v>
      </c>
      <c r="D2543" s="80"/>
      <c r="E2543" s="97"/>
      <c r="F2543" s="97"/>
      <c r="G2543" s="97"/>
      <c r="H2543" s="97"/>
      <c r="I2543" s="97"/>
      <c r="J2543" s="97"/>
      <c r="K2543" s="97"/>
      <c r="L2543" s="195"/>
    </row>
    <row r="2544" spans="1:12" x14ac:dyDescent="0.45">
      <c r="A2544" s="462"/>
      <c r="B2544" s="441"/>
      <c r="C2544" s="194">
        <v>7</v>
      </c>
      <c r="D2544" s="80"/>
      <c r="E2544" s="97"/>
      <c r="F2544" s="97"/>
      <c r="G2544" s="97"/>
      <c r="H2544" s="97"/>
      <c r="I2544" s="97"/>
      <c r="J2544" s="97"/>
      <c r="K2544" s="97"/>
      <c r="L2544" s="195"/>
    </row>
    <row r="2545" spans="1:12" x14ac:dyDescent="0.45">
      <c r="A2545" s="462"/>
      <c r="B2545" s="441"/>
      <c r="C2545" s="194">
        <v>8</v>
      </c>
      <c r="D2545" s="80"/>
      <c r="E2545" s="97"/>
      <c r="F2545" s="97"/>
      <c r="G2545" s="97"/>
      <c r="H2545" s="97"/>
      <c r="I2545" s="97"/>
      <c r="J2545" s="97"/>
      <c r="K2545" s="97"/>
      <c r="L2545" s="195"/>
    </row>
    <row r="2546" spans="1:12" x14ac:dyDescent="0.45">
      <c r="A2546" s="462"/>
      <c r="B2546" s="441"/>
      <c r="C2546" s="194">
        <v>9</v>
      </c>
      <c r="D2546" s="80"/>
      <c r="E2546" s="97"/>
      <c r="F2546" s="97"/>
      <c r="G2546" s="97"/>
      <c r="H2546" s="97"/>
      <c r="I2546" s="97"/>
      <c r="J2546" s="97"/>
      <c r="K2546" s="97"/>
      <c r="L2546" s="195"/>
    </row>
    <row r="2547" spans="1:12" x14ac:dyDescent="0.45">
      <c r="A2547" s="462"/>
      <c r="B2547" s="441"/>
      <c r="C2547" s="194">
        <v>10</v>
      </c>
      <c r="D2547" s="80"/>
      <c r="E2547" s="97"/>
      <c r="F2547" s="97"/>
      <c r="G2547" s="97"/>
      <c r="H2547" s="97"/>
      <c r="I2547" s="97"/>
      <c r="J2547" s="97"/>
      <c r="K2547" s="97"/>
      <c r="L2547" s="195"/>
    </row>
    <row r="2548" spans="1:12" x14ac:dyDescent="0.45">
      <c r="A2548" s="462"/>
      <c r="B2548" s="441"/>
      <c r="C2548" s="194">
        <v>11</v>
      </c>
      <c r="D2548" s="81"/>
      <c r="E2548" s="98"/>
      <c r="F2548" s="98"/>
      <c r="G2548" s="98"/>
      <c r="H2548" s="98"/>
      <c r="I2548" s="98"/>
      <c r="J2548" s="98"/>
      <c r="K2548" s="98"/>
      <c r="L2548" s="196"/>
    </row>
    <row r="2549" spans="1:12" ht="14.65" thickBot="1" x14ac:dyDescent="0.5">
      <c r="A2549" s="462"/>
      <c r="B2549" s="442"/>
      <c r="C2549" s="197">
        <v>12</v>
      </c>
      <c r="D2549" s="82"/>
      <c r="E2549" s="99"/>
      <c r="F2549" s="99"/>
      <c r="G2549" s="99"/>
      <c r="H2549" s="99"/>
      <c r="I2549" s="99"/>
      <c r="J2549" s="99"/>
      <c r="K2549" s="99"/>
      <c r="L2549" s="198"/>
    </row>
    <row r="2550" spans="1:12" x14ac:dyDescent="0.45">
      <c r="A2550" s="462"/>
      <c r="B2550" s="440">
        <v>7</v>
      </c>
      <c r="C2550" s="192">
        <v>1</v>
      </c>
      <c r="D2550" s="79"/>
      <c r="E2550" s="96"/>
      <c r="F2550" s="96"/>
      <c r="G2550" s="96"/>
      <c r="H2550" s="96"/>
      <c r="I2550" s="96"/>
      <c r="J2550" s="96"/>
      <c r="K2550" s="96"/>
      <c r="L2550" s="193"/>
    </row>
    <row r="2551" spans="1:12" x14ac:dyDescent="0.45">
      <c r="A2551" s="462"/>
      <c r="B2551" s="441"/>
      <c r="C2551" s="194">
        <v>2</v>
      </c>
      <c r="D2551" s="80"/>
      <c r="E2551" s="97"/>
      <c r="F2551" s="97"/>
      <c r="G2551" s="97"/>
      <c r="H2551" s="97"/>
      <c r="I2551" s="97"/>
      <c r="J2551" s="97"/>
      <c r="K2551" s="97"/>
      <c r="L2551" s="195"/>
    </row>
    <row r="2552" spans="1:12" x14ac:dyDescent="0.45">
      <c r="A2552" s="462"/>
      <c r="B2552" s="441"/>
      <c r="C2552" s="194">
        <v>3</v>
      </c>
      <c r="D2552" s="80"/>
      <c r="E2552" s="97"/>
      <c r="F2552" s="97"/>
      <c r="G2552" s="97"/>
      <c r="H2552" s="97"/>
      <c r="I2552" s="97"/>
      <c r="J2552" s="97"/>
      <c r="K2552" s="97"/>
      <c r="L2552" s="195"/>
    </row>
    <row r="2553" spans="1:12" x14ac:dyDescent="0.45">
      <c r="A2553" s="462"/>
      <c r="B2553" s="441"/>
      <c r="C2553" s="194">
        <v>4</v>
      </c>
      <c r="D2553" s="80"/>
      <c r="E2553" s="97"/>
      <c r="F2553" s="97"/>
      <c r="G2553" s="97"/>
      <c r="H2553" s="97"/>
      <c r="I2553" s="97"/>
      <c r="J2553" s="97"/>
      <c r="K2553" s="97"/>
      <c r="L2553" s="195"/>
    </row>
    <row r="2554" spans="1:12" x14ac:dyDescent="0.45">
      <c r="A2554" s="462"/>
      <c r="B2554" s="441"/>
      <c r="C2554" s="194">
        <v>5</v>
      </c>
      <c r="D2554" s="80"/>
      <c r="E2554" s="97"/>
      <c r="F2554" s="97"/>
      <c r="G2554" s="97"/>
      <c r="H2554" s="97"/>
      <c r="I2554" s="97"/>
      <c r="J2554" s="97"/>
      <c r="K2554" s="97"/>
      <c r="L2554" s="195"/>
    </row>
    <row r="2555" spans="1:12" x14ac:dyDescent="0.45">
      <c r="A2555" s="462"/>
      <c r="B2555" s="441"/>
      <c r="C2555" s="194">
        <v>6</v>
      </c>
      <c r="D2555" s="80"/>
      <c r="E2555" s="97"/>
      <c r="F2555" s="97"/>
      <c r="G2555" s="97"/>
      <c r="H2555" s="97"/>
      <c r="I2555" s="97"/>
      <c r="J2555" s="97"/>
      <c r="K2555" s="97"/>
      <c r="L2555" s="195"/>
    </row>
    <row r="2556" spans="1:12" x14ac:dyDescent="0.45">
      <c r="A2556" s="462"/>
      <c r="B2556" s="441"/>
      <c r="C2556" s="194">
        <v>7</v>
      </c>
      <c r="D2556" s="80"/>
      <c r="E2556" s="97"/>
      <c r="F2556" s="97"/>
      <c r="G2556" s="97"/>
      <c r="H2556" s="97"/>
      <c r="I2556" s="97"/>
      <c r="J2556" s="97"/>
      <c r="K2556" s="97"/>
      <c r="L2556" s="195"/>
    </row>
    <row r="2557" spans="1:12" x14ac:dyDescent="0.45">
      <c r="A2557" s="462"/>
      <c r="B2557" s="441"/>
      <c r="C2557" s="194">
        <v>8</v>
      </c>
      <c r="D2557" s="80"/>
      <c r="E2557" s="97"/>
      <c r="F2557" s="97"/>
      <c r="G2557" s="97"/>
      <c r="H2557" s="97"/>
      <c r="I2557" s="97"/>
      <c r="J2557" s="97"/>
      <c r="K2557" s="97"/>
      <c r="L2557" s="195"/>
    </row>
    <row r="2558" spans="1:12" x14ac:dyDescent="0.45">
      <c r="A2558" s="462"/>
      <c r="B2558" s="441"/>
      <c r="C2558" s="194">
        <v>9</v>
      </c>
      <c r="D2558" s="80"/>
      <c r="E2558" s="97"/>
      <c r="F2558" s="97"/>
      <c r="G2558" s="97"/>
      <c r="H2558" s="97"/>
      <c r="I2558" s="97"/>
      <c r="J2558" s="97"/>
      <c r="K2558" s="97"/>
      <c r="L2558" s="195"/>
    </row>
    <row r="2559" spans="1:12" x14ac:dyDescent="0.45">
      <c r="A2559" s="462"/>
      <c r="B2559" s="441"/>
      <c r="C2559" s="194">
        <v>10</v>
      </c>
      <c r="D2559" s="80"/>
      <c r="E2559" s="97"/>
      <c r="F2559" s="97"/>
      <c r="G2559" s="97"/>
      <c r="H2559" s="97"/>
      <c r="I2559" s="97"/>
      <c r="J2559" s="97"/>
      <c r="K2559" s="97"/>
      <c r="L2559" s="195"/>
    </row>
    <row r="2560" spans="1:12" x14ac:dyDescent="0.45">
      <c r="A2560" s="462"/>
      <c r="B2560" s="441"/>
      <c r="C2560" s="194">
        <v>11</v>
      </c>
      <c r="D2560" s="81"/>
      <c r="E2560" s="98"/>
      <c r="F2560" s="98"/>
      <c r="G2560" s="98"/>
      <c r="H2560" s="98"/>
      <c r="I2560" s="98"/>
      <c r="J2560" s="98"/>
      <c r="K2560" s="98"/>
      <c r="L2560" s="196"/>
    </row>
    <row r="2561" spans="1:12" ht="14.65" thickBot="1" x14ac:dyDescent="0.5">
      <c r="A2561" s="462"/>
      <c r="B2561" s="442"/>
      <c r="C2561" s="197">
        <v>12</v>
      </c>
      <c r="D2561" s="82"/>
      <c r="E2561" s="99"/>
      <c r="F2561" s="99"/>
      <c r="G2561" s="99"/>
      <c r="H2561" s="99"/>
      <c r="I2561" s="99"/>
      <c r="J2561" s="99"/>
      <c r="K2561" s="99"/>
      <c r="L2561" s="198"/>
    </row>
    <row r="2562" spans="1:12" x14ac:dyDescent="0.45">
      <c r="A2562" s="462"/>
      <c r="B2562" s="440">
        <v>8</v>
      </c>
      <c r="C2562" s="192">
        <v>1</v>
      </c>
      <c r="D2562" s="79"/>
      <c r="E2562" s="96"/>
      <c r="F2562" s="96"/>
      <c r="G2562" s="96"/>
      <c r="H2562" s="96"/>
      <c r="I2562" s="96"/>
      <c r="J2562" s="96"/>
      <c r="K2562" s="96"/>
      <c r="L2562" s="193"/>
    </row>
    <row r="2563" spans="1:12" x14ac:dyDescent="0.45">
      <c r="A2563" s="462"/>
      <c r="B2563" s="441"/>
      <c r="C2563" s="194">
        <v>2</v>
      </c>
      <c r="D2563" s="80"/>
      <c r="E2563" s="97"/>
      <c r="F2563" s="97"/>
      <c r="G2563" s="97"/>
      <c r="H2563" s="97"/>
      <c r="I2563" s="97"/>
      <c r="J2563" s="97"/>
      <c r="K2563" s="97"/>
      <c r="L2563" s="195"/>
    </row>
    <row r="2564" spans="1:12" x14ac:dyDescent="0.45">
      <c r="A2564" s="462"/>
      <c r="B2564" s="441"/>
      <c r="C2564" s="194">
        <v>3</v>
      </c>
      <c r="D2564" s="80"/>
      <c r="E2564" s="97"/>
      <c r="F2564" s="97"/>
      <c r="G2564" s="97"/>
      <c r="H2564" s="97"/>
      <c r="I2564" s="97"/>
      <c r="J2564" s="97"/>
      <c r="K2564" s="97"/>
      <c r="L2564" s="195"/>
    </row>
    <row r="2565" spans="1:12" x14ac:dyDescent="0.45">
      <c r="A2565" s="462"/>
      <c r="B2565" s="441"/>
      <c r="C2565" s="194">
        <v>4</v>
      </c>
      <c r="D2565" s="80"/>
      <c r="E2565" s="97"/>
      <c r="F2565" s="97"/>
      <c r="G2565" s="97"/>
      <c r="H2565" s="97"/>
      <c r="I2565" s="97"/>
      <c r="J2565" s="97"/>
      <c r="K2565" s="97"/>
      <c r="L2565" s="195"/>
    </row>
    <row r="2566" spans="1:12" x14ac:dyDescent="0.45">
      <c r="A2566" s="462"/>
      <c r="B2566" s="441"/>
      <c r="C2566" s="194">
        <v>5</v>
      </c>
      <c r="D2566" s="80"/>
      <c r="E2566" s="97"/>
      <c r="F2566" s="97"/>
      <c r="G2566" s="97"/>
      <c r="H2566" s="97"/>
      <c r="I2566" s="97"/>
      <c r="J2566" s="97"/>
      <c r="K2566" s="97"/>
      <c r="L2566" s="195"/>
    </row>
    <row r="2567" spans="1:12" x14ac:dyDescent="0.45">
      <c r="A2567" s="462"/>
      <c r="B2567" s="441"/>
      <c r="C2567" s="194">
        <v>6</v>
      </c>
      <c r="D2567" s="80"/>
      <c r="E2567" s="97"/>
      <c r="F2567" s="97"/>
      <c r="G2567" s="97"/>
      <c r="H2567" s="97"/>
      <c r="I2567" s="97"/>
      <c r="J2567" s="97"/>
      <c r="K2567" s="97"/>
      <c r="L2567" s="195"/>
    </row>
    <row r="2568" spans="1:12" x14ac:dyDescent="0.45">
      <c r="A2568" s="462"/>
      <c r="B2568" s="441"/>
      <c r="C2568" s="194">
        <v>7</v>
      </c>
      <c r="D2568" s="80"/>
      <c r="E2568" s="97"/>
      <c r="F2568" s="97"/>
      <c r="G2568" s="97"/>
      <c r="H2568" s="97"/>
      <c r="I2568" s="97"/>
      <c r="J2568" s="97"/>
      <c r="K2568" s="97"/>
      <c r="L2568" s="195"/>
    </row>
    <row r="2569" spans="1:12" x14ac:dyDescent="0.45">
      <c r="A2569" s="462"/>
      <c r="B2569" s="441"/>
      <c r="C2569" s="194">
        <v>8</v>
      </c>
      <c r="D2569" s="80"/>
      <c r="E2569" s="97"/>
      <c r="F2569" s="97"/>
      <c r="G2569" s="97"/>
      <c r="H2569" s="97"/>
      <c r="I2569" s="97"/>
      <c r="J2569" s="97"/>
      <c r="K2569" s="97"/>
      <c r="L2569" s="195"/>
    </row>
    <row r="2570" spans="1:12" x14ac:dyDescent="0.45">
      <c r="A2570" s="462"/>
      <c r="B2570" s="441"/>
      <c r="C2570" s="194">
        <v>9</v>
      </c>
      <c r="D2570" s="80"/>
      <c r="E2570" s="97"/>
      <c r="F2570" s="97"/>
      <c r="G2570" s="97"/>
      <c r="H2570" s="97"/>
      <c r="I2570" s="97"/>
      <c r="J2570" s="97"/>
      <c r="K2570" s="97"/>
      <c r="L2570" s="195"/>
    </row>
    <row r="2571" spans="1:12" x14ac:dyDescent="0.45">
      <c r="A2571" s="462"/>
      <c r="B2571" s="441"/>
      <c r="C2571" s="194">
        <v>10</v>
      </c>
      <c r="D2571" s="80"/>
      <c r="E2571" s="97"/>
      <c r="F2571" s="97"/>
      <c r="G2571" s="97"/>
      <c r="H2571" s="97"/>
      <c r="I2571" s="97"/>
      <c r="J2571" s="97"/>
      <c r="K2571" s="97"/>
      <c r="L2571" s="195"/>
    </row>
    <row r="2572" spans="1:12" x14ac:dyDescent="0.45">
      <c r="A2572" s="462"/>
      <c r="B2572" s="441"/>
      <c r="C2572" s="194">
        <v>11</v>
      </c>
      <c r="D2572" s="81"/>
      <c r="E2572" s="98"/>
      <c r="F2572" s="98"/>
      <c r="G2572" s="98"/>
      <c r="H2572" s="98"/>
      <c r="I2572" s="98"/>
      <c r="J2572" s="98"/>
      <c r="K2572" s="98"/>
      <c r="L2572" s="196"/>
    </row>
    <row r="2573" spans="1:12" ht="14.65" thickBot="1" x14ac:dyDescent="0.5">
      <c r="A2573" s="463"/>
      <c r="B2573" s="442"/>
      <c r="C2573" s="197">
        <v>12</v>
      </c>
      <c r="D2573" s="82"/>
      <c r="E2573" s="99"/>
      <c r="F2573" s="99"/>
      <c r="G2573" s="99"/>
      <c r="H2573" s="99"/>
      <c r="I2573" s="99"/>
      <c r="J2573" s="99"/>
      <c r="K2573" s="99"/>
      <c r="L2573" s="198"/>
    </row>
    <row r="2574" spans="1:12" x14ac:dyDescent="0.45">
      <c r="A2574" s="461">
        <v>3</v>
      </c>
      <c r="B2574" s="440">
        <v>9</v>
      </c>
      <c r="C2574" s="192">
        <v>1</v>
      </c>
      <c r="D2574" s="79"/>
      <c r="E2574" s="96"/>
      <c r="F2574" s="96"/>
      <c r="G2574" s="96"/>
      <c r="H2574" s="96"/>
      <c r="I2574" s="96"/>
      <c r="J2574" s="96"/>
      <c r="K2574" s="96"/>
      <c r="L2574" s="193"/>
    </row>
    <row r="2575" spans="1:12" x14ac:dyDescent="0.45">
      <c r="A2575" s="462"/>
      <c r="B2575" s="441"/>
      <c r="C2575" s="194">
        <v>2</v>
      </c>
      <c r="D2575" s="80"/>
      <c r="E2575" s="97"/>
      <c r="F2575" s="97"/>
      <c r="G2575" s="97"/>
      <c r="H2575" s="97"/>
      <c r="I2575" s="97"/>
      <c r="J2575" s="97"/>
      <c r="K2575" s="97"/>
      <c r="L2575" s="195"/>
    </row>
    <row r="2576" spans="1:12" x14ac:dyDescent="0.45">
      <c r="A2576" s="462"/>
      <c r="B2576" s="441"/>
      <c r="C2576" s="194">
        <v>3</v>
      </c>
      <c r="D2576" s="80"/>
      <c r="E2576" s="97"/>
      <c r="F2576" s="97"/>
      <c r="G2576" s="97"/>
      <c r="H2576" s="97"/>
      <c r="I2576" s="97"/>
      <c r="J2576" s="97"/>
      <c r="K2576" s="97"/>
      <c r="L2576" s="195"/>
    </row>
    <row r="2577" spans="1:12" x14ac:dyDescent="0.45">
      <c r="A2577" s="462"/>
      <c r="B2577" s="441"/>
      <c r="C2577" s="194">
        <v>4</v>
      </c>
      <c r="D2577" s="80"/>
      <c r="E2577" s="97"/>
      <c r="F2577" s="97"/>
      <c r="G2577" s="97"/>
      <c r="H2577" s="97"/>
      <c r="I2577" s="97"/>
      <c r="J2577" s="97"/>
      <c r="K2577" s="97"/>
      <c r="L2577" s="195"/>
    </row>
    <row r="2578" spans="1:12" x14ac:dyDescent="0.45">
      <c r="A2578" s="462"/>
      <c r="B2578" s="441"/>
      <c r="C2578" s="194">
        <v>5</v>
      </c>
      <c r="D2578" s="80"/>
      <c r="E2578" s="97"/>
      <c r="F2578" s="97"/>
      <c r="G2578" s="97"/>
      <c r="H2578" s="97"/>
      <c r="I2578" s="97"/>
      <c r="J2578" s="97"/>
      <c r="K2578" s="97"/>
      <c r="L2578" s="195"/>
    </row>
    <row r="2579" spans="1:12" x14ac:dyDescent="0.45">
      <c r="A2579" s="462"/>
      <c r="B2579" s="441"/>
      <c r="C2579" s="194">
        <v>6</v>
      </c>
      <c r="D2579" s="80"/>
      <c r="E2579" s="97"/>
      <c r="F2579" s="97"/>
      <c r="G2579" s="97"/>
      <c r="H2579" s="97"/>
      <c r="I2579" s="97"/>
      <c r="J2579" s="97"/>
      <c r="K2579" s="97"/>
      <c r="L2579" s="195"/>
    </row>
    <row r="2580" spans="1:12" x14ac:dyDescent="0.45">
      <c r="A2580" s="462"/>
      <c r="B2580" s="441"/>
      <c r="C2580" s="194">
        <v>7</v>
      </c>
      <c r="D2580" s="80"/>
      <c r="E2580" s="97"/>
      <c r="F2580" s="97"/>
      <c r="G2580" s="97"/>
      <c r="H2580" s="97"/>
      <c r="I2580" s="97"/>
      <c r="J2580" s="97"/>
      <c r="K2580" s="97"/>
      <c r="L2580" s="195"/>
    </row>
    <row r="2581" spans="1:12" x14ac:dyDescent="0.45">
      <c r="A2581" s="462"/>
      <c r="B2581" s="441"/>
      <c r="C2581" s="194">
        <v>8</v>
      </c>
      <c r="D2581" s="80"/>
      <c r="E2581" s="97"/>
      <c r="F2581" s="97"/>
      <c r="G2581" s="97"/>
      <c r="H2581" s="97"/>
      <c r="I2581" s="97"/>
      <c r="J2581" s="97"/>
      <c r="K2581" s="97"/>
      <c r="L2581" s="195"/>
    </row>
    <row r="2582" spans="1:12" x14ac:dyDescent="0.45">
      <c r="A2582" s="462"/>
      <c r="B2582" s="441"/>
      <c r="C2582" s="194">
        <v>9</v>
      </c>
      <c r="D2582" s="80"/>
      <c r="E2582" s="97"/>
      <c r="F2582" s="97"/>
      <c r="G2582" s="97"/>
      <c r="H2582" s="97"/>
      <c r="I2582" s="97"/>
      <c r="J2582" s="97"/>
      <c r="K2582" s="97"/>
      <c r="L2582" s="195"/>
    </row>
    <row r="2583" spans="1:12" x14ac:dyDescent="0.45">
      <c r="A2583" s="462"/>
      <c r="B2583" s="441"/>
      <c r="C2583" s="194">
        <v>10</v>
      </c>
      <c r="D2583" s="80"/>
      <c r="E2583" s="97"/>
      <c r="F2583" s="97"/>
      <c r="G2583" s="97"/>
      <c r="H2583" s="97"/>
      <c r="I2583" s="97"/>
      <c r="J2583" s="97"/>
      <c r="K2583" s="97"/>
      <c r="L2583" s="195"/>
    </row>
    <row r="2584" spans="1:12" x14ac:dyDescent="0.45">
      <c r="A2584" s="462"/>
      <c r="B2584" s="441"/>
      <c r="C2584" s="194">
        <v>11</v>
      </c>
      <c r="D2584" s="81"/>
      <c r="E2584" s="98"/>
      <c r="F2584" s="98"/>
      <c r="G2584" s="98"/>
      <c r="H2584" s="98"/>
      <c r="I2584" s="98"/>
      <c r="J2584" s="98"/>
      <c r="K2584" s="98"/>
      <c r="L2584" s="196"/>
    </row>
    <row r="2585" spans="1:12" ht="14.65" thickBot="1" x14ac:dyDescent="0.5">
      <c r="A2585" s="462"/>
      <c r="B2585" s="442"/>
      <c r="C2585" s="197">
        <v>12</v>
      </c>
      <c r="D2585" s="82"/>
      <c r="E2585" s="99"/>
      <c r="F2585" s="99"/>
      <c r="G2585" s="99"/>
      <c r="H2585" s="99"/>
      <c r="I2585" s="99"/>
      <c r="J2585" s="99"/>
      <c r="K2585" s="99"/>
      <c r="L2585" s="198"/>
    </row>
    <row r="2586" spans="1:12" x14ac:dyDescent="0.45">
      <c r="A2586" s="462"/>
      <c r="B2586" s="440">
        <v>10</v>
      </c>
      <c r="C2586" s="192">
        <v>1</v>
      </c>
      <c r="D2586" s="79"/>
      <c r="E2586" s="96"/>
      <c r="F2586" s="96"/>
      <c r="G2586" s="96"/>
      <c r="H2586" s="96"/>
      <c r="I2586" s="96"/>
      <c r="J2586" s="96"/>
      <c r="K2586" s="96"/>
      <c r="L2586" s="193"/>
    </row>
    <row r="2587" spans="1:12" x14ac:dyDescent="0.45">
      <c r="A2587" s="462"/>
      <c r="B2587" s="441"/>
      <c r="C2587" s="194">
        <v>2</v>
      </c>
      <c r="D2587" s="80"/>
      <c r="E2587" s="97"/>
      <c r="F2587" s="97"/>
      <c r="G2587" s="97"/>
      <c r="H2587" s="97"/>
      <c r="I2587" s="97"/>
      <c r="J2587" s="97"/>
      <c r="K2587" s="97"/>
      <c r="L2587" s="195"/>
    </row>
    <row r="2588" spans="1:12" x14ac:dyDescent="0.45">
      <c r="A2588" s="462"/>
      <c r="B2588" s="441"/>
      <c r="C2588" s="194">
        <v>3</v>
      </c>
      <c r="D2588" s="80"/>
      <c r="E2588" s="97"/>
      <c r="F2588" s="97"/>
      <c r="G2588" s="97"/>
      <c r="H2588" s="97"/>
      <c r="I2588" s="97"/>
      <c r="J2588" s="97"/>
      <c r="K2588" s="97"/>
      <c r="L2588" s="195"/>
    </row>
    <row r="2589" spans="1:12" x14ac:dyDescent="0.45">
      <c r="A2589" s="462"/>
      <c r="B2589" s="441"/>
      <c r="C2589" s="194">
        <v>4</v>
      </c>
      <c r="D2589" s="80"/>
      <c r="E2589" s="97"/>
      <c r="F2589" s="97"/>
      <c r="G2589" s="97"/>
      <c r="H2589" s="97"/>
      <c r="I2589" s="97"/>
      <c r="J2589" s="97"/>
      <c r="K2589" s="97"/>
      <c r="L2589" s="195"/>
    </row>
    <row r="2590" spans="1:12" x14ac:dyDescent="0.45">
      <c r="A2590" s="462"/>
      <c r="B2590" s="441"/>
      <c r="C2590" s="194">
        <v>5</v>
      </c>
      <c r="D2590" s="80"/>
      <c r="E2590" s="97"/>
      <c r="F2590" s="97"/>
      <c r="G2590" s="97"/>
      <c r="H2590" s="97"/>
      <c r="I2590" s="97"/>
      <c r="J2590" s="97"/>
      <c r="K2590" s="97"/>
      <c r="L2590" s="195"/>
    </row>
    <row r="2591" spans="1:12" x14ac:dyDescent="0.45">
      <c r="A2591" s="462"/>
      <c r="B2591" s="441"/>
      <c r="C2591" s="194">
        <v>6</v>
      </c>
      <c r="D2591" s="80"/>
      <c r="E2591" s="97"/>
      <c r="F2591" s="97"/>
      <c r="G2591" s="97"/>
      <c r="H2591" s="97"/>
      <c r="I2591" s="97"/>
      <c r="J2591" s="97"/>
      <c r="K2591" s="97"/>
      <c r="L2591" s="195"/>
    </row>
    <row r="2592" spans="1:12" x14ac:dyDescent="0.45">
      <c r="A2592" s="462"/>
      <c r="B2592" s="441"/>
      <c r="C2592" s="194">
        <v>7</v>
      </c>
      <c r="D2592" s="80"/>
      <c r="E2592" s="97"/>
      <c r="F2592" s="97"/>
      <c r="G2592" s="97"/>
      <c r="H2592" s="97"/>
      <c r="I2592" s="97"/>
      <c r="J2592" s="97"/>
      <c r="K2592" s="97"/>
      <c r="L2592" s="195"/>
    </row>
    <row r="2593" spans="1:12" x14ac:dyDescent="0.45">
      <c r="A2593" s="462"/>
      <c r="B2593" s="441"/>
      <c r="C2593" s="194">
        <v>8</v>
      </c>
      <c r="D2593" s="80"/>
      <c r="E2593" s="97"/>
      <c r="F2593" s="97"/>
      <c r="G2593" s="97"/>
      <c r="H2593" s="97"/>
      <c r="I2593" s="97"/>
      <c r="J2593" s="97"/>
      <c r="K2593" s="97"/>
      <c r="L2593" s="195"/>
    </row>
    <row r="2594" spans="1:12" x14ac:dyDescent="0.45">
      <c r="A2594" s="462"/>
      <c r="B2594" s="441"/>
      <c r="C2594" s="194">
        <v>9</v>
      </c>
      <c r="D2594" s="80"/>
      <c r="E2594" s="97"/>
      <c r="F2594" s="97"/>
      <c r="G2594" s="97"/>
      <c r="H2594" s="97"/>
      <c r="I2594" s="97"/>
      <c r="J2594" s="97"/>
      <c r="K2594" s="97"/>
      <c r="L2594" s="195"/>
    </row>
    <row r="2595" spans="1:12" x14ac:dyDescent="0.45">
      <c r="A2595" s="462"/>
      <c r="B2595" s="441"/>
      <c r="C2595" s="194">
        <v>10</v>
      </c>
      <c r="D2595" s="80"/>
      <c r="E2595" s="97"/>
      <c r="F2595" s="97"/>
      <c r="G2595" s="97"/>
      <c r="H2595" s="97"/>
      <c r="I2595" s="97"/>
      <c r="J2595" s="97"/>
      <c r="K2595" s="97"/>
      <c r="L2595" s="195"/>
    </row>
    <row r="2596" spans="1:12" x14ac:dyDescent="0.45">
      <c r="A2596" s="462"/>
      <c r="B2596" s="441"/>
      <c r="C2596" s="194">
        <v>11</v>
      </c>
      <c r="D2596" s="81"/>
      <c r="E2596" s="98"/>
      <c r="F2596" s="98"/>
      <c r="G2596" s="98"/>
      <c r="H2596" s="98"/>
      <c r="I2596" s="98"/>
      <c r="J2596" s="98"/>
      <c r="K2596" s="98"/>
      <c r="L2596" s="196"/>
    </row>
    <row r="2597" spans="1:12" ht="14.65" thickBot="1" x14ac:dyDescent="0.5">
      <c r="A2597" s="462"/>
      <c r="B2597" s="442"/>
      <c r="C2597" s="197">
        <v>12</v>
      </c>
      <c r="D2597" s="82"/>
      <c r="E2597" s="99"/>
      <c r="F2597" s="99"/>
      <c r="G2597" s="99"/>
      <c r="H2597" s="99"/>
      <c r="I2597" s="99"/>
      <c r="J2597" s="99"/>
      <c r="K2597" s="99"/>
      <c r="L2597" s="198"/>
    </row>
    <row r="2598" spans="1:12" x14ac:dyDescent="0.45">
      <c r="A2598" s="462"/>
      <c r="B2598" s="440">
        <v>11</v>
      </c>
      <c r="C2598" s="192">
        <v>1</v>
      </c>
      <c r="D2598" s="79"/>
      <c r="E2598" s="96"/>
      <c r="F2598" s="96"/>
      <c r="G2598" s="96"/>
      <c r="H2598" s="96"/>
      <c r="I2598" s="96"/>
      <c r="J2598" s="96"/>
      <c r="K2598" s="96"/>
      <c r="L2598" s="193"/>
    </row>
    <row r="2599" spans="1:12" x14ac:dyDescent="0.45">
      <c r="A2599" s="462"/>
      <c r="B2599" s="441"/>
      <c r="C2599" s="194">
        <v>2</v>
      </c>
      <c r="D2599" s="80"/>
      <c r="E2599" s="97"/>
      <c r="F2599" s="97"/>
      <c r="G2599" s="97"/>
      <c r="H2599" s="97"/>
      <c r="I2599" s="97"/>
      <c r="J2599" s="97"/>
      <c r="K2599" s="97"/>
      <c r="L2599" s="195"/>
    </row>
    <row r="2600" spans="1:12" x14ac:dyDescent="0.45">
      <c r="A2600" s="462"/>
      <c r="B2600" s="441"/>
      <c r="C2600" s="194">
        <v>3</v>
      </c>
      <c r="D2600" s="80"/>
      <c r="E2600" s="97"/>
      <c r="F2600" s="97"/>
      <c r="G2600" s="97"/>
      <c r="H2600" s="97"/>
      <c r="I2600" s="97"/>
      <c r="J2600" s="97"/>
      <c r="K2600" s="97"/>
      <c r="L2600" s="195"/>
    </row>
    <row r="2601" spans="1:12" x14ac:dyDescent="0.45">
      <c r="A2601" s="462"/>
      <c r="B2601" s="441"/>
      <c r="C2601" s="194">
        <v>4</v>
      </c>
      <c r="D2601" s="80"/>
      <c r="E2601" s="97"/>
      <c r="F2601" s="97"/>
      <c r="G2601" s="97"/>
      <c r="H2601" s="97"/>
      <c r="I2601" s="97"/>
      <c r="J2601" s="97"/>
      <c r="K2601" s="97"/>
      <c r="L2601" s="195"/>
    </row>
    <row r="2602" spans="1:12" x14ac:dyDescent="0.45">
      <c r="A2602" s="462"/>
      <c r="B2602" s="441"/>
      <c r="C2602" s="194">
        <v>5</v>
      </c>
      <c r="D2602" s="80"/>
      <c r="E2602" s="97"/>
      <c r="F2602" s="97"/>
      <c r="G2602" s="97"/>
      <c r="H2602" s="97"/>
      <c r="I2602" s="97"/>
      <c r="J2602" s="97"/>
      <c r="K2602" s="97"/>
      <c r="L2602" s="195"/>
    </row>
    <row r="2603" spans="1:12" x14ac:dyDescent="0.45">
      <c r="A2603" s="462"/>
      <c r="B2603" s="441"/>
      <c r="C2603" s="194">
        <v>6</v>
      </c>
      <c r="D2603" s="80"/>
      <c r="E2603" s="97"/>
      <c r="F2603" s="97"/>
      <c r="G2603" s="97"/>
      <c r="H2603" s="97"/>
      <c r="I2603" s="97"/>
      <c r="J2603" s="97"/>
      <c r="K2603" s="97"/>
      <c r="L2603" s="195"/>
    </row>
    <row r="2604" spans="1:12" x14ac:dyDescent="0.45">
      <c r="A2604" s="462"/>
      <c r="B2604" s="441"/>
      <c r="C2604" s="194">
        <v>7</v>
      </c>
      <c r="D2604" s="80"/>
      <c r="E2604" s="97"/>
      <c r="F2604" s="97"/>
      <c r="G2604" s="97"/>
      <c r="H2604" s="97"/>
      <c r="I2604" s="97"/>
      <c r="J2604" s="97"/>
      <c r="K2604" s="97"/>
      <c r="L2604" s="195"/>
    </row>
    <row r="2605" spans="1:12" x14ac:dyDescent="0.45">
      <c r="A2605" s="462"/>
      <c r="B2605" s="441"/>
      <c r="C2605" s="194">
        <v>8</v>
      </c>
      <c r="D2605" s="80"/>
      <c r="E2605" s="97"/>
      <c r="F2605" s="97"/>
      <c r="G2605" s="97"/>
      <c r="H2605" s="97"/>
      <c r="I2605" s="97"/>
      <c r="J2605" s="97"/>
      <c r="K2605" s="97"/>
      <c r="L2605" s="195"/>
    </row>
    <row r="2606" spans="1:12" x14ac:dyDescent="0.45">
      <c r="A2606" s="462"/>
      <c r="B2606" s="441"/>
      <c r="C2606" s="194">
        <v>9</v>
      </c>
      <c r="D2606" s="80"/>
      <c r="E2606" s="97"/>
      <c r="F2606" s="97"/>
      <c r="G2606" s="97"/>
      <c r="H2606" s="97"/>
      <c r="I2606" s="97"/>
      <c r="J2606" s="97"/>
      <c r="K2606" s="97"/>
      <c r="L2606" s="195"/>
    </row>
    <row r="2607" spans="1:12" x14ac:dyDescent="0.45">
      <c r="A2607" s="462"/>
      <c r="B2607" s="441"/>
      <c r="C2607" s="194">
        <v>10</v>
      </c>
      <c r="D2607" s="80"/>
      <c r="E2607" s="97"/>
      <c r="F2607" s="97"/>
      <c r="G2607" s="97"/>
      <c r="H2607" s="97"/>
      <c r="I2607" s="97"/>
      <c r="J2607" s="97"/>
      <c r="K2607" s="97"/>
      <c r="L2607" s="195"/>
    </row>
    <row r="2608" spans="1:12" x14ac:dyDescent="0.45">
      <c r="A2608" s="462"/>
      <c r="B2608" s="441"/>
      <c r="C2608" s="194">
        <v>11</v>
      </c>
      <c r="D2608" s="81"/>
      <c r="E2608" s="98"/>
      <c r="F2608" s="98"/>
      <c r="G2608" s="98"/>
      <c r="H2608" s="98"/>
      <c r="I2608" s="98"/>
      <c r="J2608" s="98"/>
      <c r="K2608" s="98"/>
      <c r="L2608" s="196"/>
    </row>
    <row r="2609" spans="1:12" ht="14.65" thickBot="1" x14ac:dyDescent="0.5">
      <c r="A2609" s="462"/>
      <c r="B2609" s="442"/>
      <c r="C2609" s="197">
        <v>12</v>
      </c>
      <c r="D2609" s="82"/>
      <c r="E2609" s="99"/>
      <c r="F2609" s="99"/>
      <c r="G2609" s="99"/>
      <c r="H2609" s="99"/>
      <c r="I2609" s="99"/>
      <c r="J2609" s="99"/>
      <c r="K2609" s="99"/>
      <c r="L2609" s="198"/>
    </row>
    <row r="2610" spans="1:12" x14ac:dyDescent="0.45">
      <c r="A2610" s="462"/>
      <c r="B2610" s="440">
        <v>12</v>
      </c>
      <c r="C2610" s="192">
        <v>1</v>
      </c>
      <c r="D2610" s="79"/>
      <c r="E2610" s="96"/>
      <c r="F2610" s="96"/>
      <c r="G2610" s="96"/>
      <c r="H2610" s="96"/>
      <c r="I2610" s="96"/>
      <c r="J2610" s="96"/>
      <c r="K2610" s="96"/>
      <c r="L2610" s="193"/>
    </row>
    <row r="2611" spans="1:12" x14ac:dyDescent="0.45">
      <c r="A2611" s="462"/>
      <c r="B2611" s="441"/>
      <c r="C2611" s="194">
        <v>2</v>
      </c>
      <c r="D2611" s="80"/>
      <c r="E2611" s="97"/>
      <c r="F2611" s="97"/>
      <c r="G2611" s="97"/>
      <c r="H2611" s="97"/>
      <c r="I2611" s="97"/>
      <c r="J2611" s="97"/>
      <c r="K2611" s="97"/>
      <c r="L2611" s="195"/>
    </row>
    <row r="2612" spans="1:12" x14ac:dyDescent="0.45">
      <c r="A2612" s="462"/>
      <c r="B2612" s="441"/>
      <c r="C2612" s="194">
        <v>3</v>
      </c>
      <c r="D2612" s="80"/>
      <c r="E2612" s="97"/>
      <c r="F2612" s="97"/>
      <c r="G2612" s="97"/>
      <c r="H2612" s="97"/>
      <c r="I2612" s="97"/>
      <c r="J2612" s="97"/>
      <c r="K2612" s="97"/>
      <c r="L2612" s="195"/>
    </row>
    <row r="2613" spans="1:12" x14ac:dyDescent="0.45">
      <c r="A2613" s="462"/>
      <c r="B2613" s="441"/>
      <c r="C2613" s="194">
        <v>4</v>
      </c>
      <c r="D2613" s="80"/>
      <c r="E2613" s="97"/>
      <c r="F2613" s="97"/>
      <c r="G2613" s="97"/>
      <c r="H2613" s="97"/>
      <c r="I2613" s="97"/>
      <c r="J2613" s="97"/>
      <c r="K2613" s="97"/>
      <c r="L2613" s="195"/>
    </row>
    <row r="2614" spans="1:12" x14ac:dyDescent="0.45">
      <c r="A2614" s="462"/>
      <c r="B2614" s="441"/>
      <c r="C2614" s="194">
        <v>5</v>
      </c>
      <c r="D2614" s="80"/>
      <c r="E2614" s="97"/>
      <c r="F2614" s="97"/>
      <c r="G2614" s="97"/>
      <c r="H2614" s="97"/>
      <c r="I2614" s="97"/>
      <c r="J2614" s="97"/>
      <c r="K2614" s="97"/>
      <c r="L2614" s="195"/>
    </row>
    <row r="2615" spans="1:12" x14ac:dyDescent="0.45">
      <c r="A2615" s="462"/>
      <c r="B2615" s="441"/>
      <c r="C2615" s="194">
        <v>6</v>
      </c>
      <c r="D2615" s="80"/>
      <c r="E2615" s="97"/>
      <c r="F2615" s="97"/>
      <c r="G2615" s="97"/>
      <c r="H2615" s="97"/>
      <c r="I2615" s="97"/>
      <c r="J2615" s="97"/>
      <c r="K2615" s="97"/>
      <c r="L2615" s="195"/>
    </row>
    <row r="2616" spans="1:12" x14ac:dyDescent="0.45">
      <c r="A2616" s="462"/>
      <c r="B2616" s="441"/>
      <c r="C2616" s="194">
        <v>7</v>
      </c>
      <c r="D2616" s="80"/>
      <c r="E2616" s="97"/>
      <c r="F2616" s="97"/>
      <c r="G2616" s="97"/>
      <c r="H2616" s="97"/>
      <c r="I2616" s="97"/>
      <c r="J2616" s="97"/>
      <c r="K2616" s="97"/>
      <c r="L2616" s="195"/>
    </row>
    <row r="2617" spans="1:12" x14ac:dyDescent="0.45">
      <c r="A2617" s="462"/>
      <c r="B2617" s="441"/>
      <c r="C2617" s="194">
        <v>8</v>
      </c>
      <c r="D2617" s="80"/>
      <c r="E2617" s="97"/>
      <c r="F2617" s="97"/>
      <c r="G2617" s="97"/>
      <c r="H2617" s="97"/>
      <c r="I2617" s="97"/>
      <c r="J2617" s="97"/>
      <c r="K2617" s="97"/>
      <c r="L2617" s="195"/>
    </row>
    <row r="2618" spans="1:12" x14ac:dyDescent="0.45">
      <c r="A2618" s="462"/>
      <c r="B2618" s="441"/>
      <c r="C2618" s="194">
        <v>9</v>
      </c>
      <c r="D2618" s="80"/>
      <c r="E2618" s="97"/>
      <c r="F2618" s="97"/>
      <c r="G2618" s="97"/>
      <c r="H2618" s="97"/>
      <c r="I2618" s="97"/>
      <c r="J2618" s="97"/>
      <c r="K2618" s="97"/>
      <c r="L2618" s="195"/>
    </row>
    <row r="2619" spans="1:12" x14ac:dyDescent="0.45">
      <c r="A2619" s="462"/>
      <c r="B2619" s="441"/>
      <c r="C2619" s="194">
        <v>10</v>
      </c>
      <c r="D2619" s="80"/>
      <c r="E2619" s="97"/>
      <c r="F2619" s="97"/>
      <c r="G2619" s="97"/>
      <c r="H2619" s="97"/>
      <c r="I2619" s="97"/>
      <c r="J2619" s="97"/>
      <c r="K2619" s="97"/>
      <c r="L2619" s="195"/>
    </row>
    <row r="2620" spans="1:12" x14ac:dyDescent="0.45">
      <c r="A2620" s="462"/>
      <c r="B2620" s="441"/>
      <c r="C2620" s="194">
        <v>11</v>
      </c>
      <c r="D2620" s="81"/>
      <c r="E2620" s="98"/>
      <c r="F2620" s="98"/>
      <c r="G2620" s="98"/>
      <c r="H2620" s="98"/>
      <c r="I2620" s="98"/>
      <c r="J2620" s="98"/>
      <c r="K2620" s="98"/>
      <c r="L2620" s="196"/>
    </row>
    <row r="2621" spans="1:12" ht="14.65" thickBot="1" x14ac:dyDescent="0.5">
      <c r="A2621" s="463"/>
      <c r="B2621" s="442"/>
      <c r="C2621" s="199">
        <v>12</v>
      </c>
      <c r="D2621" s="82"/>
      <c r="E2621" s="99"/>
      <c r="F2621" s="99"/>
      <c r="G2621" s="99"/>
      <c r="H2621" s="99"/>
      <c r="I2621" s="99"/>
      <c r="J2621" s="99"/>
      <c r="K2621" s="99"/>
      <c r="L2621" s="198"/>
    </row>
    <row r="2623" spans="1:12" s="91" customFormat="1" x14ac:dyDescent="0.45"/>
    <row r="2624" spans="1:12" ht="14.65" thickBot="1" x14ac:dyDescent="0.5"/>
    <row r="2625" spans="1:12" ht="28.9" thickBot="1" x14ac:dyDescent="0.5">
      <c r="A2625" s="187" t="s">
        <v>76</v>
      </c>
      <c r="B2625" s="186">
        <v>18</v>
      </c>
      <c r="C2625" s="109"/>
      <c r="D2625" s="109"/>
    </row>
    <row r="2626" spans="1:12" x14ac:dyDescent="0.45">
      <c r="A2626" s="443" t="s">
        <v>27</v>
      </c>
      <c r="B2626" s="448">
        <f>Name18</f>
        <v>0</v>
      </c>
      <c r="C2626" s="449"/>
      <c r="D2626" s="450"/>
      <c r="I2626" s="204"/>
      <c r="J2626" s="204"/>
      <c r="K2626" s="204"/>
      <c r="L2626" s="204"/>
    </row>
    <row r="2627" spans="1:12" x14ac:dyDescent="0.45">
      <c r="A2627" s="444"/>
      <c r="B2627" s="448"/>
      <c r="C2627" s="449"/>
      <c r="D2627" s="450"/>
      <c r="I2627" s="204"/>
      <c r="J2627" s="204"/>
      <c r="K2627" s="204"/>
      <c r="L2627" s="204"/>
    </row>
    <row r="2628" spans="1:12" x14ac:dyDescent="0.45">
      <c r="A2628" s="445"/>
      <c r="B2628" s="388"/>
      <c r="C2628" s="451"/>
      <c r="D2628" s="452"/>
      <c r="I2628" s="204"/>
      <c r="J2628" s="204"/>
      <c r="K2628" s="204"/>
      <c r="L2628" s="204"/>
    </row>
    <row r="2629" spans="1:12" ht="14.45" customHeight="1" x14ac:dyDescent="0.45">
      <c r="A2629" s="444" t="s">
        <v>155</v>
      </c>
      <c r="B2629" s="453">
        <f>GapA18</f>
        <v>0</v>
      </c>
      <c r="C2629" s="454"/>
      <c r="D2629" s="455"/>
      <c r="I2629" s="204"/>
      <c r="J2629" s="204"/>
      <c r="K2629" s="204"/>
      <c r="L2629" s="204"/>
    </row>
    <row r="2630" spans="1:12" x14ac:dyDescent="0.45">
      <c r="A2630" s="444"/>
      <c r="B2630" s="448"/>
      <c r="C2630" s="449"/>
      <c r="D2630" s="450"/>
      <c r="I2630" s="204"/>
      <c r="J2630" s="204"/>
      <c r="K2630" s="204"/>
      <c r="L2630" s="204"/>
    </row>
    <row r="2631" spans="1:12" x14ac:dyDescent="0.45">
      <c r="A2631" s="445"/>
      <c r="B2631" s="388"/>
      <c r="C2631" s="451"/>
      <c r="D2631" s="452"/>
      <c r="I2631" s="204"/>
      <c r="J2631" s="204"/>
      <c r="K2631" s="204"/>
      <c r="L2631" s="204"/>
    </row>
    <row r="2632" spans="1:12" x14ac:dyDescent="0.45">
      <c r="A2632" s="444" t="s">
        <v>159</v>
      </c>
      <c r="B2632" s="453">
        <f>Objective18</f>
        <v>0</v>
      </c>
      <c r="C2632" s="454"/>
      <c r="D2632" s="455"/>
      <c r="I2632" s="204"/>
      <c r="J2632" s="204"/>
      <c r="K2632" s="204"/>
      <c r="L2632" s="204"/>
    </row>
    <row r="2633" spans="1:12" x14ac:dyDescent="0.45">
      <c r="A2633" s="444"/>
      <c r="B2633" s="448"/>
      <c r="C2633" s="449"/>
      <c r="D2633" s="450"/>
      <c r="I2633" s="204"/>
      <c r="J2633" s="204"/>
      <c r="K2633" s="204"/>
      <c r="L2633" s="204"/>
    </row>
    <row r="2634" spans="1:12" x14ac:dyDescent="0.45">
      <c r="A2634" s="445"/>
      <c r="B2634" s="388"/>
      <c r="C2634" s="451"/>
      <c r="D2634" s="452"/>
      <c r="I2634" s="204"/>
      <c r="J2634" s="204"/>
      <c r="K2634" s="204"/>
      <c r="L2634" s="204"/>
    </row>
    <row r="2635" spans="1:12" ht="14.45" customHeight="1" x14ac:dyDescent="0.45">
      <c r="A2635" s="446" t="s">
        <v>166</v>
      </c>
      <c r="B2635" s="454">
        <f>Capacity18</f>
        <v>0</v>
      </c>
      <c r="C2635" s="454"/>
      <c r="D2635" s="455"/>
      <c r="I2635" s="204"/>
      <c r="J2635" s="204"/>
      <c r="K2635" s="204"/>
      <c r="L2635" s="204"/>
    </row>
    <row r="2636" spans="1:12" x14ac:dyDescent="0.45">
      <c r="A2636" s="447"/>
      <c r="B2636" s="449"/>
      <c r="C2636" s="449"/>
      <c r="D2636" s="450"/>
      <c r="I2636" s="204"/>
      <c r="J2636" s="204"/>
      <c r="K2636" s="204"/>
      <c r="L2636" s="204"/>
    </row>
    <row r="2637" spans="1:12" ht="14.65" thickBot="1" x14ac:dyDescent="0.5">
      <c r="A2637" s="464"/>
      <c r="B2637" s="456"/>
      <c r="C2637" s="456"/>
      <c r="D2637" s="457"/>
      <c r="I2637" s="204"/>
      <c r="J2637" s="204"/>
      <c r="K2637" s="204"/>
      <c r="L2637" s="204"/>
    </row>
    <row r="2639" spans="1:12" ht="14.65" thickBot="1" x14ac:dyDescent="0.5">
      <c r="A2639" s="90"/>
      <c r="B2639" s="90"/>
      <c r="C2639" s="90"/>
      <c r="D2639" s="90"/>
      <c r="E2639" s="90"/>
      <c r="F2639" s="90"/>
      <c r="G2639" s="90"/>
      <c r="H2639" s="90"/>
      <c r="I2639" s="90"/>
      <c r="J2639" s="90"/>
      <c r="K2639" s="90"/>
      <c r="L2639" s="90"/>
    </row>
    <row r="2640" spans="1:12" ht="21.75" customHeight="1" x14ac:dyDescent="0.45">
      <c r="A2640" s="458" t="s">
        <v>135</v>
      </c>
      <c r="B2640" s="459"/>
      <c r="C2640" s="459"/>
      <c r="D2640" s="459"/>
      <c r="E2640" s="459"/>
      <c r="F2640" s="459"/>
      <c r="G2640" s="459"/>
      <c r="H2640" s="459"/>
      <c r="I2640" s="459"/>
      <c r="J2640" s="459"/>
      <c r="K2640" s="459"/>
      <c r="L2640" s="460"/>
    </row>
    <row r="2641" spans="1:14" ht="29" customHeight="1" thickBot="1" x14ac:dyDescent="0.5">
      <c r="A2641" s="93" t="s">
        <v>74</v>
      </c>
      <c r="B2641" s="94" t="s">
        <v>28</v>
      </c>
      <c r="C2641" s="95" t="s">
        <v>320</v>
      </c>
      <c r="D2641" s="95" t="s">
        <v>127</v>
      </c>
      <c r="E2641" s="114" t="s">
        <v>90</v>
      </c>
      <c r="F2641" s="95" t="s">
        <v>175</v>
      </c>
      <c r="G2641" s="95" t="s">
        <v>176</v>
      </c>
      <c r="H2641" s="95" t="s">
        <v>156</v>
      </c>
      <c r="I2641" s="95" t="s">
        <v>157</v>
      </c>
      <c r="J2641" s="189" t="s">
        <v>321</v>
      </c>
      <c r="K2641" s="190" t="s">
        <v>29</v>
      </c>
      <c r="L2641" s="191" t="s">
        <v>322</v>
      </c>
    </row>
    <row r="2642" spans="1:14" x14ac:dyDescent="0.45">
      <c r="A2642" s="461">
        <v>1</v>
      </c>
      <c r="B2642" s="440">
        <v>1</v>
      </c>
      <c r="C2642" s="192">
        <v>1</v>
      </c>
      <c r="D2642" s="79"/>
      <c r="E2642" s="96"/>
      <c r="F2642" s="96"/>
      <c r="G2642" s="96"/>
      <c r="H2642" s="96"/>
      <c r="I2642" s="96"/>
      <c r="J2642" s="96"/>
      <c r="K2642" s="96"/>
      <c r="L2642" s="193"/>
    </row>
    <row r="2643" spans="1:14" x14ac:dyDescent="0.45">
      <c r="A2643" s="462"/>
      <c r="B2643" s="441"/>
      <c r="C2643" s="194">
        <v>2</v>
      </c>
      <c r="D2643" s="80"/>
      <c r="E2643" s="97"/>
      <c r="F2643" s="97"/>
      <c r="G2643" s="97"/>
      <c r="H2643" s="97"/>
      <c r="I2643" s="97"/>
      <c r="J2643" s="97"/>
      <c r="K2643" s="97"/>
      <c r="L2643" s="195"/>
    </row>
    <row r="2644" spans="1:14" x14ac:dyDescent="0.45">
      <c r="A2644" s="462"/>
      <c r="B2644" s="441"/>
      <c r="C2644" s="194">
        <v>3</v>
      </c>
      <c r="D2644" s="80"/>
      <c r="E2644" s="97"/>
      <c r="F2644" s="97"/>
      <c r="G2644" s="97"/>
      <c r="H2644" s="97"/>
      <c r="I2644" s="97"/>
      <c r="J2644" s="97"/>
      <c r="K2644" s="97"/>
      <c r="L2644" s="195"/>
    </row>
    <row r="2645" spans="1:14" x14ac:dyDescent="0.45">
      <c r="A2645" s="462"/>
      <c r="B2645" s="441"/>
      <c r="C2645" s="194">
        <v>4</v>
      </c>
      <c r="D2645" s="80"/>
      <c r="E2645" s="97"/>
      <c r="F2645" s="97"/>
      <c r="G2645" s="97"/>
      <c r="H2645" s="97"/>
      <c r="I2645" s="97"/>
      <c r="J2645" s="97"/>
      <c r="K2645" s="97"/>
      <c r="L2645" s="195"/>
    </row>
    <row r="2646" spans="1:14" x14ac:dyDescent="0.45">
      <c r="A2646" s="462"/>
      <c r="B2646" s="441"/>
      <c r="C2646" s="194">
        <v>5</v>
      </c>
      <c r="D2646" s="80"/>
      <c r="E2646" s="97"/>
      <c r="F2646" s="97"/>
      <c r="G2646" s="97"/>
      <c r="H2646" s="97"/>
      <c r="I2646" s="97"/>
      <c r="J2646" s="97"/>
      <c r="K2646" s="97"/>
      <c r="L2646" s="195"/>
    </row>
    <row r="2647" spans="1:14" x14ac:dyDescent="0.45">
      <c r="A2647" s="462"/>
      <c r="B2647" s="441"/>
      <c r="C2647" s="194">
        <v>6</v>
      </c>
      <c r="D2647" s="80"/>
      <c r="E2647" s="97"/>
      <c r="F2647" s="97"/>
      <c r="G2647" s="97"/>
      <c r="H2647" s="97"/>
      <c r="I2647" s="97"/>
      <c r="J2647" s="97"/>
      <c r="K2647" s="97"/>
      <c r="L2647" s="195"/>
    </row>
    <row r="2648" spans="1:14" x14ac:dyDescent="0.45">
      <c r="A2648" s="462"/>
      <c r="B2648" s="441"/>
      <c r="C2648" s="194">
        <v>7</v>
      </c>
      <c r="D2648" s="80"/>
      <c r="E2648" s="97"/>
      <c r="F2648" s="97"/>
      <c r="G2648" s="97"/>
      <c r="H2648" s="97"/>
      <c r="I2648" s="97"/>
      <c r="J2648" s="97"/>
      <c r="K2648" s="97"/>
      <c r="L2648" s="195"/>
    </row>
    <row r="2649" spans="1:14" x14ac:dyDescent="0.45">
      <c r="A2649" s="462"/>
      <c r="B2649" s="441"/>
      <c r="C2649" s="194">
        <v>8</v>
      </c>
      <c r="D2649" s="80"/>
      <c r="E2649" s="97"/>
      <c r="F2649" s="97"/>
      <c r="G2649" s="97"/>
      <c r="H2649" s="97"/>
      <c r="I2649" s="97"/>
      <c r="J2649" s="97"/>
      <c r="K2649" s="97"/>
      <c r="L2649" s="195"/>
    </row>
    <row r="2650" spans="1:14" x14ac:dyDescent="0.45">
      <c r="A2650" s="462"/>
      <c r="B2650" s="441"/>
      <c r="C2650" s="194">
        <v>9</v>
      </c>
      <c r="D2650" s="80"/>
      <c r="E2650" s="97"/>
      <c r="F2650" s="97"/>
      <c r="G2650" s="97"/>
      <c r="H2650" s="97"/>
      <c r="I2650" s="97"/>
      <c r="J2650" s="97"/>
      <c r="K2650" s="97"/>
      <c r="L2650" s="195"/>
    </row>
    <row r="2651" spans="1:14" x14ac:dyDescent="0.45">
      <c r="A2651" s="462"/>
      <c r="B2651" s="441"/>
      <c r="C2651" s="194">
        <v>10</v>
      </c>
      <c r="D2651" s="80"/>
      <c r="E2651" s="97"/>
      <c r="F2651" s="97"/>
      <c r="G2651" s="97"/>
      <c r="H2651" s="97"/>
      <c r="I2651" s="97"/>
      <c r="J2651" s="97"/>
      <c r="K2651" s="97"/>
      <c r="L2651" s="195"/>
    </row>
    <row r="2652" spans="1:14" x14ac:dyDescent="0.45">
      <c r="A2652" s="462"/>
      <c r="B2652" s="441"/>
      <c r="C2652" s="194">
        <v>11</v>
      </c>
      <c r="D2652" s="81"/>
      <c r="E2652" s="98"/>
      <c r="F2652" s="98"/>
      <c r="G2652" s="98"/>
      <c r="H2652" s="98"/>
      <c r="I2652" s="98"/>
      <c r="J2652" s="98"/>
      <c r="K2652" s="98"/>
      <c r="L2652" s="196"/>
    </row>
    <row r="2653" spans="1:14" s="90" customFormat="1" ht="14.65" thickBot="1" x14ac:dyDescent="0.5">
      <c r="A2653" s="462"/>
      <c r="B2653" s="442"/>
      <c r="C2653" s="197">
        <v>12</v>
      </c>
      <c r="D2653" s="82"/>
      <c r="E2653" s="99"/>
      <c r="F2653" s="99"/>
      <c r="G2653" s="99"/>
      <c r="H2653" s="99"/>
      <c r="I2653" s="99"/>
      <c r="J2653" s="99"/>
      <c r="K2653" s="99"/>
      <c r="L2653" s="198"/>
      <c r="M2653" s="61"/>
      <c r="N2653" s="61"/>
    </row>
    <row r="2654" spans="1:14" x14ac:dyDescent="0.45">
      <c r="A2654" s="462"/>
      <c r="B2654" s="440">
        <v>2</v>
      </c>
      <c r="C2654" s="192">
        <v>1</v>
      </c>
      <c r="D2654" s="79"/>
      <c r="E2654" s="96"/>
      <c r="F2654" s="96"/>
      <c r="G2654" s="96"/>
      <c r="H2654" s="96"/>
      <c r="I2654" s="96"/>
      <c r="J2654" s="96"/>
      <c r="K2654" s="96"/>
      <c r="L2654" s="193"/>
    </row>
    <row r="2655" spans="1:14" x14ac:dyDescent="0.45">
      <c r="A2655" s="462"/>
      <c r="B2655" s="441"/>
      <c r="C2655" s="194">
        <v>2</v>
      </c>
      <c r="D2655" s="80"/>
      <c r="E2655" s="97"/>
      <c r="F2655" s="97"/>
      <c r="G2655" s="97"/>
      <c r="H2655" s="97"/>
      <c r="I2655" s="97"/>
      <c r="J2655" s="97"/>
      <c r="K2655" s="97"/>
      <c r="L2655" s="195"/>
    </row>
    <row r="2656" spans="1:14" x14ac:dyDescent="0.45">
      <c r="A2656" s="462"/>
      <c r="B2656" s="441"/>
      <c r="C2656" s="194">
        <v>3</v>
      </c>
      <c r="D2656" s="80"/>
      <c r="E2656" s="97"/>
      <c r="F2656" s="97"/>
      <c r="G2656" s="97"/>
      <c r="H2656" s="97"/>
      <c r="I2656" s="97"/>
      <c r="J2656" s="97"/>
      <c r="K2656" s="97"/>
      <c r="L2656" s="195"/>
    </row>
    <row r="2657" spans="1:12" x14ac:dyDescent="0.45">
      <c r="A2657" s="462"/>
      <c r="B2657" s="441"/>
      <c r="C2657" s="194">
        <v>4</v>
      </c>
      <c r="D2657" s="80"/>
      <c r="E2657" s="97"/>
      <c r="F2657" s="97"/>
      <c r="G2657" s="97"/>
      <c r="H2657" s="97"/>
      <c r="I2657" s="97"/>
      <c r="J2657" s="97"/>
      <c r="K2657" s="97"/>
      <c r="L2657" s="195"/>
    </row>
    <row r="2658" spans="1:12" x14ac:dyDescent="0.45">
      <c r="A2658" s="462"/>
      <c r="B2658" s="441"/>
      <c r="C2658" s="194">
        <v>5</v>
      </c>
      <c r="D2658" s="80"/>
      <c r="E2658" s="97"/>
      <c r="F2658" s="97"/>
      <c r="G2658" s="97"/>
      <c r="H2658" s="97"/>
      <c r="I2658" s="97"/>
      <c r="J2658" s="97"/>
      <c r="K2658" s="97"/>
      <c r="L2658" s="195"/>
    </row>
    <row r="2659" spans="1:12" x14ac:dyDescent="0.45">
      <c r="A2659" s="462"/>
      <c r="B2659" s="441"/>
      <c r="C2659" s="194">
        <v>6</v>
      </c>
      <c r="D2659" s="80"/>
      <c r="E2659" s="97"/>
      <c r="F2659" s="97"/>
      <c r="G2659" s="97"/>
      <c r="H2659" s="97"/>
      <c r="I2659" s="97"/>
      <c r="J2659" s="97"/>
      <c r="K2659" s="97"/>
      <c r="L2659" s="195"/>
    </row>
    <row r="2660" spans="1:12" x14ac:dyDescent="0.45">
      <c r="A2660" s="462"/>
      <c r="B2660" s="441"/>
      <c r="C2660" s="194">
        <v>7</v>
      </c>
      <c r="D2660" s="80"/>
      <c r="E2660" s="97"/>
      <c r="F2660" s="97"/>
      <c r="G2660" s="97"/>
      <c r="H2660" s="97"/>
      <c r="I2660" s="97"/>
      <c r="J2660" s="97"/>
      <c r="K2660" s="97"/>
      <c r="L2660" s="195"/>
    </row>
    <row r="2661" spans="1:12" x14ac:dyDescent="0.45">
      <c r="A2661" s="462"/>
      <c r="B2661" s="441"/>
      <c r="C2661" s="194">
        <v>8</v>
      </c>
      <c r="D2661" s="80"/>
      <c r="E2661" s="97"/>
      <c r="F2661" s="97"/>
      <c r="G2661" s="97"/>
      <c r="H2661" s="97"/>
      <c r="I2661" s="97"/>
      <c r="J2661" s="97"/>
      <c r="K2661" s="97"/>
      <c r="L2661" s="195"/>
    </row>
    <row r="2662" spans="1:12" x14ac:dyDescent="0.45">
      <c r="A2662" s="462"/>
      <c r="B2662" s="441"/>
      <c r="C2662" s="194">
        <v>9</v>
      </c>
      <c r="D2662" s="80"/>
      <c r="E2662" s="97"/>
      <c r="F2662" s="97"/>
      <c r="G2662" s="97"/>
      <c r="H2662" s="97"/>
      <c r="I2662" s="97"/>
      <c r="J2662" s="97"/>
      <c r="K2662" s="97"/>
      <c r="L2662" s="195"/>
    </row>
    <row r="2663" spans="1:12" x14ac:dyDescent="0.45">
      <c r="A2663" s="462"/>
      <c r="B2663" s="441"/>
      <c r="C2663" s="194">
        <v>10</v>
      </c>
      <c r="D2663" s="80"/>
      <c r="E2663" s="97"/>
      <c r="F2663" s="97"/>
      <c r="G2663" s="97"/>
      <c r="H2663" s="97"/>
      <c r="I2663" s="97"/>
      <c r="J2663" s="97"/>
      <c r="K2663" s="97"/>
      <c r="L2663" s="195"/>
    </row>
    <row r="2664" spans="1:12" x14ac:dyDescent="0.45">
      <c r="A2664" s="462"/>
      <c r="B2664" s="441"/>
      <c r="C2664" s="194">
        <v>11</v>
      </c>
      <c r="D2664" s="81"/>
      <c r="E2664" s="98"/>
      <c r="F2664" s="98"/>
      <c r="G2664" s="98"/>
      <c r="H2664" s="98"/>
      <c r="I2664" s="98"/>
      <c r="J2664" s="98"/>
      <c r="K2664" s="98"/>
      <c r="L2664" s="196"/>
    </row>
    <row r="2665" spans="1:12" ht="14.65" thickBot="1" x14ac:dyDescent="0.5">
      <c r="A2665" s="462"/>
      <c r="B2665" s="442"/>
      <c r="C2665" s="197">
        <v>12</v>
      </c>
      <c r="D2665" s="82"/>
      <c r="E2665" s="99"/>
      <c r="F2665" s="99"/>
      <c r="G2665" s="99"/>
      <c r="H2665" s="99"/>
      <c r="I2665" s="99"/>
      <c r="J2665" s="99"/>
      <c r="K2665" s="99"/>
      <c r="L2665" s="198"/>
    </row>
    <row r="2666" spans="1:12" x14ac:dyDescent="0.45">
      <c r="A2666" s="462"/>
      <c r="B2666" s="440">
        <v>3</v>
      </c>
      <c r="C2666" s="192">
        <v>1</v>
      </c>
      <c r="D2666" s="79"/>
      <c r="E2666" s="96"/>
      <c r="F2666" s="96"/>
      <c r="G2666" s="96"/>
      <c r="H2666" s="96"/>
      <c r="I2666" s="96"/>
      <c r="J2666" s="96"/>
      <c r="K2666" s="96"/>
      <c r="L2666" s="193"/>
    </row>
    <row r="2667" spans="1:12" x14ac:dyDescent="0.45">
      <c r="A2667" s="462"/>
      <c r="B2667" s="441"/>
      <c r="C2667" s="194">
        <v>2</v>
      </c>
      <c r="D2667" s="80"/>
      <c r="E2667" s="97"/>
      <c r="F2667" s="97"/>
      <c r="G2667" s="97"/>
      <c r="H2667" s="97"/>
      <c r="I2667" s="97"/>
      <c r="J2667" s="97"/>
      <c r="K2667" s="97"/>
      <c r="L2667" s="195"/>
    </row>
    <row r="2668" spans="1:12" x14ac:dyDescent="0.45">
      <c r="A2668" s="462"/>
      <c r="B2668" s="441"/>
      <c r="C2668" s="194">
        <v>3</v>
      </c>
      <c r="D2668" s="80"/>
      <c r="E2668" s="97"/>
      <c r="F2668" s="97"/>
      <c r="G2668" s="97"/>
      <c r="H2668" s="97"/>
      <c r="I2668" s="97"/>
      <c r="J2668" s="97"/>
      <c r="K2668" s="97"/>
      <c r="L2668" s="195"/>
    </row>
    <row r="2669" spans="1:12" x14ac:dyDescent="0.45">
      <c r="A2669" s="462"/>
      <c r="B2669" s="441"/>
      <c r="C2669" s="194">
        <v>4</v>
      </c>
      <c r="D2669" s="80"/>
      <c r="E2669" s="97"/>
      <c r="F2669" s="97"/>
      <c r="G2669" s="97"/>
      <c r="H2669" s="97"/>
      <c r="I2669" s="97"/>
      <c r="J2669" s="97"/>
      <c r="K2669" s="97"/>
      <c r="L2669" s="195"/>
    </row>
    <row r="2670" spans="1:12" x14ac:dyDescent="0.45">
      <c r="A2670" s="462"/>
      <c r="B2670" s="441"/>
      <c r="C2670" s="194">
        <v>5</v>
      </c>
      <c r="D2670" s="80"/>
      <c r="E2670" s="97"/>
      <c r="F2670" s="97"/>
      <c r="G2670" s="97"/>
      <c r="H2670" s="97"/>
      <c r="I2670" s="97"/>
      <c r="J2670" s="97"/>
      <c r="K2670" s="97"/>
      <c r="L2670" s="195"/>
    </row>
    <row r="2671" spans="1:12" x14ac:dyDescent="0.45">
      <c r="A2671" s="462"/>
      <c r="B2671" s="441"/>
      <c r="C2671" s="194">
        <v>6</v>
      </c>
      <c r="D2671" s="80"/>
      <c r="E2671" s="97"/>
      <c r="F2671" s="97"/>
      <c r="G2671" s="97"/>
      <c r="H2671" s="97"/>
      <c r="I2671" s="97"/>
      <c r="J2671" s="97"/>
      <c r="K2671" s="97"/>
      <c r="L2671" s="195"/>
    </row>
    <row r="2672" spans="1:12" x14ac:dyDescent="0.45">
      <c r="A2672" s="462"/>
      <c r="B2672" s="441"/>
      <c r="C2672" s="194">
        <v>7</v>
      </c>
      <c r="D2672" s="80"/>
      <c r="E2672" s="97"/>
      <c r="F2672" s="97"/>
      <c r="G2672" s="97"/>
      <c r="H2672" s="97"/>
      <c r="I2672" s="97"/>
      <c r="J2672" s="97"/>
      <c r="K2672" s="97"/>
      <c r="L2672" s="195"/>
    </row>
    <row r="2673" spans="1:12" x14ac:dyDescent="0.45">
      <c r="A2673" s="462"/>
      <c r="B2673" s="441"/>
      <c r="C2673" s="194">
        <v>8</v>
      </c>
      <c r="D2673" s="80"/>
      <c r="E2673" s="97"/>
      <c r="F2673" s="97"/>
      <c r="G2673" s="97"/>
      <c r="H2673" s="97"/>
      <c r="I2673" s="97"/>
      <c r="J2673" s="97"/>
      <c r="K2673" s="97"/>
      <c r="L2673" s="195"/>
    </row>
    <row r="2674" spans="1:12" x14ac:dyDescent="0.45">
      <c r="A2674" s="462"/>
      <c r="B2674" s="441"/>
      <c r="C2674" s="194">
        <v>9</v>
      </c>
      <c r="D2674" s="80"/>
      <c r="E2674" s="97"/>
      <c r="F2674" s="97"/>
      <c r="G2674" s="97"/>
      <c r="H2674" s="97"/>
      <c r="I2674" s="97"/>
      <c r="J2674" s="97"/>
      <c r="K2674" s="97"/>
      <c r="L2674" s="195"/>
    </row>
    <row r="2675" spans="1:12" x14ac:dyDescent="0.45">
      <c r="A2675" s="462"/>
      <c r="B2675" s="441"/>
      <c r="C2675" s="194">
        <v>10</v>
      </c>
      <c r="D2675" s="80"/>
      <c r="E2675" s="97"/>
      <c r="F2675" s="97"/>
      <c r="G2675" s="97"/>
      <c r="H2675" s="97"/>
      <c r="I2675" s="97"/>
      <c r="J2675" s="97"/>
      <c r="K2675" s="97"/>
      <c r="L2675" s="195"/>
    </row>
    <row r="2676" spans="1:12" x14ac:dyDescent="0.45">
      <c r="A2676" s="462"/>
      <c r="B2676" s="441"/>
      <c r="C2676" s="194">
        <v>11</v>
      </c>
      <c r="D2676" s="81"/>
      <c r="E2676" s="98"/>
      <c r="F2676" s="98"/>
      <c r="G2676" s="98"/>
      <c r="H2676" s="98"/>
      <c r="I2676" s="98"/>
      <c r="J2676" s="98"/>
      <c r="K2676" s="98"/>
      <c r="L2676" s="196"/>
    </row>
    <row r="2677" spans="1:12" ht="14.65" thickBot="1" x14ac:dyDescent="0.5">
      <c r="A2677" s="462"/>
      <c r="B2677" s="442"/>
      <c r="C2677" s="197">
        <v>12</v>
      </c>
      <c r="D2677" s="82"/>
      <c r="E2677" s="99"/>
      <c r="F2677" s="99"/>
      <c r="G2677" s="99"/>
      <c r="H2677" s="99"/>
      <c r="I2677" s="99"/>
      <c r="J2677" s="99"/>
      <c r="K2677" s="99"/>
      <c r="L2677" s="198"/>
    </row>
    <row r="2678" spans="1:12" x14ac:dyDescent="0.45">
      <c r="A2678" s="462"/>
      <c r="B2678" s="440">
        <v>4</v>
      </c>
      <c r="C2678" s="192">
        <v>1</v>
      </c>
      <c r="D2678" s="79"/>
      <c r="E2678" s="96"/>
      <c r="F2678" s="96"/>
      <c r="G2678" s="96"/>
      <c r="H2678" s="96"/>
      <c r="I2678" s="96"/>
      <c r="J2678" s="96"/>
      <c r="K2678" s="96"/>
      <c r="L2678" s="193"/>
    </row>
    <row r="2679" spans="1:12" x14ac:dyDescent="0.45">
      <c r="A2679" s="462"/>
      <c r="B2679" s="441"/>
      <c r="C2679" s="194">
        <v>2</v>
      </c>
      <c r="D2679" s="80"/>
      <c r="E2679" s="97"/>
      <c r="F2679" s="97"/>
      <c r="G2679" s="97"/>
      <c r="H2679" s="97"/>
      <c r="I2679" s="97"/>
      <c r="J2679" s="97"/>
      <c r="K2679" s="97"/>
      <c r="L2679" s="195"/>
    </row>
    <row r="2680" spans="1:12" x14ac:dyDescent="0.45">
      <c r="A2680" s="462"/>
      <c r="B2680" s="441"/>
      <c r="C2680" s="194">
        <v>3</v>
      </c>
      <c r="D2680" s="80"/>
      <c r="E2680" s="97"/>
      <c r="F2680" s="97"/>
      <c r="G2680" s="97"/>
      <c r="H2680" s="97"/>
      <c r="I2680" s="97"/>
      <c r="J2680" s="97"/>
      <c r="K2680" s="97"/>
      <c r="L2680" s="195"/>
    </row>
    <row r="2681" spans="1:12" x14ac:dyDescent="0.45">
      <c r="A2681" s="462"/>
      <c r="B2681" s="441"/>
      <c r="C2681" s="194">
        <v>4</v>
      </c>
      <c r="D2681" s="80"/>
      <c r="E2681" s="97"/>
      <c r="F2681" s="97"/>
      <c r="G2681" s="97"/>
      <c r="H2681" s="97"/>
      <c r="I2681" s="97"/>
      <c r="J2681" s="97"/>
      <c r="K2681" s="97"/>
      <c r="L2681" s="195"/>
    </row>
    <row r="2682" spans="1:12" x14ac:dyDescent="0.45">
      <c r="A2682" s="462"/>
      <c r="B2682" s="441"/>
      <c r="C2682" s="194">
        <v>5</v>
      </c>
      <c r="D2682" s="80"/>
      <c r="E2682" s="97"/>
      <c r="F2682" s="97"/>
      <c r="G2682" s="97"/>
      <c r="H2682" s="97"/>
      <c r="I2682" s="97"/>
      <c r="J2682" s="97"/>
      <c r="K2682" s="97"/>
      <c r="L2682" s="195"/>
    </row>
    <row r="2683" spans="1:12" x14ac:dyDescent="0.45">
      <c r="A2683" s="462"/>
      <c r="B2683" s="441"/>
      <c r="C2683" s="194">
        <v>6</v>
      </c>
      <c r="D2683" s="80"/>
      <c r="E2683" s="97"/>
      <c r="F2683" s="97"/>
      <c r="G2683" s="97"/>
      <c r="H2683" s="97"/>
      <c r="I2683" s="97"/>
      <c r="J2683" s="97"/>
      <c r="K2683" s="97"/>
      <c r="L2683" s="195"/>
    </row>
    <row r="2684" spans="1:12" x14ac:dyDescent="0.45">
      <c r="A2684" s="462"/>
      <c r="B2684" s="441"/>
      <c r="C2684" s="194">
        <v>7</v>
      </c>
      <c r="D2684" s="80"/>
      <c r="E2684" s="97"/>
      <c r="F2684" s="97"/>
      <c r="G2684" s="97"/>
      <c r="H2684" s="97"/>
      <c r="I2684" s="97"/>
      <c r="J2684" s="97"/>
      <c r="K2684" s="97"/>
      <c r="L2684" s="195"/>
    </row>
    <row r="2685" spans="1:12" x14ac:dyDescent="0.45">
      <c r="A2685" s="462"/>
      <c r="B2685" s="441"/>
      <c r="C2685" s="194">
        <v>8</v>
      </c>
      <c r="D2685" s="80"/>
      <c r="E2685" s="97"/>
      <c r="F2685" s="97"/>
      <c r="G2685" s="97"/>
      <c r="H2685" s="97"/>
      <c r="I2685" s="97"/>
      <c r="J2685" s="97"/>
      <c r="K2685" s="97"/>
      <c r="L2685" s="195"/>
    </row>
    <row r="2686" spans="1:12" x14ac:dyDescent="0.45">
      <c r="A2686" s="462"/>
      <c r="B2686" s="441"/>
      <c r="C2686" s="194">
        <v>9</v>
      </c>
      <c r="D2686" s="80"/>
      <c r="E2686" s="97"/>
      <c r="F2686" s="97"/>
      <c r="G2686" s="97"/>
      <c r="H2686" s="97"/>
      <c r="I2686" s="97"/>
      <c r="J2686" s="97"/>
      <c r="K2686" s="97"/>
      <c r="L2686" s="195"/>
    </row>
    <row r="2687" spans="1:12" x14ac:dyDescent="0.45">
      <c r="A2687" s="462"/>
      <c r="B2687" s="441"/>
      <c r="C2687" s="194">
        <v>10</v>
      </c>
      <c r="D2687" s="80"/>
      <c r="E2687" s="97"/>
      <c r="F2687" s="97"/>
      <c r="G2687" s="97"/>
      <c r="H2687" s="97"/>
      <c r="I2687" s="97"/>
      <c r="J2687" s="97"/>
      <c r="K2687" s="97"/>
      <c r="L2687" s="195"/>
    </row>
    <row r="2688" spans="1:12" x14ac:dyDescent="0.45">
      <c r="A2688" s="462"/>
      <c r="B2688" s="441"/>
      <c r="C2688" s="194">
        <v>11</v>
      </c>
      <c r="D2688" s="81"/>
      <c r="E2688" s="98"/>
      <c r="F2688" s="98"/>
      <c r="G2688" s="98"/>
      <c r="H2688" s="98"/>
      <c r="I2688" s="98"/>
      <c r="J2688" s="98"/>
      <c r="K2688" s="98"/>
      <c r="L2688" s="196"/>
    </row>
    <row r="2689" spans="1:12" ht="14.65" thickBot="1" x14ac:dyDescent="0.5">
      <c r="A2689" s="463"/>
      <c r="B2689" s="442"/>
      <c r="C2689" s="197">
        <v>12</v>
      </c>
      <c r="D2689" s="82"/>
      <c r="E2689" s="99"/>
      <c r="F2689" s="99"/>
      <c r="G2689" s="99"/>
      <c r="H2689" s="99"/>
      <c r="I2689" s="99"/>
      <c r="J2689" s="99"/>
      <c r="K2689" s="99"/>
      <c r="L2689" s="198"/>
    </row>
    <row r="2690" spans="1:12" x14ac:dyDescent="0.45">
      <c r="A2690" s="461">
        <v>2</v>
      </c>
      <c r="B2690" s="440">
        <v>5</v>
      </c>
      <c r="C2690" s="192">
        <v>1</v>
      </c>
      <c r="D2690" s="79"/>
      <c r="E2690" s="96"/>
      <c r="F2690" s="96"/>
      <c r="G2690" s="96"/>
      <c r="H2690" s="96"/>
      <c r="I2690" s="96"/>
      <c r="J2690" s="96"/>
      <c r="K2690" s="96"/>
      <c r="L2690" s="193"/>
    </row>
    <row r="2691" spans="1:12" x14ac:dyDescent="0.45">
      <c r="A2691" s="462"/>
      <c r="B2691" s="441"/>
      <c r="C2691" s="194">
        <v>2</v>
      </c>
      <c r="D2691" s="80"/>
      <c r="E2691" s="97"/>
      <c r="F2691" s="97"/>
      <c r="G2691" s="97"/>
      <c r="H2691" s="97"/>
      <c r="I2691" s="97"/>
      <c r="J2691" s="97"/>
      <c r="K2691" s="97"/>
      <c r="L2691" s="195"/>
    </row>
    <row r="2692" spans="1:12" x14ac:dyDescent="0.45">
      <c r="A2692" s="462"/>
      <c r="B2692" s="441"/>
      <c r="C2692" s="194">
        <v>3</v>
      </c>
      <c r="D2692" s="80"/>
      <c r="E2692" s="97"/>
      <c r="F2692" s="97"/>
      <c r="G2692" s="97"/>
      <c r="H2692" s="97"/>
      <c r="I2692" s="97"/>
      <c r="J2692" s="97"/>
      <c r="K2692" s="97"/>
      <c r="L2692" s="195"/>
    </row>
    <row r="2693" spans="1:12" x14ac:dyDescent="0.45">
      <c r="A2693" s="462"/>
      <c r="B2693" s="441"/>
      <c r="C2693" s="194">
        <v>4</v>
      </c>
      <c r="D2693" s="80"/>
      <c r="E2693" s="97"/>
      <c r="F2693" s="97"/>
      <c r="G2693" s="97"/>
      <c r="H2693" s="97"/>
      <c r="I2693" s="97"/>
      <c r="J2693" s="97"/>
      <c r="K2693" s="97"/>
      <c r="L2693" s="195"/>
    </row>
    <row r="2694" spans="1:12" x14ac:dyDescent="0.45">
      <c r="A2694" s="462"/>
      <c r="B2694" s="441"/>
      <c r="C2694" s="194">
        <v>5</v>
      </c>
      <c r="D2694" s="80"/>
      <c r="E2694" s="97"/>
      <c r="F2694" s="97"/>
      <c r="G2694" s="97"/>
      <c r="H2694" s="97"/>
      <c r="I2694" s="97"/>
      <c r="J2694" s="97"/>
      <c r="K2694" s="97"/>
      <c r="L2694" s="195"/>
    </row>
    <row r="2695" spans="1:12" x14ac:dyDescent="0.45">
      <c r="A2695" s="462"/>
      <c r="B2695" s="441"/>
      <c r="C2695" s="194">
        <v>6</v>
      </c>
      <c r="D2695" s="80"/>
      <c r="E2695" s="97"/>
      <c r="F2695" s="97"/>
      <c r="G2695" s="97"/>
      <c r="H2695" s="97"/>
      <c r="I2695" s="97"/>
      <c r="J2695" s="97"/>
      <c r="K2695" s="97"/>
      <c r="L2695" s="195"/>
    </row>
    <row r="2696" spans="1:12" x14ac:dyDescent="0.45">
      <c r="A2696" s="462"/>
      <c r="B2696" s="441"/>
      <c r="C2696" s="194">
        <v>7</v>
      </c>
      <c r="D2696" s="80"/>
      <c r="E2696" s="97"/>
      <c r="F2696" s="97"/>
      <c r="G2696" s="97"/>
      <c r="H2696" s="97"/>
      <c r="I2696" s="97"/>
      <c r="J2696" s="97"/>
      <c r="K2696" s="97"/>
      <c r="L2696" s="195"/>
    </row>
    <row r="2697" spans="1:12" x14ac:dyDescent="0.45">
      <c r="A2697" s="462"/>
      <c r="B2697" s="441"/>
      <c r="C2697" s="194">
        <v>8</v>
      </c>
      <c r="D2697" s="80"/>
      <c r="E2697" s="97"/>
      <c r="F2697" s="97"/>
      <c r="G2697" s="97"/>
      <c r="H2697" s="97"/>
      <c r="I2697" s="97"/>
      <c r="J2697" s="97"/>
      <c r="K2697" s="97"/>
      <c r="L2697" s="195"/>
    </row>
    <row r="2698" spans="1:12" x14ac:dyDescent="0.45">
      <c r="A2698" s="462"/>
      <c r="B2698" s="441"/>
      <c r="C2698" s="194">
        <v>9</v>
      </c>
      <c r="D2698" s="80"/>
      <c r="E2698" s="97"/>
      <c r="F2698" s="97"/>
      <c r="G2698" s="97"/>
      <c r="H2698" s="97"/>
      <c r="I2698" s="97"/>
      <c r="J2698" s="97"/>
      <c r="K2698" s="97"/>
      <c r="L2698" s="195"/>
    </row>
    <row r="2699" spans="1:12" x14ac:dyDescent="0.45">
      <c r="A2699" s="462"/>
      <c r="B2699" s="441"/>
      <c r="C2699" s="194">
        <v>10</v>
      </c>
      <c r="D2699" s="80"/>
      <c r="E2699" s="97"/>
      <c r="F2699" s="97"/>
      <c r="G2699" s="97"/>
      <c r="H2699" s="97"/>
      <c r="I2699" s="97"/>
      <c r="J2699" s="97"/>
      <c r="K2699" s="97"/>
      <c r="L2699" s="195"/>
    </row>
    <row r="2700" spans="1:12" x14ac:dyDescent="0.45">
      <c r="A2700" s="462"/>
      <c r="B2700" s="441"/>
      <c r="C2700" s="194">
        <v>11</v>
      </c>
      <c r="D2700" s="81"/>
      <c r="E2700" s="98"/>
      <c r="F2700" s="98"/>
      <c r="G2700" s="98"/>
      <c r="H2700" s="98"/>
      <c r="I2700" s="98"/>
      <c r="J2700" s="98"/>
      <c r="K2700" s="98"/>
      <c r="L2700" s="196"/>
    </row>
    <row r="2701" spans="1:12" ht="14.65" thickBot="1" x14ac:dyDescent="0.5">
      <c r="A2701" s="462"/>
      <c r="B2701" s="442"/>
      <c r="C2701" s="197">
        <v>12</v>
      </c>
      <c r="D2701" s="82"/>
      <c r="E2701" s="99"/>
      <c r="F2701" s="99"/>
      <c r="G2701" s="99"/>
      <c r="H2701" s="99"/>
      <c r="I2701" s="99"/>
      <c r="J2701" s="99"/>
      <c r="K2701" s="99"/>
      <c r="L2701" s="198"/>
    </row>
    <row r="2702" spans="1:12" x14ac:dyDescent="0.45">
      <c r="A2702" s="462"/>
      <c r="B2702" s="440">
        <v>6</v>
      </c>
      <c r="C2702" s="192">
        <v>1</v>
      </c>
      <c r="D2702" s="79"/>
      <c r="E2702" s="96"/>
      <c r="F2702" s="96"/>
      <c r="G2702" s="96"/>
      <c r="H2702" s="96"/>
      <c r="I2702" s="96"/>
      <c r="J2702" s="96"/>
      <c r="K2702" s="96"/>
      <c r="L2702" s="193"/>
    </row>
    <row r="2703" spans="1:12" x14ac:dyDescent="0.45">
      <c r="A2703" s="462"/>
      <c r="B2703" s="441"/>
      <c r="C2703" s="194">
        <v>2</v>
      </c>
      <c r="D2703" s="80"/>
      <c r="E2703" s="97"/>
      <c r="F2703" s="97"/>
      <c r="G2703" s="97"/>
      <c r="H2703" s="97"/>
      <c r="I2703" s="97"/>
      <c r="J2703" s="97"/>
      <c r="K2703" s="97"/>
      <c r="L2703" s="195"/>
    </row>
    <row r="2704" spans="1:12" x14ac:dyDescent="0.45">
      <c r="A2704" s="462"/>
      <c r="B2704" s="441"/>
      <c r="C2704" s="194">
        <v>3</v>
      </c>
      <c r="D2704" s="80"/>
      <c r="E2704" s="97"/>
      <c r="F2704" s="97"/>
      <c r="G2704" s="97"/>
      <c r="H2704" s="97"/>
      <c r="I2704" s="97"/>
      <c r="J2704" s="97"/>
      <c r="K2704" s="97"/>
      <c r="L2704" s="195"/>
    </row>
    <row r="2705" spans="1:12" x14ac:dyDescent="0.45">
      <c r="A2705" s="462"/>
      <c r="B2705" s="441"/>
      <c r="C2705" s="194">
        <v>4</v>
      </c>
      <c r="D2705" s="80"/>
      <c r="E2705" s="97"/>
      <c r="F2705" s="97"/>
      <c r="G2705" s="97"/>
      <c r="H2705" s="97"/>
      <c r="I2705" s="97"/>
      <c r="J2705" s="97"/>
      <c r="K2705" s="97"/>
      <c r="L2705" s="195"/>
    </row>
    <row r="2706" spans="1:12" x14ac:dyDescent="0.45">
      <c r="A2706" s="462"/>
      <c r="B2706" s="441"/>
      <c r="C2706" s="194">
        <v>5</v>
      </c>
      <c r="D2706" s="80"/>
      <c r="E2706" s="97"/>
      <c r="F2706" s="97"/>
      <c r="G2706" s="97"/>
      <c r="H2706" s="97"/>
      <c r="I2706" s="97"/>
      <c r="J2706" s="97"/>
      <c r="K2706" s="97"/>
      <c r="L2706" s="195"/>
    </row>
    <row r="2707" spans="1:12" x14ac:dyDescent="0.45">
      <c r="A2707" s="462"/>
      <c r="B2707" s="441"/>
      <c r="C2707" s="194">
        <v>6</v>
      </c>
      <c r="D2707" s="80"/>
      <c r="E2707" s="97"/>
      <c r="F2707" s="97"/>
      <c r="G2707" s="97"/>
      <c r="H2707" s="97"/>
      <c r="I2707" s="97"/>
      <c r="J2707" s="97"/>
      <c r="K2707" s="97"/>
      <c r="L2707" s="195"/>
    </row>
    <row r="2708" spans="1:12" x14ac:dyDescent="0.45">
      <c r="A2708" s="462"/>
      <c r="B2708" s="441"/>
      <c r="C2708" s="194">
        <v>7</v>
      </c>
      <c r="D2708" s="80"/>
      <c r="E2708" s="97"/>
      <c r="F2708" s="97"/>
      <c r="G2708" s="97"/>
      <c r="H2708" s="97"/>
      <c r="I2708" s="97"/>
      <c r="J2708" s="97"/>
      <c r="K2708" s="97"/>
      <c r="L2708" s="195"/>
    </row>
    <row r="2709" spans="1:12" x14ac:dyDescent="0.45">
      <c r="A2709" s="462"/>
      <c r="B2709" s="441"/>
      <c r="C2709" s="194">
        <v>8</v>
      </c>
      <c r="D2709" s="80"/>
      <c r="E2709" s="97"/>
      <c r="F2709" s="97"/>
      <c r="G2709" s="97"/>
      <c r="H2709" s="97"/>
      <c r="I2709" s="97"/>
      <c r="J2709" s="97"/>
      <c r="K2709" s="97"/>
      <c r="L2709" s="195"/>
    </row>
    <row r="2710" spans="1:12" x14ac:dyDescent="0.45">
      <c r="A2710" s="462"/>
      <c r="B2710" s="441"/>
      <c r="C2710" s="194">
        <v>9</v>
      </c>
      <c r="D2710" s="80"/>
      <c r="E2710" s="97"/>
      <c r="F2710" s="97"/>
      <c r="G2710" s="97"/>
      <c r="H2710" s="97"/>
      <c r="I2710" s="97"/>
      <c r="J2710" s="97"/>
      <c r="K2710" s="97"/>
      <c r="L2710" s="195"/>
    </row>
    <row r="2711" spans="1:12" x14ac:dyDescent="0.45">
      <c r="A2711" s="462"/>
      <c r="B2711" s="441"/>
      <c r="C2711" s="194">
        <v>10</v>
      </c>
      <c r="D2711" s="80"/>
      <c r="E2711" s="97"/>
      <c r="F2711" s="97"/>
      <c r="G2711" s="97"/>
      <c r="H2711" s="97"/>
      <c r="I2711" s="97"/>
      <c r="J2711" s="97"/>
      <c r="K2711" s="97"/>
      <c r="L2711" s="195"/>
    </row>
    <row r="2712" spans="1:12" x14ac:dyDescent="0.45">
      <c r="A2712" s="462"/>
      <c r="B2712" s="441"/>
      <c r="C2712" s="194">
        <v>11</v>
      </c>
      <c r="D2712" s="81"/>
      <c r="E2712" s="98"/>
      <c r="F2712" s="98"/>
      <c r="G2712" s="98"/>
      <c r="H2712" s="98"/>
      <c r="I2712" s="98"/>
      <c r="J2712" s="98"/>
      <c r="K2712" s="98"/>
      <c r="L2712" s="196"/>
    </row>
    <row r="2713" spans="1:12" ht="14.65" thickBot="1" x14ac:dyDescent="0.5">
      <c r="A2713" s="462"/>
      <c r="B2713" s="442"/>
      <c r="C2713" s="197">
        <v>12</v>
      </c>
      <c r="D2713" s="82"/>
      <c r="E2713" s="99"/>
      <c r="F2713" s="99"/>
      <c r="G2713" s="99"/>
      <c r="H2713" s="99"/>
      <c r="I2713" s="99"/>
      <c r="J2713" s="99"/>
      <c r="K2713" s="99"/>
      <c r="L2713" s="198"/>
    </row>
    <row r="2714" spans="1:12" x14ac:dyDescent="0.45">
      <c r="A2714" s="462"/>
      <c r="B2714" s="440">
        <v>7</v>
      </c>
      <c r="C2714" s="192">
        <v>1</v>
      </c>
      <c r="D2714" s="79"/>
      <c r="E2714" s="96"/>
      <c r="F2714" s="96"/>
      <c r="G2714" s="96"/>
      <c r="H2714" s="96"/>
      <c r="I2714" s="96"/>
      <c r="J2714" s="96"/>
      <c r="K2714" s="96"/>
      <c r="L2714" s="193"/>
    </row>
    <row r="2715" spans="1:12" x14ac:dyDescent="0.45">
      <c r="A2715" s="462"/>
      <c r="B2715" s="441"/>
      <c r="C2715" s="194">
        <v>2</v>
      </c>
      <c r="D2715" s="80"/>
      <c r="E2715" s="97"/>
      <c r="F2715" s="97"/>
      <c r="G2715" s="97"/>
      <c r="H2715" s="97"/>
      <c r="I2715" s="97"/>
      <c r="J2715" s="97"/>
      <c r="K2715" s="97"/>
      <c r="L2715" s="195"/>
    </row>
    <row r="2716" spans="1:12" x14ac:dyDescent="0.45">
      <c r="A2716" s="462"/>
      <c r="B2716" s="441"/>
      <c r="C2716" s="194">
        <v>3</v>
      </c>
      <c r="D2716" s="80"/>
      <c r="E2716" s="97"/>
      <c r="F2716" s="97"/>
      <c r="G2716" s="97"/>
      <c r="H2716" s="97"/>
      <c r="I2716" s="97"/>
      <c r="J2716" s="97"/>
      <c r="K2716" s="97"/>
      <c r="L2716" s="195"/>
    </row>
    <row r="2717" spans="1:12" x14ac:dyDescent="0.45">
      <c r="A2717" s="462"/>
      <c r="B2717" s="441"/>
      <c r="C2717" s="194">
        <v>4</v>
      </c>
      <c r="D2717" s="80"/>
      <c r="E2717" s="97"/>
      <c r="F2717" s="97"/>
      <c r="G2717" s="97"/>
      <c r="H2717" s="97"/>
      <c r="I2717" s="97"/>
      <c r="J2717" s="97"/>
      <c r="K2717" s="97"/>
      <c r="L2717" s="195"/>
    </row>
    <row r="2718" spans="1:12" x14ac:dyDescent="0.45">
      <c r="A2718" s="462"/>
      <c r="B2718" s="441"/>
      <c r="C2718" s="194">
        <v>5</v>
      </c>
      <c r="D2718" s="80"/>
      <c r="E2718" s="97"/>
      <c r="F2718" s="97"/>
      <c r="G2718" s="97"/>
      <c r="H2718" s="97"/>
      <c r="I2718" s="97"/>
      <c r="J2718" s="97"/>
      <c r="K2718" s="97"/>
      <c r="L2718" s="195"/>
    </row>
    <row r="2719" spans="1:12" x14ac:dyDescent="0.45">
      <c r="A2719" s="462"/>
      <c r="B2719" s="441"/>
      <c r="C2719" s="194">
        <v>6</v>
      </c>
      <c r="D2719" s="80"/>
      <c r="E2719" s="97"/>
      <c r="F2719" s="97"/>
      <c r="G2719" s="97"/>
      <c r="H2719" s="97"/>
      <c r="I2719" s="97"/>
      <c r="J2719" s="97"/>
      <c r="K2719" s="97"/>
      <c r="L2719" s="195"/>
    </row>
    <row r="2720" spans="1:12" x14ac:dyDescent="0.45">
      <c r="A2720" s="462"/>
      <c r="B2720" s="441"/>
      <c r="C2720" s="194">
        <v>7</v>
      </c>
      <c r="D2720" s="80"/>
      <c r="E2720" s="97"/>
      <c r="F2720" s="97"/>
      <c r="G2720" s="97"/>
      <c r="H2720" s="97"/>
      <c r="I2720" s="97"/>
      <c r="J2720" s="97"/>
      <c r="K2720" s="97"/>
      <c r="L2720" s="195"/>
    </row>
    <row r="2721" spans="1:12" x14ac:dyDescent="0.45">
      <c r="A2721" s="462"/>
      <c r="B2721" s="441"/>
      <c r="C2721" s="194">
        <v>8</v>
      </c>
      <c r="D2721" s="80"/>
      <c r="E2721" s="97"/>
      <c r="F2721" s="97"/>
      <c r="G2721" s="97"/>
      <c r="H2721" s="97"/>
      <c r="I2721" s="97"/>
      <c r="J2721" s="97"/>
      <c r="K2721" s="97"/>
      <c r="L2721" s="195"/>
    </row>
    <row r="2722" spans="1:12" x14ac:dyDescent="0.45">
      <c r="A2722" s="462"/>
      <c r="B2722" s="441"/>
      <c r="C2722" s="194">
        <v>9</v>
      </c>
      <c r="D2722" s="80"/>
      <c r="E2722" s="97"/>
      <c r="F2722" s="97"/>
      <c r="G2722" s="97"/>
      <c r="H2722" s="97"/>
      <c r="I2722" s="97"/>
      <c r="J2722" s="97"/>
      <c r="K2722" s="97"/>
      <c r="L2722" s="195"/>
    </row>
    <row r="2723" spans="1:12" x14ac:dyDescent="0.45">
      <c r="A2723" s="462"/>
      <c r="B2723" s="441"/>
      <c r="C2723" s="194">
        <v>10</v>
      </c>
      <c r="D2723" s="80"/>
      <c r="E2723" s="97"/>
      <c r="F2723" s="97"/>
      <c r="G2723" s="97"/>
      <c r="H2723" s="97"/>
      <c r="I2723" s="97"/>
      <c r="J2723" s="97"/>
      <c r="K2723" s="97"/>
      <c r="L2723" s="195"/>
    </row>
    <row r="2724" spans="1:12" x14ac:dyDescent="0.45">
      <c r="A2724" s="462"/>
      <c r="B2724" s="441"/>
      <c r="C2724" s="194">
        <v>11</v>
      </c>
      <c r="D2724" s="81"/>
      <c r="E2724" s="98"/>
      <c r="F2724" s="98"/>
      <c r="G2724" s="98"/>
      <c r="H2724" s="98"/>
      <c r="I2724" s="98"/>
      <c r="J2724" s="98"/>
      <c r="K2724" s="98"/>
      <c r="L2724" s="196"/>
    </row>
    <row r="2725" spans="1:12" ht="14.65" thickBot="1" x14ac:dyDescent="0.5">
      <c r="A2725" s="462"/>
      <c r="B2725" s="442"/>
      <c r="C2725" s="197">
        <v>12</v>
      </c>
      <c r="D2725" s="82"/>
      <c r="E2725" s="99"/>
      <c r="F2725" s="99"/>
      <c r="G2725" s="99"/>
      <c r="H2725" s="99"/>
      <c r="I2725" s="99"/>
      <c r="J2725" s="99"/>
      <c r="K2725" s="99"/>
      <c r="L2725" s="198"/>
    </row>
    <row r="2726" spans="1:12" x14ac:dyDescent="0.45">
      <c r="A2726" s="462"/>
      <c r="B2726" s="440">
        <v>8</v>
      </c>
      <c r="C2726" s="192">
        <v>1</v>
      </c>
      <c r="D2726" s="79"/>
      <c r="E2726" s="96"/>
      <c r="F2726" s="96"/>
      <c r="G2726" s="96"/>
      <c r="H2726" s="96"/>
      <c r="I2726" s="96"/>
      <c r="J2726" s="96"/>
      <c r="K2726" s="96"/>
      <c r="L2726" s="193"/>
    </row>
    <row r="2727" spans="1:12" x14ac:dyDescent="0.45">
      <c r="A2727" s="462"/>
      <c r="B2727" s="441"/>
      <c r="C2727" s="194">
        <v>2</v>
      </c>
      <c r="D2727" s="80"/>
      <c r="E2727" s="97"/>
      <c r="F2727" s="97"/>
      <c r="G2727" s="97"/>
      <c r="H2727" s="97"/>
      <c r="I2727" s="97"/>
      <c r="J2727" s="97"/>
      <c r="K2727" s="97"/>
      <c r="L2727" s="195"/>
    </row>
    <row r="2728" spans="1:12" x14ac:dyDescent="0.45">
      <c r="A2728" s="462"/>
      <c r="B2728" s="441"/>
      <c r="C2728" s="194">
        <v>3</v>
      </c>
      <c r="D2728" s="80"/>
      <c r="E2728" s="97"/>
      <c r="F2728" s="97"/>
      <c r="G2728" s="97"/>
      <c r="H2728" s="97"/>
      <c r="I2728" s="97"/>
      <c r="J2728" s="97"/>
      <c r="K2728" s="97"/>
      <c r="L2728" s="195"/>
    </row>
    <row r="2729" spans="1:12" x14ac:dyDescent="0.45">
      <c r="A2729" s="462"/>
      <c r="B2729" s="441"/>
      <c r="C2729" s="194">
        <v>4</v>
      </c>
      <c r="D2729" s="80"/>
      <c r="E2729" s="97"/>
      <c r="F2729" s="97"/>
      <c r="G2729" s="97"/>
      <c r="H2729" s="97"/>
      <c r="I2729" s="97"/>
      <c r="J2729" s="97"/>
      <c r="K2729" s="97"/>
      <c r="L2729" s="195"/>
    </row>
    <row r="2730" spans="1:12" x14ac:dyDescent="0.45">
      <c r="A2730" s="462"/>
      <c r="B2730" s="441"/>
      <c r="C2730" s="194">
        <v>5</v>
      </c>
      <c r="D2730" s="80"/>
      <c r="E2730" s="97"/>
      <c r="F2730" s="97"/>
      <c r="G2730" s="97"/>
      <c r="H2730" s="97"/>
      <c r="I2730" s="97"/>
      <c r="J2730" s="97"/>
      <c r="K2730" s="97"/>
      <c r="L2730" s="195"/>
    </row>
    <row r="2731" spans="1:12" x14ac:dyDescent="0.45">
      <c r="A2731" s="462"/>
      <c r="B2731" s="441"/>
      <c r="C2731" s="194">
        <v>6</v>
      </c>
      <c r="D2731" s="80"/>
      <c r="E2731" s="97"/>
      <c r="F2731" s="97"/>
      <c r="G2731" s="97"/>
      <c r="H2731" s="97"/>
      <c r="I2731" s="97"/>
      <c r="J2731" s="97"/>
      <c r="K2731" s="97"/>
      <c r="L2731" s="195"/>
    </row>
    <row r="2732" spans="1:12" x14ac:dyDescent="0.45">
      <c r="A2732" s="462"/>
      <c r="B2732" s="441"/>
      <c r="C2732" s="194">
        <v>7</v>
      </c>
      <c r="D2732" s="80"/>
      <c r="E2732" s="97"/>
      <c r="F2732" s="97"/>
      <c r="G2732" s="97"/>
      <c r="H2732" s="97"/>
      <c r="I2732" s="97"/>
      <c r="J2732" s="97"/>
      <c r="K2732" s="97"/>
      <c r="L2732" s="195"/>
    </row>
    <row r="2733" spans="1:12" x14ac:dyDescent="0.45">
      <c r="A2733" s="462"/>
      <c r="B2733" s="441"/>
      <c r="C2733" s="194">
        <v>8</v>
      </c>
      <c r="D2733" s="80"/>
      <c r="E2733" s="97"/>
      <c r="F2733" s="97"/>
      <c r="G2733" s="97"/>
      <c r="H2733" s="97"/>
      <c r="I2733" s="97"/>
      <c r="J2733" s="97"/>
      <c r="K2733" s="97"/>
      <c r="L2733" s="195"/>
    </row>
    <row r="2734" spans="1:12" x14ac:dyDescent="0.45">
      <c r="A2734" s="462"/>
      <c r="B2734" s="441"/>
      <c r="C2734" s="194">
        <v>9</v>
      </c>
      <c r="D2734" s="80"/>
      <c r="E2734" s="97"/>
      <c r="F2734" s="97"/>
      <c r="G2734" s="97"/>
      <c r="H2734" s="97"/>
      <c r="I2734" s="97"/>
      <c r="J2734" s="97"/>
      <c r="K2734" s="97"/>
      <c r="L2734" s="195"/>
    </row>
    <row r="2735" spans="1:12" x14ac:dyDescent="0.45">
      <c r="A2735" s="462"/>
      <c r="B2735" s="441"/>
      <c r="C2735" s="194">
        <v>10</v>
      </c>
      <c r="D2735" s="80"/>
      <c r="E2735" s="97"/>
      <c r="F2735" s="97"/>
      <c r="G2735" s="97"/>
      <c r="H2735" s="97"/>
      <c r="I2735" s="97"/>
      <c r="J2735" s="97"/>
      <c r="K2735" s="97"/>
      <c r="L2735" s="195"/>
    </row>
    <row r="2736" spans="1:12" x14ac:dyDescent="0.45">
      <c r="A2736" s="462"/>
      <c r="B2736" s="441"/>
      <c r="C2736" s="194">
        <v>11</v>
      </c>
      <c r="D2736" s="81"/>
      <c r="E2736" s="98"/>
      <c r="F2736" s="98"/>
      <c r="G2736" s="98"/>
      <c r="H2736" s="98"/>
      <c r="I2736" s="98"/>
      <c r="J2736" s="98"/>
      <c r="K2736" s="98"/>
      <c r="L2736" s="196"/>
    </row>
    <row r="2737" spans="1:12" ht="14.65" thickBot="1" x14ac:dyDescent="0.5">
      <c r="A2737" s="463"/>
      <c r="B2737" s="442"/>
      <c r="C2737" s="197">
        <v>12</v>
      </c>
      <c r="D2737" s="82"/>
      <c r="E2737" s="99"/>
      <c r="F2737" s="99"/>
      <c r="G2737" s="99"/>
      <c r="H2737" s="99"/>
      <c r="I2737" s="99"/>
      <c r="J2737" s="99"/>
      <c r="K2737" s="99"/>
      <c r="L2737" s="198"/>
    </row>
    <row r="2738" spans="1:12" x14ac:dyDescent="0.45">
      <c r="A2738" s="461">
        <v>3</v>
      </c>
      <c r="B2738" s="440">
        <v>9</v>
      </c>
      <c r="C2738" s="192">
        <v>1</v>
      </c>
      <c r="D2738" s="79"/>
      <c r="E2738" s="96"/>
      <c r="F2738" s="96"/>
      <c r="G2738" s="96"/>
      <c r="H2738" s="96"/>
      <c r="I2738" s="96"/>
      <c r="J2738" s="96"/>
      <c r="K2738" s="96"/>
      <c r="L2738" s="193"/>
    </row>
    <row r="2739" spans="1:12" x14ac:dyDescent="0.45">
      <c r="A2739" s="462"/>
      <c r="B2739" s="441"/>
      <c r="C2739" s="194">
        <v>2</v>
      </c>
      <c r="D2739" s="80"/>
      <c r="E2739" s="97"/>
      <c r="F2739" s="97"/>
      <c r="G2739" s="97"/>
      <c r="H2739" s="97"/>
      <c r="I2739" s="97"/>
      <c r="J2739" s="97"/>
      <c r="K2739" s="97"/>
      <c r="L2739" s="195"/>
    </row>
    <row r="2740" spans="1:12" x14ac:dyDescent="0.45">
      <c r="A2740" s="462"/>
      <c r="B2740" s="441"/>
      <c r="C2740" s="194">
        <v>3</v>
      </c>
      <c r="D2740" s="80"/>
      <c r="E2740" s="97"/>
      <c r="F2740" s="97"/>
      <c r="G2740" s="97"/>
      <c r="H2740" s="97"/>
      <c r="I2740" s="97"/>
      <c r="J2740" s="97"/>
      <c r="K2740" s="97"/>
      <c r="L2740" s="195"/>
    </row>
    <row r="2741" spans="1:12" x14ac:dyDescent="0.45">
      <c r="A2741" s="462"/>
      <c r="B2741" s="441"/>
      <c r="C2741" s="194">
        <v>4</v>
      </c>
      <c r="D2741" s="80"/>
      <c r="E2741" s="97"/>
      <c r="F2741" s="97"/>
      <c r="G2741" s="97"/>
      <c r="H2741" s="97"/>
      <c r="I2741" s="97"/>
      <c r="J2741" s="97"/>
      <c r="K2741" s="97"/>
      <c r="L2741" s="195"/>
    </row>
    <row r="2742" spans="1:12" x14ac:dyDescent="0.45">
      <c r="A2742" s="462"/>
      <c r="B2742" s="441"/>
      <c r="C2742" s="194">
        <v>5</v>
      </c>
      <c r="D2742" s="80"/>
      <c r="E2742" s="97"/>
      <c r="F2742" s="97"/>
      <c r="G2742" s="97"/>
      <c r="H2742" s="97"/>
      <c r="I2742" s="97"/>
      <c r="J2742" s="97"/>
      <c r="K2742" s="97"/>
      <c r="L2742" s="195"/>
    </row>
    <row r="2743" spans="1:12" x14ac:dyDescent="0.45">
      <c r="A2743" s="462"/>
      <c r="B2743" s="441"/>
      <c r="C2743" s="194">
        <v>6</v>
      </c>
      <c r="D2743" s="80"/>
      <c r="E2743" s="97"/>
      <c r="F2743" s="97"/>
      <c r="G2743" s="97"/>
      <c r="H2743" s="97"/>
      <c r="I2743" s="97"/>
      <c r="J2743" s="97"/>
      <c r="K2743" s="97"/>
      <c r="L2743" s="195"/>
    </row>
    <row r="2744" spans="1:12" x14ac:dyDescent="0.45">
      <c r="A2744" s="462"/>
      <c r="B2744" s="441"/>
      <c r="C2744" s="194">
        <v>7</v>
      </c>
      <c r="D2744" s="80"/>
      <c r="E2744" s="97"/>
      <c r="F2744" s="97"/>
      <c r="G2744" s="97"/>
      <c r="H2744" s="97"/>
      <c r="I2744" s="97"/>
      <c r="J2744" s="97"/>
      <c r="K2744" s="97"/>
      <c r="L2744" s="195"/>
    </row>
    <row r="2745" spans="1:12" x14ac:dyDescent="0.45">
      <c r="A2745" s="462"/>
      <c r="B2745" s="441"/>
      <c r="C2745" s="194">
        <v>8</v>
      </c>
      <c r="D2745" s="80"/>
      <c r="E2745" s="97"/>
      <c r="F2745" s="97"/>
      <c r="G2745" s="97"/>
      <c r="H2745" s="97"/>
      <c r="I2745" s="97"/>
      <c r="J2745" s="97"/>
      <c r="K2745" s="97"/>
      <c r="L2745" s="195"/>
    </row>
    <row r="2746" spans="1:12" x14ac:dyDescent="0.45">
      <c r="A2746" s="462"/>
      <c r="B2746" s="441"/>
      <c r="C2746" s="194">
        <v>9</v>
      </c>
      <c r="D2746" s="80"/>
      <c r="E2746" s="97"/>
      <c r="F2746" s="97"/>
      <c r="G2746" s="97"/>
      <c r="H2746" s="97"/>
      <c r="I2746" s="97"/>
      <c r="J2746" s="97"/>
      <c r="K2746" s="97"/>
      <c r="L2746" s="195"/>
    </row>
    <row r="2747" spans="1:12" x14ac:dyDescent="0.45">
      <c r="A2747" s="462"/>
      <c r="B2747" s="441"/>
      <c r="C2747" s="194">
        <v>10</v>
      </c>
      <c r="D2747" s="80"/>
      <c r="E2747" s="97"/>
      <c r="F2747" s="97"/>
      <c r="G2747" s="97"/>
      <c r="H2747" s="97"/>
      <c r="I2747" s="97"/>
      <c r="J2747" s="97"/>
      <c r="K2747" s="97"/>
      <c r="L2747" s="195"/>
    </row>
    <row r="2748" spans="1:12" x14ac:dyDescent="0.45">
      <c r="A2748" s="462"/>
      <c r="B2748" s="441"/>
      <c r="C2748" s="194">
        <v>11</v>
      </c>
      <c r="D2748" s="81"/>
      <c r="E2748" s="98"/>
      <c r="F2748" s="98"/>
      <c r="G2748" s="98"/>
      <c r="H2748" s="98"/>
      <c r="I2748" s="98"/>
      <c r="J2748" s="98"/>
      <c r="K2748" s="98"/>
      <c r="L2748" s="196"/>
    </row>
    <row r="2749" spans="1:12" ht="14.65" thickBot="1" x14ac:dyDescent="0.5">
      <c r="A2749" s="462"/>
      <c r="B2749" s="442"/>
      <c r="C2749" s="197">
        <v>12</v>
      </c>
      <c r="D2749" s="82"/>
      <c r="E2749" s="99"/>
      <c r="F2749" s="99"/>
      <c r="G2749" s="99"/>
      <c r="H2749" s="99"/>
      <c r="I2749" s="99"/>
      <c r="J2749" s="99"/>
      <c r="K2749" s="99"/>
      <c r="L2749" s="198"/>
    </row>
    <row r="2750" spans="1:12" x14ac:dyDescent="0.45">
      <c r="A2750" s="462"/>
      <c r="B2750" s="440">
        <v>10</v>
      </c>
      <c r="C2750" s="192">
        <v>1</v>
      </c>
      <c r="D2750" s="79"/>
      <c r="E2750" s="96"/>
      <c r="F2750" s="96"/>
      <c r="G2750" s="96"/>
      <c r="H2750" s="96"/>
      <c r="I2750" s="96"/>
      <c r="J2750" s="96"/>
      <c r="K2750" s="96"/>
      <c r="L2750" s="193"/>
    </row>
    <row r="2751" spans="1:12" x14ac:dyDescent="0.45">
      <c r="A2751" s="462"/>
      <c r="B2751" s="441"/>
      <c r="C2751" s="194">
        <v>2</v>
      </c>
      <c r="D2751" s="80"/>
      <c r="E2751" s="97"/>
      <c r="F2751" s="97"/>
      <c r="G2751" s="97"/>
      <c r="H2751" s="97"/>
      <c r="I2751" s="97"/>
      <c r="J2751" s="97"/>
      <c r="K2751" s="97"/>
      <c r="L2751" s="195"/>
    </row>
    <row r="2752" spans="1:12" x14ac:dyDescent="0.45">
      <c r="A2752" s="462"/>
      <c r="B2752" s="441"/>
      <c r="C2752" s="194">
        <v>3</v>
      </c>
      <c r="D2752" s="80"/>
      <c r="E2752" s="97"/>
      <c r="F2752" s="97"/>
      <c r="G2752" s="97"/>
      <c r="H2752" s="97"/>
      <c r="I2752" s="97"/>
      <c r="J2752" s="97"/>
      <c r="K2752" s="97"/>
      <c r="L2752" s="195"/>
    </row>
    <row r="2753" spans="1:12" x14ac:dyDescent="0.45">
      <c r="A2753" s="462"/>
      <c r="B2753" s="441"/>
      <c r="C2753" s="194">
        <v>4</v>
      </c>
      <c r="D2753" s="80"/>
      <c r="E2753" s="97"/>
      <c r="F2753" s="97"/>
      <c r="G2753" s="97"/>
      <c r="H2753" s="97"/>
      <c r="I2753" s="97"/>
      <c r="J2753" s="97"/>
      <c r="K2753" s="97"/>
      <c r="L2753" s="195"/>
    </row>
    <row r="2754" spans="1:12" x14ac:dyDescent="0.45">
      <c r="A2754" s="462"/>
      <c r="B2754" s="441"/>
      <c r="C2754" s="194">
        <v>5</v>
      </c>
      <c r="D2754" s="80"/>
      <c r="E2754" s="97"/>
      <c r="F2754" s="97"/>
      <c r="G2754" s="97"/>
      <c r="H2754" s="97"/>
      <c r="I2754" s="97"/>
      <c r="J2754" s="97"/>
      <c r="K2754" s="97"/>
      <c r="L2754" s="195"/>
    </row>
    <row r="2755" spans="1:12" x14ac:dyDescent="0.45">
      <c r="A2755" s="462"/>
      <c r="B2755" s="441"/>
      <c r="C2755" s="194">
        <v>6</v>
      </c>
      <c r="D2755" s="80"/>
      <c r="E2755" s="97"/>
      <c r="F2755" s="97"/>
      <c r="G2755" s="97"/>
      <c r="H2755" s="97"/>
      <c r="I2755" s="97"/>
      <c r="J2755" s="97"/>
      <c r="K2755" s="97"/>
      <c r="L2755" s="195"/>
    </row>
    <row r="2756" spans="1:12" x14ac:dyDescent="0.45">
      <c r="A2756" s="462"/>
      <c r="B2756" s="441"/>
      <c r="C2756" s="194">
        <v>7</v>
      </c>
      <c r="D2756" s="80"/>
      <c r="E2756" s="97"/>
      <c r="F2756" s="97"/>
      <c r="G2756" s="97"/>
      <c r="H2756" s="97"/>
      <c r="I2756" s="97"/>
      <c r="J2756" s="97"/>
      <c r="K2756" s="97"/>
      <c r="L2756" s="195"/>
    </row>
    <row r="2757" spans="1:12" x14ac:dyDescent="0.45">
      <c r="A2757" s="462"/>
      <c r="B2757" s="441"/>
      <c r="C2757" s="194">
        <v>8</v>
      </c>
      <c r="D2757" s="80"/>
      <c r="E2757" s="97"/>
      <c r="F2757" s="97"/>
      <c r="G2757" s="97"/>
      <c r="H2757" s="97"/>
      <c r="I2757" s="97"/>
      <c r="J2757" s="97"/>
      <c r="K2757" s="97"/>
      <c r="L2757" s="195"/>
    </row>
    <row r="2758" spans="1:12" x14ac:dyDescent="0.45">
      <c r="A2758" s="462"/>
      <c r="B2758" s="441"/>
      <c r="C2758" s="194">
        <v>9</v>
      </c>
      <c r="D2758" s="80"/>
      <c r="E2758" s="97"/>
      <c r="F2758" s="97"/>
      <c r="G2758" s="97"/>
      <c r="H2758" s="97"/>
      <c r="I2758" s="97"/>
      <c r="J2758" s="97"/>
      <c r="K2758" s="97"/>
      <c r="L2758" s="195"/>
    </row>
    <row r="2759" spans="1:12" x14ac:dyDescent="0.45">
      <c r="A2759" s="462"/>
      <c r="B2759" s="441"/>
      <c r="C2759" s="194">
        <v>10</v>
      </c>
      <c r="D2759" s="80"/>
      <c r="E2759" s="97"/>
      <c r="F2759" s="97"/>
      <c r="G2759" s="97"/>
      <c r="H2759" s="97"/>
      <c r="I2759" s="97"/>
      <c r="J2759" s="97"/>
      <c r="K2759" s="97"/>
      <c r="L2759" s="195"/>
    </row>
    <row r="2760" spans="1:12" x14ac:dyDescent="0.45">
      <c r="A2760" s="462"/>
      <c r="B2760" s="441"/>
      <c r="C2760" s="194">
        <v>11</v>
      </c>
      <c r="D2760" s="81"/>
      <c r="E2760" s="98"/>
      <c r="F2760" s="98"/>
      <c r="G2760" s="98"/>
      <c r="H2760" s="98"/>
      <c r="I2760" s="98"/>
      <c r="J2760" s="98"/>
      <c r="K2760" s="98"/>
      <c r="L2760" s="196"/>
    </row>
    <row r="2761" spans="1:12" ht="14.65" thickBot="1" x14ac:dyDescent="0.5">
      <c r="A2761" s="462"/>
      <c r="B2761" s="442"/>
      <c r="C2761" s="197">
        <v>12</v>
      </c>
      <c r="D2761" s="82"/>
      <c r="E2761" s="99"/>
      <c r="F2761" s="99"/>
      <c r="G2761" s="99"/>
      <c r="H2761" s="99"/>
      <c r="I2761" s="99"/>
      <c r="J2761" s="99"/>
      <c r="K2761" s="99"/>
      <c r="L2761" s="198"/>
    </row>
    <row r="2762" spans="1:12" x14ac:dyDescent="0.45">
      <c r="A2762" s="462"/>
      <c r="B2762" s="440">
        <v>11</v>
      </c>
      <c r="C2762" s="192">
        <v>1</v>
      </c>
      <c r="D2762" s="79"/>
      <c r="E2762" s="96"/>
      <c r="F2762" s="96"/>
      <c r="G2762" s="96"/>
      <c r="H2762" s="96"/>
      <c r="I2762" s="96"/>
      <c r="J2762" s="96"/>
      <c r="K2762" s="96"/>
      <c r="L2762" s="193"/>
    </row>
    <row r="2763" spans="1:12" x14ac:dyDescent="0.45">
      <c r="A2763" s="462"/>
      <c r="B2763" s="441"/>
      <c r="C2763" s="194">
        <v>2</v>
      </c>
      <c r="D2763" s="80"/>
      <c r="E2763" s="97"/>
      <c r="F2763" s="97"/>
      <c r="G2763" s="97"/>
      <c r="H2763" s="97"/>
      <c r="I2763" s="97"/>
      <c r="J2763" s="97"/>
      <c r="K2763" s="97"/>
      <c r="L2763" s="195"/>
    </row>
    <row r="2764" spans="1:12" x14ac:dyDescent="0.45">
      <c r="A2764" s="462"/>
      <c r="B2764" s="441"/>
      <c r="C2764" s="194">
        <v>3</v>
      </c>
      <c r="D2764" s="80"/>
      <c r="E2764" s="97"/>
      <c r="F2764" s="97"/>
      <c r="G2764" s="97"/>
      <c r="H2764" s="97"/>
      <c r="I2764" s="97"/>
      <c r="J2764" s="97"/>
      <c r="K2764" s="97"/>
      <c r="L2764" s="195"/>
    </row>
    <row r="2765" spans="1:12" x14ac:dyDescent="0.45">
      <c r="A2765" s="462"/>
      <c r="B2765" s="441"/>
      <c r="C2765" s="194">
        <v>4</v>
      </c>
      <c r="D2765" s="80"/>
      <c r="E2765" s="97"/>
      <c r="F2765" s="97"/>
      <c r="G2765" s="97"/>
      <c r="H2765" s="97"/>
      <c r="I2765" s="97"/>
      <c r="J2765" s="97"/>
      <c r="K2765" s="97"/>
      <c r="L2765" s="195"/>
    </row>
    <row r="2766" spans="1:12" x14ac:dyDescent="0.45">
      <c r="A2766" s="462"/>
      <c r="B2766" s="441"/>
      <c r="C2766" s="194">
        <v>5</v>
      </c>
      <c r="D2766" s="80"/>
      <c r="E2766" s="97"/>
      <c r="F2766" s="97"/>
      <c r="G2766" s="97"/>
      <c r="H2766" s="97"/>
      <c r="I2766" s="97"/>
      <c r="J2766" s="97"/>
      <c r="K2766" s="97"/>
      <c r="L2766" s="195"/>
    </row>
    <row r="2767" spans="1:12" x14ac:dyDescent="0.45">
      <c r="A2767" s="462"/>
      <c r="B2767" s="441"/>
      <c r="C2767" s="194">
        <v>6</v>
      </c>
      <c r="D2767" s="80"/>
      <c r="E2767" s="97"/>
      <c r="F2767" s="97"/>
      <c r="G2767" s="97"/>
      <c r="H2767" s="97"/>
      <c r="I2767" s="97"/>
      <c r="J2767" s="97"/>
      <c r="K2767" s="97"/>
      <c r="L2767" s="195"/>
    </row>
    <row r="2768" spans="1:12" x14ac:dyDescent="0.45">
      <c r="A2768" s="462"/>
      <c r="B2768" s="441"/>
      <c r="C2768" s="194">
        <v>7</v>
      </c>
      <c r="D2768" s="80"/>
      <c r="E2768" s="97"/>
      <c r="F2768" s="97"/>
      <c r="G2768" s="97"/>
      <c r="H2768" s="97"/>
      <c r="I2768" s="97"/>
      <c r="J2768" s="97"/>
      <c r="K2768" s="97"/>
      <c r="L2768" s="195"/>
    </row>
    <row r="2769" spans="1:12" x14ac:dyDescent="0.45">
      <c r="A2769" s="462"/>
      <c r="B2769" s="441"/>
      <c r="C2769" s="194">
        <v>8</v>
      </c>
      <c r="D2769" s="80"/>
      <c r="E2769" s="97"/>
      <c r="F2769" s="97"/>
      <c r="G2769" s="97"/>
      <c r="H2769" s="97"/>
      <c r="I2769" s="97"/>
      <c r="J2769" s="97"/>
      <c r="K2769" s="97"/>
      <c r="L2769" s="195"/>
    </row>
    <row r="2770" spans="1:12" x14ac:dyDescent="0.45">
      <c r="A2770" s="462"/>
      <c r="B2770" s="441"/>
      <c r="C2770" s="194">
        <v>9</v>
      </c>
      <c r="D2770" s="80"/>
      <c r="E2770" s="97"/>
      <c r="F2770" s="97"/>
      <c r="G2770" s="97"/>
      <c r="H2770" s="97"/>
      <c r="I2770" s="97"/>
      <c r="J2770" s="97"/>
      <c r="K2770" s="97"/>
      <c r="L2770" s="195"/>
    </row>
    <row r="2771" spans="1:12" x14ac:dyDescent="0.45">
      <c r="A2771" s="462"/>
      <c r="B2771" s="441"/>
      <c r="C2771" s="194">
        <v>10</v>
      </c>
      <c r="D2771" s="80"/>
      <c r="E2771" s="97"/>
      <c r="F2771" s="97"/>
      <c r="G2771" s="97"/>
      <c r="H2771" s="97"/>
      <c r="I2771" s="97"/>
      <c r="J2771" s="97"/>
      <c r="K2771" s="97"/>
      <c r="L2771" s="195"/>
    </row>
    <row r="2772" spans="1:12" x14ac:dyDescent="0.45">
      <c r="A2772" s="462"/>
      <c r="B2772" s="441"/>
      <c r="C2772" s="194">
        <v>11</v>
      </c>
      <c r="D2772" s="81"/>
      <c r="E2772" s="98"/>
      <c r="F2772" s="98"/>
      <c r="G2772" s="98"/>
      <c r="H2772" s="98"/>
      <c r="I2772" s="98"/>
      <c r="J2772" s="98"/>
      <c r="K2772" s="98"/>
      <c r="L2772" s="196"/>
    </row>
    <row r="2773" spans="1:12" ht="14.65" thickBot="1" x14ac:dyDescent="0.5">
      <c r="A2773" s="462"/>
      <c r="B2773" s="442"/>
      <c r="C2773" s="197">
        <v>12</v>
      </c>
      <c r="D2773" s="82"/>
      <c r="E2773" s="99"/>
      <c r="F2773" s="99"/>
      <c r="G2773" s="99"/>
      <c r="H2773" s="99"/>
      <c r="I2773" s="99"/>
      <c r="J2773" s="99"/>
      <c r="K2773" s="99"/>
      <c r="L2773" s="198"/>
    </row>
    <row r="2774" spans="1:12" x14ac:dyDescent="0.45">
      <c r="A2774" s="462"/>
      <c r="B2774" s="440">
        <v>12</v>
      </c>
      <c r="C2774" s="192">
        <v>1</v>
      </c>
      <c r="D2774" s="79"/>
      <c r="E2774" s="96"/>
      <c r="F2774" s="96"/>
      <c r="G2774" s="96"/>
      <c r="H2774" s="96"/>
      <c r="I2774" s="96"/>
      <c r="J2774" s="96"/>
      <c r="K2774" s="96"/>
      <c r="L2774" s="193"/>
    </row>
    <row r="2775" spans="1:12" x14ac:dyDescent="0.45">
      <c r="A2775" s="462"/>
      <c r="B2775" s="441"/>
      <c r="C2775" s="194">
        <v>2</v>
      </c>
      <c r="D2775" s="80"/>
      <c r="E2775" s="97"/>
      <c r="F2775" s="97"/>
      <c r="G2775" s="97"/>
      <c r="H2775" s="97"/>
      <c r="I2775" s="97"/>
      <c r="J2775" s="97"/>
      <c r="K2775" s="97"/>
      <c r="L2775" s="195"/>
    </row>
    <row r="2776" spans="1:12" x14ac:dyDescent="0.45">
      <c r="A2776" s="462"/>
      <c r="B2776" s="441"/>
      <c r="C2776" s="194">
        <v>3</v>
      </c>
      <c r="D2776" s="80"/>
      <c r="E2776" s="97"/>
      <c r="F2776" s="97"/>
      <c r="G2776" s="97"/>
      <c r="H2776" s="97"/>
      <c r="I2776" s="97"/>
      <c r="J2776" s="97"/>
      <c r="K2776" s="97"/>
      <c r="L2776" s="195"/>
    </row>
    <row r="2777" spans="1:12" x14ac:dyDescent="0.45">
      <c r="A2777" s="462"/>
      <c r="B2777" s="441"/>
      <c r="C2777" s="194">
        <v>4</v>
      </c>
      <c r="D2777" s="80"/>
      <c r="E2777" s="97"/>
      <c r="F2777" s="97"/>
      <c r="G2777" s="97"/>
      <c r="H2777" s="97"/>
      <c r="I2777" s="97"/>
      <c r="J2777" s="97"/>
      <c r="K2777" s="97"/>
      <c r="L2777" s="195"/>
    </row>
    <row r="2778" spans="1:12" x14ac:dyDescent="0.45">
      <c r="A2778" s="462"/>
      <c r="B2778" s="441"/>
      <c r="C2778" s="194">
        <v>5</v>
      </c>
      <c r="D2778" s="80"/>
      <c r="E2778" s="97"/>
      <c r="F2778" s="97"/>
      <c r="G2778" s="97"/>
      <c r="H2778" s="97"/>
      <c r="I2778" s="97"/>
      <c r="J2778" s="97"/>
      <c r="K2778" s="97"/>
      <c r="L2778" s="195"/>
    </row>
    <row r="2779" spans="1:12" x14ac:dyDescent="0.45">
      <c r="A2779" s="462"/>
      <c r="B2779" s="441"/>
      <c r="C2779" s="194">
        <v>6</v>
      </c>
      <c r="D2779" s="80"/>
      <c r="E2779" s="97"/>
      <c r="F2779" s="97"/>
      <c r="G2779" s="97"/>
      <c r="H2779" s="97"/>
      <c r="I2779" s="97"/>
      <c r="J2779" s="97"/>
      <c r="K2779" s="97"/>
      <c r="L2779" s="195"/>
    </row>
    <row r="2780" spans="1:12" x14ac:dyDescent="0.45">
      <c r="A2780" s="462"/>
      <c r="B2780" s="441"/>
      <c r="C2780" s="194">
        <v>7</v>
      </c>
      <c r="D2780" s="80"/>
      <c r="E2780" s="97"/>
      <c r="F2780" s="97"/>
      <c r="G2780" s="97"/>
      <c r="H2780" s="97"/>
      <c r="I2780" s="97"/>
      <c r="J2780" s="97"/>
      <c r="K2780" s="97"/>
      <c r="L2780" s="195"/>
    </row>
    <row r="2781" spans="1:12" x14ac:dyDescent="0.45">
      <c r="A2781" s="462"/>
      <c r="B2781" s="441"/>
      <c r="C2781" s="194">
        <v>8</v>
      </c>
      <c r="D2781" s="80"/>
      <c r="E2781" s="97"/>
      <c r="F2781" s="97"/>
      <c r="G2781" s="97"/>
      <c r="H2781" s="97"/>
      <c r="I2781" s="97"/>
      <c r="J2781" s="97"/>
      <c r="K2781" s="97"/>
      <c r="L2781" s="195"/>
    </row>
    <row r="2782" spans="1:12" x14ac:dyDescent="0.45">
      <c r="A2782" s="462"/>
      <c r="B2782" s="441"/>
      <c r="C2782" s="194">
        <v>9</v>
      </c>
      <c r="D2782" s="80"/>
      <c r="E2782" s="97"/>
      <c r="F2782" s="97"/>
      <c r="G2782" s="97"/>
      <c r="H2782" s="97"/>
      <c r="I2782" s="97"/>
      <c r="J2782" s="97"/>
      <c r="K2782" s="97"/>
      <c r="L2782" s="195"/>
    </row>
    <row r="2783" spans="1:12" x14ac:dyDescent="0.45">
      <c r="A2783" s="462"/>
      <c r="B2783" s="441"/>
      <c r="C2783" s="194">
        <v>10</v>
      </c>
      <c r="D2783" s="80"/>
      <c r="E2783" s="97"/>
      <c r="F2783" s="97"/>
      <c r="G2783" s="97"/>
      <c r="H2783" s="97"/>
      <c r="I2783" s="97"/>
      <c r="J2783" s="97"/>
      <c r="K2783" s="97"/>
      <c r="L2783" s="195"/>
    </row>
    <row r="2784" spans="1:12" x14ac:dyDescent="0.45">
      <c r="A2784" s="462"/>
      <c r="B2784" s="441"/>
      <c r="C2784" s="194">
        <v>11</v>
      </c>
      <c r="D2784" s="81"/>
      <c r="E2784" s="98"/>
      <c r="F2784" s="98"/>
      <c r="G2784" s="98"/>
      <c r="H2784" s="98"/>
      <c r="I2784" s="98"/>
      <c r="J2784" s="98"/>
      <c r="K2784" s="98"/>
      <c r="L2784" s="196"/>
    </row>
    <row r="2785" spans="1:12" ht="14.65" thickBot="1" x14ac:dyDescent="0.5">
      <c r="A2785" s="463"/>
      <c r="B2785" s="442"/>
      <c r="C2785" s="199">
        <v>12</v>
      </c>
      <c r="D2785" s="82"/>
      <c r="E2785" s="99"/>
      <c r="F2785" s="99"/>
      <c r="G2785" s="99"/>
      <c r="H2785" s="99"/>
      <c r="I2785" s="99"/>
      <c r="J2785" s="99"/>
      <c r="K2785" s="99"/>
      <c r="L2785" s="198"/>
    </row>
    <row r="2787" spans="1:12" s="91" customFormat="1" x14ac:dyDescent="0.45"/>
    <row r="2788" spans="1:12" ht="14.65" thickBot="1" x14ac:dyDescent="0.5"/>
    <row r="2789" spans="1:12" ht="28.9" thickBot="1" x14ac:dyDescent="0.5">
      <c r="A2789" s="187" t="s">
        <v>76</v>
      </c>
      <c r="B2789" s="186">
        <v>19</v>
      </c>
      <c r="C2789" s="109"/>
      <c r="D2789" s="109"/>
    </row>
    <row r="2790" spans="1:12" x14ac:dyDescent="0.45">
      <c r="A2790" s="443" t="s">
        <v>27</v>
      </c>
      <c r="B2790" s="448">
        <f>Name19</f>
        <v>0</v>
      </c>
      <c r="C2790" s="449"/>
      <c r="D2790" s="450"/>
      <c r="I2790" s="204"/>
      <c r="J2790" s="204"/>
      <c r="K2790" s="204"/>
      <c r="L2790" s="204"/>
    </row>
    <row r="2791" spans="1:12" x14ac:dyDescent="0.45">
      <c r="A2791" s="444"/>
      <c r="B2791" s="448"/>
      <c r="C2791" s="449"/>
      <c r="D2791" s="450"/>
      <c r="I2791" s="204"/>
      <c r="J2791" s="204"/>
      <c r="K2791" s="204"/>
      <c r="L2791" s="204"/>
    </row>
    <row r="2792" spans="1:12" x14ac:dyDescent="0.45">
      <c r="A2792" s="445"/>
      <c r="B2792" s="388"/>
      <c r="C2792" s="451"/>
      <c r="D2792" s="452"/>
      <c r="I2792" s="204"/>
      <c r="J2792" s="204"/>
      <c r="K2792" s="204"/>
      <c r="L2792" s="204"/>
    </row>
    <row r="2793" spans="1:12" ht="14.45" customHeight="1" x14ac:dyDescent="0.45">
      <c r="A2793" s="444" t="s">
        <v>155</v>
      </c>
      <c r="B2793" s="453">
        <f>GapA19</f>
        <v>0</v>
      </c>
      <c r="C2793" s="454"/>
      <c r="D2793" s="455"/>
      <c r="I2793" s="204"/>
      <c r="J2793" s="204"/>
      <c r="K2793" s="204"/>
      <c r="L2793" s="204"/>
    </row>
    <row r="2794" spans="1:12" x14ac:dyDescent="0.45">
      <c r="A2794" s="444"/>
      <c r="B2794" s="448"/>
      <c r="C2794" s="449"/>
      <c r="D2794" s="450"/>
      <c r="I2794" s="204"/>
      <c r="J2794" s="204"/>
      <c r="K2794" s="204"/>
      <c r="L2794" s="204"/>
    </row>
    <row r="2795" spans="1:12" x14ac:dyDescent="0.45">
      <c r="A2795" s="445"/>
      <c r="B2795" s="388"/>
      <c r="C2795" s="451"/>
      <c r="D2795" s="452"/>
      <c r="I2795" s="204"/>
      <c r="J2795" s="204"/>
      <c r="K2795" s="204"/>
      <c r="L2795" s="204"/>
    </row>
    <row r="2796" spans="1:12" x14ac:dyDescent="0.45">
      <c r="A2796" s="444" t="s">
        <v>159</v>
      </c>
      <c r="B2796" s="453">
        <f>Objective19</f>
        <v>0</v>
      </c>
      <c r="C2796" s="454"/>
      <c r="D2796" s="455"/>
      <c r="I2796" s="204"/>
      <c r="J2796" s="204"/>
      <c r="K2796" s="204"/>
      <c r="L2796" s="204"/>
    </row>
    <row r="2797" spans="1:12" x14ac:dyDescent="0.45">
      <c r="A2797" s="444"/>
      <c r="B2797" s="448"/>
      <c r="C2797" s="449"/>
      <c r="D2797" s="450"/>
      <c r="I2797" s="204"/>
      <c r="J2797" s="204"/>
      <c r="K2797" s="204"/>
      <c r="L2797" s="204"/>
    </row>
    <row r="2798" spans="1:12" x14ac:dyDescent="0.45">
      <c r="A2798" s="445"/>
      <c r="B2798" s="388"/>
      <c r="C2798" s="451"/>
      <c r="D2798" s="452"/>
      <c r="I2798" s="204"/>
      <c r="J2798" s="204"/>
      <c r="K2798" s="204"/>
      <c r="L2798" s="204"/>
    </row>
    <row r="2799" spans="1:12" ht="14.45" customHeight="1" x14ac:dyDescent="0.45">
      <c r="A2799" s="446" t="s">
        <v>166</v>
      </c>
      <c r="B2799" s="454">
        <f>Capacity19</f>
        <v>0</v>
      </c>
      <c r="C2799" s="454"/>
      <c r="D2799" s="455"/>
      <c r="I2799" s="204"/>
      <c r="J2799" s="204"/>
      <c r="K2799" s="204"/>
      <c r="L2799" s="204"/>
    </row>
    <row r="2800" spans="1:12" x14ac:dyDescent="0.45">
      <c r="A2800" s="447"/>
      <c r="B2800" s="449"/>
      <c r="C2800" s="449"/>
      <c r="D2800" s="450"/>
      <c r="I2800" s="204"/>
      <c r="J2800" s="204"/>
      <c r="K2800" s="204"/>
      <c r="L2800" s="204"/>
    </row>
    <row r="2801" spans="1:14" ht="14.65" thickBot="1" x14ac:dyDescent="0.5">
      <c r="A2801" s="464"/>
      <c r="B2801" s="456"/>
      <c r="C2801" s="456"/>
      <c r="D2801" s="457"/>
      <c r="I2801" s="204"/>
      <c r="J2801" s="204"/>
      <c r="K2801" s="204"/>
      <c r="L2801" s="204"/>
    </row>
    <row r="2803" spans="1:14" ht="14.65" thickBot="1" x14ac:dyDescent="0.5">
      <c r="A2803" s="90"/>
      <c r="B2803" s="90"/>
      <c r="C2803" s="90"/>
      <c r="D2803" s="90"/>
      <c r="E2803" s="90"/>
      <c r="F2803" s="90"/>
      <c r="G2803" s="90"/>
      <c r="H2803" s="90"/>
      <c r="I2803" s="90"/>
      <c r="J2803" s="90"/>
      <c r="K2803" s="90"/>
      <c r="L2803" s="90"/>
      <c r="M2803" s="204"/>
      <c r="N2803" s="204"/>
    </row>
    <row r="2804" spans="1:14" ht="21.75" customHeight="1" x14ac:dyDescent="0.45">
      <c r="A2804" s="458" t="s">
        <v>135</v>
      </c>
      <c r="B2804" s="459"/>
      <c r="C2804" s="459"/>
      <c r="D2804" s="459"/>
      <c r="E2804" s="459"/>
      <c r="F2804" s="459"/>
      <c r="G2804" s="459"/>
      <c r="H2804" s="459"/>
      <c r="I2804" s="459"/>
      <c r="J2804" s="459"/>
      <c r="K2804" s="459"/>
      <c r="L2804" s="460"/>
    </row>
    <row r="2805" spans="1:14" ht="29" customHeight="1" thickBot="1" x14ac:dyDescent="0.5">
      <c r="A2805" s="93" t="s">
        <v>74</v>
      </c>
      <c r="B2805" s="94" t="s">
        <v>28</v>
      </c>
      <c r="C2805" s="95" t="s">
        <v>320</v>
      </c>
      <c r="D2805" s="95" t="s">
        <v>127</v>
      </c>
      <c r="E2805" s="114" t="s">
        <v>90</v>
      </c>
      <c r="F2805" s="95" t="s">
        <v>175</v>
      </c>
      <c r="G2805" s="95" t="s">
        <v>176</v>
      </c>
      <c r="H2805" s="95" t="s">
        <v>156</v>
      </c>
      <c r="I2805" s="95" t="s">
        <v>157</v>
      </c>
      <c r="J2805" s="189" t="s">
        <v>321</v>
      </c>
      <c r="K2805" s="190" t="s">
        <v>29</v>
      </c>
      <c r="L2805" s="191" t="s">
        <v>322</v>
      </c>
    </row>
    <row r="2806" spans="1:14" x14ac:dyDescent="0.45">
      <c r="A2806" s="461">
        <v>1</v>
      </c>
      <c r="B2806" s="440">
        <v>1</v>
      </c>
      <c r="C2806" s="192">
        <v>1</v>
      </c>
      <c r="D2806" s="79"/>
      <c r="E2806" s="96"/>
      <c r="F2806" s="96"/>
      <c r="G2806" s="96"/>
      <c r="H2806" s="96"/>
      <c r="I2806" s="96"/>
      <c r="J2806" s="96"/>
      <c r="K2806" s="96"/>
      <c r="L2806" s="193"/>
    </row>
    <row r="2807" spans="1:14" x14ac:dyDescent="0.45">
      <c r="A2807" s="462"/>
      <c r="B2807" s="441"/>
      <c r="C2807" s="194">
        <v>2</v>
      </c>
      <c r="D2807" s="80"/>
      <c r="E2807" s="97"/>
      <c r="F2807" s="97"/>
      <c r="G2807" s="97"/>
      <c r="H2807" s="97"/>
      <c r="I2807" s="97"/>
      <c r="J2807" s="97"/>
      <c r="K2807" s="97"/>
      <c r="L2807" s="195"/>
    </row>
    <row r="2808" spans="1:14" x14ac:dyDescent="0.45">
      <c r="A2808" s="462"/>
      <c r="B2808" s="441"/>
      <c r="C2808" s="194">
        <v>3</v>
      </c>
      <c r="D2808" s="80"/>
      <c r="E2808" s="97"/>
      <c r="F2808" s="97"/>
      <c r="G2808" s="97"/>
      <c r="H2808" s="97"/>
      <c r="I2808" s="97"/>
      <c r="J2808" s="97"/>
      <c r="K2808" s="97"/>
      <c r="L2808" s="195"/>
    </row>
    <row r="2809" spans="1:14" x14ac:dyDescent="0.45">
      <c r="A2809" s="462"/>
      <c r="B2809" s="441"/>
      <c r="C2809" s="194">
        <v>4</v>
      </c>
      <c r="D2809" s="80"/>
      <c r="E2809" s="97"/>
      <c r="F2809" s="97"/>
      <c r="G2809" s="97"/>
      <c r="H2809" s="97"/>
      <c r="I2809" s="97"/>
      <c r="J2809" s="97"/>
      <c r="K2809" s="97"/>
      <c r="L2809" s="195"/>
    </row>
    <row r="2810" spans="1:14" x14ac:dyDescent="0.45">
      <c r="A2810" s="462"/>
      <c r="B2810" s="441"/>
      <c r="C2810" s="194">
        <v>5</v>
      </c>
      <c r="D2810" s="80"/>
      <c r="E2810" s="97"/>
      <c r="F2810" s="97"/>
      <c r="G2810" s="97"/>
      <c r="H2810" s="97"/>
      <c r="I2810" s="97"/>
      <c r="J2810" s="97"/>
      <c r="K2810" s="97"/>
      <c r="L2810" s="195"/>
    </row>
    <row r="2811" spans="1:14" x14ac:dyDescent="0.45">
      <c r="A2811" s="462"/>
      <c r="B2811" s="441"/>
      <c r="C2811" s="194">
        <v>6</v>
      </c>
      <c r="D2811" s="80"/>
      <c r="E2811" s="97"/>
      <c r="F2811" s="97"/>
      <c r="G2811" s="97"/>
      <c r="H2811" s="97"/>
      <c r="I2811" s="97"/>
      <c r="J2811" s="97"/>
      <c r="K2811" s="97"/>
      <c r="L2811" s="195"/>
    </row>
    <row r="2812" spans="1:14" x14ac:dyDescent="0.45">
      <c r="A2812" s="462"/>
      <c r="B2812" s="441"/>
      <c r="C2812" s="194">
        <v>7</v>
      </c>
      <c r="D2812" s="80"/>
      <c r="E2812" s="97"/>
      <c r="F2812" s="97"/>
      <c r="G2812" s="97"/>
      <c r="H2812" s="97"/>
      <c r="I2812" s="97"/>
      <c r="J2812" s="97"/>
      <c r="K2812" s="97"/>
      <c r="L2812" s="195"/>
    </row>
    <row r="2813" spans="1:14" x14ac:dyDescent="0.45">
      <c r="A2813" s="462"/>
      <c r="B2813" s="441"/>
      <c r="C2813" s="194">
        <v>8</v>
      </c>
      <c r="D2813" s="80"/>
      <c r="E2813" s="97"/>
      <c r="F2813" s="97"/>
      <c r="G2813" s="97"/>
      <c r="H2813" s="97"/>
      <c r="I2813" s="97"/>
      <c r="J2813" s="97"/>
      <c r="K2813" s="97"/>
      <c r="L2813" s="195"/>
    </row>
    <row r="2814" spans="1:14" x14ac:dyDescent="0.45">
      <c r="A2814" s="462"/>
      <c r="B2814" s="441"/>
      <c r="C2814" s="194">
        <v>9</v>
      </c>
      <c r="D2814" s="80"/>
      <c r="E2814" s="97"/>
      <c r="F2814" s="97"/>
      <c r="G2814" s="97"/>
      <c r="H2814" s="97"/>
      <c r="I2814" s="97"/>
      <c r="J2814" s="97"/>
      <c r="K2814" s="97"/>
      <c r="L2814" s="195"/>
    </row>
    <row r="2815" spans="1:14" x14ac:dyDescent="0.45">
      <c r="A2815" s="462"/>
      <c r="B2815" s="441"/>
      <c r="C2815" s="194">
        <v>10</v>
      </c>
      <c r="D2815" s="80"/>
      <c r="E2815" s="97"/>
      <c r="F2815" s="97"/>
      <c r="G2815" s="97"/>
      <c r="H2815" s="97"/>
      <c r="I2815" s="97"/>
      <c r="J2815" s="97"/>
      <c r="K2815" s="97"/>
      <c r="L2815" s="195"/>
    </row>
    <row r="2816" spans="1:14" x14ac:dyDescent="0.45">
      <c r="A2816" s="462"/>
      <c r="B2816" s="441"/>
      <c r="C2816" s="194">
        <v>11</v>
      </c>
      <c r="D2816" s="81"/>
      <c r="E2816" s="98"/>
      <c r="F2816" s="98"/>
      <c r="G2816" s="98"/>
      <c r="H2816" s="98"/>
      <c r="I2816" s="98"/>
      <c r="J2816" s="98"/>
      <c r="K2816" s="98"/>
      <c r="L2816" s="196"/>
    </row>
    <row r="2817" spans="1:14" s="90" customFormat="1" ht="14.65" thickBot="1" x14ac:dyDescent="0.5">
      <c r="A2817" s="462"/>
      <c r="B2817" s="442"/>
      <c r="C2817" s="197">
        <v>12</v>
      </c>
      <c r="D2817" s="82"/>
      <c r="E2817" s="99"/>
      <c r="F2817" s="99"/>
      <c r="G2817" s="99"/>
      <c r="H2817" s="99"/>
      <c r="I2817" s="99"/>
      <c r="J2817" s="99"/>
      <c r="K2817" s="99"/>
      <c r="L2817" s="198"/>
      <c r="M2817" s="61"/>
      <c r="N2817" s="61"/>
    </row>
    <row r="2818" spans="1:14" x14ac:dyDescent="0.45">
      <c r="A2818" s="462"/>
      <c r="B2818" s="440">
        <v>2</v>
      </c>
      <c r="C2818" s="192">
        <v>1</v>
      </c>
      <c r="D2818" s="79"/>
      <c r="E2818" s="96"/>
      <c r="F2818" s="96"/>
      <c r="G2818" s="96"/>
      <c r="H2818" s="96"/>
      <c r="I2818" s="96"/>
      <c r="J2818" s="96"/>
      <c r="K2818" s="96"/>
      <c r="L2818" s="193"/>
    </row>
    <row r="2819" spans="1:14" x14ac:dyDescent="0.45">
      <c r="A2819" s="462"/>
      <c r="B2819" s="441"/>
      <c r="C2819" s="194">
        <v>2</v>
      </c>
      <c r="D2819" s="80"/>
      <c r="E2819" s="97"/>
      <c r="F2819" s="97"/>
      <c r="G2819" s="97"/>
      <c r="H2819" s="97"/>
      <c r="I2819" s="97"/>
      <c r="J2819" s="97"/>
      <c r="K2819" s="97"/>
      <c r="L2819" s="195"/>
    </row>
    <row r="2820" spans="1:14" x14ac:dyDescent="0.45">
      <c r="A2820" s="462"/>
      <c r="B2820" s="441"/>
      <c r="C2820" s="194">
        <v>3</v>
      </c>
      <c r="D2820" s="80"/>
      <c r="E2820" s="97"/>
      <c r="F2820" s="97"/>
      <c r="G2820" s="97"/>
      <c r="H2820" s="97"/>
      <c r="I2820" s="97"/>
      <c r="J2820" s="97"/>
      <c r="K2820" s="97"/>
      <c r="L2820" s="195"/>
    </row>
    <row r="2821" spans="1:14" x14ac:dyDescent="0.45">
      <c r="A2821" s="462"/>
      <c r="B2821" s="441"/>
      <c r="C2821" s="194">
        <v>4</v>
      </c>
      <c r="D2821" s="80"/>
      <c r="E2821" s="97"/>
      <c r="F2821" s="97"/>
      <c r="G2821" s="97"/>
      <c r="H2821" s="97"/>
      <c r="I2821" s="97"/>
      <c r="J2821" s="97"/>
      <c r="K2821" s="97"/>
      <c r="L2821" s="195"/>
    </row>
    <row r="2822" spans="1:14" x14ac:dyDescent="0.45">
      <c r="A2822" s="462"/>
      <c r="B2822" s="441"/>
      <c r="C2822" s="194">
        <v>5</v>
      </c>
      <c r="D2822" s="80"/>
      <c r="E2822" s="97"/>
      <c r="F2822" s="97"/>
      <c r="G2822" s="97"/>
      <c r="H2822" s="97"/>
      <c r="I2822" s="97"/>
      <c r="J2822" s="97"/>
      <c r="K2822" s="97"/>
      <c r="L2822" s="195"/>
    </row>
    <row r="2823" spans="1:14" x14ac:dyDescent="0.45">
      <c r="A2823" s="462"/>
      <c r="B2823" s="441"/>
      <c r="C2823" s="194">
        <v>6</v>
      </c>
      <c r="D2823" s="80"/>
      <c r="E2823" s="97"/>
      <c r="F2823" s="97"/>
      <c r="G2823" s="97"/>
      <c r="H2823" s="97"/>
      <c r="I2823" s="97"/>
      <c r="J2823" s="97"/>
      <c r="K2823" s="97"/>
      <c r="L2823" s="195"/>
    </row>
    <row r="2824" spans="1:14" x14ac:dyDescent="0.45">
      <c r="A2824" s="462"/>
      <c r="B2824" s="441"/>
      <c r="C2824" s="194">
        <v>7</v>
      </c>
      <c r="D2824" s="80"/>
      <c r="E2824" s="97"/>
      <c r="F2824" s="97"/>
      <c r="G2824" s="97"/>
      <c r="H2824" s="97"/>
      <c r="I2824" s="97"/>
      <c r="J2824" s="97"/>
      <c r="K2824" s="97"/>
      <c r="L2824" s="195"/>
    </row>
    <row r="2825" spans="1:14" x14ac:dyDescent="0.45">
      <c r="A2825" s="462"/>
      <c r="B2825" s="441"/>
      <c r="C2825" s="194">
        <v>8</v>
      </c>
      <c r="D2825" s="80"/>
      <c r="E2825" s="97"/>
      <c r="F2825" s="97"/>
      <c r="G2825" s="97"/>
      <c r="H2825" s="97"/>
      <c r="I2825" s="97"/>
      <c r="J2825" s="97"/>
      <c r="K2825" s="97"/>
      <c r="L2825" s="195"/>
    </row>
    <row r="2826" spans="1:14" x14ac:dyDescent="0.45">
      <c r="A2826" s="462"/>
      <c r="B2826" s="441"/>
      <c r="C2826" s="194">
        <v>9</v>
      </c>
      <c r="D2826" s="80"/>
      <c r="E2826" s="97"/>
      <c r="F2826" s="97"/>
      <c r="G2826" s="97"/>
      <c r="H2826" s="97"/>
      <c r="I2826" s="97"/>
      <c r="J2826" s="97"/>
      <c r="K2826" s="97"/>
      <c r="L2826" s="195"/>
    </row>
    <row r="2827" spans="1:14" x14ac:dyDescent="0.45">
      <c r="A2827" s="462"/>
      <c r="B2827" s="441"/>
      <c r="C2827" s="194">
        <v>10</v>
      </c>
      <c r="D2827" s="80"/>
      <c r="E2827" s="97"/>
      <c r="F2827" s="97"/>
      <c r="G2827" s="97"/>
      <c r="H2827" s="97"/>
      <c r="I2827" s="97"/>
      <c r="J2827" s="97"/>
      <c r="K2827" s="97"/>
      <c r="L2827" s="195"/>
    </row>
    <row r="2828" spans="1:14" x14ac:dyDescent="0.45">
      <c r="A2828" s="462"/>
      <c r="B2828" s="441"/>
      <c r="C2828" s="194">
        <v>11</v>
      </c>
      <c r="D2828" s="81"/>
      <c r="E2828" s="98"/>
      <c r="F2828" s="98"/>
      <c r="G2828" s="98"/>
      <c r="H2828" s="98"/>
      <c r="I2828" s="98"/>
      <c r="J2828" s="98"/>
      <c r="K2828" s="98"/>
      <c r="L2828" s="196"/>
    </row>
    <row r="2829" spans="1:14" ht="14.65" thickBot="1" x14ac:dyDescent="0.5">
      <c r="A2829" s="462"/>
      <c r="B2829" s="442"/>
      <c r="C2829" s="197">
        <v>12</v>
      </c>
      <c r="D2829" s="82"/>
      <c r="E2829" s="99"/>
      <c r="F2829" s="99"/>
      <c r="G2829" s="99"/>
      <c r="H2829" s="99"/>
      <c r="I2829" s="99"/>
      <c r="J2829" s="99"/>
      <c r="K2829" s="99"/>
      <c r="L2829" s="198"/>
    </row>
    <row r="2830" spans="1:14" x14ac:dyDescent="0.45">
      <c r="A2830" s="462"/>
      <c r="B2830" s="440">
        <v>3</v>
      </c>
      <c r="C2830" s="192">
        <v>1</v>
      </c>
      <c r="D2830" s="79"/>
      <c r="E2830" s="96"/>
      <c r="F2830" s="96"/>
      <c r="G2830" s="96"/>
      <c r="H2830" s="96"/>
      <c r="I2830" s="96"/>
      <c r="J2830" s="96"/>
      <c r="K2830" s="96"/>
      <c r="L2830" s="193"/>
    </row>
    <row r="2831" spans="1:14" x14ac:dyDescent="0.45">
      <c r="A2831" s="462"/>
      <c r="B2831" s="441"/>
      <c r="C2831" s="194">
        <v>2</v>
      </c>
      <c r="D2831" s="80"/>
      <c r="E2831" s="97"/>
      <c r="F2831" s="97"/>
      <c r="G2831" s="97"/>
      <c r="H2831" s="97"/>
      <c r="I2831" s="97"/>
      <c r="J2831" s="97"/>
      <c r="K2831" s="97"/>
      <c r="L2831" s="195"/>
    </row>
    <row r="2832" spans="1:14" x14ac:dyDescent="0.45">
      <c r="A2832" s="462"/>
      <c r="B2832" s="441"/>
      <c r="C2832" s="194">
        <v>3</v>
      </c>
      <c r="D2832" s="80"/>
      <c r="E2832" s="97"/>
      <c r="F2832" s="97"/>
      <c r="G2832" s="97"/>
      <c r="H2832" s="97"/>
      <c r="I2832" s="97"/>
      <c r="J2832" s="97"/>
      <c r="K2832" s="97"/>
      <c r="L2832" s="195"/>
    </row>
    <row r="2833" spans="1:12" x14ac:dyDescent="0.45">
      <c r="A2833" s="462"/>
      <c r="B2833" s="441"/>
      <c r="C2833" s="194">
        <v>4</v>
      </c>
      <c r="D2833" s="80"/>
      <c r="E2833" s="97"/>
      <c r="F2833" s="97"/>
      <c r="G2833" s="97"/>
      <c r="H2833" s="97"/>
      <c r="I2833" s="97"/>
      <c r="J2833" s="97"/>
      <c r="K2833" s="97"/>
      <c r="L2833" s="195"/>
    </row>
    <row r="2834" spans="1:12" x14ac:dyDescent="0.45">
      <c r="A2834" s="462"/>
      <c r="B2834" s="441"/>
      <c r="C2834" s="194">
        <v>5</v>
      </c>
      <c r="D2834" s="80"/>
      <c r="E2834" s="97"/>
      <c r="F2834" s="97"/>
      <c r="G2834" s="97"/>
      <c r="H2834" s="97"/>
      <c r="I2834" s="97"/>
      <c r="J2834" s="97"/>
      <c r="K2834" s="97"/>
      <c r="L2834" s="195"/>
    </row>
    <row r="2835" spans="1:12" x14ac:dyDescent="0.45">
      <c r="A2835" s="462"/>
      <c r="B2835" s="441"/>
      <c r="C2835" s="194">
        <v>6</v>
      </c>
      <c r="D2835" s="80"/>
      <c r="E2835" s="97"/>
      <c r="F2835" s="97"/>
      <c r="G2835" s="97"/>
      <c r="H2835" s="97"/>
      <c r="I2835" s="97"/>
      <c r="J2835" s="97"/>
      <c r="K2835" s="97"/>
      <c r="L2835" s="195"/>
    </row>
    <row r="2836" spans="1:12" x14ac:dyDescent="0.45">
      <c r="A2836" s="462"/>
      <c r="B2836" s="441"/>
      <c r="C2836" s="194">
        <v>7</v>
      </c>
      <c r="D2836" s="80"/>
      <c r="E2836" s="97"/>
      <c r="F2836" s="97"/>
      <c r="G2836" s="97"/>
      <c r="H2836" s="97"/>
      <c r="I2836" s="97"/>
      <c r="J2836" s="97"/>
      <c r="K2836" s="97"/>
      <c r="L2836" s="195"/>
    </row>
    <row r="2837" spans="1:12" x14ac:dyDescent="0.45">
      <c r="A2837" s="462"/>
      <c r="B2837" s="441"/>
      <c r="C2837" s="194">
        <v>8</v>
      </c>
      <c r="D2837" s="80"/>
      <c r="E2837" s="97"/>
      <c r="F2837" s="97"/>
      <c r="G2837" s="97"/>
      <c r="H2837" s="97"/>
      <c r="I2837" s="97"/>
      <c r="J2837" s="97"/>
      <c r="K2837" s="97"/>
      <c r="L2837" s="195"/>
    </row>
    <row r="2838" spans="1:12" x14ac:dyDescent="0.45">
      <c r="A2838" s="462"/>
      <c r="B2838" s="441"/>
      <c r="C2838" s="194">
        <v>9</v>
      </c>
      <c r="D2838" s="80"/>
      <c r="E2838" s="97"/>
      <c r="F2838" s="97"/>
      <c r="G2838" s="97"/>
      <c r="H2838" s="97"/>
      <c r="I2838" s="97"/>
      <c r="J2838" s="97"/>
      <c r="K2838" s="97"/>
      <c r="L2838" s="195"/>
    </row>
    <row r="2839" spans="1:12" x14ac:dyDescent="0.45">
      <c r="A2839" s="462"/>
      <c r="B2839" s="441"/>
      <c r="C2839" s="194">
        <v>10</v>
      </c>
      <c r="D2839" s="80"/>
      <c r="E2839" s="97"/>
      <c r="F2839" s="97"/>
      <c r="G2839" s="97"/>
      <c r="H2839" s="97"/>
      <c r="I2839" s="97"/>
      <c r="J2839" s="97"/>
      <c r="K2839" s="97"/>
      <c r="L2839" s="195"/>
    </row>
    <row r="2840" spans="1:12" x14ac:dyDescent="0.45">
      <c r="A2840" s="462"/>
      <c r="B2840" s="441"/>
      <c r="C2840" s="194">
        <v>11</v>
      </c>
      <c r="D2840" s="81"/>
      <c r="E2840" s="98"/>
      <c r="F2840" s="98"/>
      <c r="G2840" s="98"/>
      <c r="H2840" s="98"/>
      <c r="I2840" s="98"/>
      <c r="J2840" s="98"/>
      <c r="K2840" s="98"/>
      <c r="L2840" s="196"/>
    </row>
    <row r="2841" spans="1:12" ht="14.65" thickBot="1" x14ac:dyDescent="0.5">
      <c r="A2841" s="462"/>
      <c r="B2841" s="442"/>
      <c r="C2841" s="197">
        <v>12</v>
      </c>
      <c r="D2841" s="82"/>
      <c r="E2841" s="99"/>
      <c r="F2841" s="99"/>
      <c r="G2841" s="99"/>
      <c r="H2841" s="99"/>
      <c r="I2841" s="99"/>
      <c r="J2841" s="99"/>
      <c r="K2841" s="99"/>
      <c r="L2841" s="198"/>
    </row>
    <row r="2842" spans="1:12" x14ac:dyDescent="0.45">
      <c r="A2842" s="462"/>
      <c r="B2842" s="440">
        <v>4</v>
      </c>
      <c r="C2842" s="192">
        <v>1</v>
      </c>
      <c r="D2842" s="79"/>
      <c r="E2842" s="96"/>
      <c r="F2842" s="96"/>
      <c r="G2842" s="96"/>
      <c r="H2842" s="96"/>
      <c r="I2842" s="96"/>
      <c r="J2842" s="96"/>
      <c r="K2842" s="96"/>
      <c r="L2842" s="193"/>
    </row>
    <row r="2843" spans="1:12" x14ac:dyDescent="0.45">
      <c r="A2843" s="462"/>
      <c r="B2843" s="441"/>
      <c r="C2843" s="194">
        <v>2</v>
      </c>
      <c r="D2843" s="80"/>
      <c r="E2843" s="97"/>
      <c r="F2843" s="97"/>
      <c r="G2843" s="97"/>
      <c r="H2843" s="97"/>
      <c r="I2843" s="97"/>
      <c r="J2843" s="97"/>
      <c r="K2843" s="97"/>
      <c r="L2843" s="195"/>
    </row>
    <row r="2844" spans="1:12" x14ac:dyDescent="0.45">
      <c r="A2844" s="462"/>
      <c r="B2844" s="441"/>
      <c r="C2844" s="194">
        <v>3</v>
      </c>
      <c r="D2844" s="80"/>
      <c r="E2844" s="97"/>
      <c r="F2844" s="97"/>
      <c r="G2844" s="97"/>
      <c r="H2844" s="97"/>
      <c r="I2844" s="97"/>
      <c r="J2844" s="97"/>
      <c r="K2844" s="97"/>
      <c r="L2844" s="195"/>
    </row>
    <row r="2845" spans="1:12" x14ac:dyDescent="0.45">
      <c r="A2845" s="462"/>
      <c r="B2845" s="441"/>
      <c r="C2845" s="194">
        <v>4</v>
      </c>
      <c r="D2845" s="80"/>
      <c r="E2845" s="97"/>
      <c r="F2845" s="97"/>
      <c r="G2845" s="97"/>
      <c r="H2845" s="97"/>
      <c r="I2845" s="97"/>
      <c r="J2845" s="97"/>
      <c r="K2845" s="97"/>
      <c r="L2845" s="195"/>
    </row>
    <row r="2846" spans="1:12" x14ac:dyDescent="0.45">
      <c r="A2846" s="462"/>
      <c r="B2846" s="441"/>
      <c r="C2846" s="194">
        <v>5</v>
      </c>
      <c r="D2846" s="80"/>
      <c r="E2846" s="97"/>
      <c r="F2846" s="97"/>
      <c r="G2846" s="97"/>
      <c r="H2846" s="97"/>
      <c r="I2846" s="97"/>
      <c r="J2846" s="97"/>
      <c r="K2846" s="97"/>
      <c r="L2846" s="195"/>
    </row>
    <row r="2847" spans="1:12" x14ac:dyDescent="0.45">
      <c r="A2847" s="462"/>
      <c r="B2847" s="441"/>
      <c r="C2847" s="194">
        <v>6</v>
      </c>
      <c r="D2847" s="80"/>
      <c r="E2847" s="97"/>
      <c r="F2847" s="97"/>
      <c r="G2847" s="97"/>
      <c r="H2847" s="97"/>
      <c r="I2847" s="97"/>
      <c r="J2847" s="97"/>
      <c r="K2847" s="97"/>
      <c r="L2847" s="195"/>
    </row>
    <row r="2848" spans="1:12" x14ac:dyDescent="0.45">
      <c r="A2848" s="462"/>
      <c r="B2848" s="441"/>
      <c r="C2848" s="194">
        <v>7</v>
      </c>
      <c r="D2848" s="80"/>
      <c r="E2848" s="97"/>
      <c r="F2848" s="97"/>
      <c r="G2848" s="97"/>
      <c r="H2848" s="97"/>
      <c r="I2848" s="97"/>
      <c r="J2848" s="97"/>
      <c r="K2848" s="97"/>
      <c r="L2848" s="195"/>
    </row>
    <row r="2849" spans="1:12" x14ac:dyDescent="0.45">
      <c r="A2849" s="462"/>
      <c r="B2849" s="441"/>
      <c r="C2849" s="194">
        <v>8</v>
      </c>
      <c r="D2849" s="80"/>
      <c r="E2849" s="97"/>
      <c r="F2849" s="97"/>
      <c r="G2849" s="97"/>
      <c r="H2849" s="97"/>
      <c r="I2849" s="97"/>
      <c r="J2849" s="97"/>
      <c r="K2849" s="97"/>
      <c r="L2849" s="195"/>
    </row>
    <row r="2850" spans="1:12" x14ac:dyDescent="0.45">
      <c r="A2850" s="462"/>
      <c r="B2850" s="441"/>
      <c r="C2850" s="194">
        <v>9</v>
      </c>
      <c r="D2850" s="80"/>
      <c r="E2850" s="97"/>
      <c r="F2850" s="97"/>
      <c r="G2850" s="97"/>
      <c r="H2850" s="97"/>
      <c r="I2850" s="97"/>
      <c r="J2850" s="97"/>
      <c r="K2850" s="97"/>
      <c r="L2850" s="195"/>
    </row>
    <row r="2851" spans="1:12" x14ac:dyDescent="0.45">
      <c r="A2851" s="462"/>
      <c r="B2851" s="441"/>
      <c r="C2851" s="194">
        <v>10</v>
      </c>
      <c r="D2851" s="80"/>
      <c r="E2851" s="97"/>
      <c r="F2851" s="97"/>
      <c r="G2851" s="97"/>
      <c r="H2851" s="97"/>
      <c r="I2851" s="97"/>
      <c r="J2851" s="97"/>
      <c r="K2851" s="97"/>
      <c r="L2851" s="195"/>
    </row>
    <row r="2852" spans="1:12" x14ac:dyDescent="0.45">
      <c r="A2852" s="462"/>
      <c r="B2852" s="441"/>
      <c r="C2852" s="194">
        <v>11</v>
      </c>
      <c r="D2852" s="81"/>
      <c r="E2852" s="98"/>
      <c r="F2852" s="98"/>
      <c r="G2852" s="98"/>
      <c r="H2852" s="98"/>
      <c r="I2852" s="98"/>
      <c r="J2852" s="98"/>
      <c r="K2852" s="98"/>
      <c r="L2852" s="196"/>
    </row>
    <row r="2853" spans="1:12" ht="14.65" thickBot="1" x14ac:dyDescent="0.5">
      <c r="A2853" s="463"/>
      <c r="B2853" s="442"/>
      <c r="C2853" s="197">
        <v>12</v>
      </c>
      <c r="D2853" s="82"/>
      <c r="E2853" s="99"/>
      <c r="F2853" s="99"/>
      <c r="G2853" s="99"/>
      <c r="H2853" s="99"/>
      <c r="I2853" s="99"/>
      <c r="J2853" s="99"/>
      <c r="K2853" s="99"/>
      <c r="L2853" s="198"/>
    </row>
    <row r="2854" spans="1:12" x14ac:dyDescent="0.45">
      <c r="A2854" s="461">
        <v>2</v>
      </c>
      <c r="B2854" s="440">
        <v>5</v>
      </c>
      <c r="C2854" s="192">
        <v>1</v>
      </c>
      <c r="D2854" s="79"/>
      <c r="E2854" s="96"/>
      <c r="F2854" s="96"/>
      <c r="G2854" s="96"/>
      <c r="H2854" s="96"/>
      <c r="I2854" s="96"/>
      <c r="J2854" s="96"/>
      <c r="K2854" s="96"/>
      <c r="L2854" s="193"/>
    </row>
    <row r="2855" spans="1:12" x14ac:dyDescent="0.45">
      <c r="A2855" s="462"/>
      <c r="B2855" s="441"/>
      <c r="C2855" s="194">
        <v>2</v>
      </c>
      <c r="D2855" s="80"/>
      <c r="E2855" s="97"/>
      <c r="F2855" s="97"/>
      <c r="G2855" s="97"/>
      <c r="H2855" s="97"/>
      <c r="I2855" s="97"/>
      <c r="J2855" s="97"/>
      <c r="K2855" s="97"/>
      <c r="L2855" s="195"/>
    </row>
    <row r="2856" spans="1:12" x14ac:dyDescent="0.45">
      <c r="A2856" s="462"/>
      <c r="B2856" s="441"/>
      <c r="C2856" s="194">
        <v>3</v>
      </c>
      <c r="D2856" s="80"/>
      <c r="E2856" s="97"/>
      <c r="F2856" s="97"/>
      <c r="G2856" s="97"/>
      <c r="H2856" s="97"/>
      <c r="I2856" s="97"/>
      <c r="J2856" s="97"/>
      <c r="K2856" s="97"/>
      <c r="L2856" s="195"/>
    </row>
    <row r="2857" spans="1:12" x14ac:dyDescent="0.45">
      <c r="A2857" s="462"/>
      <c r="B2857" s="441"/>
      <c r="C2857" s="194">
        <v>4</v>
      </c>
      <c r="D2857" s="80"/>
      <c r="E2857" s="97"/>
      <c r="F2857" s="97"/>
      <c r="G2857" s="97"/>
      <c r="H2857" s="97"/>
      <c r="I2857" s="97"/>
      <c r="J2857" s="97"/>
      <c r="K2857" s="97"/>
      <c r="L2857" s="195"/>
    </row>
    <row r="2858" spans="1:12" x14ac:dyDescent="0.45">
      <c r="A2858" s="462"/>
      <c r="B2858" s="441"/>
      <c r="C2858" s="194">
        <v>5</v>
      </c>
      <c r="D2858" s="80"/>
      <c r="E2858" s="97"/>
      <c r="F2858" s="97"/>
      <c r="G2858" s="97"/>
      <c r="H2858" s="97"/>
      <c r="I2858" s="97"/>
      <c r="J2858" s="97"/>
      <c r="K2858" s="97"/>
      <c r="L2858" s="195"/>
    </row>
    <row r="2859" spans="1:12" x14ac:dyDescent="0.45">
      <c r="A2859" s="462"/>
      <c r="B2859" s="441"/>
      <c r="C2859" s="194">
        <v>6</v>
      </c>
      <c r="D2859" s="80"/>
      <c r="E2859" s="97"/>
      <c r="F2859" s="97"/>
      <c r="G2859" s="97"/>
      <c r="H2859" s="97"/>
      <c r="I2859" s="97"/>
      <c r="J2859" s="97"/>
      <c r="K2859" s="97"/>
      <c r="L2859" s="195"/>
    </row>
    <row r="2860" spans="1:12" x14ac:dyDescent="0.45">
      <c r="A2860" s="462"/>
      <c r="B2860" s="441"/>
      <c r="C2860" s="194">
        <v>7</v>
      </c>
      <c r="D2860" s="80"/>
      <c r="E2860" s="97"/>
      <c r="F2860" s="97"/>
      <c r="G2860" s="97"/>
      <c r="H2860" s="97"/>
      <c r="I2860" s="97"/>
      <c r="J2860" s="97"/>
      <c r="K2860" s="97"/>
      <c r="L2860" s="195"/>
    </row>
    <row r="2861" spans="1:12" x14ac:dyDescent="0.45">
      <c r="A2861" s="462"/>
      <c r="B2861" s="441"/>
      <c r="C2861" s="194">
        <v>8</v>
      </c>
      <c r="D2861" s="80"/>
      <c r="E2861" s="97"/>
      <c r="F2861" s="97"/>
      <c r="G2861" s="97"/>
      <c r="H2861" s="97"/>
      <c r="I2861" s="97"/>
      <c r="J2861" s="97"/>
      <c r="K2861" s="97"/>
      <c r="L2861" s="195"/>
    </row>
    <row r="2862" spans="1:12" x14ac:dyDescent="0.45">
      <c r="A2862" s="462"/>
      <c r="B2862" s="441"/>
      <c r="C2862" s="194">
        <v>9</v>
      </c>
      <c r="D2862" s="80"/>
      <c r="E2862" s="97"/>
      <c r="F2862" s="97"/>
      <c r="G2862" s="97"/>
      <c r="H2862" s="97"/>
      <c r="I2862" s="97"/>
      <c r="J2862" s="97"/>
      <c r="K2862" s="97"/>
      <c r="L2862" s="195"/>
    </row>
    <row r="2863" spans="1:12" x14ac:dyDescent="0.45">
      <c r="A2863" s="462"/>
      <c r="B2863" s="441"/>
      <c r="C2863" s="194">
        <v>10</v>
      </c>
      <c r="D2863" s="80"/>
      <c r="E2863" s="97"/>
      <c r="F2863" s="97"/>
      <c r="G2863" s="97"/>
      <c r="H2863" s="97"/>
      <c r="I2863" s="97"/>
      <c r="J2863" s="97"/>
      <c r="K2863" s="97"/>
      <c r="L2863" s="195"/>
    </row>
    <row r="2864" spans="1:12" x14ac:dyDescent="0.45">
      <c r="A2864" s="462"/>
      <c r="B2864" s="441"/>
      <c r="C2864" s="194">
        <v>11</v>
      </c>
      <c r="D2864" s="81"/>
      <c r="E2864" s="98"/>
      <c r="F2864" s="98"/>
      <c r="G2864" s="98"/>
      <c r="H2864" s="98"/>
      <c r="I2864" s="98"/>
      <c r="J2864" s="98"/>
      <c r="K2864" s="98"/>
      <c r="L2864" s="196"/>
    </row>
    <row r="2865" spans="1:12" ht="14.65" thickBot="1" x14ac:dyDescent="0.5">
      <c r="A2865" s="462"/>
      <c r="B2865" s="442"/>
      <c r="C2865" s="197">
        <v>12</v>
      </c>
      <c r="D2865" s="82"/>
      <c r="E2865" s="99"/>
      <c r="F2865" s="99"/>
      <c r="G2865" s="99"/>
      <c r="H2865" s="99"/>
      <c r="I2865" s="99"/>
      <c r="J2865" s="99"/>
      <c r="K2865" s="99"/>
      <c r="L2865" s="198"/>
    </row>
    <row r="2866" spans="1:12" x14ac:dyDescent="0.45">
      <c r="A2866" s="462"/>
      <c r="B2866" s="440">
        <v>6</v>
      </c>
      <c r="C2866" s="192">
        <v>1</v>
      </c>
      <c r="D2866" s="79"/>
      <c r="E2866" s="96"/>
      <c r="F2866" s="96"/>
      <c r="G2866" s="96"/>
      <c r="H2866" s="96"/>
      <c r="I2866" s="96"/>
      <c r="J2866" s="96"/>
      <c r="K2866" s="96"/>
      <c r="L2866" s="193"/>
    </row>
    <row r="2867" spans="1:12" x14ac:dyDescent="0.45">
      <c r="A2867" s="462"/>
      <c r="B2867" s="441"/>
      <c r="C2867" s="194">
        <v>2</v>
      </c>
      <c r="D2867" s="80"/>
      <c r="E2867" s="97"/>
      <c r="F2867" s="97"/>
      <c r="G2867" s="97"/>
      <c r="H2867" s="97"/>
      <c r="I2867" s="97"/>
      <c r="J2867" s="97"/>
      <c r="K2867" s="97"/>
      <c r="L2867" s="195"/>
    </row>
    <row r="2868" spans="1:12" x14ac:dyDescent="0.45">
      <c r="A2868" s="462"/>
      <c r="B2868" s="441"/>
      <c r="C2868" s="194">
        <v>3</v>
      </c>
      <c r="D2868" s="80"/>
      <c r="E2868" s="97"/>
      <c r="F2868" s="97"/>
      <c r="G2868" s="97"/>
      <c r="H2868" s="97"/>
      <c r="I2868" s="97"/>
      <c r="J2868" s="97"/>
      <c r="K2868" s="97"/>
      <c r="L2868" s="195"/>
    </row>
    <row r="2869" spans="1:12" x14ac:dyDescent="0.45">
      <c r="A2869" s="462"/>
      <c r="B2869" s="441"/>
      <c r="C2869" s="194">
        <v>4</v>
      </c>
      <c r="D2869" s="80"/>
      <c r="E2869" s="97"/>
      <c r="F2869" s="97"/>
      <c r="G2869" s="97"/>
      <c r="H2869" s="97"/>
      <c r="I2869" s="97"/>
      <c r="J2869" s="97"/>
      <c r="K2869" s="97"/>
      <c r="L2869" s="195"/>
    </row>
    <row r="2870" spans="1:12" x14ac:dyDescent="0.45">
      <c r="A2870" s="462"/>
      <c r="B2870" s="441"/>
      <c r="C2870" s="194">
        <v>5</v>
      </c>
      <c r="D2870" s="80"/>
      <c r="E2870" s="97"/>
      <c r="F2870" s="97"/>
      <c r="G2870" s="97"/>
      <c r="H2870" s="97"/>
      <c r="I2870" s="97"/>
      <c r="J2870" s="97"/>
      <c r="K2870" s="97"/>
      <c r="L2870" s="195"/>
    </row>
    <row r="2871" spans="1:12" x14ac:dyDescent="0.45">
      <c r="A2871" s="462"/>
      <c r="B2871" s="441"/>
      <c r="C2871" s="194">
        <v>6</v>
      </c>
      <c r="D2871" s="80"/>
      <c r="E2871" s="97"/>
      <c r="F2871" s="97"/>
      <c r="G2871" s="97"/>
      <c r="H2871" s="97"/>
      <c r="I2871" s="97"/>
      <c r="J2871" s="97"/>
      <c r="K2871" s="97"/>
      <c r="L2871" s="195"/>
    </row>
    <row r="2872" spans="1:12" x14ac:dyDescent="0.45">
      <c r="A2872" s="462"/>
      <c r="B2872" s="441"/>
      <c r="C2872" s="194">
        <v>7</v>
      </c>
      <c r="D2872" s="80"/>
      <c r="E2872" s="97"/>
      <c r="F2872" s="97"/>
      <c r="G2872" s="97"/>
      <c r="H2872" s="97"/>
      <c r="I2872" s="97"/>
      <c r="J2872" s="97"/>
      <c r="K2872" s="97"/>
      <c r="L2872" s="195"/>
    </row>
    <row r="2873" spans="1:12" x14ac:dyDescent="0.45">
      <c r="A2873" s="462"/>
      <c r="B2873" s="441"/>
      <c r="C2873" s="194">
        <v>8</v>
      </c>
      <c r="D2873" s="80"/>
      <c r="E2873" s="97"/>
      <c r="F2873" s="97"/>
      <c r="G2873" s="97"/>
      <c r="H2873" s="97"/>
      <c r="I2873" s="97"/>
      <c r="J2873" s="97"/>
      <c r="K2873" s="97"/>
      <c r="L2873" s="195"/>
    </row>
    <row r="2874" spans="1:12" x14ac:dyDescent="0.45">
      <c r="A2874" s="462"/>
      <c r="B2874" s="441"/>
      <c r="C2874" s="194">
        <v>9</v>
      </c>
      <c r="D2874" s="80"/>
      <c r="E2874" s="97"/>
      <c r="F2874" s="97"/>
      <c r="G2874" s="97"/>
      <c r="H2874" s="97"/>
      <c r="I2874" s="97"/>
      <c r="J2874" s="97"/>
      <c r="K2874" s="97"/>
      <c r="L2874" s="195"/>
    </row>
    <row r="2875" spans="1:12" x14ac:dyDescent="0.45">
      <c r="A2875" s="462"/>
      <c r="B2875" s="441"/>
      <c r="C2875" s="194">
        <v>10</v>
      </c>
      <c r="D2875" s="80"/>
      <c r="E2875" s="97"/>
      <c r="F2875" s="97"/>
      <c r="G2875" s="97"/>
      <c r="H2875" s="97"/>
      <c r="I2875" s="97"/>
      <c r="J2875" s="97"/>
      <c r="K2875" s="97"/>
      <c r="L2875" s="195"/>
    </row>
    <row r="2876" spans="1:12" x14ac:dyDescent="0.45">
      <c r="A2876" s="462"/>
      <c r="B2876" s="441"/>
      <c r="C2876" s="194">
        <v>11</v>
      </c>
      <c r="D2876" s="81"/>
      <c r="E2876" s="98"/>
      <c r="F2876" s="98"/>
      <c r="G2876" s="98"/>
      <c r="H2876" s="98"/>
      <c r="I2876" s="98"/>
      <c r="J2876" s="98"/>
      <c r="K2876" s="98"/>
      <c r="L2876" s="196"/>
    </row>
    <row r="2877" spans="1:12" ht="14.65" thickBot="1" x14ac:dyDescent="0.5">
      <c r="A2877" s="462"/>
      <c r="B2877" s="442"/>
      <c r="C2877" s="197">
        <v>12</v>
      </c>
      <c r="D2877" s="82"/>
      <c r="E2877" s="99"/>
      <c r="F2877" s="99"/>
      <c r="G2877" s="99"/>
      <c r="H2877" s="99"/>
      <c r="I2877" s="99"/>
      <c r="J2877" s="99"/>
      <c r="K2877" s="99"/>
      <c r="L2877" s="198"/>
    </row>
    <row r="2878" spans="1:12" x14ac:dyDescent="0.45">
      <c r="A2878" s="462"/>
      <c r="B2878" s="440">
        <v>7</v>
      </c>
      <c r="C2878" s="192">
        <v>1</v>
      </c>
      <c r="D2878" s="79"/>
      <c r="E2878" s="96"/>
      <c r="F2878" s="96"/>
      <c r="G2878" s="96"/>
      <c r="H2878" s="96"/>
      <c r="I2878" s="96"/>
      <c r="J2878" s="96"/>
      <c r="K2878" s="96"/>
      <c r="L2878" s="193"/>
    </row>
    <row r="2879" spans="1:12" x14ac:dyDescent="0.45">
      <c r="A2879" s="462"/>
      <c r="B2879" s="441"/>
      <c r="C2879" s="194">
        <v>2</v>
      </c>
      <c r="D2879" s="80"/>
      <c r="E2879" s="97"/>
      <c r="F2879" s="97"/>
      <c r="G2879" s="97"/>
      <c r="H2879" s="97"/>
      <c r="I2879" s="97"/>
      <c r="J2879" s="97"/>
      <c r="K2879" s="97"/>
      <c r="L2879" s="195"/>
    </row>
    <row r="2880" spans="1:12" x14ac:dyDescent="0.45">
      <c r="A2880" s="462"/>
      <c r="B2880" s="441"/>
      <c r="C2880" s="194">
        <v>3</v>
      </c>
      <c r="D2880" s="80"/>
      <c r="E2880" s="97"/>
      <c r="F2880" s="97"/>
      <c r="G2880" s="97"/>
      <c r="H2880" s="97"/>
      <c r="I2880" s="97"/>
      <c r="J2880" s="97"/>
      <c r="K2880" s="97"/>
      <c r="L2880" s="195"/>
    </row>
    <row r="2881" spans="1:12" x14ac:dyDescent="0.45">
      <c r="A2881" s="462"/>
      <c r="B2881" s="441"/>
      <c r="C2881" s="194">
        <v>4</v>
      </c>
      <c r="D2881" s="80"/>
      <c r="E2881" s="97"/>
      <c r="F2881" s="97"/>
      <c r="G2881" s="97"/>
      <c r="H2881" s="97"/>
      <c r="I2881" s="97"/>
      <c r="J2881" s="97"/>
      <c r="K2881" s="97"/>
      <c r="L2881" s="195"/>
    </row>
    <row r="2882" spans="1:12" x14ac:dyDescent="0.45">
      <c r="A2882" s="462"/>
      <c r="B2882" s="441"/>
      <c r="C2882" s="194">
        <v>5</v>
      </c>
      <c r="D2882" s="80"/>
      <c r="E2882" s="97"/>
      <c r="F2882" s="97"/>
      <c r="G2882" s="97"/>
      <c r="H2882" s="97"/>
      <c r="I2882" s="97"/>
      <c r="J2882" s="97"/>
      <c r="K2882" s="97"/>
      <c r="L2882" s="195"/>
    </row>
    <row r="2883" spans="1:12" x14ac:dyDescent="0.45">
      <c r="A2883" s="462"/>
      <c r="B2883" s="441"/>
      <c r="C2883" s="194">
        <v>6</v>
      </c>
      <c r="D2883" s="80"/>
      <c r="E2883" s="97"/>
      <c r="F2883" s="97"/>
      <c r="G2883" s="97"/>
      <c r="H2883" s="97"/>
      <c r="I2883" s="97"/>
      <c r="J2883" s="97"/>
      <c r="K2883" s="97"/>
      <c r="L2883" s="195"/>
    </row>
    <row r="2884" spans="1:12" x14ac:dyDescent="0.45">
      <c r="A2884" s="462"/>
      <c r="B2884" s="441"/>
      <c r="C2884" s="194">
        <v>7</v>
      </c>
      <c r="D2884" s="80"/>
      <c r="E2884" s="97"/>
      <c r="F2884" s="97"/>
      <c r="G2884" s="97"/>
      <c r="H2884" s="97"/>
      <c r="I2884" s="97"/>
      <c r="J2884" s="97"/>
      <c r="K2884" s="97"/>
      <c r="L2884" s="195"/>
    </row>
    <row r="2885" spans="1:12" x14ac:dyDescent="0.45">
      <c r="A2885" s="462"/>
      <c r="B2885" s="441"/>
      <c r="C2885" s="194">
        <v>8</v>
      </c>
      <c r="D2885" s="80"/>
      <c r="E2885" s="97"/>
      <c r="F2885" s="97"/>
      <c r="G2885" s="97"/>
      <c r="H2885" s="97"/>
      <c r="I2885" s="97"/>
      <c r="J2885" s="97"/>
      <c r="K2885" s="97"/>
      <c r="L2885" s="195"/>
    </row>
    <row r="2886" spans="1:12" x14ac:dyDescent="0.45">
      <c r="A2886" s="462"/>
      <c r="B2886" s="441"/>
      <c r="C2886" s="194">
        <v>9</v>
      </c>
      <c r="D2886" s="80"/>
      <c r="E2886" s="97"/>
      <c r="F2886" s="97"/>
      <c r="G2886" s="97"/>
      <c r="H2886" s="97"/>
      <c r="I2886" s="97"/>
      <c r="J2886" s="97"/>
      <c r="K2886" s="97"/>
      <c r="L2886" s="195"/>
    </row>
    <row r="2887" spans="1:12" x14ac:dyDescent="0.45">
      <c r="A2887" s="462"/>
      <c r="B2887" s="441"/>
      <c r="C2887" s="194">
        <v>10</v>
      </c>
      <c r="D2887" s="80"/>
      <c r="E2887" s="97"/>
      <c r="F2887" s="97"/>
      <c r="G2887" s="97"/>
      <c r="H2887" s="97"/>
      <c r="I2887" s="97"/>
      <c r="J2887" s="97"/>
      <c r="K2887" s="97"/>
      <c r="L2887" s="195"/>
    </row>
    <row r="2888" spans="1:12" x14ac:dyDescent="0.45">
      <c r="A2888" s="462"/>
      <c r="B2888" s="441"/>
      <c r="C2888" s="194">
        <v>11</v>
      </c>
      <c r="D2888" s="81"/>
      <c r="E2888" s="98"/>
      <c r="F2888" s="98"/>
      <c r="G2888" s="98"/>
      <c r="H2888" s="98"/>
      <c r="I2888" s="98"/>
      <c r="J2888" s="98"/>
      <c r="K2888" s="98"/>
      <c r="L2888" s="196"/>
    </row>
    <row r="2889" spans="1:12" ht="14.65" thickBot="1" x14ac:dyDescent="0.5">
      <c r="A2889" s="462"/>
      <c r="B2889" s="442"/>
      <c r="C2889" s="197">
        <v>12</v>
      </c>
      <c r="D2889" s="82"/>
      <c r="E2889" s="99"/>
      <c r="F2889" s="99"/>
      <c r="G2889" s="99"/>
      <c r="H2889" s="99"/>
      <c r="I2889" s="99"/>
      <c r="J2889" s="99"/>
      <c r="K2889" s="99"/>
      <c r="L2889" s="198"/>
    </row>
    <row r="2890" spans="1:12" x14ac:dyDescent="0.45">
      <c r="A2890" s="462"/>
      <c r="B2890" s="440">
        <v>8</v>
      </c>
      <c r="C2890" s="192">
        <v>1</v>
      </c>
      <c r="D2890" s="79"/>
      <c r="E2890" s="96"/>
      <c r="F2890" s="96"/>
      <c r="G2890" s="96"/>
      <c r="H2890" s="96"/>
      <c r="I2890" s="96"/>
      <c r="J2890" s="96"/>
      <c r="K2890" s="96"/>
      <c r="L2890" s="193"/>
    </row>
    <row r="2891" spans="1:12" x14ac:dyDescent="0.45">
      <c r="A2891" s="462"/>
      <c r="B2891" s="441"/>
      <c r="C2891" s="194">
        <v>2</v>
      </c>
      <c r="D2891" s="80"/>
      <c r="E2891" s="97"/>
      <c r="F2891" s="97"/>
      <c r="G2891" s="97"/>
      <c r="H2891" s="97"/>
      <c r="I2891" s="97"/>
      <c r="J2891" s="97"/>
      <c r="K2891" s="97"/>
      <c r="L2891" s="195"/>
    </row>
    <row r="2892" spans="1:12" x14ac:dyDescent="0.45">
      <c r="A2892" s="462"/>
      <c r="B2892" s="441"/>
      <c r="C2892" s="194">
        <v>3</v>
      </c>
      <c r="D2892" s="80"/>
      <c r="E2892" s="97"/>
      <c r="F2892" s="97"/>
      <c r="G2892" s="97"/>
      <c r="H2892" s="97"/>
      <c r="I2892" s="97"/>
      <c r="J2892" s="97"/>
      <c r="K2892" s="97"/>
      <c r="L2892" s="195"/>
    </row>
    <row r="2893" spans="1:12" x14ac:dyDescent="0.45">
      <c r="A2893" s="462"/>
      <c r="B2893" s="441"/>
      <c r="C2893" s="194">
        <v>4</v>
      </c>
      <c r="D2893" s="80"/>
      <c r="E2893" s="97"/>
      <c r="F2893" s="97"/>
      <c r="G2893" s="97"/>
      <c r="H2893" s="97"/>
      <c r="I2893" s="97"/>
      <c r="J2893" s="97"/>
      <c r="K2893" s="97"/>
      <c r="L2893" s="195"/>
    </row>
    <row r="2894" spans="1:12" x14ac:dyDescent="0.45">
      <c r="A2894" s="462"/>
      <c r="B2894" s="441"/>
      <c r="C2894" s="194">
        <v>5</v>
      </c>
      <c r="D2894" s="80"/>
      <c r="E2894" s="97"/>
      <c r="F2894" s="97"/>
      <c r="G2894" s="97"/>
      <c r="H2894" s="97"/>
      <c r="I2894" s="97"/>
      <c r="J2894" s="97"/>
      <c r="K2894" s="97"/>
      <c r="L2894" s="195"/>
    </row>
    <row r="2895" spans="1:12" x14ac:dyDescent="0.45">
      <c r="A2895" s="462"/>
      <c r="B2895" s="441"/>
      <c r="C2895" s="194">
        <v>6</v>
      </c>
      <c r="D2895" s="80"/>
      <c r="E2895" s="97"/>
      <c r="F2895" s="97"/>
      <c r="G2895" s="97"/>
      <c r="H2895" s="97"/>
      <c r="I2895" s="97"/>
      <c r="J2895" s="97"/>
      <c r="K2895" s="97"/>
      <c r="L2895" s="195"/>
    </row>
    <row r="2896" spans="1:12" x14ac:dyDescent="0.45">
      <c r="A2896" s="462"/>
      <c r="B2896" s="441"/>
      <c r="C2896" s="194">
        <v>7</v>
      </c>
      <c r="D2896" s="80"/>
      <c r="E2896" s="97"/>
      <c r="F2896" s="97"/>
      <c r="G2896" s="97"/>
      <c r="H2896" s="97"/>
      <c r="I2896" s="97"/>
      <c r="J2896" s="97"/>
      <c r="K2896" s="97"/>
      <c r="L2896" s="195"/>
    </row>
    <row r="2897" spans="1:12" x14ac:dyDescent="0.45">
      <c r="A2897" s="462"/>
      <c r="B2897" s="441"/>
      <c r="C2897" s="194">
        <v>8</v>
      </c>
      <c r="D2897" s="80"/>
      <c r="E2897" s="97"/>
      <c r="F2897" s="97"/>
      <c r="G2897" s="97"/>
      <c r="H2897" s="97"/>
      <c r="I2897" s="97"/>
      <c r="J2897" s="97"/>
      <c r="K2897" s="97"/>
      <c r="L2897" s="195"/>
    </row>
    <row r="2898" spans="1:12" x14ac:dyDescent="0.45">
      <c r="A2898" s="462"/>
      <c r="B2898" s="441"/>
      <c r="C2898" s="194">
        <v>9</v>
      </c>
      <c r="D2898" s="80"/>
      <c r="E2898" s="97"/>
      <c r="F2898" s="97"/>
      <c r="G2898" s="97"/>
      <c r="H2898" s="97"/>
      <c r="I2898" s="97"/>
      <c r="J2898" s="97"/>
      <c r="K2898" s="97"/>
      <c r="L2898" s="195"/>
    </row>
    <row r="2899" spans="1:12" x14ac:dyDescent="0.45">
      <c r="A2899" s="462"/>
      <c r="B2899" s="441"/>
      <c r="C2899" s="194">
        <v>10</v>
      </c>
      <c r="D2899" s="80"/>
      <c r="E2899" s="97"/>
      <c r="F2899" s="97"/>
      <c r="G2899" s="97"/>
      <c r="H2899" s="97"/>
      <c r="I2899" s="97"/>
      <c r="J2899" s="97"/>
      <c r="K2899" s="97"/>
      <c r="L2899" s="195"/>
    </row>
    <row r="2900" spans="1:12" x14ac:dyDescent="0.45">
      <c r="A2900" s="462"/>
      <c r="B2900" s="441"/>
      <c r="C2900" s="194">
        <v>11</v>
      </c>
      <c r="D2900" s="81"/>
      <c r="E2900" s="98"/>
      <c r="F2900" s="98"/>
      <c r="G2900" s="98"/>
      <c r="H2900" s="98"/>
      <c r="I2900" s="98"/>
      <c r="J2900" s="98"/>
      <c r="K2900" s="98"/>
      <c r="L2900" s="196"/>
    </row>
    <row r="2901" spans="1:12" ht="14.65" thickBot="1" x14ac:dyDescent="0.5">
      <c r="A2901" s="463"/>
      <c r="B2901" s="442"/>
      <c r="C2901" s="197">
        <v>12</v>
      </c>
      <c r="D2901" s="82"/>
      <c r="E2901" s="99"/>
      <c r="F2901" s="99"/>
      <c r="G2901" s="99"/>
      <c r="H2901" s="99"/>
      <c r="I2901" s="99"/>
      <c r="J2901" s="99"/>
      <c r="K2901" s="99"/>
      <c r="L2901" s="198"/>
    </row>
    <row r="2902" spans="1:12" x14ac:dyDescent="0.45">
      <c r="A2902" s="461">
        <v>3</v>
      </c>
      <c r="B2902" s="440">
        <v>9</v>
      </c>
      <c r="C2902" s="192">
        <v>1</v>
      </c>
      <c r="D2902" s="79"/>
      <c r="E2902" s="96"/>
      <c r="F2902" s="96"/>
      <c r="G2902" s="96"/>
      <c r="H2902" s="96"/>
      <c r="I2902" s="96"/>
      <c r="J2902" s="96"/>
      <c r="K2902" s="96"/>
      <c r="L2902" s="193"/>
    </row>
    <row r="2903" spans="1:12" x14ac:dyDescent="0.45">
      <c r="A2903" s="462"/>
      <c r="B2903" s="441"/>
      <c r="C2903" s="194">
        <v>2</v>
      </c>
      <c r="D2903" s="80"/>
      <c r="E2903" s="97"/>
      <c r="F2903" s="97"/>
      <c r="G2903" s="97"/>
      <c r="H2903" s="97"/>
      <c r="I2903" s="97"/>
      <c r="J2903" s="97"/>
      <c r="K2903" s="97"/>
      <c r="L2903" s="195"/>
    </row>
    <row r="2904" spans="1:12" x14ac:dyDescent="0.45">
      <c r="A2904" s="462"/>
      <c r="B2904" s="441"/>
      <c r="C2904" s="194">
        <v>3</v>
      </c>
      <c r="D2904" s="80"/>
      <c r="E2904" s="97"/>
      <c r="F2904" s="97"/>
      <c r="G2904" s="97"/>
      <c r="H2904" s="97"/>
      <c r="I2904" s="97"/>
      <c r="J2904" s="97"/>
      <c r="K2904" s="97"/>
      <c r="L2904" s="195"/>
    </row>
    <row r="2905" spans="1:12" x14ac:dyDescent="0.45">
      <c r="A2905" s="462"/>
      <c r="B2905" s="441"/>
      <c r="C2905" s="194">
        <v>4</v>
      </c>
      <c r="D2905" s="80"/>
      <c r="E2905" s="97"/>
      <c r="F2905" s="97"/>
      <c r="G2905" s="97"/>
      <c r="H2905" s="97"/>
      <c r="I2905" s="97"/>
      <c r="J2905" s="97"/>
      <c r="K2905" s="97"/>
      <c r="L2905" s="195"/>
    </row>
    <row r="2906" spans="1:12" x14ac:dyDescent="0.45">
      <c r="A2906" s="462"/>
      <c r="B2906" s="441"/>
      <c r="C2906" s="194">
        <v>5</v>
      </c>
      <c r="D2906" s="80"/>
      <c r="E2906" s="97"/>
      <c r="F2906" s="97"/>
      <c r="G2906" s="97"/>
      <c r="H2906" s="97"/>
      <c r="I2906" s="97"/>
      <c r="J2906" s="97"/>
      <c r="K2906" s="97"/>
      <c r="L2906" s="195"/>
    </row>
    <row r="2907" spans="1:12" x14ac:dyDescent="0.45">
      <c r="A2907" s="462"/>
      <c r="B2907" s="441"/>
      <c r="C2907" s="194">
        <v>6</v>
      </c>
      <c r="D2907" s="80"/>
      <c r="E2907" s="97"/>
      <c r="F2907" s="97"/>
      <c r="G2907" s="97"/>
      <c r="H2907" s="97"/>
      <c r="I2907" s="97"/>
      <c r="J2907" s="97"/>
      <c r="K2907" s="97"/>
      <c r="L2907" s="195"/>
    </row>
    <row r="2908" spans="1:12" x14ac:dyDescent="0.45">
      <c r="A2908" s="462"/>
      <c r="B2908" s="441"/>
      <c r="C2908" s="194">
        <v>7</v>
      </c>
      <c r="D2908" s="80"/>
      <c r="E2908" s="97"/>
      <c r="F2908" s="97"/>
      <c r="G2908" s="97"/>
      <c r="H2908" s="97"/>
      <c r="I2908" s="97"/>
      <c r="J2908" s="97"/>
      <c r="K2908" s="97"/>
      <c r="L2908" s="195"/>
    </row>
    <row r="2909" spans="1:12" x14ac:dyDescent="0.45">
      <c r="A2909" s="462"/>
      <c r="B2909" s="441"/>
      <c r="C2909" s="194">
        <v>8</v>
      </c>
      <c r="D2909" s="80"/>
      <c r="E2909" s="97"/>
      <c r="F2909" s="97"/>
      <c r="G2909" s="97"/>
      <c r="H2909" s="97"/>
      <c r="I2909" s="97"/>
      <c r="J2909" s="97"/>
      <c r="K2909" s="97"/>
      <c r="L2909" s="195"/>
    </row>
    <row r="2910" spans="1:12" x14ac:dyDescent="0.45">
      <c r="A2910" s="462"/>
      <c r="B2910" s="441"/>
      <c r="C2910" s="194">
        <v>9</v>
      </c>
      <c r="D2910" s="80"/>
      <c r="E2910" s="97"/>
      <c r="F2910" s="97"/>
      <c r="G2910" s="97"/>
      <c r="H2910" s="97"/>
      <c r="I2910" s="97"/>
      <c r="J2910" s="97"/>
      <c r="K2910" s="97"/>
      <c r="L2910" s="195"/>
    </row>
    <row r="2911" spans="1:12" x14ac:dyDescent="0.45">
      <c r="A2911" s="462"/>
      <c r="B2911" s="441"/>
      <c r="C2911" s="194">
        <v>10</v>
      </c>
      <c r="D2911" s="80"/>
      <c r="E2911" s="97"/>
      <c r="F2911" s="97"/>
      <c r="G2911" s="97"/>
      <c r="H2911" s="97"/>
      <c r="I2911" s="97"/>
      <c r="J2911" s="97"/>
      <c r="K2911" s="97"/>
      <c r="L2911" s="195"/>
    </row>
    <row r="2912" spans="1:12" x14ac:dyDescent="0.45">
      <c r="A2912" s="462"/>
      <c r="B2912" s="441"/>
      <c r="C2912" s="194">
        <v>11</v>
      </c>
      <c r="D2912" s="81"/>
      <c r="E2912" s="98"/>
      <c r="F2912" s="98"/>
      <c r="G2912" s="98"/>
      <c r="H2912" s="98"/>
      <c r="I2912" s="98"/>
      <c r="J2912" s="98"/>
      <c r="K2912" s="98"/>
      <c r="L2912" s="196"/>
    </row>
    <row r="2913" spans="1:12" ht="14.65" thickBot="1" x14ac:dyDescent="0.5">
      <c r="A2913" s="462"/>
      <c r="B2913" s="442"/>
      <c r="C2913" s="197">
        <v>12</v>
      </c>
      <c r="D2913" s="82"/>
      <c r="E2913" s="99"/>
      <c r="F2913" s="99"/>
      <c r="G2913" s="99"/>
      <c r="H2913" s="99"/>
      <c r="I2913" s="99"/>
      <c r="J2913" s="99"/>
      <c r="K2913" s="99"/>
      <c r="L2913" s="198"/>
    </row>
    <row r="2914" spans="1:12" x14ac:dyDescent="0.45">
      <c r="A2914" s="462"/>
      <c r="B2914" s="440">
        <v>10</v>
      </c>
      <c r="C2914" s="192">
        <v>1</v>
      </c>
      <c r="D2914" s="79"/>
      <c r="E2914" s="96"/>
      <c r="F2914" s="96"/>
      <c r="G2914" s="96"/>
      <c r="H2914" s="96"/>
      <c r="I2914" s="96"/>
      <c r="J2914" s="96"/>
      <c r="K2914" s="96"/>
      <c r="L2914" s="193"/>
    </row>
    <row r="2915" spans="1:12" x14ac:dyDescent="0.45">
      <c r="A2915" s="462"/>
      <c r="B2915" s="441"/>
      <c r="C2915" s="194">
        <v>2</v>
      </c>
      <c r="D2915" s="80"/>
      <c r="E2915" s="97"/>
      <c r="F2915" s="97"/>
      <c r="G2915" s="97"/>
      <c r="H2915" s="97"/>
      <c r="I2915" s="97"/>
      <c r="J2915" s="97"/>
      <c r="K2915" s="97"/>
      <c r="L2915" s="195"/>
    </row>
    <row r="2916" spans="1:12" x14ac:dyDescent="0.45">
      <c r="A2916" s="462"/>
      <c r="B2916" s="441"/>
      <c r="C2916" s="194">
        <v>3</v>
      </c>
      <c r="D2916" s="80"/>
      <c r="E2916" s="97"/>
      <c r="F2916" s="97"/>
      <c r="G2916" s="97"/>
      <c r="H2916" s="97"/>
      <c r="I2916" s="97"/>
      <c r="J2916" s="97"/>
      <c r="K2916" s="97"/>
      <c r="L2916" s="195"/>
    </row>
    <row r="2917" spans="1:12" x14ac:dyDescent="0.45">
      <c r="A2917" s="462"/>
      <c r="B2917" s="441"/>
      <c r="C2917" s="194">
        <v>4</v>
      </c>
      <c r="D2917" s="80"/>
      <c r="E2917" s="97"/>
      <c r="F2917" s="97"/>
      <c r="G2917" s="97"/>
      <c r="H2917" s="97"/>
      <c r="I2917" s="97"/>
      <c r="J2917" s="97"/>
      <c r="K2917" s="97"/>
      <c r="L2917" s="195"/>
    </row>
    <row r="2918" spans="1:12" x14ac:dyDescent="0.45">
      <c r="A2918" s="462"/>
      <c r="B2918" s="441"/>
      <c r="C2918" s="194">
        <v>5</v>
      </c>
      <c r="D2918" s="80"/>
      <c r="E2918" s="97"/>
      <c r="F2918" s="97"/>
      <c r="G2918" s="97"/>
      <c r="H2918" s="97"/>
      <c r="I2918" s="97"/>
      <c r="J2918" s="97"/>
      <c r="K2918" s="97"/>
      <c r="L2918" s="195"/>
    </row>
    <row r="2919" spans="1:12" x14ac:dyDescent="0.45">
      <c r="A2919" s="462"/>
      <c r="B2919" s="441"/>
      <c r="C2919" s="194">
        <v>6</v>
      </c>
      <c r="D2919" s="80"/>
      <c r="E2919" s="97"/>
      <c r="F2919" s="97"/>
      <c r="G2919" s="97"/>
      <c r="H2919" s="97"/>
      <c r="I2919" s="97"/>
      <c r="J2919" s="97"/>
      <c r="K2919" s="97"/>
      <c r="L2919" s="195"/>
    </row>
    <row r="2920" spans="1:12" x14ac:dyDescent="0.45">
      <c r="A2920" s="462"/>
      <c r="B2920" s="441"/>
      <c r="C2920" s="194">
        <v>7</v>
      </c>
      <c r="D2920" s="80"/>
      <c r="E2920" s="97"/>
      <c r="F2920" s="97"/>
      <c r="G2920" s="97"/>
      <c r="H2920" s="97"/>
      <c r="I2920" s="97"/>
      <c r="J2920" s="97"/>
      <c r="K2920" s="97"/>
      <c r="L2920" s="195"/>
    </row>
    <row r="2921" spans="1:12" x14ac:dyDescent="0.45">
      <c r="A2921" s="462"/>
      <c r="B2921" s="441"/>
      <c r="C2921" s="194">
        <v>8</v>
      </c>
      <c r="D2921" s="80"/>
      <c r="E2921" s="97"/>
      <c r="F2921" s="97"/>
      <c r="G2921" s="97"/>
      <c r="H2921" s="97"/>
      <c r="I2921" s="97"/>
      <c r="J2921" s="97"/>
      <c r="K2921" s="97"/>
      <c r="L2921" s="195"/>
    </row>
    <row r="2922" spans="1:12" x14ac:dyDescent="0.45">
      <c r="A2922" s="462"/>
      <c r="B2922" s="441"/>
      <c r="C2922" s="194">
        <v>9</v>
      </c>
      <c r="D2922" s="80"/>
      <c r="E2922" s="97"/>
      <c r="F2922" s="97"/>
      <c r="G2922" s="97"/>
      <c r="H2922" s="97"/>
      <c r="I2922" s="97"/>
      <c r="J2922" s="97"/>
      <c r="K2922" s="97"/>
      <c r="L2922" s="195"/>
    </row>
    <row r="2923" spans="1:12" x14ac:dyDescent="0.45">
      <c r="A2923" s="462"/>
      <c r="B2923" s="441"/>
      <c r="C2923" s="194">
        <v>10</v>
      </c>
      <c r="D2923" s="80"/>
      <c r="E2923" s="97"/>
      <c r="F2923" s="97"/>
      <c r="G2923" s="97"/>
      <c r="H2923" s="97"/>
      <c r="I2923" s="97"/>
      <c r="J2923" s="97"/>
      <c r="K2923" s="97"/>
      <c r="L2923" s="195"/>
    </row>
    <row r="2924" spans="1:12" x14ac:dyDescent="0.45">
      <c r="A2924" s="462"/>
      <c r="B2924" s="441"/>
      <c r="C2924" s="194">
        <v>11</v>
      </c>
      <c r="D2924" s="81"/>
      <c r="E2924" s="98"/>
      <c r="F2924" s="98"/>
      <c r="G2924" s="98"/>
      <c r="H2924" s="98"/>
      <c r="I2924" s="98"/>
      <c r="J2924" s="98"/>
      <c r="K2924" s="98"/>
      <c r="L2924" s="196"/>
    </row>
    <row r="2925" spans="1:12" ht="14.65" thickBot="1" x14ac:dyDescent="0.5">
      <c r="A2925" s="462"/>
      <c r="B2925" s="442"/>
      <c r="C2925" s="197">
        <v>12</v>
      </c>
      <c r="D2925" s="82"/>
      <c r="E2925" s="99"/>
      <c r="F2925" s="99"/>
      <c r="G2925" s="99"/>
      <c r="H2925" s="99"/>
      <c r="I2925" s="99"/>
      <c r="J2925" s="99"/>
      <c r="K2925" s="99"/>
      <c r="L2925" s="198"/>
    </row>
    <row r="2926" spans="1:12" x14ac:dyDescent="0.45">
      <c r="A2926" s="462"/>
      <c r="B2926" s="440">
        <v>11</v>
      </c>
      <c r="C2926" s="192">
        <v>1</v>
      </c>
      <c r="D2926" s="79"/>
      <c r="E2926" s="96"/>
      <c r="F2926" s="96"/>
      <c r="G2926" s="96"/>
      <c r="H2926" s="96"/>
      <c r="I2926" s="96"/>
      <c r="J2926" s="96"/>
      <c r="K2926" s="96"/>
      <c r="L2926" s="193"/>
    </row>
    <row r="2927" spans="1:12" x14ac:dyDescent="0.45">
      <c r="A2927" s="462"/>
      <c r="B2927" s="441"/>
      <c r="C2927" s="194">
        <v>2</v>
      </c>
      <c r="D2927" s="80"/>
      <c r="E2927" s="97"/>
      <c r="F2927" s="97"/>
      <c r="G2927" s="97"/>
      <c r="H2927" s="97"/>
      <c r="I2927" s="97"/>
      <c r="J2927" s="97"/>
      <c r="K2927" s="97"/>
      <c r="L2927" s="195"/>
    </row>
    <row r="2928" spans="1:12" x14ac:dyDescent="0.45">
      <c r="A2928" s="462"/>
      <c r="B2928" s="441"/>
      <c r="C2928" s="194">
        <v>3</v>
      </c>
      <c r="D2928" s="80"/>
      <c r="E2928" s="97"/>
      <c r="F2928" s="97"/>
      <c r="G2928" s="97"/>
      <c r="H2928" s="97"/>
      <c r="I2928" s="97"/>
      <c r="J2928" s="97"/>
      <c r="K2928" s="97"/>
      <c r="L2928" s="195"/>
    </row>
    <row r="2929" spans="1:12" x14ac:dyDescent="0.45">
      <c r="A2929" s="462"/>
      <c r="B2929" s="441"/>
      <c r="C2929" s="194">
        <v>4</v>
      </c>
      <c r="D2929" s="80"/>
      <c r="E2929" s="97"/>
      <c r="F2929" s="97"/>
      <c r="G2929" s="97"/>
      <c r="H2929" s="97"/>
      <c r="I2929" s="97"/>
      <c r="J2929" s="97"/>
      <c r="K2929" s="97"/>
      <c r="L2929" s="195"/>
    </row>
    <row r="2930" spans="1:12" x14ac:dyDescent="0.45">
      <c r="A2930" s="462"/>
      <c r="B2930" s="441"/>
      <c r="C2930" s="194">
        <v>5</v>
      </c>
      <c r="D2930" s="80"/>
      <c r="E2930" s="97"/>
      <c r="F2930" s="97"/>
      <c r="G2930" s="97"/>
      <c r="H2930" s="97"/>
      <c r="I2930" s="97"/>
      <c r="J2930" s="97"/>
      <c r="K2930" s="97"/>
      <c r="L2930" s="195"/>
    </row>
    <row r="2931" spans="1:12" x14ac:dyDescent="0.45">
      <c r="A2931" s="462"/>
      <c r="B2931" s="441"/>
      <c r="C2931" s="194">
        <v>6</v>
      </c>
      <c r="D2931" s="80"/>
      <c r="E2931" s="97"/>
      <c r="F2931" s="97"/>
      <c r="G2931" s="97"/>
      <c r="H2931" s="97"/>
      <c r="I2931" s="97"/>
      <c r="J2931" s="97"/>
      <c r="K2931" s="97"/>
      <c r="L2931" s="195"/>
    </row>
    <row r="2932" spans="1:12" x14ac:dyDescent="0.45">
      <c r="A2932" s="462"/>
      <c r="B2932" s="441"/>
      <c r="C2932" s="194">
        <v>7</v>
      </c>
      <c r="D2932" s="80"/>
      <c r="E2932" s="97"/>
      <c r="F2932" s="97"/>
      <c r="G2932" s="97"/>
      <c r="H2932" s="97"/>
      <c r="I2932" s="97"/>
      <c r="J2932" s="97"/>
      <c r="K2932" s="97"/>
      <c r="L2932" s="195"/>
    </row>
    <row r="2933" spans="1:12" x14ac:dyDescent="0.45">
      <c r="A2933" s="462"/>
      <c r="B2933" s="441"/>
      <c r="C2933" s="194">
        <v>8</v>
      </c>
      <c r="D2933" s="80"/>
      <c r="E2933" s="97"/>
      <c r="F2933" s="97"/>
      <c r="G2933" s="97"/>
      <c r="H2933" s="97"/>
      <c r="I2933" s="97"/>
      <c r="J2933" s="97"/>
      <c r="K2933" s="97"/>
      <c r="L2933" s="195"/>
    </row>
    <row r="2934" spans="1:12" x14ac:dyDescent="0.45">
      <c r="A2934" s="462"/>
      <c r="B2934" s="441"/>
      <c r="C2934" s="194">
        <v>9</v>
      </c>
      <c r="D2934" s="80"/>
      <c r="E2934" s="97"/>
      <c r="F2934" s="97"/>
      <c r="G2934" s="97"/>
      <c r="H2934" s="97"/>
      <c r="I2934" s="97"/>
      <c r="J2934" s="97"/>
      <c r="K2934" s="97"/>
      <c r="L2934" s="195"/>
    </row>
    <row r="2935" spans="1:12" x14ac:dyDescent="0.45">
      <c r="A2935" s="462"/>
      <c r="B2935" s="441"/>
      <c r="C2935" s="194">
        <v>10</v>
      </c>
      <c r="D2935" s="80"/>
      <c r="E2935" s="97"/>
      <c r="F2935" s="97"/>
      <c r="G2935" s="97"/>
      <c r="H2935" s="97"/>
      <c r="I2935" s="97"/>
      <c r="J2935" s="97"/>
      <c r="K2935" s="97"/>
      <c r="L2935" s="195"/>
    </row>
    <row r="2936" spans="1:12" x14ac:dyDescent="0.45">
      <c r="A2936" s="462"/>
      <c r="B2936" s="441"/>
      <c r="C2936" s="194">
        <v>11</v>
      </c>
      <c r="D2936" s="81"/>
      <c r="E2936" s="98"/>
      <c r="F2936" s="98"/>
      <c r="G2936" s="98"/>
      <c r="H2936" s="98"/>
      <c r="I2936" s="98"/>
      <c r="J2936" s="98"/>
      <c r="K2936" s="98"/>
      <c r="L2936" s="196"/>
    </row>
    <row r="2937" spans="1:12" ht="14.65" thickBot="1" x14ac:dyDescent="0.5">
      <c r="A2937" s="462"/>
      <c r="B2937" s="442"/>
      <c r="C2937" s="197">
        <v>12</v>
      </c>
      <c r="D2937" s="82"/>
      <c r="E2937" s="99"/>
      <c r="F2937" s="99"/>
      <c r="G2937" s="99"/>
      <c r="H2937" s="99"/>
      <c r="I2937" s="99"/>
      <c r="J2937" s="99"/>
      <c r="K2937" s="99"/>
      <c r="L2937" s="198"/>
    </row>
    <row r="2938" spans="1:12" x14ac:dyDescent="0.45">
      <c r="A2938" s="462"/>
      <c r="B2938" s="440">
        <v>12</v>
      </c>
      <c r="C2938" s="192">
        <v>1</v>
      </c>
      <c r="D2938" s="79"/>
      <c r="E2938" s="96"/>
      <c r="F2938" s="96"/>
      <c r="G2938" s="96"/>
      <c r="H2938" s="96"/>
      <c r="I2938" s="96"/>
      <c r="J2938" s="96"/>
      <c r="K2938" s="96"/>
      <c r="L2938" s="193"/>
    </row>
    <row r="2939" spans="1:12" x14ac:dyDescent="0.45">
      <c r="A2939" s="462"/>
      <c r="B2939" s="441"/>
      <c r="C2939" s="194">
        <v>2</v>
      </c>
      <c r="D2939" s="80"/>
      <c r="E2939" s="97"/>
      <c r="F2939" s="97"/>
      <c r="G2939" s="97"/>
      <c r="H2939" s="97"/>
      <c r="I2939" s="97"/>
      <c r="J2939" s="97"/>
      <c r="K2939" s="97"/>
      <c r="L2939" s="195"/>
    </row>
    <row r="2940" spans="1:12" x14ac:dyDescent="0.45">
      <c r="A2940" s="462"/>
      <c r="B2940" s="441"/>
      <c r="C2940" s="194">
        <v>3</v>
      </c>
      <c r="D2940" s="80"/>
      <c r="E2940" s="97"/>
      <c r="F2940" s="97"/>
      <c r="G2940" s="97"/>
      <c r="H2940" s="97"/>
      <c r="I2940" s="97"/>
      <c r="J2940" s="97"/>
      <c r="K2940" s="97"/>
      <c r="L2940" s="195"/>
    </row>
    <row r="2941" spans="1:12" x14ac:dyDescent="0.45">
      <c r="A2941" s="462"/>
      <c r="B2941" s="441"/>
      <c r="C2941" s="194">
        <v>4</v>
      </c>
      <c r="D2941" s="80"/>
      <c r="E2941" s="97"/>
      <c r="F2941" s="97"/>
      <c r="G2941" s="97"/>
      <c r="H2941" s="97"/>
      <c r="I2941" s="97"/>
      <c r="J2941" s="97"/>
      <c r="K2941" s="97"/>
      <c r="L2941" s="195"/>
    </row>
    <row r="2942" spans="1:12" x14ac:dyDescent="0.45">
      <c r="A2942" s="462"/>
      <c r="B2942" s="441"/>
      <c r="C2942" s="194">
        <v>5</v>
      </c>
      <c r="D2942" s="80"/>
      <c r="E2942" s="97"/>
      <c r="F2942" s="97"/>
      <c r="G2942" s="97"/>
      <c r="H2942" s="97"/>
      <c r="I2942" s="97"/>
      <c r="J2942" s="97"/>
      <c r="K2942" s="97"/>
      <c r="L2942" s="195"/>
    </row>
    <row r="2943" spans="1:12" x14ac:dyDescent="0.45">
      <c r="A2943" s="462"/>
      <c r="B2943" s="441"/>
      <c r="C2943" s="194">
        <v>6</v>
      </c>
      <c r="D2943" s="80"/>
      <c r="E2943" s="97"/>
      <c r="F2943" s="97"/>
      <c r="G2943" s="97"/>
      <c r="H2943" s="97"/>
      <c r="I2943" s="97"/>
      <c r="J2943" s="97"/>
      <c r="K2943" s="97"/>
      <c r="L2943" s="195"/>
    </row>
    <row r="2944" spans="1:12" x14ac:dyDescent="0.45">
      <c r="A2944" s="462"/>
      <c r="B2944" s="441"/>
      <c r="C2944" s="194">
        <v>7</v>
      </c>
      <c r="D2944" s="80"/>
      <c r="E2944" s="97"/>
      <c r="F2944" s="97"/>
      <c r="G2944" s="97"/>
      <c r="H2944" s="97"/>
      <c r="I2944" s="97"/>
      <c r="J2944" s="97"/>
      <c r="K2944" s="97"/>
      <c r="L2944" s="195"/>
    </row>
    <row r="2945" spans="1:12" x14ac:dyDescent="0.45">
      <c r="A2945" s="462"/>
      <c r="B2945" s="441"/>
      <c r="C2945" s="194">
        <v>8</v>
      </c>
      <c r="D2945" s="80"/>
      <c r="E2945" s="97"/>
      <c r="F2945" s="97"/>
      <c r="G2945" s="97"/>
      <c r="H2945" s="97"/>
      <c r="I2945" s="97"/>
      <c r="J2945" s="97"/>
      <c r="K2945" s="97"/>
      <c r="L2945" s="195"/>
    </row>
    <row r="2946" spans="1:12" x14ac:dyDescent="0.45">
      <c r="A2946" s="462"/>
      <c r="B2946" s="441"/>
      <c r="C2946" s="194">
        <v>9</v>
      </c>
      <c r="D2946" s="80"/>
      <c r="E2946" s="97"/>
      <c r="F2946" s="97"/>
      <c r="G2946" s="97"/>
      <c r="H2946" s="97"/>
      <c r="I2946" s="97"/>
      <c r="J2946" s="97"/>
      <c r="K2946" s="97"/>
      <c r="L2946" s="195"/>
    </row>
    <row r="2947" spans="1:12" x14ac:dyDescent="0.45">
      <c r="A2947" s="462"/>
      <c r="B2947" s="441"/>
      <c r="C2947" s="194">
        <v>10</v>
      </c>
      <c r="D2947" s="80"/>
      <c r="E2947" s="97"/>
      <c r="F2947" s="97"/>
      <c r="G2947" s="97"/>
      <c r="H2947" s="97"/>
      <c r="I2947" s="97"/>
      <c r="J2947" s="97"/>
      <c r="K2947" s="97"/>
      <c r="L2947" s="195"/>
    </row>
    <row r="2948" spans="1:12" x14ac:dyDescent="0.45">
      <c r="A2948" s="462"/>
      <c r="B2948" s="441"/>
      <c r="C2948" s="194">
        <v>11</v>
      </c>
      <c r="D2948" s="81"/>
      <c r="E2948" s="98"/>
      <c r="F2948" s="98"/>
      <c r="G2948" s="98"/>
      <c r="H2948" s="98"/>
      <c r="I2948" s="98"/>
      <c r="J2948" s="98"/>
      <c r="K2948" s="98"/>
      <c r="L2948" s="196"/>
    </row>
    <row r="2949" spans="1:12" ht="14.65" thickBot="1" x14ac:dyDescent="0.5">
      <c r="A2949" s="463"/>
      <c r="B2949" s="442"/>
      <c r="C2949" s="199">
        <v>12</v>
      </c>
      <c r="D2949" s="82"/>
      <c r="E2949" s="99"/>
      <c r="F2949" s="99"/>
      <c r="G2949" s="99"/>
      <c r="H2949" s="99"/>
      <c r="I2949" s="99"/>
      <c r="J2949" s="99"/>
      <c r="K2949" s="99"/>
      <c r="L2949" s="198"/>
    </row>
    <row r="2951" spans="1:12" s="91" customFormat="1" x14ac:dyDescent="0.45"/>
    <row r="2952" spans="1:12" ht="14.65" thickBot="1" x14ac:dyDescent="0.5"/>
    <row r="2953" spans="1:12" ht="28.9" thickBot="1" x14ac:dyDescent="0.5">
      <c r="A2953" s="187" t="s">
        <v>76</v>
      </c>
      <c r="B2953" s="186">
        <v>20</v>
      </c>
      <c r="C2953" s="109"/>
      <c r="D2953" s="109"/>
    </row>
    <row r="2954" spans="1:12" x14ac:dyDescent="0.45">
      <c r="A2954" s="443" t="s">
        <v>27</v>
      </c>
      <c r="B2954" s="448">
        <f>Name20</f>
        <v>0</v>
      </c>
      <c r="C2954" s="449"/>
      <c r="D2954" s="450"/>
      <c r="I2954" s="204"/>
      <c r="J2954" s="204"/>
      <c r="K2954" s="204"/>
      <c r="L2954" s="204"/>
    </row>
    <row r="2955" spans="1:12" x14ac:dyDescent="0.45">
      <c r="A2955" s="444"/>
      <c r="B2955" s="448"/>
      <c r="C2955" s="449"/>
      <c r="D2955" s="450"/>
      <c r="I2955" s="204"/>
      <c r="J2955" s="204"/>
      <c r="K2955" s="204"/>
      <c r="L2955" s="204"/>
    </row>
    <row r="2956" spans="1:12" x14ac:dyDescent="0.45">
      <c r="A2956" s="445"/>
      <c r="B2956" s="388"/>
      <c r="C2956" s="451"/>
      <c r="D2956" s="452"/>
      <c r="I2956" s="204"/>
      <c r="J2956" s="204"/>
      <c r="K2956" s="204"/>
      <c r="L2956" s="204"/>
    </row>
    <row r="2957" spans="1:12" ht="14.45" customHeight="1" x14ac:dyDescent="0.45">
      <c r="A2957" s="444" t="s">
        <v>155</v>
      </c>
      <c r="B2957" s="453">
        <f>GapA20</f>
        <v>0</v>
      </c>
      <c r="C2957" s="454"/>
      <c r="D2957" s="455"/>
      <c r="I2957" s="204"/>
      <c r="J2957" s="204"/>
      <c r="K2957" s="204"/>
      <c r="L2957" s="204"/>
    </row>
    <row r="2958" spans="1:12" x14ac:dyDescent="0.45">
      <c r="A2958" s="444"/>
      <c r="B2958" s="448"/>
      <c r="C2958" s="449"/>
      <c r="D2958" s="450"/>
      <c r="I2958" s="204"/>
      <c r="J2958" s="204"/>
      <c r="K2958" s="204"/>
      <c r="L2958" s="204"/>
    </row>
    <row r="2959" spans="1:12" x14ac:dyDescent="0.45">
      <c r="A2959" s="445"/>
      <c r="B2959" s="388"/>
      <c r="C2959" s="451"/>
      <c r="D2959" s="452"/>
      <c r="I2959" s="204"/>
      <c r="J2959" s="204"/>
      <c r="K2959" s="204"/>
      <c r="L2959" s="204"/>
    </row>
    <row r="2960" spans="1:12" x14ac:dyDescent="0.45">
      <c r="A2960" s="444" t="s">
        <v>159</v>
      </c>
      <c r="B2960" s="453">
        <f>Objective20</f>
        <v>0</v>
      </c>
      <c r="C2960" s="454"/>
      <c r="D2960" s="455"/>
      <c r="I2960" s="204"/>
      <c r="J2960" s="204"/>
      <c r="K2960" s="204"/>
      <c r="L2960" s="204"/>
    </row>
    <row r="2961" spans="1:12" x14ac:dyDescent="0.45">
      <c r="A2961" s="444"/>
      <c r="B2961" s="448"/>
      <c r="C2961" s="449"/>
      <c r="D2961" s="450"/>
      <c r="I2961" s="204"/>
      <c r="J2961" s="204"/>
      <c r="K2961" s="204"/>
      <c r="L2961" s="204"/>
    </row>
    <row r="2962" spans="1:12" x14ac:dyDescent="0.45">
      <c r="A2962" s="445"/>
      <c r="B2962" s="388"/>
      <c r="C2962" s="451"/>
      <c r="D2962" s="452"/>
      <c r="I2962" s="204"/>
      <c r="J2962" s="204"/>
      <c r="K2962" s="204"/>
      <c r="L2962" s="204"/>
    </row>
    <row r="2963" spans="1:12" ht="14.45" customHeight="1" x14ac:dyDescent="0.45">
      <c r="A2963" s="446" t="s">
        <v>166</v>
      </c>
      <c r="B2963" s="454">
        <f>Capacity20</f>
        <v>0</v>
      </c>
      <c r="C2963" s="454"/>
      <c r="D2963" s="455"/>
      <c r="I2963" s="204"/>
      <c r="J2963" s="204"/>
      <c r="K2963" s="204"/>
      <c r="L2963" s="204"/>
    </row>
    <row r="2964" spans="1:12" x14ac:dyDescent="0.45">
      <c r="A2964" s="447"/>
      <c r="B2964" s="449"/>
      <c r="C2964" s="449"/>
      <c r="D2964" s="450"/>
      <c r="I2964" s="204"/>
      <c r="J2964" s="204"/>
      <c r="K2964" s="204"/>
      <c r="L2964" s="204"/>
    </row>
    <row r="2965" spans="1:12" ht="14.65" thickBot="1" x14ac:dyDescent="0.5">
      <c r="A2965" s="464"/>
      <c r="B2965" s="456"/>
      <c r="C2965" s="456"/>
      <c r="D2965" s="457"/>
      <c r="I2965" s="204"/>
      <c r="J2965" s="204"/>
      <c r="K2965" s="204"/>
      <c r="L2965" s="204"/>
    </row>
    <row r="2967" spans="1:12" ht="14.65" thickBot="1" x14ac:dyDescent="0.5">
      <c r="A2967" s="90"/>
      <c r="B2967" s="90"/>
      <c r="C2967" s="90"/>
      <c r="D2967" s="90"/>
      <c r="E2967" s="90"/>
      <c r="F2967" s="90"/>
      <c r="G2967" s="90"/>
      <c r="H2967" s="90"/>
      <c r="I2967" s="90"/>
      <c r="J2967" s="90"/>
      <c r="K2967" s="90"/>
      <c r="L2967" s="90"/>
    </row>
    <row r="2968" spans="1:12" ht="21.75" customHeight="1" x14ac:dyDescent="0.45">
      <c r="A2968" s="458" t="s">
        <v>135</v>
      </c>
      <c r="B2968" s="459"/>
      <c r="C2968" s="459"/>
      <c r="D2968" s="459"/>
      <c r="E2968" s="459"/>
      <c r="F2968" s="459"/>
      <c r="G2968" s="459"/>
      <c r="H2968" s="459"/>
      <c r="I2968" s="459"/>
      <c r="J2968" s="459"/>
      <c r="K2968" s="459"/>
      <c r="L2968" s="460"/>
    </row>
    <row r="2969" spans="1:12" ht="29" customHeight="1" thickBot="1" x14ac:dyDescent="0.5">
      <c r="A2969" s="93" t="s">
        <v>74</v>
      </c>
      <c r="B2969" s="94" t="s">
        <v>28</v>
      </c>
      <c r="C2969" s="95" t="s">
        <v>320</v>
      </c>
      <c r="D2969" s="95" t="s">
        <v>127</v>
      </c>
      <c r="E2969" s="114" t="s">
        <v>90</v>
      </c>
      <c r="F2969" s="95" t="s">
        <v>175</v>
      </c>
      <c r="G2969" s="95" t="s">
        <v>176</v>
      </c>
      <c r="H2969" s="95" t="s">
        <v>156</v>
      </c>
      <c r="I2969" s="95" t="s">
        <v>157</v>
      </c>
      <c r="J2969" s="189" t="s">
        <v>321</v>
      </c>
      <c r="K2969" s="190" t="s">
        <v>29</v>
      </c>
      <c r="L2969" s="191" t="s">
        <v>322</v>
      </c>
    </row>
    <row r="2970" spans="1:12" x14ac:dyDescent="0.45">
      <c r="A2970" s="461">
        <v>1</v>
      </c>
      <c r="B2970" s="440">
        <v>1</v>
      </c>
      <c r="C2970" s="192">
        <v>1</v>
      </c>
      <c r="D2970" s="79"/>
      <c r="E2970" s="96"/>
      <c r="F2970" s="96"/>
      <c r="G2970" s="96"/>
      <c r="H2970" s="96"/>
      <c r="I2970" s="96"/>
      <c r="J2970" s="96"/>
      <c r="K2970" s="96"/>
      <c r="L2970" s="193"/>
    </row>
    <row r="2971" spans="1:12" x14ac:dyDescent="0.45">
      <c r="A2971" s="462"/>
      <c r="B2971" s="441"/>
      <c r="C2971" s="194">
        <v>2</v>
      </c>
      <c r="D2971" s="80"/>
      <c r="E2971" s="97"/>
      <c r="F2971" s="97"/>
      <c r="G2971" s="97"/>
      <c r="H2971" s="97"/>
      <c r="I2971" s="97"/>
      <c r="J2971" s="97"/>
      <c r="K2971" s="97"/>
      <c r="L2971" s="195"/>
    </row>
    <row r="2972" spans="1:12" x14ac:dyDescent="0.45">
      <c r="A2972" s="462"/>
      <c r="B2972" s="441"/>
      <c r="C2972" s="194">
        <v>3</v>
      </c>
      <c r="D2972" s="80"/>
      <c r="E2972" s="97"/>
      <c r="F2972" s="97"/>
      <c r="G2972" s="97"/>
      <c r="H2972" s="97"/>
      <c r="I2972" s="97"/>
      <c r="J2972" s="97"/>
      <c r="K2972" s="97"/>
      <c r="L2972" s="195"/>
    </row>
    <row r="2973" spans="1:12" x14ac:dyDescent="0.45">
      <c r="A2973" s="462"/>
      <c r="B2973" s="441"/>
      <c r="C2973" s="194">
        <v>4</v>
      </c>
      <c r="D2973" s="80"/>
      <c r="E2973" s="97"/>
      <c r="F2973" s="97"/>
      <c r="G2973" s="97"/>
      <c r="H2973" s="97"/>
      <c r="I2973" s="97"/>
      <c r="J2973" s="97"/>
      <c r="K2973" s="97"/>
      <c r="L2973" s="195"/>
    </row>
    <row r="2974" spans="1:12" x14ac:dyDescent="0.45">
      <c r="A2974" s="462"/>
      <c r="B2974" s="441"/>
      <c r="C2974" s="194">
        <v>5</v>
      </c>
      <c r="D2974" s="80"/>
      <c r="E2974" s="97"/>
      <c r="F2974" s="97"/>
      <c r="G2974" s="97"/>
      <c r="H2974" s="97"/>
      <c r="I2974" s="97"/>
      <c r="J2974" s="97"/>
      <c r="K2974" s="97"/>
      <c r="L2974" s="195"/>
    </row>
    <row r="2975" spans="1:12" x14ac:dyDescent="0.45">
      <c r="A2975" s="462"/>
      <c r="B2975" s="441"/>
      <c r="C2975" s="194">
        <v>6</v>
      </c>
      <c r="D2975" s="80"/>
      <c r="E2975" s="97"/>
      <c r="F2975" s="97"/>
      <c r="G2975" s="97"/>
      <c r="H2975" s="97"/>
      <c r="I2975" s="97"/>
      <c r="J2975" s="97"/>
      <c r="K2975" s="97"/>
      <c r="L2975" s="195"/>
    </row>
    <row r="2976" spans="1:12" x14ac:dyDescent="0.45">
      <c r="A2976" s="462"/>
      <c r="B2976" s="441"/>
      <c r="C2976" s="194">
        <v>7</v>
      </c>
      <c r="D2976" s="80"/>
      <c r="E2976" s="97"/>
      <c r="F2976" s="97"/>
      <c r="G2976" s="97"/>
      <c r="H2976" s="97"/>
      <c r="I2976" s="97"/>
      <c r="J2976" s="97"/>
      <c r="K2976" s="97"/>
      <c r="L2976" s="195"/>
    </row>
    <row r="2977" spans="1:14" x14ac:dyDescent="0.45">
      <c r="A2977" s="462"/>
      <c r="B2977" s="441"/>
      <c r="C2977" s="194">
        <v>8</v>
      </c>
      <c r="D2977" s="80"/>
      <c r="E2977" s="97"/>
      <c r="F2977" s="97"/>
      <c r="G2977" s="97"/>
      <c r="H2977" s="97"/>
      <c r="I2977" s="97"/>
      <c r="J2977" s="97"/>
      <c r="K2977" s="97"/>
      <c r="L2977" s="195"/>
    </row>
    <row r="2978" spans="1:14" x14ac:dyDescent="0.45">
      <c r="A2978" s="462"/>
      <c r="B2978" s="441"/>
      <c r="C2978" s="194">
        <v>9</v>
      </c>
      <c r="D2978" s="80"/>
      <c r="E2978" s="97"/>
      <c r="F2978" s="97"/>
      <c r="G2978" s="97"/>
      <c r="H2978" s="97"/>
      <c r="I2978" s="97"/>
      <c r="J2978" s="97"/>
      <c r="K2978" s="97"/>
      <c r="L2978" s="195"/>
    </row>
    <row r="2979" spans="1:14" x14ac:dyDescent="0.45">
      <c r="A2979" s="462"/>
      <c r="B2979" s="441"/>
      <c r="C2979" s="194">
        <v>10</v>
      </c>
      <c r="D2979" s="80"/>
      <c r="E2979" s="97"/>
      <c r="F2979" s="97"/>
      <c r="G2979" s="97"/>
      <c r="H2979" s="97"/>
      <c r="I2979" s="97"/>
      <c r="J2979" s="97"/>
      <c r="K2979" s="97"/>
      <c r="L2979" s="195"/>
    </row>
    <row r="2980" spans="1:14" x14ac:dyDescent="0.45">
      <c r="A2980" s="462"/>
      <c r="B2980" s="441"/>
      <c r="C2980" s="194">
        <v>11</v>
      </c>
      <c r="D2980" s="81"/>
      <c r="E2980" s="98"/>
      <c r="F2980" s="98"/>
      <c r="G2980" s="98"/>
      <c r="H2980" s="98"/>
      <c r="I2980" s="98"/>
      <c r="J2980" s="98"/>
      <c r="K2980" s="98"/>
      <c r="L2980" s="196"/>
    </row>
    <row r="2981" spans="1:14" s="90" customFormat="1" ht="14.65" thickBot="1" x14ac:dyDescent="0.5">
      <c r="A2981" s="462"/>
      <c r="B2981" s="442"/>
      <c r="C2981" s="197">
        <v>12</v>
      </c>
      <c r="D2981" s="82"/>
      <c r="E2981" s="99"/>
      <c r="F2981" s="99"/>
      <c r="G2981" s="99"/>
      <c r="H2981" s="99"/>
      <c r="I2981" s="99"/>
      <c r="J2981" s="99"/>
      <c r="K2981" s="99"/>
      <c r="L2981" s="198"/>
      <c r="M2981" s="61"/>
      <c r="N2981" s="61"/>
    </row>
    <row r="2982" spans="1:14" x14ac:dyDescent="0.45">
      <c r="A2982" s="462"/>
      <c r="B2982" s="440">
        <v>2</v>
      </c>
      <c r="C2982" s="192">
        <v>1</v>
      </c>
      <c r="D2982" s="79"/>
      <c r="E2982" s="96"/>
      <c r="F2982" s="96"/>
      <c r="G2982" s="96"/>
      <c r="H2982" s="96"/>
      <c r="I2982" s="96"/>
      <c r="J2982" s="96"/>
      <c r="K2982" s="96"/>
      <c r="L2982" s="193"/>
    </row>
    <row r="2983" spans="1:14" x14ac:dyDescent="0.45">
      <c r="A2983" s="462"/>
      <c r="B2983" s="441"/>
      <c r="C2983" s="194">
        <v>2</v>
      </c>
      <c r="D2983" s="80"/>
      <c r="E2983" s="97"/>
      <c r="F2983" s="97"/>
      <c r="G2983" s="97"/>
      <c r="H2983" s="97"/>
      <c r="I2983" s="97"/>
      <c r="J2983" s="97"/>
      <c r="K2983" s="97"/>
      <c r="L2983" s="195"/>
    </row>
    <row r="2984" spans="1:14" x14ac:dyDescent="0.45">
      <c r="A2984" s="462"/>
      <c r="B2984" s="441"/>
      <c r="C2984" s="194">
        <v>3</v>
      </c>
      <c r="D2984" s="80"/>
      <c r="E2984" s="97"/>
      <c r="F2984" s="97"/>
      <c r="G2984" s="97"/>
      <c r="H2984" s="97"/>
      <c r="I2984" s="97"/>
      <c r="J2984" s="97"/>
      <c r="K2984" s="97"/>
      <c r="L2984" s="195"/>
    </row>
    <row r="2985" spans="1:14" x14ac:dyDescent="0.45">
      <c r="A2985" s="462"/>
      <c r="B2985" s="441"/>
      <c r="C2985" s="194">
        <v>4</v>
      </c>
      <c r="D2985" s="80"/>
      <c r="E2985" s="97"/>
      <c r="F2985" s="97"/>
      <c r="G2985" s="97"/>
      <c r="H2985" s="97"/>
      <c r="I2985" s="97"/>
      <c r="J2985" s="97"/>
      <c r="K2985" s="97"/>
      <c r="L2985" s="195"/>
    </row>
    <row r="2986" spans="1:14" x14ac:dyDescent="0.45">
      <c r="A2986" s="462"/>
      <c r="B2986" s="441"/>
      <c r="C2986" s="194">
        <v>5</v>
      </c>
      <c r="D2986" s="80"/>
      <c r="E2986" s="97"/>
      <c r="F2986" s="97"/>
      <c r="G2986" s="97"/>
      <c r="H2986" s="97"/>
      <c r="I2986" s="97"/>
      <c r="J2986" s="97"/>
      <c r="K2986" s="97"/>
      <c r="L2986" s="195"/>
    </row>
    <row r="2987" spans="1:14" x14ac:dyDescent="0.45">
      <c r="A2987" s="462"/>
      <c r="B2987" s="441"/>
      <c r="C2987" s="194">
        <v>6</v>
      </c>
      <c r="D2987" s="80"/>
      <c r="E2987" s="97"/>
      <c r="F2987" s="97"/>
      <c r="G2987" s="97"/>
      <c r="H2987" s="97"/>
      <c r="I2987" s="97"/>
      <c r="J2987" s="97"/>
      <c r="K2987" s="97"/>
      <c r="L2987" s="195"/>
    </row>
    <row r="2988" spans="1:14" x14ac:dyDescent="0.45">
      <c r="A2988" s="462"/>
      <c r="B2988" s="441"/>
      <c r="C2988" s="194">
        <v>7</v>
      </c>
      <c r="D2988" s="80"/>
      <c r="E2988" s="97"/>
      <c r="F2988" s="97"/>
      <c r="G2988" s="97"/>
      <c r="H2988" s="97"/>
      <c r="I2988" s="97"/>
      <c r="J2988" s="97"/>
      <c r="K2988" s="97"/>
      <c r="L2988" s="195"/>
    </row>
    <row r="2989" spans="1:14" x14ac:dyDescent="0.45">
      <c r="A2989" s="462"/>
      <c r="B2989" s="441"/>
      <c r="C2989" s="194">
        <v>8</v>
      </c>
      <c r="D2989" s="80"/>
      <c r="E2989" s="97"/>
      <c r="F2989" s="97"/>
      <c r="G2989" s="97"/>
      <c r="H2989" s="97"/>
      <c r="I2989" s="97"/>
      <c r="J2989" s="97"/>
      <c r="K2989" s="97"/>
      <c r="L2989" s="195"/>
    </row>
    <row r="2990" spans="1:14" x14ac:dyDescent="0.45">
      <c r="A2990" s="462"/>
      <c r="B2990" s="441"/>
      <c r="C2990" s="194">
        <v>9</v>
      </c>
      <c r="D2990" s="80"/>
      <c r="E2990" s="97"/>
      <c r="F2990" s="97"/>
      <c r="G2990" s="97"/>
      <c r="H2990" s="97"/>
      <c r="I2990" s="97"/>
      <c r="J2990" s="97"/>
      <c r="K2990" s="97"/>
      <c r="L2990" s="195"/>
    </row>
    <row r="2991" spans="1:14" x14ac:dyDescent="0.45">
      <c r="A2991" s="462"/>
      <c r="B2991" s="441"/>
      <c r="C2991" s="194">
        <v>10</v>
      </c>
      <c r="D2991" s="80"/>
      <c r="E2991" s="97"/>
      <c r="F2991" s="97"/>
      <c r="G2991" s="97"/>
      <c r="H2991" s="97"/>
      <c r="I2991" s="97"/>
      <c r="J2991" s="97"/>
      <c r="K2991" s="97"/>
      <c r="L2991" s="195"/>
    </row>
    <row r="2992" spans="1:14" x14ac:dyDescent="0.45">
      <c r="A2992" s="462"/>
      <c r="B2992" s="441"/>
      <c r="C2992" s="194">
        <v>11</v>
      </c>
      <c r="D2992" s="81"/>
      <c r="E2992" s="98"/>
      <c r="F2992" s="98"/>
      <c r="G2992" s="98"/>
      <c r="H2992" s="98"/>
      <c r="I2992" s="98"/>
      <c r="J2992" s="98"/>
      <c r="K2992" s="98"/>
      <c r="L2992" s="196"/>
    </row>
    <row r="2993" spans="1:12" ht="14.65" thickBot="1" x14ac:dyDescent="0.5">
      <c r="A2993" s="462"/>
      <c r="B2993" s="442"/>
      <c r="C2993" s="197">
        <v>12</v>
      </c>
      <c r="D2993" s="82"/>
      <c r="E2993" s="99"/>
      <c r="F2993" s="99"/>
      <c r="G2993" s="99"/>
      <c r="H2993" s="99"/>
      <c r="I2993" s="99"/>
      <c r="J2993" s="99"/>
      <c r="K2993" s="99"/>
      <c r="L2993" s="198"/>
    </row>
    <row r="2994" spans="1:12" x14ac:dyDescent="0.45">
      <c r="A2994" s="462"/>
      <c r="B2994" s="440">
        <v>3</v>
      </c>
      <c r="C2994" s="192">
        <v>1</v>
      </c>
      <c r="D2994" s="79"/>
      <c r="E2994" s="96"/>
      <c r="F2994" s="96"/>
      <c r="G2994" s="96"/>
      <c r="H2994" s="96"/>
      <c r="I2994" s="96"/>
      <c r="J2994" s="96"/>
      <c r="K2994" s="96"/>
      <c r="L2994" s="193"/>
    </row>
    <row r="2995" spans="1:12" x14ac:dyDescent="0.45">
      <c r="A2995" s="462"/>
      <c r="B2995" s="441"/>
      <c r="C2995" s="194">
        <v>2</v>
      </c>
      <c r="D2995" s="80"/>
      <c r="E2995" s="97"/>
      <c r="F2995" s="97"/>
      <c r="G2995" s="97"/>
      <c r="H2995" s="97"/>
      <c r="I2995" s="97"/>
      <c r="J2995" s="97"/>
      <c r="K2995" s="97"/>
      <c r="L2995" s="195"/>
    </row>
    <row r="2996" spans="1:12" x14ac:dyDescent="0.45">
      <c r="A2996" s="462"/>
      <c r="B2996" s="441"/>
      <c r="C2996" s="194">
        <v>3</v>
      </c>
      <c r="D2996" s="80"/>
      <c r="E2996" s="97"/>
      <c r="F2996" s="97"/>
      <c r="G2996" s="97"/>
      <c r="H2996" s="97"/>
      <c r="I2996" s="97"/>
      <c r="J2996" s="97"/>
      <c r="K2996" s="97"/>
      <c r="L2996" s="195"/>
    </row>
    <row r="2997" spans="1:12" x14ac:dyDescent="0.45">
      <c r="A2997" s="462"/>
      <c r="B2997" s="441"/>
      <c r="C2997" s="194">
        <v>4</v>
      </c>
      <c r="D2997" s="80"/>
      <c r="E2997" s="97"/>
      <c r="F2997" s="97"/>
      <c r="G2997" s="97"/>
      <c r="H2997" s="97"/>
      <c r="I2997" s="97"/>
      <c r="J2997" s="97"/>
      <c r="K2997" s="97"/>
      <c r="L2997" s="195"/>
    </row>
    <row r="2998" spans="1:12" x14ac:dyDescent="0.45">
      <c r="A2998" s="462"/>
      <c r="B2998" s="441"/>
      <c r="C2998" s="194">
        <v>5</v>
      </c>
      <c r="D2998" s="80"/>
      <c r="E2998" s="97"/>
      <c r="F2998" s="97"/>
      <c r="G2998" s="97"/>
      <c r="H2998" s="97"/>
      <c r="I2998" s="97"/>
      <c r="J2998" s="97"/>
      <c r="K2998" s="97"/>
      <c r="L2998" s="195"/>
    </row>
    <row r="2999" spans="1:12" x14ac:dyDescent="0.45">
      <c r="A2999" s="462"/>
      <c r="B2999" s="441"/>
      <c r="C2999" s="194">
        <v>6</v>
      </c>
      <c r="D2999" s="80"/>
      <c r="E2999" s="97"/>
      <c r="F2999" s="97"/>
      <c r="G2999" s="97"/>
      <c r="H2999" s="97"/>
      <c r="I2999" s="97"/>
      <c r="J2999" s="97"/>
      <c r="K2999" s="97"/>
      <c r="L2999" s="195"/>
    </row>
    <row r="3000" spans="1:12" x14ac:dyDescent="0.45">
      <c r="A3000" s="462"/>
      <c r="B3000" s="441"/>
      <c r="C3000" s="194">
        <v>7</v>
      </c>
      <c r="D3000" s="80"/>
      <c r="E3000" s="97"/>
      <c r="F3000" s="97"/>
      <c r="G3000" s="97"/>
      <c r="H3000" s="97"/>
      <c r="I3000" s="97"/>
      <c r="J3000" s="97"/>
      <c r="K3000" s="97"/>
      <c r="L3000" s="195"/>
    </row>
    <row r="3001" spans="1:12" x14ac:dyDescent="0.45">
      <c r="A3001" s="462"/>
      <c r="B3001" s="441"/>
      <c r="C3001" s="194">
        <v>8</v>
      </c>
      <c r="D3001" s="80"/>
      <c r="E3001" s="97"/>
      <c r="F3001" s="97"/>
      <c r="G3001" s="97"/>
      <c r="H3001" s="97"/>
      <c r="I3001" s="97"/>
      <c r="J3001" s="97"/>
      <c r="K3001" s="97"/>
      <c r="L3001" s="195"/>
    </row>
    <row r="3002" spans="1:12" x14ac:dyDescent="0.45">
      <c r="A3002" s="462"/>
      <c r="B3002" s="441"/>
      <c r="C3002" s="194">
        <v>9</v>
      </c>
      <c r="D3002" s="80"/>
      <c r="E3002" s="97"/>
      <c r="F3002" s="97"/>
      <c r="G3002" s="97"/>
      <c r="H3002" s="97"/>
      <c r="I3002" s="97"/>
      <c r="J3002" s="97"/>
      <c r="K3002" s="97"/>
      <c r="L3002" s="195"/>
    </row>
    <row r="3003" spans="1:12" x14ac:dyDescent="0.45">
      <c r="A3003" s="462"/>
      <c r="B3003" s="441"/>
      <c r="C3003" s="194">
        <v>10</v>
      </c>
      <c r="D3003" s="80"/>
      <c r="E3003" s="97"/>
      <c r="F3003" s="97"/>
      <c r="G3003" s="97"/>
      <c r="H3003" s="97"/>
      <c r="I3003" s="97"/>
      <c r="J3003" s="97"/>
      <c r="K3003" s="97"/>
      <c r="L3003" s="195"/>
    </row>
    <row r="3004" spans="1:12" x14ac:dyDescent="0.45">
      <c r="A3004" s="462"/>
      <c r="B3004" s="441"/>
      <c r="C3004" s="194">
        <v>11</v>
      </c>
      <c r="D3004" s="81"/>
      <c r="E3004" s="98"/>
      <c r="F3004" s="98"/>
      <c r="G3004" s="98"/>
      <c r="H3004" s="98"/>
      <c r="I3004" s="98"/>
      <c r="J3004" s="98"/>
      <c r="K3004" s="98"/>
      <c r="L3004" s="196"/>
    </row>
    <row r="3005" spans="1:12" ht="14.65" thickBot="1" x14ac:dyDescent="0.5">
      <c r="A3005" s="462"/>
      <c r="B3005" s="442"/>
      <c r="C3005" s="197">
        <v>12</v>
      </c>
      <c r="D3005" s="82"/>
      <c r="E3005" s="99"/>
      <c r="F3005" s="99"/>
      <c r="G3005" s="99"/>
      <c r="H3005" s="99"/>
      <c r="I3005" s="99"/>
      <c r="J3005" s="99"/>
      <c r="K3005" s="99"/>
      <c r="L3005" s="198"/>
    </row>
    <row r="3006" spans="1:12" x14ac:dyDescent="0.45">
      <c r="A3006" s="462"/>
      <c r="B3006" s="440">
        <v>4</v>
      </c>
      <c r="C3006" s="192">
        <v>1</v>
      </c>
      <c r="D3006" s="79"/>
      <c r="E3006" s="96"/>
      <c r="F3006" s="96"/>
      <c r="G3006" s="96"/>
      <c r="H3006" s="96"/>
      <c r="I3006" s="96"/>
      <c r="J3006" s="96"/>
      <c r="K3006" s="96"/>
      <c r="L3006" s="193"/>
    </row>
    <row r="3007" spans="1:12" x14ac:dyDescent="0.45">
      <c r="A3007" s="462"/>
      <c r="B3007" s="441"/>
      <c r="C3007" s="194">
        <v>2</v>
      </c>
      <c r="D3007" s="80"/>
      <c r="E3007" s="97"/>
      <c r="F3007" s="97"/>
      <c r="G3007" s="97"/>
      <c r="H3007" s="97"/>
      <c r="I3007" s="97"/>
      <c r="J3007" s="97"/>
      <c r="K3007" s="97"/>
      <c r="L3007" s="195"/>
    </row>
    <row r="3008" spans="1:12" x14ac:dyDescent="0.45">
      <c r="A3008" s="462"/>
      <c r="B3008" s="441"/>
      <c r="C3008" s="194">
        <v>3</v>
      </c>
      <c r="D3008" s="80"/>
      <c r="E3008" s="97"/>
      <c r="F3008" s="97"/>
      <c r="G3008" s="97"/>
      <c r="H3008" s="97"/>
      <c r="I3008" s="97"/>
      <c r="J3008" s="97"/>
      <c r="K3008" s="97"/>
      <c r="L3008" s="195"/>
    </row>
    <row r="3009" spans="1:12" x14ac:dyDescent="0.45">
      <c r="A3009" s="462"/>
      <c r="B3009" s="441"/>
      <c r="C3009" s="194">
        <v>4</v>
      </c>
      <c r="D3009" s="80"/>
      <c r="E3009" s="97"/>
      <c r="F3009" s="97"/>
      <c r="G3009" s="97"/>
      <c r="H3009" s="97"/>
      <c r="I3009" s="97"/>
      <c r="J3009" s="97"/>
      <c r="K3009" s="97"/>
      <c r="L3009" s="195"/>
    </row>
    <row r="3010" spans="1:12" x14ac:dyDescent="0.45">
      <c r="A3010" s="462"/>
      <c r="B3010" s="441"/>
      <c r="C3010" s="194">
        <v>5</v>
      </c>
      <c r="D3010" s="80"/>
      <c r="E3010" s="97"/>
      <c r="F3010" s="97"/>
      <c r="G3010" s="97"/>
      <c r="H3010" s="97"/>
      <c r="I3010" s="97"/>
      <c r="J3010" s="97"/>
      <c r="K3010" s="97"/>
      <c r="L3010" s="195"/>
    </row>
    <row r="3011" spans="1:12" x14ac:dyDescent="0.45">
      <c r="A3011" s="462"/>
      <c r="B3011" s="441"/>
      <c r="C3011" s="194">
        <v>6</v>
      </c>
      <c r="D3011" s="80"/>
      <c r="E3011" s="97"/>
      <c r="F3011" s="97"/>
      <c r="G3011" s="97"/>
      <c r="H3011" s="97"/>
      <c r="I3011" s="97"/>
      <c r="J3011" s="97"/>
      <c r="K3011" s="97"/>
      <c r="L3011" s="195"/>
    </row>
    <row r="3012" spans="1:12" x14ac:dyDescent="0.45">
      <c r="A3012" s="462"/>
      <c r="B3012" s="441"/>
      <c r="C3012" s="194">
        <v>7</v>
      </c>
      <c r="D3012" s="80"/>
      <c r="E3012" s="97"/>
      <c r="F3012" s="97"/>
      <c r="G3012" s="97"/>
      <c r="H3012" s="97"/>
      <c r="I3012" s="97"/>
      <c r="J3012" s="97"/>
      <c r="K3012" s="97"/>
      <c r="L3012" s="195"/>
    </row>
    <row r="3013" spans="1:12" x14ac:dyDescent="0.45">
      <c r="A3013" s="462"/>
      <c r="B3013" s="441"/>
      <c r="C3013" s="194">
        <v>8</v>
      </c>
      <c r="D3013" s="80"/>
      <c r="E3013" s="97"/>
      <c r="F3013" s="97"/>
      <c r="G3013" s="97"/>
      <c r="H3013" s="97"/>
      <c r="I3013" s="97"/>
      <c r="J3013" s="97"/>
      <c r="K3013" s="97"/>
      <c r="L3013" s="195"/>
    </row>
    <row r="3014" spans="1:12" x14ac:dyDescent="0.45">
      <c r="A3014" s="462"/>
      <c r="B3014" s="441"/>
      <c r="C3014" s="194">
        <v>9</v>
      </c>
      <c r="D3014" s="80"/>
      <c r="E3014" s="97"/>
      <c r="F3014" s="97"/>
      <c r="G3014" s="97"/>
      <c r="H3014" s="97"/>
      <c r="I3014" s="97"/>
      <c r="J3014" s="97"/>
      <c r="K3014" s="97"/>
      <c r="L3014" s="195"/>
    </row>
    <row r="3015" spans="1:12" x14ac:dyDescent="0.45">
      <c r="A3015" s="462"/>
      <c r="B3015" s="441"/>
      <c r="C3015" s="194">
        <v>10</v>
      </c>
      <c r="D3015" s="80"/>
      <c r="E3015" s="97"/>
      <c r="F3015" s="97"/>
      <c r="G3015" s="97"/>
      <c r="H3015" s="97"/>
      <c r="I3015" s="97"/>
      <c r="J3015" s="97"/>
      <c r="K3015" s="97"/>
      <c r="L3015" s="195"/>
    </row>
    <row r="3016" spans="1:12" x14ac:dyDescent="0.45">
      <c r="A3016" s="462"/>
      <c r="B3016" s="441"/>
      <c r="C3016" s="194">
        <v>11</v>
      </c>
      <c r="D3016" s="81"/>
      <c r="E3016" s="98"/>
      <c r="F3016" s="98"/>
      <c r="G3016" s="98"/>
      <c r="H3016" s="98"/>
      <c r="I3016" s="98"/>
      <c r="J3016" s="98"/>
      <c r="K3016" s="98"/>
      <c r="L3016" s="196"/>
    </row>
    <row r="3017" spans="1:12" ht="14.65" thickBot="1" x14ac:dyDescent="0.5">
      <c r="A3017" s="463"/>
      <c r="B3017" s="442"/>
      <c r="C3017" s="197">
        <v>12</v>
      </c>
      <c r="D3017" s="82"/>
      <c r="E3017" s="99"/>
      <c r="F3017" s="99"/>
      <c r="G3017" s="99"/>
      <c r="H3017" s="99"/>
      <c r="I3017" s="99"/>
      <c r="J3017" s="99"/>
      <c r="K3017" s="99"/>
      <c r="L3017" s="198"/>
    </row>
    <row r="3018" spans="1:12" x14ac:dyDescent="0.45">
      <c r="A3018" s="461">
        <v>2</v>
      </c>
      <c r="B3018" s="440">
        <v>5</v>
      </c>
      <c r="C3018" s="192">
        <v>1</v>
      </c>
      <c r="D3018" s="79"/>
      <c r="E3018" s="96"/>
      <c r="F3018" s="96"/>
      <c r="G3018" s="96"/>
      <c r="H3018" s="96"/>
      <c r="I3018" s="96"/>
      <c r="J3018" s="96"/>
      <c r="K3018" s="96"/>
      <c r="L3018" s="193"/>
    </row>
    <row r="3019" spans="1:12" x14ac:dyDescent="0.45">
      <c r="A3019" s="462"/>
      <c r="B3019" s="441"/>
      <c r="C3019" s="194">
        <v>2</v>
      </c>
      <c r="D3019" s="80"/>
      <c r="E3019" s="97"/>
      <c r="F3019" s="97"/>
      <c r="G3019" s="97"/>
      <c r="H3019" s="97"/>
      <c r="I3019" s="97"/>
      <c r="J3019" s="97"/>
      <c r="K3019" s="97"/>
      <c r="L3019" s="195"/>
    </row>
    <row r="3020" spans="1:12" x14ac:dyDescent="0.45">
      <c r="A3020" s="462"/>
      <c r="B3020" s="441"/>
      <c r="C3020" s="194">
        <v>3</v>
      </c>
      <c r="D3020" s="80"/>
      <c r="E3020" s="97"/>
      <c r="F3020" s="97"/>
      <c r="G3020" s="97"/>
      <c r="H3020" s="97"/>
      <c r="I3020" s="97"/>
      <c r="J3020" s="97"/>
      <c r="K3020" s="97"/>
      <c r="L3020" s="195"/>
    </row>
    <row r="3021" spans="1:12" x14ac:dyDescent="0.45">
      <c r="A3021" s="462"/>
      <c r="B3021" s="441"/>
      <c r="C3021" s="194">
        <v>4</v>
      </c>
      <c r="D3021" s="80"/>
      <c r="E3021" s="97"/>
      <c r="F3021" s="97"/>
      <c r="G3021" s="97"/>
      <c r="H3021" s="97"/>
      <c r="I3021" s="97"/>
      <c r="J3021" s="97"/>
      <c r="K3021" s="97"/>
      <c r="L3021" s="195"/>
    </row>
    <row r="3022" spans="1:12" x14ac:dyDescent="0.45">
      <c r="A3022" s="462"/>
      <c r="B3022" s="441"/>
      <c r="C3022" s="194">
        <v>5</v>
      </c>
      <c r="D3022" s="80"/>
      <c r="E3022" s="97"/>
      <c r="F3022" s="97"/>
      <c r="G3022" s="97"/>
      <c r="H3022" s="97"/>
      <c r="I3022" s="97"/>
      <c r="J3022" s="97"/>
      <c r="K3022" s="97"/>
      <c r="L3022" s="195"/>
    </row>
    <row r="3023" spans="1:12" x14ac:dyDescent="0.45">
      <c r="A3023" s="462"/>
      <c r="B3023" s="441"/>
      <c r="C3023" s="194">
        <v>6</v>
      </c>
      <c r="D3023" s="80"/>
      <c r="E3023" s="97"/>
      <c r="F3023" s="97"/>
      <c r="G3023" s="97"/>
      <c r="H3023" s="97"/>
      <c r="I3023" s="97"/>
      <c r="J3023" s="97"/>
      <c r="K3023" s="97"/>
      <c r="L3023" s="195"/>
    </row>
    <row r="3024" spans="1:12" x14ac:dyDescent="0.45">
      <c r="A3024" s="462"/>
      <c r="B3024" s="441"/>
      <c r="C3024" s="194">
        <v>7</v>
      </c>
      <c r="D3024" s="80"/>
      <c r="E3024" s="97"/>
      <c r="F3024" s="97"/>
      <c r="G3024" s="97"/>
      <c r="H3024" s="97"/>
      <c r="I3024" s="97"/>
      <c r="J3024" s="97"/>
      <c r="K3024" s="97"/>
      <c r="L3024" s="195"/>
    </row>
    <row r="3025" spans="1:12" x14ac:dyDescent="0.45">
      <c r="A3025" s="462"/>
      <c r="B3025" s="441"/>
      <c r="C3025" s="194">
        <v>8</v>
      </c>
      <c r="D3025" s="80"/>
      <c r="E3025" s="97"/>
      <c r="F3025" s="97"/>
      <c r="G3025" s="97"/>
      <c r="H3025" s="97"/>
      <c r="I3025" s="97"/>
      <c r="J3025" s="97"/>
      <c r="K3025" s="97"/>
      <c r="L3025" s="195"/>
    </row>
    <row r="3026" spans="1:12" x14ac:dyDescent="0.45">
      <c r="A3026" s="462"/>
      <c r="B3026" s="441"/>
      <c r="C3026" s="194">
        <v>9</v>
      </c>
      <c r="D3026" s="80"/>
      <c r="E3026" s="97"/>
      <c r="F3026" s="97"/>
      <c r="G3026" s="97"/>
      <c r="H3026" s="97"/>
      <c r="I3026" s="97"/>
      <c r="J3026" s="97"/>
      <c r="K3026" s="97"/>
      <c r="L3026" s="195"/>
    </row>
    <row r="3027" spans="1:12" x14ac:dyDescent="0.45">
      <c r="A3027" s="462"/>
      <c r="B3027" s="441"/>
      <c r="C3027" s="194">
        <v>10</v>
      </c>
      <c r="D3027" s="80"/>
      <c r="E3027" s="97"/>
      <c r="F3027" s="97"/>
      <c r="G3027" s="97"/>
      <c r="H3027" s="97"/>
      <c r="I3027" s="97"/>
      <c r="J3027" s="97"/>
      <c r="K3027" s="97"/>
      <c r="L3027" s="195"/>
    </row>
    <row r="3028" spans="1:12" x14ac:dyDescent="0.45">
      <c r="A3028" s="462"/>
      <c r="B3028" s="441"/>
      <c r="C3028" s="194">
        <v>11</v>
      </c>
      <c r="D3028" s="81"/>
      <c r="E3028" s="98"/>
      <c r="F3028" s="98"/>
      <c r="G3028" s="98"/>
      <c r="H3028" s="98"/>
      <c r="I3028" s="98"/>
      <c r="J3028" s="98"/>
      <c r="K3028" s="98"/>
      <c r="L3028" s="196"/>
    </row>
    <row r="3029" spans="1:12" ht="14.65" thickBot="1" x14ac:dyDescent="0.5">
      <c r="A3029" s="462"/>
      <c r="B3029" s="442"/>
      <c r="C3029" s="197">
        <v>12</v>
      </c>
      <c r="D3029" s="82"/>
      <c r="E3029" s="99"/>
      <c r="F3029" s="99"/>
      <c r="G3029" s="99"/>
      <c r="H3029" s="99"/>
      <c r="I3029" s="99"/>
      <c r="J3029" s="99"/>
      <c r="K3029" s="99"/>
      <c r="L3029" s="198"/>
    </row>
    <row r="3030" spans="1:12" x14ac:dyDescent="0.45">
      <c r="A3030" s="462"/>
      <c r="B3030" s="440">
        <v>6</v>
      </c>
      <c r="C3030" s="192">
        <v>1</v>
      </c>
      <c r="D3030" s="79"/>
      <c r="E3030" s="96"/>
      <c r="F3030" s="96"/>
      <c r="G3030" s="96"/>
      <c r="H3030" s="96"/>
      <c r="I3030" s="96"/>
      <c r="J3030" s="96"/>
      <c r="K3030" s="96"/>
      <c r="L3030" s="193"/>
    </row>
    <row r="3031" spans="1:12" x14ac:dyDescent="0.45">
      <c r="A3031" s="462"/>
      <c r="B3031" s="441"/>
      <c r="C3031" s="194">
        <v>2</v>
      </c>
      <c r="D3031" s="80"/>
      <c r="E3031" s="97"/>
      <c r="F3031" s="97"/>
      <c r="G3031" s="97"/>
      <c r="H3031" s="97"/>
      <c r="I3031" s="97"/>
      <c r="J3031" s="97"/>
      <c r="K3031" s="97"/>
      <c r="L3031" s="195"/>
    </row>
    <row r="3032" spans="1:12" x14ac:dyDescent="0.45">
      <c r="A3032" s="462"/>
      <c r="B3032" s="441"/>
      <c r="C3032" s="194">
        <v>3</v>
      </c>
      <c r="D3032" s="80"/>
      <c r="E3032" s="97"/>
      <c r="F3032" s="97"/>
      <c r="G3032" s="97"/>
      <c r="H3032" s="97"/>
      <c r="I3032" s="97"/>
      <c r="J3032" s="97"/>
      <c r="K3032" s="97"/>
      <c r="L3032" s="195"/>
    </row>
    <row r="3033" spans="1:12" x14ac:dyDescent="0.45">
      <c r="A3033" s="462"/>
      <c r="B3033" s="441"/>
      <c r="C3033" s="194">
        <v>4</v>
      </c>
      <c r="D3033" s="80"/>
      <c r="E3033" s="97"/>
      <c r="F3033" s="97"/>
      <c r="G3033" s="97"/>
      <c r="H3033" s="97"/>
      <c r="I3033" s="97"/>
      <c r="J3033" s="97"/>
      <c r="K3033" s="97"/>
      <c r="L3033" s="195"/>
    </row>
    <row r="3034" spans="1:12" x14ac:dyDescent="0.45">
      <c r="A3034" s="462"/>
      <c r="B3034" s="441"/>
      <c r="C3034" s="194">
        <v>5</v>
      </c>
      <c r="D3034" s="80"/>
      <c r="E3034" s="97"/>
      <c r="F3034" s="97"/>
      <c r="G3034" s="97"/>
      <c r="H3034" s="97"/>
      <c r="I3034" s="97"/>
      <c r="J3034" s="97"/>
      <c r="K3034" s="97"/>
      <c r="L3034" s="195"/>
    </row>
    <row r="3035" spans="1:12" x14ac:dyDescent="0.45">
      <c r="A3035" s="462"/>
      <c r="B3035" s="441"/>
      <c r="C3035" s="194">
        <v>6</v>
      </c>
      <c r="D3035" s="80"/>
      <c r="E3035" s="97"/>
      <c r="F3035" s="97"/>
      <c r="G3035" s="97"/>
      <c r="H3035" s="97"/>
      <c r="I3035" s="97"/>
      <c r="J3035" s="97"/>
      <c r="K3035" s="97"/>
      <c r="L3035" s="195"/>
    </row>
    <row r="3036" spans="1:12" x14ac:dyDescent="0.45">
      <c r="A3036" s="462"/>
      <c r="B3036" s="441"/>
      <c r="C3036" s="194">
        <v>7</v>
      </c>
      <c r="D3036" s="80"/>
      <c r="E3036" s="97"/>
      <c r="F3036" s="97"/>
      <c r="G3036" s="97"/>
      <c r="H3036" s="97"/>
      <c r="I3036" s="97"/>
      <c r="J3036" s="97"/>
      <c r="K3036" s="97"/>
      <c r="L3036" s="195"/>
    </row>
    <row r="3037" spans="1:12" x14ac:dyDescent="0.45">
      <c r="A3037" s="462"/>
      <c r="B3037" s="441"/>
      <c r="C3037" s="194">
        <v>8</v>
      </c>
      <c r="D3037" s="80"/>
      <c r="E3037" s="97"/>
      <c r="F3037" s="97"/>
      <c r="G3037" s="97"/>
      <c r="H3037" s="97"/>
      <c r="I3037" s="97"/>
      <c r="J3037" s="97"/>
      <c r="K3037" s="97"/>
      <c r="L3037" s="195"/>
    </row>
    <row r="3038" spans="1:12" x14ac:dyDescent="0.45">
      <c r="A3038" s="462"/>
      <c r="B3038" s="441"/>
      <c r="C3038" s="194">
        <v>9</v>
      </c>
      <c r="D3038" s="80"/>
      <c r="E3038" s="97"/>
      <c r="F3038" s="97"/>
      <c r="G3038" s="97"/>
      <c r="H3038" s="97"/>
      <c r="I3038" s="97"/>
      <c r="J3038" s="97"/>
      <c r="K3038" s="97"/>
      <c r="L3038" s="195"/>
    </row>
    <row r="3039" spans="1:12" x14ac:dyDescent="0.45">
      <c r="A3039" s="462"/>
      <c r="B3039" s="441"/>
      <c r="C3039" s="194">
        <v>10</v>
      </c>
      <c r="D3039" s="80"/>
      <c r="E3039" s="97"/>
      <c r="F3039" s="97"/>
      <c r="G3039" s="97"/>
      <c r="H3039" s="97"/>
      <c r="I3039" s="97"/>
      <c r="J3039" s="97"/>
      <c r="K3039" s="97"/>
      <c r="L3039" s="195"/>
    </row>
    <row r="3040" spans="1:12" x14ac:dyDescent="0.45">
      <c r="A3040" s="462"/>
      <c r="B3040" s="441"/>
      <c r="C3040" s="194">
        <v>11</v>
      </c>
      <c r="D3040" s="81"/>
      <c r="E3040" s="98"/>
      <c r="F3040" s="98"/>
      <c r="G3040" s="98"/>
      <c r="H3040" s="98"/>
      <c r="I3040" s="98"/>
      <c r="J3040" s="98"/>
      <c r="K3040" s="98"/>
      <c r="L3040" s="196"/>
    </row>
    <row r="3041" spans="1:12" ht="14.65" thickBot="1" x14ac:dyDescent="0.5">
      <c r="A3041" s="462"/>
      <c r="B3041" s="442"/>
      <c r="C3041" s="197">
        <v>12</v>
      </c>
      <c r="D3041" s="82"/>
      <c r="E3041" s="99"/>
      <c r="F3041" s="99"/>
      <c r="G3041" s="99"/>
      <c r="H3041" s="99"/>
      <c r="I3041" s="99"/>
      <c r="J3041" s="99"/>
      <c r="K3041" s="99"/>
      <c r="L3041" s="198"/>
    </row>
    <row r="3042" spans="1:12" x14ac:dyDescent="0.45">
      <c r="A3042" s="462"/>
      <c r="B3042" s="440">
        <v>7</v>
      </c>
      <c r="C3042" s="192">
        <v>1</v>
      </c>
      <c r="D3042" s="79"/>
      <c r="E3042" s="96"/>
      <c r="F3042" s="96"/>
      <c r="G3042" s="96"/>
      <c r="H3042" s="96"/>
      <c r="I3042" s="96"/>
      <c r="J3042" s="96"/>
      <c r="K3042" s="96"/>
      <c r="L3042" s="193"/>
    </row>
    <row r="3043" spans="1:12" x14ac:dyDescent="0.45">
      <c r="A3043" s="462"/>
      <c r="B3043" s="441"/>
      <c r="C3043" s="194">
        <v>2</v>
      </c>
      <c r="D3043" s="80"/>
      <c r="E3043" s="97"/>
      <c r="F3043" s="97"/>
      <c r="G3043" s="97"/>
      <c r="H3043" s="97"/>
      <c r="I3043" s="97"/>
      <c r="J3043" s="97"/>
      <c r="K3043" s="97"/>
      <c r="L3043" s="195"/>
    </row>
    <row r="3044" spans="1:12" x14ac:dyDescent="0.45">
      <c r="A3044" s="462"/>
      <c r="B3044" s="441"/>
      <c r="C3044" s="194">
        <v>3</v>
      </c>
      <c r="D3044" s="80"/>
      <c r="E3044" s="97"/>
      <c r="F3044" s="97"/>
      <c r="G3044" s="97"/>
      <c r="H3044" s="97"/>
      <c r="I3044" s="97"/>
      <c r="J3044" s="97"/>
      <c r="K3044" s="97"/>
      <c r="L3044" s="195"/>
    </row>
    <row r="3045" spans="1:12" x14ac:dyDescent="0.45">
      <c r="A3045" s="462"/>
      <c r="B3045" s="441"/>
      <c r="C3045" s="194">
        <v>4</v>
      </c>
      <c r="D3045" s="80"/>
      <c r="E3045" s="97"/>
      <c r="F3045" s="97"/>
      <c r="G3045" s="97"/>
      <c r="H3045" s="97"/>
      <c r="I3045" s="97"/>
      <c r="J3045" s="97"/>
      <c r="K3045" s="97"/>
      <c r="L3045" s="195"/>
    </row>
    <row r="3046" spans="1:12" x14ac:dyDescent="0.45">
      <c r="A3046" s="462"/>
      <c r="B3046" s="441"/>
      <c r="C3046" s="194">
        <v>5</v>
      </c>
      <c r="D3046" s="80"/>
      <c r="E3046" s="97"/>
      <c r="F3046" s="97"/>
      <c r="G3046" s="97"/>
      <c r="H3046" s="97"/>
      <c r="I3046" s="97"/>
      <c r="J3046" s="97"/>
      <c r="K3046" s="97"/>
      <c r="L3046" s="195"/>
    </row>
    <row r="3047" spans="1:12" x14ac:dyDescent="0.45">
      <c r="A3047" s="462"/>
      <c r="B3047" s="441"/>
      <c r="C3047" s="194">
        <v>6</v>
      </c>
      <c r="D3047" s="80"/>
      <c r="E3047" s="97"/>
      <c r="F3047" s="97"/>
      <c r="G3047" s="97"/>
      <c r="H3047" s="97"/>
      <c r="I3047" s="97"/>
      <c r="J3047" s="97"/>
      <c r="K3047" s="97"/>
      <c r="L3047" s="195"/>
    </row>
    <row r="3048" spans="1:12" x14ac:dyDescent="0.45">
      <c r="A3048" s="462"/>
      <c r="B3048" s="441"/>
      <c r="C3048" s="194">
        <v>7</v>
      </c>
      <c r="D3048" s="80"/>
      <c r="E3048" s="97"/>
      <c r="F3048" s="97"/>
      <c r="G3048" s="97"/>
      <c r="H3048" s="97"/>
      <c r="I3048" s="97"/>
      <c r="J3048" s="97"/>
      <c r="K3048" s="97"/>
      <c r="L3048" s="195"/>
    </row>
    <row r="3049" spans="1:12" x14ac:dyDescent="0.45">
      <c r="A3049" s="462"/>
      <c r="B3049" s="441"/>
      <c r="C3049" s="194">
        <v>8</v>
      </c>
      <c r="D3049" s="80"/>
      <c r="E3049" s="97"/>
      <c r="F3049" s="97"/>
      <c r="G3049" s="97"/>
      <c r="H3049" s="97"/>
      <c r="I3049" s="97"/>
      <c r="J3049" s="97"/>
      <c r="K3049" s="97"/>
      <c r="L3049" s="195"/>
    </row>
    <row r="3050" spans="1:12" x14ac:dyDescent="0.45">
      <c r="A3050" s="462"/>
      <c r="B3050" s="441"/>
      <c r="C3050" s="194">
        <v>9</v>
      </c>
      <c r="D3050" s="80"/>
      <c r="E3050" s="97"/>
      <c r="F3050" s="97"/>
      <c r="G3050" s="97"/>
      <c r="H3050" s="97"/>
      <c r="I3050" s="97"/>
      <c r="J3050" s="97"/>
      <c r="K3050" s="97"/>
      <c r="L3050" s="195"/>
    </row>
    <row r="3051" spans="1:12" x14ac:dyDescent="0.45">
      <c r="A3051" s="462"/>
      <c r="B3051" s="441"/>
      <c r="C3051" s="194">
        <v>10</v>
      </c>
      <c r="D3051" s="80"/>
      <c r="E3051" s="97"/>
      <c r="F3051" s="97"/>
      <c r="G3051" s="97"/>
      <c r="H3051" s="97"/>
      <c r="I3051" s="97"/>
      <c r="J3051" s="97"/>
      <c r="K3051" s="97"/>
      <c r="L3051" s="195"/>
    </row>
    <row r="3052" spans="1:12" x14ac:dyDescent="0.45">
      <c r="A3052" s="462"/>
      <c r="B3052" s="441"/>
      <c r="C3052" s="194">
        <v>11</v>
      </c>
      <c r="D3052" s="81"/>
      <c r="E3052" s="98"/>
      <c r="F3052" s="98"/>
      <c r="G3052" s="98"/>
      <c r="H3052" s="98"/>
      <c r="I3052" s="98"/>
      <c r="J3052" s="98"/>
      <c r="K3052" s="98"/>
      <c r="L3052" s="196"/>
    </row>
    <row r="3053" spans="1:12" ht="14.65" thickBot="1" x14ac:dyDescent="0.5">
      <c r="A3053" s="462"/>
      <c r="B3053" s="442"/>
      <c r="C3053" s="197">
        <v>12</v>
      </c>
      <c r="D3053" s="82"/>
      <c r="E3053" s="99"/>
      <c r="F3053" s="99"/>
      <c r="G3053" s="99"/>
      <c r="H3053" s="99"/>
      <c r="I3053" s="99"/>
      <c r="J3053" s="99"/>
      <c r="K3053" s="99"/>
      <c r="L3053" s="198"/>
    </row>
    <row r="3054" spans="1:12" x14ac:dyDescent="0.45">
      <c r="A3054" s="462"/>
      <c r="B3054" s="440">
        <v>8</v>
      </c>
      <c r="C3054" s="192">
        <v>1</v>
      </c>
      <c r="D3054" s="79"/>
      <c r="E3054" s="96"/>
      <c r="F3054" s="96"/>
      <c r="G3054" s="96"/>
      <c r="H3054" s="96"/>
      <c r="I3054" s="96"/>
      <c r="J3054" s="96"/>
      <c r="K3054" s="96"/>
      <c r="L3054" s="193"/>
    </row>
    <row r="3055" spans="1:12" x14ac:dyDescent="0.45">
      <c r="A3055" s="462"/>
      <c r="B3055" s="441"/>
      <c r="C3055" s="194">
        <v>2</v>
      </c>
      <c r="D3055" s="80"/>
      <c r="E3055" s="97"/>
      <c r="F3055" s="97"/>
      <c r="G3055" s="97"/>
      <c r="H3055" s="97"/>
      <c r="I3055" s="97"/>
      <c r="J3055" s="97"/>
      <c r="K3055" s="97"/>
      <c r="L3055" s="195"/>
    </row>
    <row r="3056" spans="1:12" x14ac:dyDescent="0.45">
      <c r="A3056" s="462"/>
      <c r="B3056" s="441"/>
      <c r="C3056" s="194">
        <v>3</v>
      </c>
      <c r="D3056" s="80"/>
      <c r="E3056" s="97"/>
      <c r="F3056" s="97"/>
      <c r="G3056" s="97"/>
      <c r="H3056" s="97"/>
      <c r="I3056" s="97"/>
      <c r="J3056" s="97"/>
      <c r="K3056" s="97"/>
      <c r="L3056" s="195"/>
    </row>
    <row r="3057" spans="1:12" x14ac:dyDescent="0.45">
      <c r="A3057" s="462"/>
      <c r="B3057" s="441"/>
      <c r="C3057" s="194">
        <v>4</v>
      </c>
      <c r="D3057" s="80"/>
      <c r="E3057" s="97"/>
      <c r="F3057" s="97"/>
      <c r="G3057" s="97"/>
      <c r="H3057" s="97"/>
      <c r="I3057" s="97"/>
      <c r="J3057" s="97"/>
      <c r="K3057" s="97"/>
      <c r="L3057" s="195"/>
    </row>
    <row r="3058" spans="1:12" x14ac:dyDescent="0.45">
      <c r="A3058" s="462"/>
      <c r="B3058" s="441"/>
      <c r="C3058" s="194">
        <v>5</v>
      </c>
      <c r="D3058" s="80"/>
      <c r="E3058" s="97"/>
      <c r="F3058" s="97"/>
      <c r="G3058" s="97"/>
      <c r="H3058" s="97"/>
      <c r="I3058" s="97"/>
      <c r="J3058" s="97"/>
      <c r="K3058" s="97"/>
      <c r="L3058" s="195"/>
    </row>
    <row r="3059" spans="1:12" x14ac:dyDescent="0.45">
      <c r="A3059" s="462"/>
      <c r="B3059" s="441"/>
      <c r="C3059" s="194">
        <v>6</v>
      </c>
      <c r="D3059" s="80"/>
      <c r="E3059" s="97"/>
      <c r="F3059" s="97"/>
      <c r="G3059" s="97"/>
      <c r="H3059" s="97"/>
      <c r="I3059" s="97"/>
      <c r="J3059" s="97"/>
      <c r="K3059" s="97"/>
      <c r="L3059" s="195"/>
    </row>
    <row r="3060" spans="1:12" x14ac:dyDescent="0.45">
      <c r="A3060" s="462"/>
      <c r="B3060" s="441"/>
      <c r="C3060" s="194">
        <v>7</v>
      </c>
      <c r="D3060" s="80"/>
      <c r="E3060" s="97"/>
      <c r="F3060" s="97"/>
      <c r="G3060" s="97"/>
      <c r="H3060" s="97"/>
      <c r="I3060" s="97"/>
      <c r="J3060" s="97"/>
      <c r="K3060" s="97"/>
      <c r="L3060" s="195"/>
    </row>
    <row r="3061" spans="1:12" x14ac:dyDescent="0.45">
      <c r="A3061" s="462"/>
      <c r="B3061" s="441"/>
      <c r="C3061" s="194">
        <v>8</v>
      </c>
      <c r="D3061" s="80"/>
      <c r="E3061" s="97"/>
      <c r="F3061" s="97"/>
      <c r="G3061" s="97"/>
      <c r="H3061" s="97"/>
      <c r="I3061" s="97"/>
      <c r="J3061" s="97"/>
      <c r="K3061" s="97"/>
      <c r="L3061" s="195"/>
    </row>
    <row r="3062" spans="1:12" x14ac:dyDescent="0.45">
      <c r="A3062" s="462"/>
      <c r="B3062" s="441"/>
      <c r="C3062" s="194">
        <v>9</v>
      </c>
      <c r="D3062" s="80"/>
      <c r="E3062" s="97"/>
      <c r="F3062" s="97"/>
      <c r="G3062" s="97"/>
      <c r="H3062" s="97"/>
      <c r="I3062" s="97"/>
      <c r="J3062" s="97"/>
      <c r="K3062" s="97"/>
      <c r="L3062" s="195"/>
    </row>
    <row r="3063" spans="1:12" x14ac:dyDescent="0.45">
      <c r="A3063" s="462"/>
      <c r="B3063" s="441"/>
      <c r="C3063" s="194">
        <v>10</v>
      </c>
      <c r="D3063" s="80"/>
      <c r="E3063" s="97"/>
      <c r="F3063" s="97"/>
      <c r="G3063" s="97"/>
      <c r="H3063" s="97"/>
      <c r="I3063" s="97"/>
      <c r="J3063" s="97"/>
      <c r="K3063" s="97"/>
      <c r="L3063" s="195"/>
    </row>
    <row r="3064" spans="1:12" x14ac:dyDescent="0.45">
      <c r="A3064" s="462"/>
      <c r="B3064" s="441"/>
      <c r="C3064" s="194">
        <v>11</v>
      </c>
      <c r="D3064" s="81"/>
      <c r="E3064" s="98"/>
      <c r="F3064" s="98"/>
      <c r="G3064" s="98"/>
      <c r="H3064" s="98"/>
      <c r="I3064" s="98"/>
      <c r="J3064" s="98"/>
      <c r="K3064" s="98"/>
      <c r="L3064" s="196"/>
    </row>
    <row r="3065" spans="1:12" ht="14.65" thickBot="1" x14ac:dyDescent="0.5">
      <c r="A3065" s="463"/>
      <c r="B3065" s="442"/>
      <c r="C3065" s="197">
        <v>12</v>
      </c>
      <c r="D3065" s="82"/>
      <c r="E3065" s="99"/>
      <c r="F3065" s="99"/>
      <c r="G3065" s="99"/>
      <c r="H3065" s="99"/>
      <c r="I3065" s="99"/>
      <c r="J3065" s="99"/>
      <c r="K3065" s="99"/>
      <c r="L3065" s="198"/>
    </row>
    <row r="3066" spans="1:12" x14ac:dyDescent="0.45">
      <c r="A3066" s="461">
        <v>3</v>
      </c>
      <c r="B3066" s="440">
        <v>9</v>
      </c>
      <c r="C3066" s="192">
        <v>1</v>
      </c>
      <c r="D3066" s="79"/>
      <c r="E3066" s="96"/>
      <c r="F3066" s="96"/>
      <c r="G3066" s="96"/>
      <c r="H3066" s="96"/>
      <c r="I3066" s="96"/>
      <c r="J3066" s="96"/>
      <c r="K3066" s="96"/>
      <c r="L3066" s="193"/>
    </row>
    <row r="3067" spans="1:12" x14ac:dyDescent="0.45">
      <c r="A3067" s="462"/>
      <c r="B3067" s="441"/>
      <c r="C3067" s="194">
        <v>2</v>
      </c>
      <c r="D3067" s="80"/>
      <c r="E3067" s="97"/>
      <c r="F3067" s="97"/>
      <c r="G3067" s="97"/>
      <c r="H3067" s="97"/>
      <c r="I3067" s="97"/>
      <c r="J3067" s="97"/>
      <c r="K3067" s="97"/>
      <c r="L3067" s="195"/>
    </row>
    <row r="3068" spans="1:12" x14ac:dyDescent="0.45">
      <c r="A3068" s="462"/>
      <c r="B3068" s="441"/>
      <c r="C3068" s="194">
        <v>3</v>
      </c>
      <c r="D3068" s="80"/>
      <c r="E3068" s="97"/>
      <c r="F3068" s="97"/>
      <c r="G3068" s="97"/>
      <c r="H3068" s="97"/>
      <c r="I3068" s="97"/>
      <c r="J3068" s="97"/>
      <c r="K3068" s="97"/>
      <c r="L3068" s="195"/>
    </row>
    <row r="3069" spans="1:12" x14ac:dyDescent="0.45">
      <c r="A3069" s="462"/>
      <c r="B3069" s="441"/>
      <c r="C3069" s="194">
        <v>4</v>
      </c>
      <c r="D3069" s="80"/>
      <c r="E3069" s="97"/>
      <c r="F3069" s="97"/>
      <c r="G3069" s="97"/>
      <c r="H3069" s="97"/>
      <c r="I3069" s="97"/>
      <c r="J3069" s="97"/>
      <c r="K3069" s="97"/>
      <c r="L3069" s="195"/>
    </row>
    <row r="3070" spans="1:12" x14ac:dyDescent="0.45">
      <c r="A3070" s="462"/>
      <c r="B3070" s="441"/>
      <c r="C3070" s="194">
        <v>5</v>
      </c>
      <c r="D3070" s="80"/>
      <c r="E3070" s="97"/>
      <c r="F3070" s="97"/>
      <c r="G3070" s="97"/>
      <c r="H3070" s="97"/>
      <c r="I3070" s="97"/>
      <c r="J3070" s="97"/>
      <c r="K3070" s="97"/>
      <c r="L3070" s="195"/>
    </row>
    <row r="3071" spans="1:12" x14ac:dyDescent="0.45">
      <c r="A3071" s="462"/>
      <c r="B3071" s="441"/>
      <c r="C3071" s="194">
        <v>6</v>
      </c>
      <c r="D3071" s="80"/>
      <c r="E3071" s="97"/>
      <c r="F3071" s="97"/>
      <c r="G3071" s="97"/>
      <c r="H3071" s="97"/>
      <c r="I3071" s="97"/>
      <c r="J3071" s="97"/>
      <c r="K3071" s="97"/>
      <c r="L3071" s="195"/>
    </row>
    <row r="3072" spans="1:12" x14ac:dyDescent="0.45">
      <c r="A3072" s="462"/>
      <c r="B3072" s="441"/>
      <c r="C3072" s="194">
        <v>7</v>
      </c>
      <c r="D3072" s="80"/>
      <c r="E3072" s="97"/>
      <c r="F3072" s="97"/>
      <c r="G3072" s="97"/>
      <c r="H3072" s="97"/>
      <c r="I3072" s="97"/>
      <c r="J3072" s="97"/>
      <c r="K3072" s="97"/>
      <c r="L3072" s="195"/>
    </row>
    <row r="3073" spans="1:12" x14ac:dyDescent="0.45">
      <c r="A3073" s="462"/>
      <c r="B3073" s="441"/>
      <c r="C3073" s="194">
        <v>8</v>
      </c>
      <c r="D3073" s="80"/>
      <c r="E3073" s="97"/>
      <c r="F3073" s="97"/>
      <c r="G3073" s="97"/>
      <c r="H3073" s="97"/>
      <c r="I3073" s="97"/>
      <c r="J3073" s="97"/>
      <c r="K3073" s="97"/>
      <c r="L3073" s="195"/>
    </row>
    <row r="3074" spans="1:12" x14ac:dyDescent="0.45">
      <c r="A3074" s="462"/>
      <c r="B3074" s="441"/>
      <c r="C3074" s="194">
        <v>9</v>
      </c>
      <c r="D3074" s="80"/>
      <c r="E3074" s="97"/>
      <c r="F3074" s="97"/>
      <c r="G3074" s="97"/>
      <c r="H3074" s="97"/>
      <c r="I3074" s="97"/>
      <c r="J3074" s="97"/>
      <c r="K3074" s="97"/>
      <c r="L3074" s="195"/>
    </row>
    <row r="3075" spans="1:12" x14ac:dyDescent="0.45">
      <c r="A3075" s="462"/>
      <c r="B3075" s="441"/>
      <c r="C3075" s="194">
        <v>10</v>
      </c>
      <c r="D3075" s="80"/>
      <c r="E3075" s="97"/>
      <c r="F3075" s="97"/>
      <c r="G3075" s="97"/>
      <c r="H3075" s="97"/>
      <c r="I3075" s="97"/>
      <c r="J3075" s="97"/>
      <c r="K3075" s="97"/>
      <c r="L3075" s="195"/>
    </row>
    <row r="3076" spans="1:12" x14ac:dyDescent="0.45">
      <c r="A3076" s="462"/>
      <c r="B3076" s="441"/>
      <c r="C3076" s="194">
        <v>11</v>
      </c>
      <c r="D3076" s="81"/>
      <c r="E3076" s="98"/>
      <c r="F3076" s="98"/>
      <c r="G3076" s="98"/>
      <c r="H3076" s="98"/>
      <c r="I3076" s="98"/>
      <c r="J3076" s="98"/>
      <c r="K3076" s="98"/>
      <c r="L3076" s="196"/>
    </row>
    <row r="3077" spans="1:12" ht="14.65" thickBot="1" x14ac:dyDescent="0.5">
      <c r="A3077" s="462"/>
      <c r="B3077" s="442"/>
      <c r="C3077" s="197">
        <v>12</v>
      </c>
      <c r="D3077" s="82"/>
      <c r="E3077" s="99"/>
      <c r="F3077" s="99"/>
      <c r="G3077" s="99"/>
      <c r="H3077" s="99"/>
      <c r="I3077" s="99"/>
      <c r="J3077" s="99"/>
      <c r="K3077" s="99"/>
      <c r="L3077" s="198"/>
    </row>
    <row r="3078" spans="1:12" x14ac:dyDescent="0.45">
      <c r="A3078" s="462"/>
      <c r="B3078" s="440">
        <v>10</v>
      </c>
      <c r="C3078" s="192">
        <v>1</v>
      </c>
      <c r="D3078" s="79"/>
      <c r="E3078" s="96"/>
      <c r="F3078" s="96"/>
      <c r="G3078" s="96"/>
      <c r="H3078" s="96"/>
      <c r="I3078" s="96"/>
      <c r="J3078" s="96"/>
      <c r="K3078" s="96"/>
      <c r="L3078" s="193"/>
    </row>
    <row r="3079" spans="1:12" x14ac:dyDescent="0.45">
      <c r="A3079" s="462"/>
      <c r="B3079" s="441"/>
      <c r="C3079" s="194">
        <v>2</v>
      </c>
      <c r="D3079" s="80"/>
      <c r="E3079" s="97"/>
      <c r="F3079" s="97"/>
      <c r="G3079" s="97"/>
      <c r="H3079" s="97"/>
      <c r="I3079" s="97"/>
      <c r="J3079" s="97"/>
      <c r="K3079" s="97"/>
      <c r="L3079" s="195"/>
    </row>
    <row r="3080" spans="1:12" x14ac:dyDescent="0.45">
      <c r="A3080" s="462"/>
      <c r="B3080" s="441"/>
      <c r="C3080" s="194">
        <v>3</v>
      </c>
      <c r="D3080" s="80"/>
      <c r="E3080" s="97"/>
      <c r="F3080" s="97"/>
      <c r="G3080" s="97"/>
      <c r="H3080" s="97"/>
      <c r="I3080" s="97"/>
      <c r="J3080" s="97"/>
      <c r="K3080" s="97"/>
      <c r="L3080" s="195"/>
    </row>
    <row r="3081" spans="1:12" x14ac:dyDescent="0.45">
      <c r="A3081" s="462"/>
      <c r="B3081" s="441"/>
      <c r="C3081" s="194">
        <v>4</v>
      </c>
      <c r="D3081" s="80"/>
      <c r="E3081" s="97"/>
      <c r="F3081" s="97"/>
      <c r="G3081" s="97"/>
      <c r="H3081" s="97"/>
      <c r="I3081" s="97"/>
      <c r="J3081" s="97"/>
      <c r="K3081" s="97"/>
      <c r="L3081" s="195"/>
    </row>
    <row r="3082" spans="1:12" x14ac:dyDescent="0.45">
      <c r="A3082" s="462"/>
      <c r="B3082" s="441"/>
      <c r="C3082" s="194">
        <v>5</v>
      </c>
      <c r="D3082" s="80"/>
      <c r="E3082" s="97"/>
      <c r="F3082" s="97"/>
      <c r="G3082" s="97"/>
      <c r="H3082" s="97"/>
      <c r="I3082" s="97"/>
      <c r="J3082" s="97"/>
      <c r="K3082" s="97"/>
      <c r="L3082" s="195"/>
    </row>
    <row r="3083" spans="1:12" x14ac:dyDescent="0.45">
      <c r="A3083" s="462"/>
      <c r="B3083" s="441"/>
      <c r="C3083" s="194">
        <v>6</v>
      </c>
      <c r="D3083" s="80"/>
      <c r="E3083" s="97"/>
      <c r="F3083" s="97"/>
      <c r="G3083" s="97"/>
      <c r="H3083" s="97"/>
      <c r="I3083" s="97"/>
      <c r="J3083" s="97"/>
      <c r="K3083" s="97"/>
      <c r="L3083" s="195"/>
    </row>
    <row r="3084" spans="1:12" x14ac:dyDescent="0.45">
      <c r="A3084" s="462"/>
      <c r="B3084" s="441"/>
      <c r="C3084" s="194">
        <v>7</v>
      </c>
      <c r="D3084" s="80"/>
      <c r="E3084" s="97"/>
      <c r="F3084" s="97"/>
      <c r="G3084" s="97"/>
      <c r="H3084" s="97"/>
      <c r="I3084" s="97"/>
      <c r="J3084" s="97"/>
      <c r="K3084" s="97"/>
      <c r="L3084" s="195"/>
    </row>
    <row r="3085" spans="1:12" x14ac:dyDescent="0.45">
      <c r="A3085" s="462"/>
      <c r="B3085" s="441"/>
      <c r="C3085" s="194">
        <v>8</v>
      </c>
      <c r="D3085" s="80"/>
      <c r="E3085" s="97"/>
      <c r="F3085" s="97"/>
      <c r="G3085" s="97"/>
      <c r="H3085" s="97"/>
      <c r="I3085" s="97"/>
      <c r="J3085" s="97"/>
      <c r="K3085" s="97"/>
      <c r="L3085" s="195"/>
    </row>
    <row r="3086" spans="1:12" x14ac:dyDescent="0.45">
      <c r="A3086" s="462"/>
      <c r="B3086" s="441"/>
      <c r="C3086" s="194">
        <v>9</v>
      </c>
      <c r="D3086" s="80"/>
      <c r="E3086" s="97"/>
      <c r="F3086" s="97"/>
      <c r="G3086" s="97"/>
      <c r="H3086" s="97"/>
      <c r="I3086" s="97"/>
      <c r="J3086" s="97"/>
      <c r="K3086" s="97"/>
      <c r="L3086" s="195"/>
    </row>
    <row r="3087" spans="1:12" x14ac:dyDescent="0.45">
      <c r="A3087" s="462"/>
      <c r="B3087" s="441"/>
      <c r="C3087" s="194">
        <v>10</v>
      </c>
      <c r="D3087" s="80"/>
      <c r="E3087" s="97"/>
      <c r="F3087" s="97"/>
      <c r="G3087" s="97"/>
      <c r="H3087" s="97"/>
      <c r="I3087" s="97"/>
      <c r="J3087" s="97"/>
      <c r="K3087" s="97"/>
      <c r="L3087" s="195"/>
    </row>
    <row r="3088" spans="1:12" x14ac:dyDescent="0.45">
      <c r="A3088" s="462"/>
      <c r="B3088" s="441"/>
      <c r="C3088" s="194">
        <v>11</v>
      </c>
      <c r="D3088" s="81"/>
      <c r="E3088" s="98"/>
      <c r="F3088" s="98"/>
      <c r="G3088" s="98"/>
      <c r="H3088" s="98"/>
      <c r="I3088" s="98"/>
      <c r="J3088" s="98"/>
      <c r="K3088" s="98"/>
      <c r="L3088" s="196"/>
    </row>
    <row r="3089" spans="1:12" ht="14.65" thickBot="1" x14ac:dyDescent="0.5">
      <c r="A3089" s="462"/>
      <c r="B3089" s="442"/>
      <c r="C3089" s="197">
        <v>12</v>
      </c>
      <c r="D3089" s="82"/>
      <c r="E3089" s="99"/>
      <c r="F3089" s="99"/>
      <c r="G3089" s="99"/>
      <c r="H3089" s="99"/>
      <c r="I3089" s="99"/>
      <c r="J3089" s="99"/>
      <c r="K3089" s="99"/>
      <c r="L3089" s="198"/>
    </row>
    <row r="3090" spans="1:12" x14ac:dyDescent="0.45">
      <c r="A3090" s="462"/>
      <c r="B3090" s="440">
        <v>11</v>
      </c>
      <c r="C3090" s="192">
        <v>1</v>
      </c>
      <c r="D3090" s="79"/>
      <c r="E3090" s="96"/>
      <c r="F3090" s="96"/>
      <c r="G3090" s="96"/>
      <c r="H3090" s="96"/>
      <c r="I3090" s="96"/>
      <c r="J3090" s="96"/>
      <c r="K3090" s="96"/>
      <c r="L3090" s="193"/>
    </row>
    <row r="3091" spans="1:12" x14ac:dyDescent="0.45">
      <c r="A3091" s="462"/>
      <c r="B3091" s="441"/>
      <c r="C3091" s="194">
        <v>2</v>
      </c>
      <c r="D3091" s="80"/>
      <c r="E3091" s="97"/>
      <c r="F3091" s="97"/>
      <c r="G3091" s="97"/>
      <c r="H3091" s="97"/>
      <c r="I3091" s="97"/>
      <c r="J3091" s="97"/>
      <c r="K3091" s="97"/>
      <c r="L3091" s="195"/>
    </row>
    <row r="3092" spans="1:12" x14ac:dyDescent="0.45">
      <c r="A3092" s="462"/>
      <c r="B3092" s="441"/>
      <c r="C3092" s="194">
        <v>3</v>
      </c>
      <c r="D3092" s="80"/>
      <c r="E3092" s="97"/>
      <c r="F3092" s="97"/>
      <c r="G3092" s="97"/>
      <c r="H3092" s="97"/>
      <c r="I3092" s="97"/>
      <c r="J3092" s="97"/>
      <c r="K3092" s="97"/>
      <c r="L3092" s="195"/>
    </row>
    <row r="3093" spans="1:12" x14ac:dyDescent="0.45">
      <c r="A3093" s="462"/>
      <c r="B3093" s="441"/>
      <c r="C3093" s="194">
        <v>4</v>
      </c>
      <c r="D3093" s="80"/>
      <c r="E3093" s="97"/>
      <c r="F3093" s="97"/>
      <c r="G3093" s="97"/>
      <c r="H3093" s="97"/>
      <c r="I3093" s="97"/>
      <c r="J3093" s="97"/>
      <c r="K3093" s="97"/>
      <c r="L3093" s="195"/>
    </row>
    <row r="3094" spans="1:12" x14ac:dyDescent="0.45">
      <c r="A3094" s="462"/>
      <c r="B3094" s="441"/>
      <c r="C3094" s="194">
        <v>5</v>
      </c>
      <c r="D3094" s="80"/>
      <c r="E3094" s="97"/>
      <c r="F3094" s="97"/>
      <c r="G3094" s="97"/>
      <c r="H3094" s="97"/>
      <c r="I3094" s="97"/>
      <c r="J3094" s="97"/>
      <c r="K3094" s="97"/>
      <c r="L3094" s="195"/>
    </row>
    <row r="3095" spans="1:12" x14ac:dyDescent="0.45">
      <c r="A3095" s="462"/>
      <c r="B3095" s="441"/>
      <c r="C3095" s="194">
        <v>6</v>
      </c>
      <c r="D3095" s="80"/>
      <c r="E3095" s="97"/>
      <c r="F3095" s="97"/>
      <c r="G3095" s="97"/>
      <c r="H3095" s="97"/>
      <c r="I3095" s="97"/>
      <c r="J3095" s="97"/>
      <c r="K3095" s="97"/>
      <c r="L3095" s="195"/>
    </row>
    <row r="3096" spans="1:12" x14ac:dyDescent="0.45">
      <c r="A3096" s="462"/>
      <c r="B3096" s="441"/>
      <c r="C3096" s="194">
        <v>7</v>
      </c>
      <c r="D3096" s="80"/>
      <c r="E3096" s="97"/>
      <c r="F3096" s="97"/>
      <c r="G3096" s="97"/>
      <c r="H3096" s="97"/>
      <c r="I3096" s="97"/>
      <c r="J3096" s="97"/>
      <c r="K3096" s="97"/>
      <c r="L3096" s="195"/>
    </row>
    <row r="3097" spans="1:12" x14ac:dyDescent="0.45">
      <c r="A3097" s="462"/>
      <c r="B3097" s="441"/>
      <c r="C3097" s="194">
        <v>8</v>
      </c>
      <c r="D3097" s="80"/>
      <c r="E3097" s="97"/>
      <c r="F3097" s="97"/>
      <c r="G3097" s="97"/>
      <c r="H3097" s="97"/>
      <c r="I3097" s="97"/>
      <c r="J3097" s="97"/>
      <c r="K3097" s="97"/>
      <c r="L3097" s="195"/>
    </row>
    <row r="3098" spans="1:12" x14ac:dyDescent="0.45">
      <c r="A3098" s="462"/>
      <c r="B3098" s="441"/>
      <c r="C3098" s="194">
        <v>9</v>
      </c>
      <c r="D3098" s="80"/>
      <c r="E3098" s="97"/>
      <c r="F3098" s="97"/>
      <c r="G3098" s="97"/>
      <c r="H3098" s="97"/>
      <c r="I3098" s="97"/>
      <c r="J3098" s="97"/>
      <c r="K3098" s="97"/>
      <c r="L3098" s="195"/>
    </row>
    <row r="3099" spans="1:12" x14ac:dyDescent="0.45">
      <c r="A3099" s="462"/>
      <c r="B3099" s="441"/>
      <c r="C3099" s="194">
        <v>10</v>
      </c>
      <c r="D3099" s="80"/>
      <c r="E3099" s="97"/>
      <c r="F3099" s="97"/>
      <c r="G3099" s="97"/>
      <c r="H3099" s="97"/>
      <c r="I3099" s="97"/>
      <c r="J3099" s="97"/>
      <c r="K3099" s="97"/>
      <c r="L3099" s="195"/>
    </row>
    <row r="3100" spans="1:12" x14ac:dyDescent="0.45">
      <c r="A3100" s="462"/>
      <c r="B3100" s="441"/>
      <c r="C3100" s="194">
        <v>11</v>
      </c>
      <c r="D3100" s="81"/>
      <c r="E3100" s="98"/>
      <c r="F3100" s="98"/>
      <c r="G3100" s="98"/>
      <c r="H3100" s="98"/>
      <c r="I3100" s="98"/>
      <c r="J3100" s="98"/>
      <c r="K3100" s="98"/>
      <c r="L3100" s="196"/>
    </row>
    <row r="3101" spans="1:12" ht="14.65" thickBot="1" x14ac:dyDescent="0.5">
      <c r="A3101" s="462"/>
      <c r="B3101" s="442"/>
      <c r="C3101" s="197">
        <v>12</v>
      </c>
      <c r="D3101" s="82"/>
      <c r="E3101" s="99"/>
      <c r="F3101" s="99"/>
      <c r="G3101" s="99"/>
      <c r="H3101" s="99"/>
      <c r="I3101" s="99"/>
      <c r="J3101" s="99"/>
      <c r="K3101" s="99"/>
      <c r="L3101" s="198"/>
    </row>
    <row r="3102" spans="1:12" x14ac:dyDescent="0.45">
      <c r="A3102" s="462"/>
      <c r="B3102" s="440">
        <v>12</v>
      </c>
      <c r="C3102" s="192">
        <v>1</v>
      </c>
      <c r="D3102" s="79"/>
      <c r="E3102" s="96"/>
      <c r="F3102" s="96"/>
      <c r="G3102" s="96"/>
      <c r="H3102" s="96"/>
      <c r="I3102" s="96"/>
      <c r="J3102" s="96"/>
      <c r="K3102" s="96"/>
      <c r="L3102" s="193"/>
    </row>
    <row r="3103" spans="1:12" x14ac:dyDescent="0.45">
      <c r="A3103" s="462"/>
      <c r="B3103" s="441"/>
      <c r="C3103" s="194">
        <v>2</v>
      </c>
      <c r="D3103" s="80"/>
      <c r="E3103" s="97"/>
      <c r="F3103" s="97"/>
      <c r="G3103" s="97"/>
      <c r="H3103" s="97"/>
      <c r="I3103" s="97"/>
      <c r="J3103" s="97"/>
      <c r="K3103" s="97"/>
      <c r="L3103" s="195"/>
    </row>
    <row r="3104" spans="1:12" x14ac:dyDescent="0.45">
      <c r="A3104" s="462"/>
      <c r="B3104" s="441"/>
      <c r="C3104" s="194">
        <v>3</v>
      </c>
      <c r="D3104" s="80"/>
      <c r="E3104" s="97"/>
      <c r="F3104" s="97"/>
      <c r="G3104" s="97"/>
      <c r="H3104" s="97"/>
      <c r="I3104" s="97"/>
      <c r="J3104" s="97"/>
      <c r="K3104" s="97"/>
      <c r="L3104" s="195"/>
    </row>
    <row r="3105" spans="1:12" x14ac:dyDescent="0.45">
      <c r="A3105" s="462"/>
      <c r="B3105" s="441"/>
      <c r="C3105" s="194">
        <v>4</v>
      </c>
      <c r="D3105" s="80"/>
      <c r="E3105" s="97"/>
      <c r="F3105" s="97"/>
      <c r="G3105" s="97"/>
      <c r="H3105" s="97"/>
      <c r="I3105" s="97"/>
      <c r="J3105" s="97"/>
      <c r="K3105" s="97"/>
      <c r="L3105" s="195"/>
    </row>
    <row r="3106" spans="1:12" x14ac:dyDescent="0.45">
      <c r="A3106" s="462"/>
      <c r="B3106" s="441"/>
      <c r="C3106" s="194">
        <v>5</v>
      </c>
      <c r="D3106" s="80"/>
      <c r="E3106" s="97"/>
      <c r="F3106" s="97"/>
      <c r="G3106" s="97"/>
      <c r="H3106" s="97"/>
      <c r="I3106" s="97"/>
      <c r="J3106" s="97"/>
      <c r="K3106" s="97"/>
      <c r="L3106" s="195"/>
    </row>
    <row r="3107" spans="1:12" x14ac:dyDescent="0.45">
      <c r="A3107" s="462"/>
      <c r="B3107" s="441"/>
      <c r="C3107" s="194">
        <v>6</v>
      </c>
      <c r="D3107" s="80"/>
      <c r="E3107" s="97"/>
      <c r="F3107" s="97"/>
      <c r="G3107" s="97"/>
      <c r="H3107" s="97"/>
      <c r="I3107" s="97"/>
      <c r="J3107" s="97"/>
      <c r="K3107" s="97"/>
      <c r="L3107" s="195"/>
    </row>
    <row r="3108" spans="1:12" x14ac:dyDescent="0.45">
      <c r="A3108" s="462"/>
      <c r="B3108" s="441"/>
      <c r="C3108" s="194">
        <v>7</v>
      </c>
      <c r="D3108" s="80"/>
      <c r="E3108" s="97"/>
      <c r="F3108" s="97"/>
      <c r="G3108" s="97"/>
      <c r="H3108" s="97"/>
      <c r="I3108" s="97"/>
      <c r="J3108" s="97"/>
      <c r="K3108" s="97"/>
      <c r="L3108" s="195"/>
    </row>
    <row r="3109" spans="1:12" x14ac:dyDescent="0.45">
      <c r="A3109" s="462"/>
      <c r="B3109" s="441"/>
      <c r="C3109" s="194">
        <v>8</v>
      </c>
      <c r="D3109" s="80"/>
      <c r="E3109" s="97"/>
      <c r="F3109" s="97"/>
      <c r="G3109" s="97"/>
      <c r="H3109" s="97"/>
      <c r="I3109" s="97"/>
      <c r="J3109" s="97"/>
      <c r="K3109" s="97"/>
      <c r="L3109" s="195"/>
    </row>
    <row r="3110" spans="1:12" x14ac:dyDescent="0.45">
      <c r="A3110" s="462"/>
      <c r="B3110" s="441"/>
      <c r="C3110" s="194">
        <v>9</v>
      </c>
      <c r="D3110" s="80"/>
      <c r="E3110" s="97"/>
      <c r="F3110" s="97"/>
      <c r="G3110" s="97"/>
      <c r="H3110" s="97"/>
      <c r="I3110" s="97"/>
      <c r="J3110" s="97"/>
      <c r="K3110" s="97"/>
      <c r="L3110" s="195"/>
    </row>
    <row r="3111" spans="1:12" x14ac:dyDescent="0.45">
      <c r="A3111" s="462"/>
      <c r="B3111" s="441"/>
      <c r="C3111" s="194">
        <v>10</v>
      </c>
      <c r="D3111" s="80"/>
      <c r="E3111" s="97"/>
      <c r="F3111" s="97"/>
      <c r="G3111" s="97"/>
      <c r="H3111" s="97"/>
      <c r="I3111" s="97"/>
      <c r="J3111" s="97"/>
      <c r="K3111" s="97"/>
      <c r="L3111" s="195"/>
    </row>
    <row r="3112" spans="1:12" x14ac:dyDescent="0.45">
      <c r="A3112" s="462"/>
      <c r="B3112" s="441"/>
      <c r="C3112" s="194">
        <v>11</v>
      </c>
      <c r="D3112" s="81"/>
      <c r="E3112" s="98"/>
      <c r="F3112" s="98"/>
      <c r="G3112" s="98"/>
      <c r="H3112" s="98"/>
      <c r="I3112" s="98"/>
      <c r="J3112" s="98"/>
      <c r="K3112" s="98"/>
      <c r="L3112" s="196"/>
    </row>
    <row r="3113" spans="1:12" ht="14.65" thickBot="1" x14ac:dyDescent="0.5">
      <c r="A3113" s="463"/>
      <c r="B3113" s="442"/>
      <c r="C3113" s="199">
        <v>12</v>
      </c>
      <c r="D3113" s="82"/>
      <c r="E3113" s="99"/>
      <c r="F3113" s="99"/>
      <c r="G3113" s="99"/>
      <c r="H3113" s="99"/>
      <c r="I3113" s="99"/>
      <c r="J3113" s="99"/>
      <c r="K3113" s="99"/>
      <c r="L3113" s="198"/>
    </row>
    <row r="3115" spans="1:12" s="91" customFormat="1" x14ac:dyDescent="0.45"/>
    <row r="3116" spans="1:12" ht="14.65" thickBot="1" x14ac:dyDescent="0.5"/>
    <row r="3117" spans="1:12" ht="28.9" thickBot="1" x14ac:dyDescent="0.5">
      <c r="A3117" s="187" t="s">
        <v>76</v>
      </c>
      <c r="B3117" s="186">
        <v>21</v>
      </c>
      <c r="C3117" s="109"/>
      <c r="D3117" s="109"/>
    </row>
    <row r="3118" spans="1:12" x14ac:dyDescent="0.45">
      <c r="A3118" s="443" t="s">
        <v>27</v>
      </c>
      <c r="B3118" s="448">
        <f>Name21</f>
        <v>0</v>
      </c>
      <c r="C3118" s="449"/>
      <c r="D3118" s="450"/>
      <c r="I3118" s="204"/>
      <c r="J3118" s="204"/>
      <c r="K3118" s="204"/>
      <c r="L3118" s="204"/>
    </row>
    <row r="3119" spans="1:12" x14ac:dyDescent="0.45">
      <c r="A3119" s="444"/>
      <c r="B3119" s="448"/>
      <c r="C3119" s="449"/>
      <c r="D3119" s="450"/>
      <c r="I3119" s="204"/>
      <c r="J3119" s="204"/>
      <c r="K3119" s="204"/>
      <c r="L3119" s="204"/>
    </row>
    <row r="3120" spans="1:12" x14ac:dyDescent="0.45">
      <c r="A3120" s="445"/>
      <c r="B3120" s="388"/>
      <c r="C3120" s="451"/>
      <c r="D3120" s="452"/>
      <c r="I3120" s="204"/>
      <c r="J3120" s="204"/>
      <c r="K3120" s="204"/>
      <c r="L3120" s="204"/>
    </row>
    <row r="3121" spans="1:14" ht="14.45" customHeight="1" x14ac:dyDescent="0.45">
      <c r="A3121" s="444" t="s">
        <v>155</v>
      </c>
      <c r="B3121" s="453">
        <f>GapA21</f>
        <v>0</v>
      </c>
      <c r="C3121" s="454"/>
      <c r="D3121" s="455"/>
      <c r="I3121" s="204"/>
      <c r="J3121" s="204"/>
      <c r="K3121" s="204"/>
      <c r="L3121" s="204"/>
    </row>
    <row r="3122" spans="1:14" x14ac:dyDescent="0.45">
      <c r="A3122" s="444"/>
      <c r="B3122" s="448"/>
      <c r="C3122" s="449"/>
      <c r="D3122" s="450"/>
      <c r="I3122" s="204"/>
      <c r="J3122" s="204"/>
      <c r="K3122" s="204"/>
      <c r="L3122" s="204"/>
    </row>
    <row r="3123" spans="1:14" x14ac:dyDescent="0.45">
      <c r="A3123" s="445"/>
      <c r="B3123" s="388"/>
      <c r="C3123" s="451"/>
      <c r="D3123" s="452"/>
      <c r="I3123" s="204"/>
      <c r="J3123" s="204"/>
      <c r="K3123" s="204"/>
      <c r="L3123" s="204"/>
    </row>
    <row r="3124" spans="1:14" x14ac:dyDescent="0.45">
      <c r="A3124" s="444" t="s">
        <v>159</v>
      </c>
      <c r="B3124" s="453">
        <f>Objective21</f>
        <v>0</v>
      </c>
      <c r="C3124" s="454"/>
      <c r="D3124" s="455"/>
      <c r="I3124" s="204"/>
      <c r="J3124" s="204"/>
      <c r="K3124" s="204"/>
      <c r="L3124" s="204"/>
    </row>
    <row r="3125" spans="1:14" x14ac:dyDescent="0.45">
      <c r="A3125" s="444"/>
      <c r="B3125" s="448"/>
      <c r="C3125" s="449"/>
      <c r="D3125" s="450"/>
      <c r="I3125" s="204"/>
      <c r="J3125" s="204"/>
      <c r="K3125" s="204"/>
      <c r="L3125" s="204"/>
    </row>
    <row r="3126" spans="1:14" x14ac:dyDescent="0.45">
      <c r="A3126" s="445"/>
      <c r="B3126" s="388"/>
      <c r="C3126" s="451"/>
      <c r="D3126" s="452"/>
      <c r="I3126" s="204"/>
      <c r="J3126" s="204"/>
      <c r="K3126" s="204"/>
      <c r="L3126" s="204"/>
    </row>
    <row r="3127" spans="1:14" ht="14.45" customHeight="1" x14ac:dyDescent="0.45">
      <c r="A3127" s="446" t="s">
        <v>166</v>
      </c>
      <c r="B3127" s="454">
        <f>Capacity21</f>
        <v>0</v>
      </c>
      <c r="C3127" s="454"/>
      <c r="D3127" s="455"/>
      <c r="I3127" s="204"/>
      <c r="J3127" s="204"/>
      <c r="K3127" s="204"/>
      <c r="L3127" s="204"/>
    </row>
    <row r="3128" spans="1:14" x14ac:dyDescent="0.45">
      <c r="A3128" s="447"/>
      <c r="B3128" s="449"/>
      <c r="C3128" s="449"/>
      <c r="D3128" s="450"/>
      <c r="I3128" s="204"/>
      <c r="J3128" s="204"/>
      <c r="K3128" s="204"/>
      <c r="L3128" s="204"/>
    </row>
    <row r="3129" spans="1:14" ht="14.65" thickBot="1" x14ac:dyDescent="0.5">
      <c r="A3129" s="447"/>
      <c r="B3129" s="456"/>
      <c r="C3129" s="456"/>
      <c r="D3129" s="457"/>
      <c r="I3129" s="204"/>
      <c r="J3129" s="204"/>
      <c r="K3129" s="204"/>
      <c r="L3129" s="204"/>
    </row>
    <row r="3130" spans="1:14" x14ac:dyDescent="0.45">
      <c r="A3130" s="188"/>
    </row>
    <row r="3131" spans="1:14" ht="14.65" thickBot="1" x14ac:dyDescent="0.5">
      <c r="A3131" s="90"/>
      <c r="B3131" s="90"/>
      <c r="C3131" s="90"/>
      <c r="D3131" s="90"/>
      <c r="E3131" s="90"/>
      <c r="F3131" s="90"/>
      <c r="G3131" s="90"/>
      <c r="H3131" s="90"/>
      <c r="I3131" s="90"/>
      <c r="J3131" s="90"/>
      <c r="K3131" s="90"/>
      <c r="L3131" s="90"/>
      <c r="M3131" s="204"/>
      <c r="N3131" s="204"/>
    </row>
    <row r="3132" spans="1:14" ht="21.75" customHeight="1" x14ac:dyDescent="0.45">
      <c r="A3132" s="458" t="s">
        <v>135</v>
      </c>
      <c r="B3132" s="459"/>
      <c r="C3132" s="459"/>
      <c r="D3132" s="459"/>
      <c r="E3132" s="459"/>
      <c r="F3132" s="459"/>
      <c r="G3132" s="459"/>
      <c r="H3132" s="459"/>
      <c r="I3132" s="459"/>
      <c r="J3132" s="459"/>
      <c r="K3132" s="459"/>
      <c r="L3132" s="460"/>
    </row>
    <row r="3133" spans="1:14" ht="29" customHeight="1" thickBot="1" x14ac:dyDescent="0.5">
      <c r="A3133" s="93" t="s">
        <v>74</v>
      </c>
      <c r="B3133" s="94" t="s">
        <v>28</v>
      </c>
      <c r="C3133" s="95" t="s">
        <v>320</v>
      </c>
      <c r="D3133" s="95" t="s">
        <v>127</v>
      </c>
      <c r="E3133" s="114" t="s">
        <v>90</v>
      </c>
      <c r="F3133" s="95" t="s">
        <v>175</v>
      </c>
      <c r="G3133" s="95" t="s">
        <v>176</v>
      </c>
      <c r="H3133" s="95" t="s">
        <v>156</v>
      </c>
      <c r="I3133" s="95" t="s">
        <v>157</v>
      </c>
      <c r="J3133" s="189" t="s">
        <v>321</v>
      </c>
      <c r="K3133" s="190" t="s">
        <v>29</v>
      </c>
      <c r="L3133" s="191" t="s">
        <v>322</v>
      </c>
    </row>
    <row r="3134" spans="1:14" x14ac:dyDescent="0.45">
      <c r="A3134" s="461">
        <v>1</v>
      </c>
      <c r="B3134" s="440">
        <v>1</v>
      </c>
      <c r="C3134" s="192">
        <v>1</v>
      </c>
      <c r="D3134" s="79"/>
      <c r="E3134" s="96"/>
      <c r="F3134" s="96"/>
      <c r="G3134" s="96"/>
      <c r="H3134" s="96"/>
      <c r="I3134" s="96"/>
      <c r="J3134" s="96"/>
      <c r="K3134" s="96"/>
      <c r="L3134" s="193"/>
    </row>
    <row r="3135" spans="1:14" x14ac:dyDescent="0.45">
      <c r="A3135" s="462"/>
      <c r="B3135" s="441"/>
      <c r="C3135" s="194">
        <v>2</v>
      </c>
      <c r="D3135" s="80"/>
      <c r="E3135" s="97"/>
      <c r="F3135" s="97"/>
      <c r="G3135" s="97"/>
      <c r="H3135" s="97"/>
      <c r="I3135" s="97"/>
      <c r="J3135" s="97"/>
      <c r="K3135" s="97"/>
      <c r="L3135" s="195"/>
    </row>
    <row r="3136" spans="1:14" x14ac:dyDescent="0.45">
      <c r="A3136" s="462"/>
      <c r="B3136" s="441"/>
      <c r="C3136" s="194">
        <v>3</v>
      </c>
      <c r="D3136" s="80"/>
      <c r="E3136" s="97"/>
      <c r="F3136" s="97"/>
      <c r="G3136" s="97"/>
      <c r="H3136" s="97"/>
      <c r="I3136" s="97"/>
      <c r="J3136" s="97"/>
      <c r="K3136" s="97"/>
      <c r="L3136" s="195"/>
    </row>
    <row r="3137" spans="1:14" x14ac:dyDescent="0.45">
      <c r="A3137" s="462"/>
      <c r="B3137" s="441"/>
      <c r="C3137" s="194">
        <v>4</v>
      </c>
      <c r="D3137" s="80"/>
      <c r="E3137" s="97"/>
      <c r="F3137" s="97"/>
      <c r="G3137" s="97"/>
      <c r="H3137" s="97"/>
      <c r="I3137" s="97"/>
      <c r="J3137" s="97"/>
      <c r="K3137" s="97"/>
      <c r="L3137" s="195"/>
    </row>
    <row r="3138" spans="1:14" x14ac:dyDescent="0.45">
      <c r="A3138" s="462"/>
      <c r="B3138" s="441"/>
      <c r="C3138" s="194">
        <v>5</v>
      </c>
      <c r="D3138" s="80"/>
      <c r="E3138" s="97"/>
      <c r="F3138" s="97"/>
      <c r="G3138" s="97"/>
      <c r="H3138" s="97"/>
      <c r="I3138" s="97"/>
      <c r="J3138" s="97"/>
      <c r="K3138" s="97"/>
      <c r="L3138" s="195"/>
    </row>
    <row r="3139" spans="1:14" x14ac:dyDescent="0.45">
      <c r="A3139" s="462"/>
      <c r="B3139" s="441"/>
      <c r="C3139" s="194">
        <v>6</v>
      </c>
      <c r="D3139" s="80"/>
      <c r="E3139" s="97"/>
      <c r="F3139" s="97"/>
      <c r="G3139" s="97"/>
      <c r="H3139" s="97"/>
      <c r="I3139" s="97"/>
      <c r="J3139" s="97"/>
      <c r="K3139" s="97"/>
      <c r="L3139" s="195"/>
    </row>
    <row r="3140" spans="1:14" x14ac:dyDescent="0.45">
      <c r="A3140" s="462"/>
      <c r="B3140" s="441"/>
      <c r="C3140" s="194">
        <v>7</v>
      </c>
      <c r="D3140" s="80"/>
      <c r="E3140" s="97"/>
      <c r="F3140" s="97"/>
      <c r="G3140" s="97"/>
      <c r="H3140" s="97"/>
      <c r="I3140" s="97"/>
      <c r="J3140" s="97"/>
      <c r="K3140" s="97"/>
      <c r="L3140" s="195"/>
    </row>
    <row r="3141" spans="1:14" x14ac:dyDescent="0.45">
      <c r="A3141" s="462"/>
      <c r="B3141" s="441"/>
      <c r="C3141" s="194">
        <v>8</v>
      </c>
      <c r="D3141" s="80"/>
      <c r="E3141" s="97"/>
      <c r="F3141" s="97"/>
      <c r="G3141" s="97"/>
      <c r="H3141" s="97"/>
      <c r="I3141" s="97"/>
      <c r="J3141" s="97"/>
      <c r="K3141" s="97"/>
      <c r="L3141" s="195"/>
    </row>
    <row r="3142" spans="1:14" x14ac:dyDescent="0.45">
      <c r="A3142" s="462"/>
      <c r="B3142" s="441"/>
      <c r="C3142" s="194">
        <v>9</v>
      </c>
      <c r="D3142" s="80"/>
      <c r="E3142" s="97"/>
      <c r="F3142" s="97"/>
      <c r="G3142" s="97"/>
      <c r="H3142" s="97"/>
      <c r="I3142" s="97"/>
      <c r="J3142" s="97"/>
      <c r="K3142" s="97"/>
      <c r="L3142" s="195"/>
    </row>
    <row r="3143" spans="1:14" x14ac:dyDescent="0.45">
      <c r="A3143" s="462"/>
      <c r="B3143" s="441"/>
      <c r="C3143" s="194">
        <v>10</v>
      </c>
      <c r="D3143" s="80"/>
      <c r="E3143" s="97"/>
      <c r="F3143" s="97"/>
      <c r="G3143" s="97"/>
      <c r="H3143" s="97"/>
      <c r="I3143" s="97"/>
      <c r="J3143" s="97"/>
      <c r="K3143" s="97"/>
      <c r="L3143" s="195"/>
    </row>
    <row r="3144" spans="1:14" x14ac:dyDescent="0.45">
      <c r="A3144" s="462"/>
      <c r="B3144" s="441"/>
      <c r="C3144" s="194">
        <v>11</v>
      </c>
      <c r="D3144" s="81"/>
      <c r="E3144" s="98"/>
      <c r="F3144" s="98"/>
      <c r="G3144" s="98"/>
      <c r="H3144" s="98"/>
      <c r="I3144" s="98"/>
      <c r="J3144" s="98"/>
      <c r="K3144" s="98"/>
      <c r="L3144" s="196"/>
    </row>
    <row r="3145" spans="1:14" s="90" customFormat="1" ht="14.65" thickBot="1" x14ac:dyDescent="0.5">
      <c r="A3145" s="462"/>
      <c r="B3145" s="442"/>
      <c r="C3145" s="197">
        <v>12</v>
      </c>
      <c r="D3145" s="82"/>
      <c r="E3145" s="99"/>
      <c r="F3145" s="99"/>
      <c r="G3145" s="99"/>
      <c r="H3145" s="99"/>
      <c r="I3145" s="99"/>
      <c r="J3145" s="99"/>
      <c r="K3145" s="99"/>
      <c r="L3145" s="198"/>
      <c r="M3145" s="61"/>
      <c r="N3145" s="61"/>
    </row>
    <row r="3146" spans="1:14" x14ac:dyDescent="0.45">
      <c r="A3146" s="462"/>
      <c r="B3146" s="440">
        <v>2</v>
      </c>
      <c r="C3146" s="192">
        <v>1</v>
      </c>
      <c r="D3146" s="79"/>
      <c r="E3146" s="96"/>
      <c r="F3146" s="96"/>
      <c r="G3146" s="96"/>
      <c r="H3146" s="96"/>
      <c r="I3146" s="96"/>
      <c r="J3146" s="96"/>
      <c r="K3146" s="96"/>
      <c r="L3146" s="193"/>
    </row>
    <row r="3147" spans="1:14" x14ac:dyDescent="0.45">
      <c r="A3147" s="462"/>
      <c r="B3147" s="441"/>
      <c r="C3147" s="194">
        <v>2</v>
      </c>
      <c r="D3147" s="80"/>
      <c r="E3147" s="97"/>
      <c r="F3147" s="97"/>
      <c r="G3147" s="97"/>
      <c r="H3147" s="97"/>
      <c r="I3147" s="97"/>
      <c r="J3147" s="97"/>
      <c r="K3147" s="97"/>
      <c r="L3147" s="195"/>
    </row>
    <row r="3148" spans="1:14" x14ac:dyDescent="0.45">
      <c r="A3148" s="462"/>
      <c r="B3148" s="441"/>
      <c r="C3148" s="194">
        <v>3</v>
      </c>
      <c r="D3148" s="80"/>
      <c r="E3148" s="97"/>
      <c r="F3148" s="97"/>
      <c r="G3148" s="97"/>
      <c r="H3148" s="97"/>
      <c r="I3148" s="97"/>
      <c r="J3148" s="97"/>
      <c r="K3148" s="97"/>
      <c r="L3148" s="195"/>
    </row>
    <row r="3149" spans="1:14" x14ac:dyDescent="0.45">
      <c r="A3149" s="462"/>
      <c r="B3149" s="441"/>
      <c r="C3149" s="194">
        <v>4</v>
      </c>
      <c r="D3149" s="80"/>
      <c r="E3149" s="97"/>
      <c r="F3149" s="97"/>
      <c r="G3149" s="97"/>
      <c r="H3149" s="97"/>
      <c r="I3149" s="97"/>
      <c r="J3149" s="97"/>
      <c r="K3149" s="97"/>
      <c r="L3149" s="195"/>
    </row>
    <row r="3150" spans="1:14" x14ac:dyDescent="0.45">
      <c r="A3150" s="462"/>
      <c r="B3150" s="441"/>
      <c r="C3150" s="194">
        <v>5</v>
      </c>
      <c r="D3150" s="80"/>
      <c r="E3150" s="97"/>
      <c r="F3150" s="97"/>
      <c r="G3150" s="97"/>
      <c r="H3150" s="97"/>
      <c r="I3150" s="97"/>
      <c r="J3150" s="97"/>
      <c r="K3150" s="97"/>
      <c r="L3150" s="195"/>
    </row>
    <row r="3151" spans="1:14" x14ac:dyDescent="0.45">
      <c r="A3151" s="462"/>
      <c r="B3151" s="441"/>
      <c r="C3151" s="194">
        <v>6</v>
      </c>
      <c r="D3151" s="80"/>
      <c r="E3151" s="97"/>
      <c r="F3151" s="97"/>
      <c r="G3151" s="97"/>
      <c r="H3151" s="97"/>
      <c r="I3151" s="97"/>
      <c r="J3151" s="97"/>
      <c r="K3151" s="97"/>
      <c r="L3151" s="195"/>
    </row>
    <row r="3152" spans="1:14" x14ac:dyDescent="0.45">
      <c r="A3152" s="462"/>
      <c r="B3152" s="441"/>
      <c r="C3152" s="194">
        <v>7</v>
      </c>
      <c r="D3152" s="80"/>
      <c r="E3152" s="97"/>
      <c r="F3152" s="97"/>
      <c r="G3152" s="97"/>
      <c r="H3152" s="97"/>
      <c r="I3152" s="97"/>
      <c r="J3152" s="97"/>
      <c r="K3152" s="97"/>
      <c r="L3152" s="195"/>
    </row>
    <row r="3153" spans="1:12" x14ac:dyDescent="0.45">
      <c r="A3153" s="462"/>
      <c r="B3153" s="441"/>
      <c r="C3153" s="194">
        <v>8</v>
      </c>
      <c r="D3153" s="80"/>
      <c r="E3153" s="97"/>
      <c r="F3153" s="97"/>
      <c r="G3153" s="97"/>
      <c r="H3153" s="97"/>
      <c r="I3153" s="97"/>
      <c r="J3153" s="97"/>
      <c r="K3153" s="97"/>
      <c r="L3153" s="195"/>
    </row>
    <row r="3154" spans="1:12" x14ac:dyDescent="0.45">
      <c r="A3154" s="462"/>
      <c r="B3154" s="441"/>
      <c r="C3154" s="194">
        <v>9</v>
      </c>
      <c r="D3154" s="80"/>
      <c r="E3154" s="97"/>
      <c r="F3154" s="97"/>
      <c r="G3154" s="97"/>
      <c r="H3154" s="97"/>
      <c r="I3154" s="97"/>
      <c r="J3154" s="97"/>
      <c r="K3154" s="97"/>
      <c r="L3154" s="195"/>
    </row>
    <row r="3155" spans="1:12" x14ac:dyDescent="0.45">
      <c r="A3155" s="462"/>
      <c r="B3155" s="441"/>
      <c r="C3155" s="194">
        <v>10</v>
      </c>
      <c r="D3155" s="80"/>
      <c r="E3155" s="97"/>
      <c r="F3155" s="97"/>
      <c r="G3155" s="97"/>
      <c r="H3155" s="97"/>
      <c r="I3155" s="97"/>
      <c r="J3155" s="97"/>
      <c r="K3155" s="97"/>
      <c r="L3155" s="195"/>
    </row>
    <row r="3156" spans="1:12" x14ac:dyDescent="0.45">
      <c r="A3156" s="462"/>
      <c r="B3156" s="441"/>
      <c r="C3156" s="194">
        <v>11</v>
      </c>
      <c r="D3156" s="81"/>
      <c r="E3156" s="98"/>
      <c r="F3156" s="98"/>
      <c r="G3156" s="98"/>
      <c r="H3156" s="98"/>
      <c r="I3156" s="98"/>
      <c r="J3156" s="98"/>
      <c r="K3156" s="98"/>
      <c r="L3156" s="196"/>
    </row>
    <row r="3157" spans="1:12" ht="14.65" thickBot="1" x14ac:dyDescent="0.5">
      <c r="A3157" s="462"/>
      <c r="B3157" s="442"/>
      <c r="C3157" s="197">
        <v>12</v>
      </c>
      <c r="D3157" s="82"/>
      <c r="E3157" s="99"/>
      <c r="F3157" s="99"/>
      <c r="G3157" s="99"/>
      <c r="H3157" s="99"/>
      <c r="I3157" s="99"/>
      <c r="J3157" s="99"/>
      <c r="K3157" s="99"/>
      <c r="L3157" s="198"/>
    </row>
    <row r="3158" spans="1:12" x14ac:dyDescent="0.45">
      <c r="A3158" s="462"/>
      <c r="B3158" s="440">
        <v>3</v>
      </c>
      <c r="C3158" s="192">
        <v>1</v>
      </c>
      <c r="D3158" s="79"/>
      <c r="E3158" s="96"/>
      <c r="F3158" s="96"/>
      <c r="G3158" s="96"/>
      <c r="H3158" s="96"/>
      <c r="I3158" s="96"/>
      <c r="J3158" s="96"/>
      <c r="K3158" s="96"/>
      <c r="L3158" s="193"/>
    </row>
    <row r="3159" spans="1:12" x14ac:dyDescent="0.45">
      <c r="A3159" s="462"/>
      <c r="B3159" s="441"/>
      <c r="C3159" s="194">
        <v>2</v>
      </c>
      <c r="D3159" s="80"/>
      <c r="E3159" s="97"/>
      <c r="F3159" s="97"/>
      <c r="G3159" s="97"/>
      <c r="H3159" s="97"/>
      <c r="I3159" s="97"/>
      <c r="J3159" s="97"/>
      <c r="K3159" s="97"/>
      <c r="L3159" s="195"/>
    </row>
    <row r="3160" spans="1:12" x14ac:dyDescent="0.45">
      <c r="A3160" s="462"/>
      <c r="B3160" s="441"/>
      <c r="C3160" s="194">
        <v>3</v>
      </c>
      <c r="D3160" s="80"/>
      <c r="E3160" s="97"/>
      <c r="F3160" s="97"/>
      <c r="G3160" s="97"/>
      <c r="H3160" s="97"/>
      <c r="I3160" s="97"/>
      <c r="J3160" s="97"/>
      <c r="K3160" s="97"/>
      <c r="L3160" s="195"/>
    </row>
    <row r="3161" spans="1:12" x14ac:dyDescent="0.45">
      <c r="A3161" s="462"/>
      <c r="B3161" s="441"/>
      <c r="C3161" s="194">
        <v>4</v>
      </c>
      <c r="D3161" s="80"/>
      <c r="E3161" s="97"/>
      <c r="F3161" s="97"/>
      <c r="G3161" s="97"/>
      <c r="H3161" s="97"/>
      <c r="I3161" s="97"/>
      <c r="J3161" s="97"/>
      <c r="K3161" s="97"/>
      <c r="L3161" s="195"/>
    </row>
    <row r="3162" spans="1:12" x14ac:dyDescent="0.45">
      <c r="A3162" s="462"/>
      <c r="B3162" s="441"/>
      <c r="C3162" s="194">
        <v>5</v>
      </c>
      <c r="D3162" s="80"/>
      <c r="E3162" s="97"/>
      <c r="F3162" s="97"/>
      <c r="G3162" s="97"/>
      <c r="H3162" s="97"/>
      <c r="I3162" s="97"/>
      <c r="J3162" s="97"/>
      <c r="K3162" s="97"/>
      <c r="L3162" s="195"/>
    </row>
    <row r="3163" spans="1:12" x14ac:dyDescent="0.45">
      <c r="A3163" s="462"/>
      <c r="B3163" s="441"/>
      <c r="C3163" s="194">
        <v>6</v>
      </c>
      <c r="D3163" s="80"/>
      <c r="E3163" s="97"/>
      <c r="F3163" s="97"/>
      <c r="G3163" s="97"/>
      <c r="H3163" s="97"/>
      <c r="I3163" s="97"/>
      <c r="J3163" s="97"/>
      <c r="K3163" s="97"/>
      <c r="L3163" s="195"/>
    </row>
    <row r="3164" spans="1:12" x14ac:dyDescent="0.45">
      <c r="A3164" s="462"/>
      <c r="B3164" s="441"/>
      <c r="C3164" s="194">
        <v>7</v>
      </c>
      <c r="D3164" s="80"/>
      <c r="E3164" s="97"/>
      <c r="F3164" s="97"/>
      <c r="G3164" s="97"/>
      <c r="H3164" s="97"/>
      <c r="I3164" s="97"/>
      <c r="J3164" s="97"/>
      <c r="K3164" s="97"/>
      <c r="L3164" s="195"/>
    </row>
    <row r="3165" spans="1:12" x14ac:dyDescent="0.45">
      <c r="A3165" s="462"/>
      <c r="B3165" s="441"/>
      <c r="C3165" s="194">
        <v>8</v>
      </c>
      <c r="D3165" s="80"/>
      <c r="E3165" s="97"/>
      <c r="F3165" s="97"/>
      <c r="G3165" s="97"/>
      <c r="H3165" s="97"/>
      <c r="I3165" s="97"/>
      <c r="J3165" s="97"/>
      <c r="K3165" s="97"/>
      <c r="L3165" s="195"/>
    </row>
    <row r="3166" spans="1:12" x14ac:dyDescent="0.45">
      <c r="A3166" s="462"/>
      <c r="B3166" s="441"/>
      <c r="C3166" s="194">
        <v>9</v>
      </c>
      <c r="D3166" s="80"/>
      <c r="E3166" s="97"/>
      <c r="F3166" s="97"/>
      <c r="G3166" s="97"/>
      <c r="H3166" s="97"/>
      <c r="I3166" s="97"/>
      <c r="J3166" s="97"/>
      <c r="K3166" s="97"/>
      <c r="L3166" s="195"/>
    </row>
    <row r="3167" spans="1:12" x14ac:dyDescent="0.45">
      <c r="A3167" s="462"/>
      <c r="B3167" s="441"/>
      <c r="C3167" s="194">
        <v>10</v>
      </c>
      <c r="D3167" s="80"/>
      <c r="E3167" s="97"/>
      <c r="F3167" s="97"/>
      <c r="G3167" s="97"/>
      <c r="H3167" s="97"/>
      <c r="I3167" s="97"/>
      <c r="J3167" s="97"/>
      <c r="K3167" s="97"/>
      <c r="L3167" s="195"/>
    </row>
    <row r="3168" spans="1:12" x14ac:dyDescent="0.45">
      <c r="A3168" s="462"/>
      <c r="B3168" s="441"/>
      <c r="C3168" s="194">
        <v>11</v>
      </c>
      <c r="D3168" s="81"/>
      <c r="E3168" s="98"/>
      <c r="F3168" s="98"/>
      <c r="G3168" s="98"/>
      <c r="H3168" s="98"/>
      <c r="I3168" s="98"/>
      <c r="J3168" s="98"/>
      <c r="K3168" s="98"/>
      <c r="L3168" s="196"/>
    </row>
    <row r="3169" spans="1:12" ht="14.65" thickBot="1" x14ac:dyDescent="0.5">
      <c r="A3169" s="462"/>
      <c r="B3169" s="442"/>
      <c r="C3169" s="197">
        <v>12</v>
      </c>
      <c r="D3169" s="82"/>
      <c r="E3169" s="99"/>
      <c r="F3169" s="99"/>
      <c r="G3169" s="99"/>
      <c r="H3169" s="99"/>
      <c r="I3169" s="99"/>
      <c r="J3169" s="99"/>
      <c r="K3169" s="99"/>
      <c r="L3169" s="198"/>
    </row>
    <row r="3170" spans="1:12" x14ac:dyDescent="0.45">
      <c r="A3170" s="462"/>
      <c r="B3170" s="440">
        <v>4</v>
      </c>
      <c r="C3170" s="192">
        <v>1</v>
      </c>
      <c r="D3170" s="79"/>
      <c r="E3170" s="96"/>
      <c r="F3170" s="96"/>
      <c r="G3170" s="96"/>
      <c r="H3170" s="96"/>
      <c r="I3170" s="96"/>
      <c r="J3170" s="96"/>
      <c r="K3170" s="96"/>
      <c r="L3170" s="193"/>
    </row>
    <row r="3171" spans="1:12" x14ac:dyDescent="0.45">
      <c r="A3171" s="462"/>
      <c r="B3171" s="441"/>
      <c r="C3171" s="194">
        <v>2</v>
      </c>
      <c r="D3171" s="80"/>
      <c r="E3171" s="97"/>
      <c r="F3171" s="97"/>
      <c r="G3171" s="97"/>
      <c r="H3171" s="97"/>
      <c r="I3171" s="97"/>
      <c r="J3171" s="97"/>
      <c r="K3171" s="97"/>
      <c r="L3171" s="195"/>
    </row>
    <row r="3172" spans="1:12" x14ac:dyDescent="0.45">
      <c r="A3172" s="462"/>
      <c r="B3172" s="441"/>
      <c r="C3172" s="194">
        <v>3</v>
      </c>
      <c r="D3172" s="80"/>
      <c r="E3172" s="97"/>
      <c r="F3172" s="97"/>
      <c r="G3172" s="97"/>
      <c r="H3172" s="97"/>
      <c r="I3172" s="97"/>
      <c r="J3172" s="97"/>
      <c r="K3172" s="97"/>
      <c r="L3172" s="195"/>
    </row>
    <row r="3173" spans="1:12" x14ac:dyDescent="0.45">
      <c r="A3173" s="462"/>
      <c r="B3173" s="441"/>
      <c r="C3173" s="194">
        <v>4</v>
      </c>
      <c r="D3173" s="80"/>
      <c r="E3173" s="97"/>
      <c r="F3173" s="97"/>
      <c r="G3173" s="97"/>
      <c r="H3173" s="97"/>
      <c r="I3173" s="97"/>
      <c r="J3173" s="97"/>
      <c r="K3173" s="97"/>
      <c r="L3173" s="195"/>
    </row>
    <row r="3174" spans="1:12" x14ac:dyDescent="0.45">
      <c r="A3174" s="462"/>
      <c r="B3174" s="441"/>
      <c r="C3174" s="194">
        <v>5</v>
      </c>
      <c r="D3174" s="80"/>
      <c r="E3174" s="97"/>
      <c r="F3174" s="97"/>
      <c r="G3174" s="97"/>
      <c r="H3174" s="97"/>
      <c r="I3174" s="97"/>
      <c r="J3174" s="97"/>
      <c r="K3174" s="97"/>
      <c r="L3174" s="195"/>
    </row>
    <row r="3175" spans="1:12" x14ac:dyDescent="0.45">
      <c r="A3175" s="462"/>
      <c r="B3175" s="441"/>
      <c r="C3175" s="194">
        <v>6</v>
      </c>
      <c r="D3175" s="80"/>
      <c r="E3175" s="97"/>
      <c r="F3175" s="97"/>
      <c r="G3175" s="97"/>
      <c r="H3175" s="97"/>
      <c r="I3175" s="97"/>
      <c r="J3175" s="97"/>
      <c r="K3175" s="97"/>
      <c r="L3175" s="195"/>
    </row>
    <row r="3176" spans="1:12" x14ac:dyDescent="0.45">
      <c r="A3176" s="462"/>
      <c r="B3176" s="441"/>
      <c r="C3176" s="194">
        <v>7</v>
      </c>
      <c r="D3176" s="80"/>
      <c r="E3176" s="97"/>
      <c r="F3176" s="97"/>
      <c r="G3176" s="97"/>
      <c r="H3176" s="97"/>
      <c r="I3176" s="97"/>
      <c r="J3176" s="97"/>
      <c r="K3176" s="97"/>
      <c r="L3176" s="195"/>
    </row>
    <row r="3177" spans="1:12" x14ac:dyDescent="0.45">
      <c r="A3177" s="462"/>
      <c r="B3177" s="441"/>
      <c r="C3177" s="194">
        <v>8</v>
      </c>
      <c r="D3177" s="80"/>
      <c r="E3177" s="97"/>
      <c r="F3177" s="97"/>
      <c r="G3177" s="97"/>
      <c r="H3177" s="97"/>
      <c r="I3177" s="97"/>
      <c r="J3177" s="97"/>
      <c r="K3177" s="97"/>
      <c r="L3177" s="195"/>
    </row>
    <row r="3178" spans="1:12" x14ac:dyDescent="0.45">
      <c r="A3178" s="462"/>
      <c r="B3178" s="441"/>
      <c r="C3178" s="194">
        <v>9</v>
      </c>
      <c r="D3178" s="80"/>
      <c r="E3178" s="97"/>
      <c r="F3178" s="97"/>
      <c r="G3178" s="97"/>
      <c r="H3178" s="97"/>
      <c r="I3178" s="97"/>
      <c r="J3178" s="97"/>
      <c r="K3178" s="97"/>
      <c r="L3178" s="195"/>
    </row>
    <row r="3179" spans="1:12" x14ac:dyDescent="0.45">
      <c r="A3179" s="462"/>
      <c r="B3179" s="441"/>
      <c r="C3179" s="194">
        <v>10</v>
      </c>
      <c r="D3179" s="80"/>
      <c r="E3179" s="97"/>
      <c r="F3179" s="97"/>
      <c r="G3179" s="97"/>
      <c r="H3179" s="97"/>
      <c r="I3179" s="97"/>
      <c r="J3179" s="97"/>
      <c r="K3179" s="97"/>
      <c r="L3179" s="195"/>
    </row>
    <row r="3180" spans="1:12" x14ac:dyDescent="0.45">
      <c r="A3180" s="462"/>
      <c r="B3180" s="441"/>
      <c r="C3180" s="194">
        <v>11</v>
      </c>
      <c r="D3180" s="81"/>
      <c r="E3180" s="98"/>
      <c r="F3180" s="98"/>
      <c r="G3180" s="98"/>
      <c r="H3180" s="98"/>
      <c r="I3180" s="98"/>
      <c r="J3180" s="98"/>
      <c r="K3180" s="98"/>
      <c r="L3180" s="196"/>
    </row>
    <row r="3181" spans="1:12" ht="14.65" thickBot="1" x14ac:dyDescent="0.5">
      <c r="A3181" s="463"/>
      <c r="B3181" s="442"/>
      <c r="C3181" s="197">
        <v>12</v>
      </c>
      <c r="D3181" s="82"/>
      <c r="E3181" s="99"/>
      <c r="F3181" s="99"/>
      <c r="G3181" s="99"/>
      <c r="H3181" s="99"/>
      <c r="I3181" s="99"/>
      <c r="J3181" s="99"/>
      <c r="K3181" s="99"/>
      <c r="L3181" s="198"/>
    </row>
    <row r="3182" spans="1:12" x14ac:dyDescent="0.45">
      <c r="A3182" s="461">
        <v>2</v>
      </c>
      <c r="B3182" s="440">
        <v>5</v>
      </c>
      <c r="C3182" s="192">
        <v>1</v>
      </c>
      <c r="D3182" s="79"/>
      <c r="E3182" s="96"/>
      <c r="F3182" s="96"/>
      <c r="G3182" s="96"/>
      <c r="H3182" s="96"/>
      <c r="I3182" s="96"/>
      <c r="J3182" s="96"/>
      <c r="K3182" s="96"/>
      <c r="L3182" s="193"/>
    </row>
    <row r="3183" spans="1:12" x14ac:dyDescent="0.45">
      <c r="A3183" s="462"/>
      <c r="B3183" s="441"/>
      <c r="C3183" s="194">
        <v>2</v>
      </c>
      <c r="D3183" s="80"/>
      <c r="E3183" s="97"/>
      <c r="F3183" s="97"/>
      <c r="G3183" s="97"/>
      <c r="H3183" s="97"/>
      <c r="I3183" s="97"/>
      <c r="J3183" s="97"/>
      <c r="K3183" s="97"/>
      <c r="L3183" s="195"/>
    </row>
    <row r="3184" spans="1:12" x14ac:dyDescent="0.45">
      <c r="A3184" s="462"/>
      <c r="B3184" s="441"/>
      <c r="C3184" s="194">
        <v>3</v>
      </c>
      <c r="D3184" s="80"/>
      <c r="E3184" s="97"/>
      <c r="F3184" s="97"/>
      <c r="G3184" s="97"/>
      <c r="H3184" s="97"/>
      <c r="I3184" s="97"/>
      <c r="J3184" s="97"/>
      <c r="K3184" s="97"/>
      <c r="L3184" s="195"/>
    </row>
    <row r="3185" spans="1:12" x14ac:dyDescent="0.45">
      <c r="A3185" s="462"/>
      <c r="B3185" s="441"/>
      <c r="C3185" s="194">
        <v>4</v>
      </c>
      <c r="D3185" s="80"/>
      <c r="E3185" s="97"/>
      <c r="F3185" s="97"/>
      <c r="G3185" s="97"/>
      <c r="H3185" s="97"/>
      <c r="I3185" s="97"/>
      <c r="J3185" s="97"/>
      <c r="K3185" s="97"/>
      <c r="L3185" s="195"/>
    </row>
    <row r="3186" spans="1:12" x14ac:dyDescent="0.45">
      <c r="A3186" s="462"/>
      <c r="B3186" s="441"/>
      <c r="C3186" s="194">
        <v>5</v>
      </c>
      <c r="D3186" s="80"/>
      <c r="E3186" s="97"/>
      <c r="F3186" s="97"/>
      <c r="G3186" s="97"/>
      <c r="H3186" s="97"/>
      <c r="I3186" s="97"/>
      <c r="J3186" s="97"/>
      <c r="K3186" s="97"/>
      <c r="L3186" s="195"/>
    </row>
    <row r="3187" spans="1:12" x14ac:dyDescent="0.45">
      <c r="A3187" s="462"/>
      <c r="B3187" s="441"/>
      <c r="C3187" s="194">
        <v>6</v>
      </c>
      <c r="D3187" s="80"/>
      <c r="E3187" s="97"/>
      <c r="F3187" s="97"/>
      <c r="G3187" s="97"/>
      <c r="H3187" s="97"/>
      <c r="I3187" s="97"/>
      <c r="J3187" s="97"/>
      <c r="K3187" s="97"/>
      <c r="L3187" s="195"/>
    </row>
    <row r="3188" spans="1:12" x14ac:dyDescent="0.45">
      <c r="A3188" s="462"/>
      <c r="B3188" s="441"/>
      <c r="C3188" s="194">
        <v>7</v>
      </c>
      <c r="D3188" s="80"/>
      <c r="E3188" s="97"/>
      <c r="F3188" s="97"/>
      <c r="G3188" s="97"/>
      <c r="H3188" s="97"/>
      <c r="I3188" s="97"/>
      <c r="J3188" s="97"/>
      <c r="K3188" s="97"/>
      <c r="L3188" s="195"/>
    </row>
    <row r="3189" spans="1:12" x14ac:dyDescent="0.45">
      <c r="A3189" s="462"/>
      <c r="B3189" s="441"/>
      <c r="C3189" s="194">
        <v>8</v>
      </c>
      <c r="D3189" s="80"/>
      <c r="E3189" s="97"/>
      <c r="F3189" s="97"/>
      <c r="G3189" s="97"/>
      <c r="H3189" s="97"/>
      <c r="I3189" s="97"/>
      <c r="J3189" s="97"/>
      <c r="K3189" s="97"/>
      <c r="L3189" s="195"/>
    </row>
    <row r="3190" spans="1:12" x14ac:dyDescent="0.45">
      <c r="A3190" s="462"/>
      <c r="B3190" s="441"/>
      <c r="C3190" s="194">
        <v>9</v>
      </c>
      <c r="D3190" s="80"/>
      <c r="E3190" s="97"/>
      <c r="F3190" s="97"/>
      <c r="G3190" s="97"/>
      <c r="H3190" s="97"/>
      <c r="I3190" s="97"/>
      <c r="J3190" s="97"/>
      <c r="K3190" s="97"/>
      <c r="L3190" s="195"/>
    </row>
    <row r="3191" spans="1:12" x14ac:dyDescent="0.45">
      <c r="A3191" s="462"/>
      <c r="B3191" s="441"/>
      <c r="C3191" s="194">
        <v>10</v>
      </c>
      <c r="D3191" s="80"/>
      <c r="E3191" s="97"/>
      <c r="F3191" s="97"/>
      <c r="G3191" s="97"/>
      <c r="H3191" s="97"/>
      <c r="I3191" s="97"/>
      <c r="J3191" s="97"/>
      <c r="K3191" s="97"/>
      <c r="L3191" s="195"/>
    </row>
    <row r="3192" spans="1:12" x14ac:dyDescent="0.45">
      <c r="A3192" s="462"/>
      <c r="B3192" s="441"/>
      <c r="C3192" s="194">
        <v>11</v>
      </c>
      <c r="D3192" s="81"/>
      <c r="E3192" s="98"/>
      <c r="F3192" s="98"/>
      <c r="G3192" s="98"/>
      <c r="H3192" s="98"/>
      <c r="I3192" s="98"/>
      <c r="J3192" s="98"/>
      <c r="K3192" s="98"/>
      <c r="L3192" s="196"/>
    </row>
    <row r="3193" spans="1:12" ht="14.65" thickBot="1" x14ac:dyDescent="0.5">
      <c r="A3193" s="462"/>
      <c r="B3193" s="442"/>
      <c r="C3193" s="197">
        <v>12</v>
      </c>
      <c r="D3193" s="82"/>
      <c r="E3193" s="99"/>
      <c r="F3193" s="99"/>
      <c r="G3193" s="99"/>
      <c r="H3193" s="99"/>
      <c r="I3193" s="99"/>
      <c r="J3193" s="99"/>
      <c r="K3193" s="99"/>
      <c r="L3193" s="198"/>
    </row>
    <row r="3194" spans="1:12" x14ac:dyDescent="0.45">
      <c r="A3194" s="462"/>
      <c r="B3194" s="440">
        <v>6</v>
      </c>
      <c r="C3194" s="192">
        <v>1</v>
      </c>
      <c r="D3194" s="79"/>
      <c r="E3194" s="96"/>
      <c r="F3194" s="96"/>
      <c r="G3194" s="96"/>
      <c r="H3194" s="96"/>
      <c r="I3194" s="96"/>
      <c r="J3194" s="96"/>
      <c r="K3194" s="96"/>
      <c r="L3194" s="193"/>
    </row>
    <row r="3195" spans="1:12" x14ac:dyDescent="0.45">
      <c r="A3195" s="462"/>
      <c r="B3195" s="441"/>
      <c r="C3195" s="194">
        <v>2</v>
      </c>
      <c r="D3195" s="80"/>
      <c r="E3195" s="97"/>
      <c r="F3195" s="97"/>
      <c r="G3195" s="97"/>
      <c r="H3195" s="97"/>
      <c r="I3195" s="97"/>
      <c r="J3195" s="97"/>
      <c r="K3195" s="97"/>
      <c r="L3195" s="195"/>
    </row>
    <row r="3196" spans="1:12" x14ac:dyDescent="0.45">
      <c r="A3196" s="462"/>
      <c r="B3196" s="441"/>
      <c r="C3196" s="194">
        <v>3</v>
      </c>
      <c r="D3196" s="80"/>
      <c r="E3196" s="97"/>
      <c r="F3196" s="97"/>
      <c r="G3196" s="97"/>
      <c r="H3196" s="97"/>
      <c r="I3196" s="97"/>
      <c r="J3196" s="97"/>
      <c r="K3196" s="97"/>
      <c r="L3196" s="195"/>
    </row>
    <row r="3197" spans="1:12" x14ac:dyDescent="0.45">
      <c r="A3197" s="462"/>
      <c r="B3197" s="441"/>
      <c r="C3197" s="194">
        <v>4</v>
      </c>
      <c r="D3197" s="80"/>
      <c r="E3197" s="97"/>
      <c r="F3197" s="97"/>
      <c r="G3197" s="97"/>
      <c r="H3197" s="97"/>
      <c r="I3197" s="97"/>
      <c r="J3197" s="97"/>
      <c r="K3197" s="97"/>
      <c r="L3197" s="195"/>
    </row>
    <row r="3198" spans="1:12" x14ac:dyDescent="0.45">
      <c r="A3198" s="462"/>
      <c r="B3198" s="441"/>
      <c r="C3198" s="194">
        <v>5</v>
      </c>
      <c r="D3198" s="80"/>
      <c r="E3198" s="97"/>
      <c r="F3198" s="97"/>
      <c r="G3198" s="97"/>
      <c r="H3198" s="97"/>
      <c r="I3198" s="97"/>
      <c r="J3198" s="97"/>
      <c r="K3198" s="97"/>
      <c r="L3198" s="195"/>
    </row>
    <row r="3199" spans="1:12" x14ac:dyDescent="0.45">
      <c r="A3199" s="462"/>
      <c r="B3199" s="441"/>
      <c r="C3199" s="194">
        <v>6</v>
      </c>
      <c r="D3199" s="80"/>
      <c r="E3199" s="97"/>
      <c r="F3199" s="97"/>
      <c r="G3199" s="97"/>
      <c r="H3199" s="97"/>
      <c r="I3199" s="97"/>
      <c r="J3199" s="97"/>
      <c r="K3199" s="97"/>
      <c r="L3199" s="195"/>
    </row>
    <row r="3200" spans="1:12" x14ac:dyDescent="0.45">
      <c r="A3200" s="462"/>
      <c r="B3200" s="441"/>
      <c r="C3200" s="194">
        <v>7</v>
      </c>
      <c r="D3200" s="80"/>
      <c r="E3200" s="97"/>
      <c r="F3200" s="97"/>
      <c r="G3200" s="97"/>
      <c r="H3200" s="97"/>
      <c r="I3200" s="97"/>
      <c r="J3200" s="97"/>
      <c r="K3200" s="97"/>
      <c r="L3200" s="195"/>
    </row>
    <row r="3201" spans="1:12" x14ac:dyDescent="0.45">
      <c r="A3201" s="462"/>
      <c r="B3201" s="441"/>
      <c r="C3201" s="194">
        <v>8</v>
      </c>
      <c r="D3201" s="80"/>
      <c r="E3201" s="97"/>
      <c r="F3201" s="97"/>
      <c r="G3201" s="97"/>
      <c r="H3201" s="97"/>
      <c r="I3201" s="97"/>
      <c r="J3201" s="97"/>
      <c r="K3201" s="97"/>
      <c r="L3201" s="195"/>
    </row>
    <row r="3202" spans="1:12" x14ac:dyDescent="0.45">
      <c r="A3202" s="462"/>
      <c r="B3202" s="441"/>
      <c r="C3202" s="194">
        <v>9</v>
      </c>
      <c r="D3202" s="80"/>
      <c r="E3202" s="97"/>
      <c r="F3202" s="97"/>
      <c r="G3202" s="97"/>
      <c r="H3202" s="97"/>
      <c r="I3202" s="97"/>
      <c r="J3202" s="97"/>
      <c r="K3202" s="97"/>
      <c r="L3202" s="195"/>
    </row>
    <row r="3203" spans="1:12" x14ac:dyDescent="0.45">
      <c r="A3203" s="462"/>
      <c r="B3203" s="441"/>
      <c r="C3203" s="194">
        <v>10</v>
      </c>
      <c r="D3203" s="80"/>
      <c r="E3203" s="97"/>
      <c r="F3203" s="97"/>
      <c r="G3203" s="97"/>
      <c r="H3203" s="97"/>
      <c r="I3203" s="97"/>
      <c r="J3203" s="97"/>
      <c r="K3203" s="97"/>
      <c r="L3203" s="195"/>
    </row>
    <row r="3204" spans="1:12" x14ac:dyDescent="0.45">
      <c r="A3204" s="462"/>
      <c r="B3204" s="441"/>
      <c r="C3204" s="194">
        <v>11</v>
      </c>
      <c r="D3204" s="81"/>
      <c r="E3204" s="98"/>
      <c r="F3204" s="98"/>
      <c r="G3204" s="98"/>
      <c r="H3204" s="98"/>
      <c r="I3204" s="98"/>
      <c r="J3204" s="98"/>
      <c r="K3204" s="98"/>
      <c r="L3204" s="196"/>
    </row>
    <row r="3205" spans="1:12" ht="14.65" thickBot="1" x14ac:dyDescent="0.5">
      <c r="A3205" s="462"/>
      <c r="B3205" s="442"/>
      <c r="C3205" s="197">
        <v>12</v>
      </c>
      <c r="D3205" s="82"/>
      <c r="E3205" s="99"/>
      <c r="F3205" s="99"/>
      <c r="G3205" s="99"/>
      <c r="H3205" s="99"/>
      <c r="I3205" s="99"/>
      <c r="J3205" s="99"/>
      <c r="K3205" s="99"/>
      <c r="L3205" s="198"/>
    </row>
    <row r="3206" spans="1:12" x14ac:dyDescent="0.45">
      <c r="A3206" s="462"/>
      <c r="B3206" s="440">
        <v>7</v>
      </c>
      <c r="C3206" s="192">
        <v>1</v>
      </c>
      <c r="D3206" s="79"/>
      <c r="E3206" s="96"/>
      <c r="F3206" s="96"/>
      <c r="G3206" s="96"/>
      <c r="H3206" s="96"/>
      <c r="I3206" s="96"/>
      <c r="J3206" s="96"/>
      <c r="K3206" s="96"/>
      <c r="L3206" s="193"/>
    </row>
    <row r="3207" spans="1:12" x14ac:dyDescent="0.45">
      <c r="A3207" s="462"/>
      <c r="B3207" s="441"/>
      <c r="C3207" s="194">
        <v>2</v>
      </c>
      <c r="D3207" s="80"/>
      <c r="E3207" s="97"/>
      <c r="F3207" s="97"/>
      <c r="G3207" s="97"/>
      <c r="H3207" s="97"/>
      <c r="I3207" s="97"/>
      <c r="J3207" s="97"/>
      <c r="K3207" s="97"/>
      <c r="L3207" s="195"/>
    </row>
    <row r="3208" spans="1:12" x14ac:dyDescent="0.45">
      <c r="A3208" s="462"/>
      <c r="B3208" s="441"/>
      <c r="C3208" s="194">
        <v>3</v>
      </c>
      <c r="D3208" s="80"/>
      <c r="E3208" s="97"/>
      <c r="F3208" s="97"/>
      <c r="G3208" s="97"/>
      <c r="H3208" s="97"/>
      <c r="I3208" s="97"/>
      <c r="J3208" s="97"/>
      <c r="K3208" s="97"/>
      <c r="L3208" s="195"/>
    </row>
    <row r="3209" spans="1:12" x14ac:dyDescent="0.45">
      <c r="A3209" s="462"/>
      <c r="B3209" s="441"/>
      <c r="C3209" s="194">
        <v>4</v>
      </c>
      <c r="D3209" s="80"/>
      <c r="E3209" s="97"/>
      <c r="F3209" s="97"/>
      <c r="G3209" s="97"/>
      <c r="H3209" s="97"/>
      <c r="I3209" s="97"/>
      <c r="J3209" s="97"/>
      <c r="K3209" s="97"/>
      <c r="L3209" s="195"/>
    </row>
    <row r="3210" spans="1:12" x14ac:dyDescent="0.45">
      <c r="A3210" s="462"/>
      <c r="B3210" s="441"/>
      <c r="C3210" s="194">
        <v>5</v>
      </c>
      <c r="D3210" s="80"/>
      <c r="E3210" s="97"/>
      <c r="F3210" s="97"/>
      <c r="G3210" s="97"/>
      <c r="H3210" s="97"/>
      <c r="I3210" s="97"/>
      <c r="J3210" s="97"/>
      <c r="K3210" s="97"/>
      <c r="L3210" s="195"/>
    </row>
    <row r="3211" spans="1:12" x14ac:dyDescent="0.45">
      <c r="A3211" s="462"/>
      <c r="B3211" s="441"/>
      <c r="C3211" s="194">
        <v>6</v>
      </c>
      <c r="D3211" s="80"/>
      <c r="E3211" s="97"/>
      <c r="F3211" s="97"/>
      <c r="G3211" s="97"/>
      <c r="H3211" s="97"/>
      <c r="I3211" s="97"/>
      <c r="J3211" s="97"/>
      <c r="K3211" s="97"/>
      <c r="L3211" s="195"/>
    </row>
    <row r="3212" spans="1:12" x14ac:dyDescent="0.45">
      <c r="A3212" s="462"/>
      <c r="B3212" s="441"/>
      <c r="C3212" s="194">
        <v>7</v>
      </c>
      <c r="D3212" s="80"/>
      <c r="E3212" s="97"/>
      <c r="F3212" s="97"/>
      <c r="G3212" s="97"/>
      <c r="H3212" s="97"/>
      <c r="I3212" s="97"/>
      <c r="J3212" s="97"/>
      <c r="K3212" s="97"/>
      <c r="L3212" s="195"/>
    </row>
    <row r="3213" spans="1:12" x14ac:dyDescent="0.45">
      <c r="A3213" s="462"/>
      <c r="B3213" s="441"/>
      <c r="C3213" s="194">
        <v>8</v>
      </c>
      <c r="D3213" s="80"/>
      <c r="E3213" s="97"/>
      <c r="F3213" s="97"/>
      <c r="G3213" s="97"/>
      <c r="H3213" s="97"/>
      <c r="I3213" s="97"/>
      <c r="J3213" s="97"/>
      <c r="K3213" s="97"/>
      <c r="L3213" s="195"/>
    </row>
    <row r="3214" spans="1:12" x14ac:dyDescent="0.45">
      <c r="A3214" s="462"/>
      <c r="B3214" s="441"/>
      <c r="C3214" s="194">
        <v>9</v>
      </c>
      <c r="D3214" s="80"/>
      <c r="E3214" s="97"/>
      <c r="F3214" s="97"/>
      <c r="G3214" s="97"/>
      <c r="H3214" s="97"/>
      <c r="I3214" s="97"/>
      <c r="J3214" s="97"/>
      <c r="K3214" s="97"/>
      <c r="L3214" s="195"/>
    </row>
    <row r="3215" spans="1:12" x14ac:dyDescent="0.45">
      <c r="A3215" s="462"/>
      <c r="B3215" s="441"/>
      <c r="C3215" s="194">
        <v>10</v>
      </c>
      <c r="D3215" s="80"/>
      <c r="E3215" s="97"/>
      <c r="F3215" s="97"/>
      <c r="G3215" s="97"/>
      <c r="H3215" s="97"/>
      <c r="I3215" s="97"/>
      <c r="J3215" s="97"/>
      <c r="K3215" s="97"/>
      <c r="L3215" s="195"/>
    </row>
    <row r="3216" spans="1:12" x14ac:dyDescent="0.45">
      <c r="A3216" s="462"/>
      <c r="B3216" s="441"/>
      <c r="C3216" s="194">
        <v>11</v>
      </c>
      <c r="D3216" s="81"/>
      <c r="E3216" s="98"/>
      <c r="F3216" s="98"/>
      <c r="G3216" s="98"/>
      <c r="H3216" s="98"/>
      <c r="I3216" s="98"/>
      <c r="J3216" s="98"/>
      <c r="K3216" s="98"/>
      <c r="L3216" s="196"/>
    </row>
    <row r="3217" spans="1:12" ht="14.65" thickBot="1" x14ac:dyDescent="0.5">
      <c r="A3217" s="462"/>
      <c r="B3217" s="442"/>
      <c r="C3217" s="197">
        <v>12</v>
      </c>
      <c r="D3217" s="82"/>
      <c r="E3217" s="99"/>
      <c r="F3217" s="99"/>
      <c r="G3217" s="99"/>
      <c r="H3217" s="99"/>
      <c r="I3217" s="99"/>
      <c r="J3217" s="99"/>
      <c r="K3217" s="99"/>
      <c r="L3217" s="198"/>
    </row>
    <row r="3218" spans="1:12" x14ac:dyDescent="0.45">
      <c r="A3218" s="462"/>
      <c r="B3218" s="440">
        <v>8</v>
      </c>
      <c r="C3218" s="192">
        <v>1</v>
      </c>
      <c r="D3218" s="79"/>
      <c r="E3218" s="96"/>
      <c r="F3218" s="96"/>
      <c r="G3218" s="96"/>
      <c r="H3218" s="96"/>
      <c r="I3218" s="96"/>
      <c r="J3218" s="96"/>
      <c r="K3218" s="96"/>
      <c r="L3218" s="193"/>
    </row>
    <row r="3219" spans="1:12" x14ac:dyDescent="0.45">
      <c r="A3219" s="462"/>
      <c r="B3219" s="441"/>
      <c r="C3219" s="194">
        <v>2</v>
      </c>
      <c r="D3219" s="80"/>
      <c r="E3219" s="97"/>
      <c r="F3219" s="97"/>
      <c r="G3219" s="97"/>
      <c r="H3219" s="97"/>
      <c r="I3219" s="97"/>
      <c r="J3219" s="97"/>
      <c r="K3219" s="97"/>
      <c r="L3219" s="195"/>
    </row>
    <row r="3220" spans="1:12" x14ac:dyDescent="0.45">
      <c r="A3220" s="462"/>
      <c r="B3220" s="441"/>
      <c r="C3220" s="194">
        <v>3</v>
      </c>
      <c r="D3220" s="80"/>
      <c r="E3220" s="97"/>
      <c r="F3220" s="97"/>
      <c r="G3220" s="97"/>
      <c r="H3220" s="97"/>
      <c r="I3220" s="97"/>
      <c r="J3220" s="97"/>
      <c r="K3220" s="97"/>
      <c r="L3220" s="195"/>
    </row>
    <row r="3221" spans="1:12" x14ac:dyDescent="0.45">
      <c r="A3221" s="462"/>
      <c r="B3221" s="441"/>
      <c r="C3221" s="194">
        <v>4</v>
      </c>
      <c r="D3221" s="80"/>
      <c r="E3221" s="97"/>
      <c r="F3221" s="97"/>
      <c r="G3221" s="97"/>
      <c r="H3221" s="97"/>
      <c r="I3221" s="97"/>
      <c r="J3221" s="97"/>
      <c r="K3221" s="97"/>
      <c r="L3221" s="195"/>
    </row>
    <row r="3222" spans="1:12" x14ac:dyDescent="0.45">
      <c r="A3222" s="462"/>
      <c r="B3222" s="441"/>
      <c r="C3222" s="194">
        <v>5</v>
      </c>
      <c r="D3222" s="80"/>
      <c r="E3222" s="97"/>
      <c r="F3222" s="97"/>
      <c r="G3222" s="97"/>
      <c r="H3222" s="97"/>
      <c r="I3222" s="97"/>
      <c r="J3222" s="97"/>
      <c r="K3222" s="97"/>
      <c r="L3222" s="195"/>
    </row>
    <row r="3223" spans="1:12" x14ac:dyDescent="0.45">
      <c r="A3223" s="462"/>
      <c r="B3223" s="441"/>
      <c r="C3223" s="194">
        <v>6</v>
      </c>
      <c r="D3223" s="80"/>
      <c r="E3223" s="97"/>
      <c r="F3223" s="97"/>
      <c r="G3223" s="97"/>
      <c r="H3223" s="97"/>
      <c r="I3223" s="97"/>
      <c r="J3223" s="97"/>
      <c r="K3223" s="97"/>
      <c r="L3223" s="195"/>
    </row>
    <row r="3224" spans="1:12" x14ac:dyDescent="0.45">
      <c r="A3224" s="462"/>
      <c r="B3224" s="441"/>
      <c r="C3224" s="194">
        <v>7</v>
      </c>
      <c r="D3224" s="80"/>
      <c r="E3224" s="97"/>
      <c r="F3224" s="97"/>
      <c r="G3224" s="97"/>
      <c r="H3224" s="97"/>
      <c r="I3224" s="97"/>
      <c r="J3224" s="97"/>
      <c r="K3224" s="97"/>
      <c r="L3224" s="195"/>
    </row>
    <row r="3225" spans="1:12" x14ac:dyDescent="0.45">
      <c r="A3225" s="462"/>
      <c r="B3225" s="441"/>
      <c r="C3225" s="194">
        <v>8</v>
      </c>
      <c r="D3225" s="80"/>
      <c r="E3225" s="97"/>
      <c r="F3225" s="97"/>
      <c r="G3225" s="97"/>
      <c r="H3225" s="97"/>
      <c r="I3225" s="97"/>
      <c r="J3225" s="97"/>
      <c r="K3225" s="97"/>
      <c r="L3225" s="195"/>
    </row>
    <row r="3226" spans="1:12" x14ac:dyDescent="0.45">
      <c r="A3226" s="462"/>
      <c r="B3226" s="441"/>
      <c r="C3226" s="194">
        <v>9</v>
      </c>
      <c r="D3226" s="80"/>
      <c r="E3226" s="97"/>
      <c r="F3226" s="97"/>
      <c r="G3226" s="97"/>
      <c r="H3226" s="97"/>
      <c r="I3226" s="97"/>
      <c r="J3226" s="97"/>
      <c r="K3226" s="97"/>
      <c r="L3226" s="195"/>
    </row>
    <row r="3227" spans="1:12" x14ac:dyDescent="0.45">
      <c r="A3227" s="462"/>
      <c r="B3227" s="441"/>
      <c r="C3227" s="194">
        <v>10</v>
      </c>
      <c r="D3227" s="80"/>
      <c r="E3227" s="97"/>
      <c r="F3227" s="97"/>
      <c r="G3227" s="97"/>
      <c r="H3227" s="97"/>
      <c r="I3227" s="97"/>
      <c r="J3227" s="97"/>
      <c r="K3227" s="97"/>
      <c r="L3227" s="195"/>
    </row>
    <row r="3228" spans="1:12" x14ac:dyDescent="0.45">
      <c r="A3228" s="462"/>
      <c r="B3228" s="441"/>
      <c r="C3228" s="194">
        <v>11</v>
      </c>
      <c r="D3228" s="81"/>
      <c r="E3228" s="98"/>
      <c r="F3228" s="98"/>
      <c r="G3228" s="98"/>
      <c r="H3228" s="98"/>
      <c r="I3228" s="98"/>
      <c r="J3228" s="98"/>
      <c r="K3228" s="98"/>
      <c r="L3228" s="196"/>
    </row>
    <row r="3229" spans="1:12" ht="14.65" thickBot="1" x14ac:dyDescent="0.5">
      <c r="A3229" s="463"/>
      <c r="B3229" s="442"/>
      <c r="C3229" s="197">
        <v>12</v>
      </c>
      <c r="D3229" s="82"/>
      <c r="E3229" s="99"/>
      <c r="F3229" s="99"/>
      <c r="G3229" s="99"/>
      <c r="H3229" s="99"/>
      <c r="I3229" s="99"/>
      <c r="J3229" s="99"/>
      <c r="K3229" s="99"/>
      <c r="L3229" s="198"/>
    </row>
    <row r="3230" spans="1:12" x14ac:dyDescent="0.45">
      <c r="A3230" s="461">
        <v>3</v>
      </c>
      <c r="B3230" s="440">
        <v>9</v>
      </c>
      <c r="C3230" s="192">
        <v>1</v>
      </c>
      <c r="D3230" s="79"/>
      <c r="E3230" s="96"/>
      <c r="F3230" s="96"/>
      <c r="G3230" s="96"/>
      <c r="H3230" s="96"/>
      <c r="I3230" s="96"/>
      <c r="J3230" s="96"/>
      <c r="K3230" s="96"/>
      <c r="L3230" s="193"/>
    </row>
    <row r="3231" spans="1:12" x14ac:dyDescent="0.45">
      <c r="A3231" s="462"/>
      <c r="B3231" s="441"/>
      <c r="C3231" s="194">
        <v>2</v>
      </c>
      <c r="D3231" s="80"/>
      <c r="E3231" s="97"/>
      <c r="F3231" s="97"/>
      <c r="G3231" s="97"/>
      <c r="H3231" s="97"/>
      <c r="I3231" s="97"/>
      <c r="J3231" s="97"/>
      <c r="K3231" s="97"/>
      <c r="L3231" s="195"/>
    </row>
    <row r="3232" spans="1:12" x14ac:dyDescent="0.45">
      <c r="A3232" s="462"/>
      <c r="B3232" s="441"/>
      <c r="C3232" s="194">
        <v>3</v>
      </c>
      <c r="D3232" s="80"/>
      <c r="E3232" s="97"/>
      <c r="F3232" s="97"/>
      <c r="G3232" s="97"/>
      <c r="H3232" s="97"/>
      <c r="I3232" s="97"/>
      <c r="J3232" s="97"/>
      <c r="K3232" s="97"/>
      <c r="L3232" s="195"/>
    </row>
    <row r="3233" spans="1:12" x14ac:dyDescent="0.45">
      <c r="A3233" s="462"/>
      <c r="B3233" s="441"/>
      <c r="C3233" s="194">
        <v>4</v>
      </c>
      <c r="D3233" s="80"/>
      <c r="E3233" s="97"/>
      <c r="F3233" s="97"/>
      <c r="G3233" s="97"/>
      <c r="H3233" s="97"/>
      <c r="I3233" s="97"/>
      <c r="J3233" s="97"/>
      <c r="K3233" s="97"/>
      <c r="L3233" s="195"/>
    </row>
    <row r="3234" spans="1:12" x14ac:dyDescent="0.45">
      <c r="A3234" s="462"/>
      <c r="B3234" s="441"/>
      <c r="C3234" s="194">
        <v>5</v>
      </c>
      <c r="D3234" s="80"/>
      <c r="E3234" s="97"/>
      <c r="F3234" s="97"/>
      <c r="G3234" s="97"/>
      <c r="H3234" s="97"/>
      <c r="I3234" s="97"/>
      <c r="J3234" s="97"/>
      <c r="K3234" s="97"/>
      <c r="L3234" s="195"/>
    </row>
    <row r="3235" spans="1:12" x14ac:dyDescent="0.45">
      <c r="A3235" s="462"/>
      <c r="B3235" s="441"/>
      <c r="C3235" s="194">
        <v>6</v>
      </c>
      <c r="D3235" s="80"/>
      <c r="E3235" s="97"/>
      <c r="F3235" s="97"/>
      <c r="G3235" s="97"/>
      <c r="H3235" s="97"/>
      <c r="I3235" s="97"/>
      <c r="J3235" s="97"/>
      <c r="K3235" s="97"/>
      <c r="L3235" s="195"/>
    </row>
    <row r="3236" spans="1:12" x14ac:dyDescent="0.45">
      <c r="A3236" s="462"/>
      <c r="B3236" s="441"/>
      <c r="C3236" s="194">
        <v>7</v>
      </c>
      <c r="D3236" s="80"/>
      <c r="E3236" s="97"/>
      <c r="F3236" s="97"/>
      <c r="G3236" s="97"/>
      <c r="H3236" s="97"/>
      <c r="I3236" s="97"/>
      <c r="J3236" s="97"/>
      <c r="K3236" s="97"/>
      <c r="L3236" s="195"/>
    </row>
    <row r="3237" spans="1:12" x14ac:dyDescent="0.45">
      <c r="A3237" s="462"/>
      <c r="B3237" s="441"/>
      <c r="C3237" s="194">
        <v>8</v>
      </c>
      <c r="D3237" s="80"/>
      <c r="E3237" s="97"/>
      <c r="F3237" s="97"/>
      <c r="G3237" s="97"/>
      <c r="H3237" s="97"/>
      <c r="I3237" s="97"/>
      <c r="J3237" s="97"/>
      <c r="K3237" s="97"/>
      <c r="L3237" s="195"/>
    </row>
    <row r="3238" spans="1:12" x14ac:dyDescent="0.45">
      <c r="A3238" s="462"/>
      <c r="B3238" s="441"/>
      <c r="C3238" s="194">
        <v>9</v>
      </c>
      <c r="D3238" s="80"/>
      <c r="E3238" s="97"/>
      <c r="F3238" s="97"/>
      <c r="G3238" s="97"/>
      <c r="H3238" s="97"/>
      <c r="I3238" s="97"/>
      <c r="J3238" s="97"/>
      <c r="K3238" s="97"/>
      <c r="L3238" s="195"/>
    </row>
    <row r="3239" spans="1:12" x14ac:dyDescent="0.45">
      <c r="A3239" s="462"/>
      <c r="B3239" s="441"/>
      <c r="C3239" s="194">
        <v>10</v>
      </c>
      <c r="D3239" s="80"/>
      <c r="E3239" s="97"/>
      <c r="F3239" s="97"/>
      <c r="G3239" s="97"/>
      <c r="H3239" s="97"/>
      <c r="I3239" s="97"/>
      <c r="J3239" s="97"/>
      <c r="K3239" s="97"/>
      <c r="L3239" s="195"/>
    </row>
    <row r="3240" spans="1:12" x14ac:dyDescent="0.45">
      <c r="A3240" s="462"/>
      <c r="B3240" s="441"/>
      <c r="C3240" s="194">
        <v>11</v>
      </c>
      <c r="D3240" s="81"/>
      <c r="E3240" s="98"/>
      <c r="F3240" s="98"/>
      <c r="G3240" s="98"/>
      <c r="H3240" s="98"/>
      <c r="I3240" s="98"/>
      <c r="J3240" s="98"/>
      <c r="K3240" s="98"/>
      <c r="L3240" s="196"/>
    </row>
    <row r="3241" spans="1:12" ht="14.65" thickBot="1" x14ac:dyDescent="0.5">
      <c r="A3241" s="462"/>
      <c r="B3241" s="442"/>
      <c r="C3241" s="197">
        <v>12</v>
      </c>
      <c r="D3241" s="82"/>
      <c r="E3241" s="99"/>
      <c r="F3241" s="99"/>
      <c r="G3241" s="99"/>
      <c r="H3241" s="99"/>
      <c r="I3241" s="99"/>
      <c r="J3241" s="99"/>
      <c r="K3241" s="99"/>
      <c r="L3241" s="198"/>
    </row>
    <row r="3242" spans="1:12" x14ac:dyDescent="0.45">
      <c r="A3242" s="462"/>
      <c r="B3242" s="440">
        <v>10</v>
      </c>
      <c r="C3242" s="192">
        <v>1</v>
      </c>
      <c r="D3242" s="79"/>
      <c r="E3242" s="96"/>
      <c r="F3242" s="96"/>
      <c r="G3242" s="96"/>
      <c r="H3242" s="96"/>
      <c r="I3242" s="96"/>
      <c r="J3242" s="96"/>
      <c r="K3242" s="96"/>
      <c r="L3242" s="193"/>
    </row>
    <row r="3243" spans="1:12" x14ac:dyDescent="0.45">
      <c r="A3243" s="462"/>
      <c r="B3243" s="441"/>
      <c r="C3243" s="194">
        <v>2</v>
      </c>
      <c r="D3243" s="80"/>
      <c r="E3243" s="97"/>
      <c r="F3243" s="97"/>
      <c r="G3243" s="97"/>
      <c r="H3243" s="97"/>
      <c r="I3243" s="97"/>
      <c r="J3243" s="97"/>
      <c r="K3243" s="97"/>
      <c r="L3243" s="195"/>
    </row>
    <row r="3244" spans="1:12" x14ac:dyDescent="0.45">
      <c r="A3244" s="462"/>
      <c r="B3244" s="441"/>
      <c r="C3244" s="194">
        <v>3</v>
      </c>
      <c r="D3244" s="80"/>
      <c r="E3244" s="97"/>
      <c r="F3244" s="97"/>
      <c r="G3244" s="97"/>
      <c r="H3244" s="97"/>
      <c r="I3244" s="97"/>
      <c r="J3244" s="97"/>
      <c r="K3244" s="97"/>
      <c r="L3244" s="195"/>
    </row>
    <row r="3245" spans="1:12" x14ac:dyDescent="0.45">
      <c r="A3245" s="462"/>
      <c r="B3245" s="441"/>
      <c r="C3245" s="194">
        <v>4</v>
      </c>
      <c r="D3245" s="80"/>
      <c r="E3245" s="97"/>
      <c r="F3245" s="97"/>
      <c r="G3245" s="97"/>
      <c r="H3245" s="97"/>
      <c r="I3245" s="97"/>
      <c r="J3245" s="97"/>
      <c r="K3245" s="97"/>
      <c r="L3245" s="195"/>
    </row>
    <row r="3246" spans="1:12" x14ac:dyDescent="0.45">
      <c r="A3246" s="462"/>
      <c r="B3246" s="441"/>
      <c r="C3246" s="194">
        <v>5</v>
      </c>
      <c r="D3246" s="80"/>
      <c r="E3246" s="97"/>
      <c r="F3246" s="97"/>
      <c r="G3246" s="97"/>
      <c r="H3246" s="97"/>
      <c r="I3246" s="97"/>
      <c r="J3246" s="97"/>
      <c r="K3246" s="97"/>
      <c r="L3246" s="195"/>
    </row>
    <row r="3247" spans="1:12" x14ac:dyDescent="0.45">
      <c r="A3247" s="462"/>
      <c r="B3247" s="441"/>
      <c r="C3247" s="194">
        <v>6</v>
      </c>
      <c r="D3247" s="80"/>
      <c r="E3247" s="97"/>
      <c r="F3247" s="97"/>
      <c r="G3247" s="97"/>
      <c r="H3247" s="97"/>
      <c r="I3247" s="97"/>
      <c r="J3247" s="97"/>
      <c r="K3247" s="97"/>
      <c r="L3247" s="195"/>
    </row>
    <row r="3248" spans="1:12" x14ac:dyDescent="0.45">
      <c r="A3248" s="462"/>
      <c r="B3248" s="441"/>
      <c r="C3248" s="194">
        <v>7</v>
      </c>
      <c r="D3248" s="80"/>
      <c r="E3248" s="97"/>
      <c r="F3248" s="97"/>
      <c r="G3248" s="97"/>
      <c r="H3248" s="97"/>
      <c r="I3248" s="97"/>
      <c r="J3248" s="97"/>
      <c r="K3248" s="97"/>
      <c r="L3248" s="195"/>
    </row>
    <row r="3249" spans="1:12" x14ac:dyDescent="0.45">
      <c r="A3249" s="462"/>
      <c r="B3249" s="441"/>
      <c r="C3249" s="194">
        <v>8</v>
      </c>
      <c r="D3249" s="80"/>
      <c r="E3249" s="97"/>
      <c r="F3249" s="97"/>
      <c r="G3249" s="97"/>
      <c r="H3249" s="97"/>
      <c r="I3249" s="97"/>
      <c r="J3249" s="97"/>
      <c r="K3249" s="97"/>
      <c r="L3249" s="195"/>
    </row>
    <row r="3250" spans="1:12" x14ac:dyDescent="0.45">
      <c r="A3250" s="462"/>
      <c r="B3250" s="441"/>
      <c r="C3250" s="194">
        <v>9</v>
      </c>
      <c r="D3250" s="80"/>
      <c r="E3250" s="97"/>
      <c r="F3250" s="97"/>
      <c r="G3250" s="97"/>
      <c r="H3250" s="97"/>
      <c r="I3250" s="97"/>
      <c r="J3250" s="97"/>
      <c r="K3250" s="97"/>
      <c r="L3250" s="195"/>
    </row>
    <row r="3251" spans="1:12" x14ac:dyDescent="0.45">
      <c r="A3251" s="462"/>
      <c r="B3251" s="441"/>
      <c r="C3251" s="194">
        <v>10</v>
      </c>
      <c r="D3251" s="80"/>
      <c r="E3251" s="97"/>
      <c r="F3251" s="97"/>
      <c r="G3251" s="97"/>
      <c r="H3251" s="97"/>
      <c r="I3251" s="97"/>
      <c r="J3251" s="97"/>
      <c r="K3251" s="97"/>
      <c r="L3251" s="195"/>
    </row>
    <row r="3252" spans="1:12" x14ac:dyDescent="0.45">
      <c r="A3252" s="462"/>
      <c r="B3252" s="441"/>
      <c r="C3252" s="194">
        <v>11</v>
      </c>
      <c r="D3252" s="81"/>
      <c r="E3252" s="98"/>
      <c r="F3252" s="98"/>
      <c r="G3252" s="98"/>
      <c r="H3252" s="98"/>
      <c r="I3252" s="98"/>
      <c r="J3252" s="98"/>
      <c r="K3252" s="98"/>
      <c r="L3252" s="196"/>
    </row>
    <row r="3253" spans="1:12" ht="14.65" thickBot="1" x14ac:dyDescent="0.5">
      <c r="A3253" s="462"/>
      <c r="B3253" s="442"/>
      <c r="C3253" s="197">
        <v>12</v>
      </c>
      <c r="D3253" s="82"/>
      <c r="E3253" s="99"/>
      <c r="F3253" s="99"/>
      <c r="G3253" s="99"/>
      <c r="H3253" s="99"/>
      <c r="I3253" s="99"/>
      <c r="J3253" s="99"/>
      <c r="K3253" s="99"/>
      <c r="L3253" s="198"/>
    </row>
    <row r="3254" spans="1:12" x14ac:dyDescent="0.45">
      <c r="A3254" s="462"/>
      <c r="B3254" s="440">
        <v>11</v>
      </c>
      <c r="C3254" s="192">
        <v>1</v>
      </c>
      <c r="D3254" s="79"/>
      <c r="E3254" s="96"/>
      <c r="F3254" s="96"/>
      <c r="G3254" s="96"/>
      <c r="H3254" s="96"/>
      <c r="I3254" s="96"/>
      <c r="J3254" s="96"/>
      <c r="K3254" s="96"/>
      <c r="L3254" s="193"/>
    </row>
    <row r="3255" spans="1:12" x14ac:dyDescent="0.45">
      <c r="A3255" s="462"/>
      <c r="B3255" s="441"/>
      <c r="C3255" s="194">
        <v>2</v>
      </c>
      <c r="D3255" s="80"/>
      <c r="E3255" s="97"/>
      <c r="F3255" s="97"/>
      <c r="G3255" s="97"/>
      <c r="H3255" s="97"/>
      <c r="I3255" s="97"/>
      <c r="J3255" s="97"/>
      <c r="K3255" s="97"/>
      <c r="L3255" s="195"/>
    </row>
    <row r="3256" spans="1:12" x14ac:dyDescent="0.45">
      <c r="A3256" s="462"/>
      <c r="B3256" s="441"/>
      <c r="C3256" s="194">
        <v>3</v>
      </c>
      <c r="D3256" s="80"/>
      <c r="E3256" s="97"/>
      <c r="F3256" s="97"/>
      <c r="G3256" s="97"/>
      <c r="H3256" s="97"/>
      <c r="I3256" s="97"/>
      <c r="J3256" s="97"/>
      <c r="K3256" s="97"/>
      <c r="L3256" s="195"/>
    </row>
    <row r="3257" spans="1:12" x14ac:dyDescent="0.45">
      <c r="A3257" s="462"/>
      <c r="B3257" s="441"/>
      <c r="C3257" s="194">
        <v>4</v>
      </c>
      <c r="D3257" s="80"/>
      <c r="E3257" s="97"/>
      <c r="F3257" s="97"/>
      <c r="G3257" s="97"/>
      <c r="H3257" s="97"/>
      <c r="I3257" s="97"/>
      <c r="J3257" s="97"/>
      <c r="K3257" s="97"/>
      <c r="L3257" s="195"/>
    </row>
    <row r="3258" spans="1:12" x14ac:dyDescent="0.45">
      <c r="A3258" s="462"/>
      <c r="B3258" s="441"/>
      <c r="C3258" s="194">
        <v>5</v>
      </c>
      <c r="D3258" s="80"/>
      <c r="E3258" s="97"/>
      <c r="F3258" s="97"/>
      <c r="G3258" s="97"/>
      <c r="H3258" s="97"/>
      <c r="I3258" s="97"/>
      <c r="J3258" s="97"/>
      <c r="K3258" s="97"/>
      <c r="L3258" s="195"/>
    </row>
    <row r="3259" spans="1:12" x14ac:dyDescent="0.45">
      <c r="A3259" s="462"/>
      <c r="B3259" s="441"/>
      <c r="C3259" s="194">
        <v>6</v>
      </c>
      <c r="D3259" s="80"/>
      <c r="E3259" s="97"/>
      <c r="F3259" s="97"/>
      <c r="G3259" s="97"/>
      <c r="H3259" s="97"/>
      <c r="I3259" s="97"/>
      <c r="J3259" s="97"/>
      <c r="K3259" s="97"/>
      <c r="L3259" s="195"/>
    </row>
    <row r="3260" spans="1:12" x14ac:dyDescent="0.45">
      <c r="A3260" s="462"/>
      <c r="B3260" s="441"/>
      <c r="C3260" s="194">
        <v>7</v>
      </c>
      <c r="D3260" s="80"/>
      <c r="E3260" s="97"/>
      <c r="F3260" s="97"/>
      <c r="G3260" s="97"/>
      <c r="H3260" s="97"/>
      <c r="I3260" s="97"/>
      <c r="J3260" s="97"/>
      <c r="K3260" s="97"/>
      <c r="L3260" s="195"/>
    </row>
    <row r="3261" spans="1:12" x14ac:dyDescent="0.45">
      <c r="A3261" s="462"/>
      <c r="B3261" s="441"/>
      <c r="C3261" s="194">
        <v>8</v>
      </c>
      <c r="D3261" s="80"/>
      <c r="E3261" s="97"/>
      <c r="F3261" s="97"/>
      <c r="G3261" s="97"/>
      <c r="H3261" s="97"/>
      <c r="I3261" s="97"/>
      <c r="J3261" s="97"/>
      <c r="K3261" s="97"/>
      <c r="L3261" s="195"/>
    </row>
    <row r="3262" spans="1:12" x14ac:dyDescent="0.45">
      <c r="A3262" s="462"/>
      <c r="B3262" s="441"/>
      <c r="C3262" s="194">
        <v>9</v>
      </c>
      <c r="D3262" s="80"/>
      <c r="E3262" s="97"/>
      <c r="F3262" s="97"/>
      <c r="G3262" s="97"/>
      <c r="H3262" s="97"/>
      <c r="I3262" s="97"/>
      <c r="J3262" s="97"/>
      <c r="K3262" s="97"/>
      <c r="L3262" s="195"/>
    </row>
    <row r="3263" spans="1:12" x14ac:dyDescent="0.45">
      <c r="A3263" s="462"/>
      <c r="B3263" s="441"/>
      <c r="C3263" s="194">
        <v>10</v>
      </c>
      <c r="D3263" s="80"/>
      <c r="E3263" s="97"/>
      <c r="F3263" s="97"/>
      <c r="G3263" s="97"/>
      <c r="H3263" s="97"/>
      <c r="I3263" s="97"/>
      <c r="J3263" s="97"/>
      <c r="K3263" s="97"/>
      <c r="L3263" s="195"/>
    </row>
    <row r="3264" spans="1:12" x14ac:dyDescent="0.45">
      <c r="A3264" s="462"/>
      <c r="B3264" s="441"/>
      <c r="C3264" s="194">
        <v>11</v>
      </c>
      <c r="D3264" s="81"/>
      <c r="E3264" s="98"/>
      <c r="F3264" s="98"/>
      <c r="G3264" s="98"/>
      <c r="H3264" s="98"/>
      <c r="I3264" s="98"/>
      <c r="J3264" s="98"/>
      <c r="K3264" s="98"/>
      <c r="L3264" s="196"/>
    </row>
    <row r="3265" spans="1:12" ht="14.65" thickBot="1" x14ac:dyDescent="0.5">
      <c r="A3265" s="462"/>
      <c r="B3265" s="442"/>
      <c r="C3265" s="197">
        <v>12</v>
      </c>
      <c r="D3265" s="82"/>
      <c r="E3265" s="99"/>
      <c r="F3265" s="99"/>
      <c r="G3265" s="99"/>
      <c r="H3265" s="99"/>
      <c r="I3265" s="99"/>
      <c r="J3265" s="99"/>
      <c r="K3265" s="99"/>
      <c r="L3265" s="198"/>
    </row>
    <row r="3266" spans="1:12" x14ac:dyDescent="0.45">
      <c r="A3266" s="462"/>
      <c r="B3266" s="440">
        <v>12</v>
      </c>
      <c r="C3266" s="192">
        <v>1</v>
      </c>
      <c r="D3266" s="79"/>
      <c r="E3266" s="96"/>
      <c r="F3266" s="96"/>
      <c r="G3266" s="96"/>
      <c r="H3266" s="96"/>
      <c r="I3266" s="96"/>
      <c r="J3266" s="96"/>
      <c r="K3266" s="96"/>
      <c r="L3266" s="193"/>
    </row>
    <row r="3267" spans="1:12" x14ac:dyDescent="0.45">
      <c r="A3267" s="462"/>
      <c r="B3267" s="441"/>
      <c r="C3267" s="194">
        <v>2</v>
      </c>
      <c r="D3267" s="80"/>
      <c r="E3267" s="97"/>
      <c r="F3267" s="97"/>
      <c r="G3267" s="97"/>
      <c r="H3267" s="97"/>
      <c r="I3267" s="97"/>
      <c r="J3267" s="97"/>
      <c r="K3267" s="97"/>
      <c r="L3267" s="195"/>
    </row>
    <row r="3268" spans="1:12" x14ac:dyDescent="0.45">
      <c r="A3268" s="462"/>
      <c r="B3268" s="441"/>
      <c r="C3268" s="194">
        <v>3</v>
      </c>
      <c r="D3268" s="80"/>
      <c r="E3268" s="97"/>
      <c r="F3268" s="97"/>
      <c r="G3268" s="97"/>
      <c r="H3268" s="97"/>
      <c r="I3268" s="97"/>
      <c r="J3268" s="97"/>
      <c r="K3268" s="97"/>
      <c r="L3268" s="195"/>
    </row>
    <row r="3269" spans="1:12" x14ac:dyDescent="0.45">
      <c r="A3269" s="462"/>
      <c r="B3269" s="441"/>
      <c r="C3269" s="194">
        <v>4</v>
      </c>
      <c r="D3269" s="80"/>
      <c r="E3269" s="97"/>
      <c r="F3269" s="97"/>
      <c r="G3269" s="97"/>
      <c r="H3269" s="97"/>
      <c r="I3269" s="97"/>
      <c r="J3269" s="97"/>
      <c r="K3269" s="97"/>
      <c r="L3269" s="195"/>
    </row>
    <row r="3270" spans="1:12" x14ac:dyDescent="0.45">
      <c r="A3270" s="462"/>
      <c r="B3270" s="441"/>
      <c r="C3270" s="194">
        <v>5</v>
      </c>
      <c r="D3270" s="80"/>
      <c r="E3270" s="97"/>
      <c r="F3270" s="97"/>
      <c r="G3270" s="97"/>
      <c r="H3270" s="97"/>
      <c r="I3270" s="97"/>
      <c r="J3270" s="97"/>
      <c r="K3270" s="97"/>
      <c r="L3270" s="195"/>
    </row>
    <row r="3271" spans="1:12" x14ac:dyDescent="0.45">
      <c r="A3271" s="462"/>
      <c r="B3271" s="441"/>
      <c r="C3271" s="194">
        <v>6</v>
      </c>
      <c r="D3271" s="80"/>
      <c r="E3271" s="97"/>
      <c r="F3271" s="97"/>
      <c r="G3271" s="97"/>
      <c r="H3271" s="97"/>
      <c r="I3271" s="97"/>
      <c r="J3271" s="97"/>
      <c r="K3271" s="97"/>
      <c r="L3271" s="195"/>
    </row>
    <row r="3272" spans="1:12" x14ac:dyDescent="0.45">
      <c r="A3272" s="462"/>
      <c r="B3272" s="441"/>
      <c r="C3272" s="194">
        <v>7</v>
      </c>
      <c r="D3272" s="80"/>
      <c r="E3272" s="97"/>
      <c r="F3272" s="97"/>
      <c r="G3272" s="97"/>
      <c r="H3272" s="97"/>
      <c r="I3272" s="97"/>
      <c r="J3272" s="97"/>
      <c r="K3272" s="97"/>
      <c r="L3272" s="195"/>
    </row>
    <row r="3273" spans="1:12" x14ac:dyDescent="0.45">
      <c r="A3273" s="462"/>
      <c r="B3273" s="441"/>
      <c r="C3273" s="194">
        <v>8</v>
      </c>
      <c r="D3273" s="80"/>
      <c r="E3273" s="97"/>
      <c r="F3273" s="97"/>
      <c r="G3273" s="97"/>
      <c r="H3273" s="97"/>
      <c r="I3273" s="97"/>
      <c r="J3273" s="97"/>
      <c r="K3273" s="97"/>
      <c r="L3273" s="195"/>
    </row>
    <row r="3274" spans="1:12" x14ac:dyDescent="0.45">
      <c r="A3274" s="462"/>
      <c r="B3274" s="441"/>
      <c r="C3274" s="194">
        <v>9</v>
      </c>
      <c r="D3274" s="80"/>
      <c r="E3274" s="97"/>
      <c r="F3274" s="97"/>
      <c r="G3274" s="97"/>
      <c r="H3274" s="97"/>
      <c r="I3274" s="97"/>
      <c r="J3274" s="97"/>
      <c r="K3274" s="97"/>
      <c r="L3274" s="195"/>
    </row>
    <row r="3275" spans="1:12" x14ac:dyDescent="0.45">
      <c r="A3275" s="462"/>
      <c r="B3275" s="441"/>
      <c r="C3275" s="194">
        <v>10</v>
      </c>
      <c r="D3275" s="80"/>
      <c r="E3275" s="97"/>
      <c r="F3275" s="97"/>
      <c r="G3275" s="97"/>
      <c r="H3275" s="97"/>
      <c r="I3275" s="97"/>
      <c r="J3275" s="97"/>
      <c r="K3275" s="97"/>
      <c r="L3275" s="195"/>
    </row>
    <row r="3276" spans="1:12" x14ac:dyDescent="0.45">
      <c r="A3276" s="462"/>
      <c r="B3276" s="441"/>
      <c r="C3276" s="194">
        <v>11</v>
      </c>
      <c r="D3276" s="81"/>
      <c r="E3276" s="98"/>
      <c r="F3276" s="98"/>
      <c r="G3276" s="98"/>
      <c r="H3276" s="98"/>
      <c r="I3276" s="98"/>
      <c r="J3276" s="98"/>
      <c r="K3276" s="98"/>
      <c r="L3276" s="196"/>
    </row>
    <row r="3277" spans="1:12" ht="14.65" thickBot="1" x14ac:dyDescent="0.5">
      <c r="A3277" s="463"/>
      <c r="B3277" s="442"/>
      <c r="C3277" s="199">
        <v>12</v>
      </c>
      <c r="D3277" s="82"/>
      <c r="E3277" s="99"/>
      <c r="F3277" s="99"/>
      <c r="G3277" s="99"/>
      <c r="H3277" s="99"/>
      <c r="I3277" s="99"/>
      <c r="J3277" s="99"/>
      <c r="K3277" s="99"/>
      <c r="L3277" s="198"/>
    </row>
    <row r="3279" spans="1:12" s="91" customFormat="1" x14ac:dyDescent="0.45"/>
    <row r="3280" spans="1:12" ht="14.65" thickBot="1" x14ac:dyDescent="0.5"/>
    <row r="3281" spans="1:14" ht="28.9" thickBot="1" x14ac:dyDescent="0.5">
      <c r="A3281" s="187" t="s">
        <v>76</v>
      </c>
      <c r="B3281" s="186">
        <v>22</v>
      </c>
      <c r="C3281" s="109"/>
      <c r="D3281" s="109"/>
    </row>
    <row r="3282" spans="1:14" x14ac:dyDescent="0.45">
      <c r="A3282" s="443" t="s">
        <v>27</v>
      </c>
      <c r="B3282" s="448">
        <f>Name22</f>
        <v>0</v>
      </c>
      <c r="C3282" s="449"/>
      <c r="D3282" s="450"/>
      <c r="I3282" s="204"/>
      <c r="J3282" s="204"/>
      <c r="K3282" s="204"/>
      <c r="L3282" s="204"/>
    </row>
    <row r="3283" spans="1:14" x14ac:dyDescent="0.45">
      <c r="A3283" s="444"/>
      <c r="B3283" s="448"/>
      <c r="C3283" s="449"/>
      <c r="D3283" s="450"/>
      <c r="I3283" s="204"/>
      <c r="J3283" s="204"/>
      <c r="K3283" s="204"/>
      <c r="L3283" s="204"/>
    </row>
    <row r="3284" spans="1:14" x14ac:dyDescent="0.45">
      <c r="A3284" s="445"/>
      <c r="B3284" s="388"/>
      <c r="C3284" s="451"/>
      <c r="D3284" s="452"/>
      <c r="I3284" s="204"/>
      <c r="J3284" s="204"/>
      <c r="K3284" s="204"/>
      <c r="L3284" s="204"/>
    </row>
    <row r="3285" spans="1:14" ht="14.45" customHeight="1" x14ac:dyDescent="0.45">
      <c r="A3285" s="444" t="s">
        <v>155</v>
      </c>
      <c r="B3285" s="453">
        <f>GapA22</f>
        <v>0</v>
      </c>
      <c r="C3285" s="454"/>
      <c r="D3285" s="455"/>
      <c r="I3285" s="204"/>
      <c r="J3285" s="204"/>
      <c r="K3285" s="204"/>
      <c r="L3285" s="204"/>
    </row>
    <row r="3286" spans="1:14" x14ac:dyDescent="0.45">
      <c r="A3286" s="444"/>
      <c r="B3286" s="448"/>
      <c r="C3286" s="449"/>
      <c r="D3286" s="450"/>
      <c r="I3286" s="204"/>
      <c r="J3286" s="204"/>
      <c r="K3286" s="204"/>
      <c r="L3286" s="204"/>
    </row>
    <row r="3287" spans="1:14" x14ac:dyDescent="0.45">
      <c r="A3287" s="445"/>
      <c r="B3287" s="388"/>
      <c r="C3287" s="451"/>
      <c r="D3287" s="452"/>
      <c r="I3287" s="204"/>
      <c r="J3287" s="204"/>
      <c r="K3287" s="204"/>
      <c r="L3287" s="204"/>
    </row>
    <row r="3288" spans="1:14" x14ac:dyDescent="0.45">
      <c r="A3288" s="444" t="s">
        <v>159</v>
      </c>
      <c r="B3288" s="453">
        <f>Objective22</f>
        <v>0</v>
      </c>
      <c r="C3288" s="454"/>
      <c r="D3288" s="455"/>
      <c r="I3288" s="204"/>
      <c r="J3288" s="204"/>
      <c r="K3288" s="204"/>
      <c r="L3288" s="204"/>
    </row>
    <row r="3289" spans="1:14" x14ac:dyDescent="0.45">
      <c r="A3289" s="444"/>
      <c r="B3289" s="448"/>
      <c r="C3289" s="449"/>
      <c r="D3289" s="450"/>
      <c r="I3289" s="204"/>
      <c r="J3289" s="204"/>
      <c r="K3289" s="204"/>
      <c r="L3289" s="204"/>
    </row>
    <row r="3290" spans="1:14" x14ac:dyDescent="0.45">
      <c r="A3290" s="445"/>
      <c r="B3290" s="388"/>
      <c r="C3290" s="451"/>
      <c r="D3290" s="452"/>
      <c r="I3290" s="204"/>
      <c r="J3290" s="204"/>
      <c r="K3290" s="204"/>
      <c r="L3290" s="204"/>
    </row>
    <row r="3291" spans="1:14" ht="14.45" customHeight="1" x14ac:dyDescent="0.45">
      <c r="A3291" s="446" t="s">
        <v>166</v>
      </c>
      <c r="B3291" s="454">
        <f>Capacity22</f>
        <v>0</v>
      </c>
      <c r="C3291" s="454"/>
      <c r="D3291" s="455"/>
      <c r="I3291" s="204"/>
      <c r="J3291" s="204"/>
      <c r="K3291" s="204"/>
      <c r="L3291" s="204"/>
    </row>
    <row r="3292" spans="1:14" x14ac:dyDescent="0.45">
      <c r="A3292" s="447"/>
      <c r="B3292" s="449"/>
      <c r="C3292" s="449"/>
      <c r="D3292" s="450"/>
      <c r="I3292" s="204"/>
      <c r="J3292" s="204"/>
      <c r="K3292" s="204"/>
      <c r="L3292" s="204"/>
    </row>
    <row r="3293" spans="1:14" ht="14.65" thickBot="1" x14ac:dyDescent="0.5">
      <c r="A3293" s="464"/>
      <c r="B3293" s="456"/>
      <c r="C3293" s="456"/>
      <c r="D3293" s="457"/>
      <c r="I3293" s="204"/>
      <c r="J3293" s="204"/>
      <c r="K3293" s="204"/>
      <c r="L3293" s="204"/>
    </row>
    <row r="3295" spans="1:14" ht="14.65" thickBot="1" x14ac:dyDescent="0.5">
      <c r="A3295" s="90"/>
      <c r="B3295" s="90"/>
      <c r="C3295" s="90"/>
      <c r="D3295" s="90"/>
      <c r="E3295" s="90"/>
      <c r="F3295" s="90"/>
      <c r="G3295" s="90"/>
      <c r="H3295" s="90"/>
      <c r="I3295" s="90"/>
      <c r="J3295" s="90"/>
      <c r="K3295" s="90"/>
      <c r="L3295" s="90"/>
      <c r="M3295" s="204"/>
      <c r="N3295" s="204"/>
    </row>
    <row r="3296" spans="1:14" ht="21.75" customHeight="1" x14ac:dyDescent="0.45">
      <c r="A3296" s="458" t="s">
        <v>135</v>
      </c>
      <c r="B3296" s="459"/>
      <c r="C3296" s="459"/>
      <c r="D3296" s="459"/>
      <c r="E3296" s="459"/>
      <c r="F3296" s="459"/>
      <c r="G3296" s="459"/>
      <c r="H3296" s="459"/>
      <c r="I3296" s="459"/>
      <c r="J3296" s="459"/>
      <c r="K3296" s="459"/>
      <c r="L3296" s="460"/>
    </row>
    <row r="3297" spans="1:14" ht="29" customHeight="1" thickBot="1" x14ac:dyDescent="0.5">
      <c r="A3297" s="93" t="s">
        <v>74</v>
      </c>
      <c r="B3297" s="94" t="s">
        <v>28</v>
      </c>
      <c r="C3297" s="95" t="s">
        <v>320</v>
      </c>
      <c r="D3297" s="95" t="s">
        <v>127</v>
      </c>
      <c r="E3297" s="114" t="s">
        <v>90</v>
      </c>
      <c r="F3297" s="95" t="s">
        <v>175</v>
      </c>
      <c r="G3297" s="95" t="s">
        <v>176</v>
      </c>
      <c r="H3297" s="95" t="s">
        <v>156</v>
      </c>
      <c r="I3297" s="95" t="s">
        <v>157</v>
      </c>
      <c r="J3297" s="189" t="s">
        <v>321</v>
      </c>
      <c r="K3297" s="190" t="s">
        <v>29</v>
      </c>
      <c r="L3297" s="191" t="s">
        <v>322</v>
      </c>
    </row>
    <row r="3298" spans="1:14" x14ac:dyDescent="0.45">
      <c r="A3298" s="461">
        <v>1</v>
      </c>
      <c r="B3298" s="440">
        <v>1</v>
      </c>
      <c r="C3298" s="192">
        <v>1</v>
      </c>
      <c r="D3298" s="79"/>
      <c r="E3298" s="96"/>
      <c r="F3298" s="96"/>
      <c r="G3298" s="96"/>
      <c r="H3298" s="96"/>
      <c r="I3298" s="96"/>
      <c r="J3298" s="96"/>
      <c r="K3298" s="96"/>
      <c r="L3298" s="193"/>
    </row>
    <row r="3299" spans="1:14" x14ac:dyDescent="0.45">
      <c r="A3299" s="462"/>
      <c r="B3299" s="441"/>
      <c r="C3299" s="194">
        <v>2</v>
      </c>
      <c r="D3299" s="80"/>
      <c r="E3299" s="97"/>
      <c r="F3299" s="97"/>
      <c r="G3299" s="97"/>
      <c r="H3299" s="97"/>
      <c r="I3299" s="97"/>
      <c r="J3299" s="97"/>
      <c r="K3299" s="97"/>
      <c r="L3299" s="195"/>
    </row>
    <row r="3300" spans="1:14" x14ac:dyDescent="0.45">
      <c r="A3300" s="462"/>
      <c r="B3300" s="441"/>
      <c r="C3300" s="194">
        <v>3</v>
      </c>
      <c r="D3300" s="80"/>
      <c r="E3300" s="97"/>
      <c r="F3300" s="97"/>
      <c r="G3300" s="97"/>
      <c r="H3300" s="97"/>
      <c r="I3300" s="97"/>
      <c r="J3300" s="97"/>
      <c r="K3300" s="97"/>
      <c r="L3300" s="195"/>
    </row>
    <row r="3301" spans="1:14" x14ac:dyDescent="0.45">
      <c r="A3301" s="462"/>
      <c r="B3301" s="441"/>
      <c r="C3301" s="194">
        <v>4</v>
      </c>
      <c r="D3301" s="80"/>
      <c r="E3301" s="97"/>
      <c r="F3301" s="97"/>
      <c r="G3301" s="97"/>
      <c r="H3301" s="97"/>
      <c r="I3301" s="97"/>
      <c r="J3301" s="97"/>
      <c r="K3301" s="97"/>
      <c r="L3301" s="195"/>
    </row>
    <row r="3302" spans="1:14" x14ac:dyDescent="0.45">
      <c r="A3302" s="462"/>
      <c r="B3302" s="441"/>
      <c r="C3302" s="194">
        <v>5</v>
      </c>
      <c r="D3302" s="80"/>
      <c r="E3302" s="97"/>
      <c r="F3302" s="97"/>
      <c r="G3302" s="97"/>
      <c r="H3302" s="97"/>
      <c r="I3302" s="97"/>
      <c r="J3302" s="97"/>
      <c r="K3302" s="97"/>
      <c r="L3302" s="195"/>
    </row>
    <row r="3303" spans="1:14" x14ac:dyDescent="0.45">
      <c r="A3303" s="462"/>
      <c r="B3303" s="441"/>
      <c r="C3303" s="194">
        <v>6</v>
      </c>
      <c r="D3303" s="80"/>
      <c r="E3303" s="97"/>
      <c r="F3303" s="97"/>
      <c r="G3303" s="97"/>
      <c r="H3303" s="97"/>
      <c r="I3303" s="97"/>
      <c r="J3303" s="97"/>
      <c r="K3303" s="97"/>
      <c r="L3303" s="195"/>
    </row>
    <row r="3304" spans="1:14" x14ac:dyDescent="0.45">
      <c r="A3304" s="462"/>
      <c r="B3304" s="441"/>
      <c r="C3304" s="194">
        <v>7</v>
      </c>
      <c r="D3304" s="80"/>
      <c r="E3304" s="97"/>
      <c r="F3304" s="97"/>
      <c r="G3304" s="97"/>
      <c r="H3304" s="97"/>
      <c r="I3304" s="97"/>
      <c r="J3304" s="97"/>
      <c r="K3304" s="97"/>
      <c r="L3304" s="195"/>
    </row>
    <row r="3305" spans="1:14" x14ac:dyDescent="0.45">
      <c r="A3305" s="462"/>
      <c r="B3305" s="441"/>
      <c r="C3305" s="194">
        <v>8</v>
      </c>
      <c r="D3305" s="80"/>
      <c r="E3305" s="97"/>
      <c r="F3305" s="97"/>
      <c r="G3305" s="97"/>
      <c r="H3305" s="97"/>
      <c r="I3305" s="97"/>
      <c r="J3305" s="97"/>
      <c r="K3305" s="97"/>
      <c r="L3305" s="195"/>
    </row>
    <row r="3306" spans="1:14" x14ac:dyDescent="0.45">
      <c r="A3306" s="462"/>
      <c r="B3306" s="441"/>
      <c r="C3306" s="194">
        <v>9</v>
      </c>
      <c r="D3306" s="80"/>
      <c r="E3306" s="97"/>
      <c r="F3306" s="97"/>
      <c r="G3306" s="97"/>
      <c r="H3306" s="97"/>
      <c r="I3306" s="97"/>
      <c r="J3306" s="97"/>
      <c r="K3306" s="97"/>
      <c r="L3306" s="195"/>
    </row>
    <row r="3307" spans="1:14" x14ac:dyDescent="0.45">
      <c r="A3307" s="462"/>
      <c r="B3307" s="441"/>
      <c r="C3307" s="194">
        <v>10</v>
      </c>
      <c r="D3307" s="80"/>
      <c r="E3307" s="97"/>
      <c r="F3307" s="97"/>
      <c r="G3307" s="97"/>
      <c r="H3307" s="97"/>
      <c r="I3307" s="97"/>
      <c r="J3307" s="97"/>
      <c r="K3307" s="97"/>
      <c r="L3307" s="195"/>
    </row>
    <row r="3308" spans="1:14" x14ac:dyDescent="0.45">
      <c r="A3308" s="462"/>
      <c r="B3308" s="441"/>
      <c r="C3308" s="194">
        <v>11</v>
      </c>
      <c r="D3308" s="81"/>
      <c r="E3308" s="98"/>
      <c r="F3308" s="98"/>
      <c r="G3308" s="98"/>
      <c r="H3308" s="98"/>
      <c r="I3308" s="98"/>
      <c r="J3308" s="98"/>
      <c r="K3308" s="98"/>
      <c r="L3308" s="196"/>
    </row>
    <row r="3309" spans="1:14" s="90" customFormat="1" ht="14.65" thickBot="1" x14ac:dyDescent="0.5">
      <c r="A3309" s="462"/>
      <c r="B3309" s="442"/>
      <c r="C3309" s="197">
        <v>12</v>
      </c>
      <c r="D3309" s="82"/>
      <c r="E3309" s="99"/>
      <c r="F3309" s="99"/>
      <c r="G3309" s="99"/>
      <c r="H3309" s="99"/>
      <c r="I3309" s="99"/>
      <c r="J3309" s="99"/>
      <c r="K3309" s="99"/>
      <c r="L3309" s="198"/>
      <c r="M3309" s="61"/>
      <c r="N3309" s="61"/>
    </row>
    <row r="3310" spans="1:14" x14ac:dyDescent="0.45">
      <c r="A3310" s="462"/>
      <c r="B3310" s="440">
        <v>2</v>
      </c>
      <c r="C3310" s="192">
        <v>1</v>
      </c>
      <c r="D3310" s="79"/>
      <c r="E3310" s="96"/>
      <c r="F3310" s="96"/>
      <c r="G3310" s="96"/>
      <c r="H3310" s="96"/>
      <c r="I3310" s="96"/>
      <c r="J3310" s="96"/>
      <c r="K3310" s="96"/>
      <c r="L3310" s="193"/>
    </row>
    <row r="3311" spans="1:14" x14ac:dyDescent="0.45">
      <c r="A3311" s="462"/>
      <c r="B3311" s="441"/>
      <c r="C3311" s="194">
        <v>2</v>
      </c>
      <c r="D3311" s="80"/>
      <c r="E3311" s="97"/>
      <c r="F3311" s="97"/>
      <c r="G3311" s="97"/>
      <c r="H3311" s="97"/>
      <c r="I3311" s="97"/>
      <c r="J3311" s="97"/>
      <c r="K3311" s="97"/>
      <c r="L3311" s="195"/>
    </row>
    <row r="3312" spans="1:14" x14ac:dyDescent="0.45">
      <c r="A3312" s="462"/>
      <c r="B3312" s="441"/>
      <c r="C3312" s="194">
        <v>3</v>
      </c>
      <c r="D3312" s="80"/>
      <c r="E3312" s="97"/>
      <c r="F3312" s="97"/>
      <c r="G3312" s="97"/>
      <c r="H3312" s="97"/>
      <c r="I3312" s="97"/>
      <c r="J3312" s="97"/>
      <c r="K3312" s="97"/>
      <c r="L3312" s="195"/>
    </row>
    <row r="3313" spans="1:12" x14ac:dyDescent="0.45">
      <c r="A3313" s="462"/>
      <c r="B3313" s="441"/>
      <c r="C3313" s="194">
        <v>4</v>
      </c>
      <c r="D3313" s="80"/>
      <c r="E3313" s="97"/>
      <c r="F3313" s="97"/>
      <c r="G3313" s="97"/>
      <c r="H3313" s="97"/>
      <c r="I3313" s="97"/>
      <c r="J3313" s="97"/>
      <c r="K3313" s="97"/>
      <c r="L3313" s="195"/>
    </row>
    <row r="3314" spans="1:12" x14ac:dyDescent="0.45">
      <c r="A3314" s="462"/>
      <c r="B3314" s="441"/>
      <c r="C3314" s="194">
        <v>5</v>
      </c>
      <c r="D3314" s="80"/>
      <c r="E3314" s="97"/>
      <c r="F3314" s="97"/>
      <c r="G3314" s="97"/>
      <c r="H3314" s="97"/>
      <c r="I3314" s="97"/>
      <c r="J3314" s="97"/>
      <c r="K3314" s="97"/>
      <c r="L3314" s="195"/>
    </row>
    <row r="3315" spans="1:12" x14ac:dyDescent="0.45">
      <c r="A3315" s="462"/>
      <c r="B3315" s="441"/>
      <c r="C3315" s="194">
        <v>6</v>
      </c>
      <c r="D3315" s="80"/>
      <c r="E3315" s="97"/>
      <c r="F3315" s="97"/>
      <c r="G3315" s="97"/>
      <c r="H3315" s="97"/>
      <c r="I3315" s="97"/>
      <c r="J3315" s="97"/>
      <c r="K3315" s="97"/>
      <c r="L3315" s="195"/>
    </row>
    <row r="3316" spans="1:12" x14ac:dyDescent="0.45">
      <c r="A3316" s="462"/>
      <c r="B3316" s="441"/>
      <c r="C3316" s="194">
        <v>7</v>
      </c>
      <c r="D3316" s="80"/>
      <c r="E3316" s="97"/>
      <c r="F3316" s="97"/>
      <c r="G3316" s="97"/>
      <c r="H3316" s="97"/>
      <c r="I3316" s="97"/>
      <c r="J3316" s="97"/>
      <c r="K3316" s="97"/>
      <c r="L3316" s="195"/>
    </row>
    <row r="3317" spans="1:12" x14ac:dyDescent="0.45">
      <c r="A3317" s="462"/>
      <c r="B3317" s="441"/>
      <c r="C3317" s="194">
        <v>8</v>
      </c>
      <c r="D3317" s="80"/>
      <c r="E3317" s="97"/>
      <c r="F3317" s="97"/>
      <c r="G3317" s="97"/>
      <c r="H3317" s="97"/>
      <c r="I3317" s="97"/>
      <c r="J3317" s="97"/>
      <c r="K3317" s="97"/>
      <c r="L3317" s="195"/>
    </row>
    <row r="3318" spans="1:12" x14ac:dyDescent="0.45">
      <c r="A3318" s="462"/>
      <c r="B3318" s="441"/>
      <c r="C3318" s="194">
        <v>9</v>
      </c>
      <c r="D3318" s="80"/>
      <c r="E3318" s="97"/>
      <c r="F3318" s="97"/>
      <c r="G3318" s="97"/>
      <c r="H3318" s="97"/>
      <c r="I3318" s="97"/>
      <c r="J3318" s="97"/>
      <c r="K3318" s="97"/>
      <c r="L3318" s="195"/>
    </row>
    <row r="3319" spans="1:12" x14ac:dyDescent="0.45">
      <c r="A3319" s="462"/>
      <c r="B3319" s="441"/>
      <c r="C3319" s="194">
        <v>10</v>
      </c>
      <c r="D3319" s="80"/>
      <c r="E3319" s="97"/>
      <c r="F3319" s="97"/>
      <c r="G3319" s="97"/>
      <c r="H3319" s="97"/>
      <c r="I3319" s="97"/>
      <c r="J3319" s="97"/>
      <c r="K3319" s="97"/>
      <c r="L3319" s="195"/>
    </row>
    <row r="3320" spans="1:12" x14ac:dyDescent="0.45">
      <c r="A3320" s="462"/>
      <c r="B3320" s="441"/>
      <c r="C3320" s="194">
        <v>11</v>
      </c>
      <c r="D3320" s="81"/>
      <c r="E3320" s="98"/>
      <c r="F3320" s="98"/>
      <c r="G3320" s="98"/>
      <c r="H3320" s="98"/>
      <c r="I3320" s="98"/>
      <c r="J3320" s="98"/>
      <c r="K3320" s="98"/>
      <c r="L3320" s="196"/>
    </row>
    <row r="3321" spans="1:12" ht="14.65" thickBot="1" x14ac:dyDescent="0.5">
      <c r="A3321" s="462"/>
      <c r="B3321" s="442"/>
      <c r="C3321" s="197">
        <v>12</v>
      </c>
      <c r="D3321" s="82"/>
      <c r="E3321" s="99"/>
      <c r="F3321" s="99"/>
      <c r="G3321" s="99"/>
      <c r="H3321" s="99"/>
      <c r="I3321" s="99"/>
      <c r="J3321" s="99"/>
      <c r="K3321" s="99"/>
      <c r="L3321" s="198"/>
    </row>
    <row r="3322" spans="1:12" x14ac:dyDescent="0.45">
      <c r="A3322" s="462"/>
      <c r="B3322" s="440">
        <v>3</v>
      </c>
      <c r="C3322" s="192">
        <v>1</v>
      </c>
      <c r="D3322" s="79"/>
      <c r="E3322" s="96"/>
      <c r="F3322" s="96"/>
      <c r="G3322" s="96"/>
      <c r="H3322" s="96"/>
      <c r="I3322" s="96"/>
      <c r="J3322" s="96"/>
      <c r="K3322" s="96"/>
      <c r="L3322" s="193"/>
    </row>
    <row r="3323" spans="1:12" x14ac:dyDescent="0.45">
      <c r="A3323" s="462"/>
      <c r="B3323" s="441"/>
      <c r="C3323" s="194">
        <v>2</v>
      </c>
      <c r="D3323" s="80"/>
      <c r="E3323" s="97"/>
      <c r="F3323" s="97"/>
      <c r="G3323" s="97"/>
      <c r="H3323" s="97"/>
      <c r="I3323" s="97"/>
      <c r="J3323" s="97"/>
      <c r="K3323" s="97"/>
      <c r="L3323" s="195"/>
    </row>
    <row r="3324" spans="1:12" x14ac:dyDescent="0.45">
      <c r="A3324" s="462"/>
      <c r="B3324" s="441"/>
      <c r="C3324" s="194">
        <v>3</v>
      </c>
      <c r="D3324" s="80"/>
      <c r="E3324" s="97"/>
      <c r="F3324" s="97"/>
      <c r="G3324" s="97"/>
      <c r="H3324" s="97"/>
      <c r="I3324" s="97"/>
      <c r="J3324" s="97"/>
      <c r="K3324" s="97"/>
      <c r="L3324" s="195"/>
    </row>
    <row r="3325" spans="1:12" x14ac:dyDescent="0.45">
      <c r="A3325" s="462"/>
      <c r="B3325" s="441"/>
      <c r="C3325" s="194">
        <v>4</v>
      </c>
      <c r="D3325" s="80"/>
      <c r="E3325" s="97"/>
      <c r="F3325" s="97"/>
      <c r="G3325" s="97"/>
      <c r="H3325" s="97"/>
      <c r="I3325" s="97"/>
      <c r="J3325" s="97"/>
      <c r="K3325" s="97"/>
      <c r="L3325" s="195"/>
    </row>
    <row r="3326" spans="1:12" x14ac:dyDescent="0.45">
      <c r="A3326" s="462"/>
      <c r="B3326" s="441"/>
      <c r="C3326" s="194">
        <v>5</v>
      </c>
      <c r="D3326" s="80"/>
      <c r="E3326" s="97"/>
      <c r="F3326" s="97"/>
      <c r="G3326" s="97"/>
      <c r="H3326" s="97"/>
      <c r="I3326" s="97"/>
      <c r="J3326" s="97"/>
      <c r="K3326" s="97"/>
      <c r="L3326" s="195"/>
    </row>
    <row r="3327" spans="1:12" x14ac:dyDescent="0.45">
      <c r="A3327" s="462"/>
      <c r="B3327" s="441"/>
      <c r="C3327" s="194">
        <v>6</v>
      </c>
      <c r="D3327" s="80"/>
      <c r="E3327" s="97"/>
      <c r="F3327" s="97"/>
      <c r="G3327" s="97"/>
      <c r="H3327" s="97"/>
      <c r="I3327" s="97"/>
      <c r="J3327" s="97"/>
      <c r="K3327" s="97"/>
      <c r="L3327" s="195"/>
    </row>
    <row r="3328" spans="1:12" x14ac:dyDescent="0.45">
      <c r="A3328" s="462"/>
      <c r="B3328" s="441"/>
      <c r="C3328" s="194">
        <v>7</v>
      </c>
      <c r="D3328" s="80"/>
      <c r="E3328" s="97"/>
      <c r="F3328" s="97"/>
      <c r="G3328" s="97"/>
      <c r="H3328" s="97"/>
      <c r="I3328" s="97"/>
      <c r="J3328" s="97"/>
      <c r="K3328" s="97"/>
      <c r="L3328" s="195"/>
    </row>
    <row r="3329" spans="1:12" x14ac:dyDescent="0.45">
      <c r="A3329" s="462"/>
      <c r="B3329" s="441"/>
      <c r="C3329" s="194">
        <v>8</v>
      </c>
      <c r="D3329" s="80"/>
      <c r="E3329" s="97"/>
      <c r="F3329" s="97"/>
      <c r="G3329" s="97"/>
      <c r="H3329" s="97"/>
      <c r="I3329" s="97"/>
      <c r="J3329" s="97"/>
      <c r="K3329" s="97"/>
      <c r="L3329" s="195"/>
    </row>
    <row r="3330" spans="1:12" x14ac:dyDescent="0.45">
      <c r="A3330" s="462"/>
      <c r="B3330" s="441"/>
      <c r="C3330" s="194">
        <v>9</v>
      </c>
      <c r="D3330" s="80"/>
      <c r="E3330" s="97"/>
      <c r="F3330" s="97"/>
      <c r="G3330" s="97"/>
      <c r="H3330" s="97"/>
      <c r="I3330" s="97"/>
      <c r="J3330" s="97"/>
      <c r="K3330" s="97"/>
      <c r="L3330" s="195"/>
    </row>
    <row r="3331" spans="1:12" x14ac:dyDescent="0.45">
      <c r="A3331" s="462"/>
      <c r="B3331" s="441"/>
      <c r="C3331" s="194">
        <v>10</v>
      </c>
      <c r="D3331" s="80"/>
      <c r="E3331" s="97"/>
      <c r="F3331" s="97"/>
      <c r="G3331" s="97"/>
      <c r="H3331" s="97"/>
      <c r="I3331" s="97"/>
      <c r="J3331" s="97"/>
      <c r="K3331" s="97"/>
      <c r="L3331" s="195"/>
    </row>
    <row r="3332" spans="1:12" x14ac:dyDescent="0.45">
      <c r="A3332" s="462"/>
      <c r="B3332" s="441"/>
      <c r="C3332" s="194">
        <v>11</v>
      </c>
      <c r="D3332" s="81"/>
      <c r="E3332" s="98"/>
      <c r="F3332" s="98"/>
      <c r="G3332" s="98"/>
      <c r="H3332" s="98"/>
      <c r="I3332" s="98"/>
      <c r="J3332" s="98"/>
      <c r="K3332" s="98"/>
      <c r="L3332" s="196"/>
    </row>
    <row r="3333" spans="1:12" ht="14.65" thickBot="1" x14ac:dyDescent="0.5">
      <c r="A3333" s="462"/>
      <c r="B3333" s="442"/>
      <c r="C3333" s="197">
        <v>12</v>
      </c>
      <c r="D3333" s="82"/>
      <c r="E3333" s="99"/>
      <c r="F3333" s="99"/>
      <c r="G3333" s="99"/>
      <c r="H3333" s="99"/>
      <c r="I3333" s="99"/>
      <c r="J3333" s="99"/>
      <c r="K3333" s="99"/>
      <c r="L3333" s="198"/>
    </row>
    <row r="3334" spans="1:12" x14ac:dyDescent="0.45">
      <c r="A3334" s="462"/>
      <c r="B3334" s="440">
        <v>4</v>
      </c>
      <c r="C3334" s="192">
        <v>1</v>
      </c>
      <c r="D3334" s="79"/>
      <c r="E3334" s="96"/>
      <c r="F3334" s="96"/>
      <c r="G3334" s="96"/>
      <c r="H3334" s="96"/>
      <c r="I3334" s="96"/>
      <c r="J3334" s="96"/>
      <c r="K3334" s="96"/>
      <c r="L3334" s="193"/>
    </row>
    <row r="3335" spans="1:12" x14ac:dyDescent="0.45">
      <c r="A3335" s="462"/>
      <c r="B3335" s="441"/>
      <c r="C3335" s="194">
        <v>2</v>
      </c>
      <c r="D3335" s="80"/>
      <c r="E3335" s="97"/>
      <c r="F3335" s="97"/>
      <c r="G3335" s="97"/>
      <c r="H3335" s="97"/>
      <c r="I3335" s="97"/>
      <c r="J3335" s="97"/>
      <c r="K3335" s="97"/>
      <c r="L3335" s="195"/>
    </row>
    <row r="3336" spans="1:12" x14ac:dyDescent="0.45">
      <c r="A3336" s="462"/>
      <c r="B3336" s="441"/>
      <c r="C3336" s="194">
        <v>3</v>
      </c>
      <c r="D3336" s="80"/>
      <c r="E3336" s="97"/>
      <c r="F3336" s="97"/>
      <c r="G3336" s="97"/>
      <c r="H3336" s="97"/>
      <c r="I3336" s="97"/>
      <c r="J3336" s="97"/>
      <c r="K3336" s="97"/>
      <c r="L3336" s="195"/>
    </row>
    <row r="3337" spans="1:12" x14ac:dyDescent="0.45">
      <c r="A3337" s="462"/>
      <c r="B3337" s="441"/>
      <c r="C3337" s="194">
        <v>4</v>
      </c>
      <c r="D3337" s="80"/>
      <c r="E3337" s="97"/>
      <c r="F3337" s="97"/>
      <c r="G3337" s="97"/>
      <c r="H3337" s="97"/>
      <c r="I3337" s="97"/>
      <c r="J3337" s="97"/>
      <c r="K3337" s="97"/>
      <c r="L3337" s="195"/>
    </row>
    <row r="3338" spans="1:12" x14ac:dyDescent="0.45">
      <c r="A3338" s="462"/>
      <c r="B3338" s="441"/>
      <c r="C3338" s="194">
        <v>5</v>
      </c>
      <c r="D3338" s="80"/>
      <c r="E3338" s="97"/>
      <c r="F3338" s="97"/>
      <c r="G3338" s="97"/>
      <c r="H3338" s="97"/>
      <c r="I3338" s="97"/>
      <c r="J3338" s="97"/>
      <c r="K3338" s="97"/>
      <c r="L3338" s="195"/>
    </row>
    <row r="3339" spans="1:12" x14ac:dyDescent="0.45">
      <c r="A3339" s="462"/>
      <c r="B3339" s="441"/>
      <c r="C3339" s="194">
        <v>6</v>
      </c>
      <c r="D3339" s="80"/>
      <c r="E3339" s="97"/>
      <c r="F3339" s="97"/>
      <c r="G3339" s="97"/>
      <c r="H3339" s="97"/>
      <c r="I3339" s="97"/>
      <c r="J3339" s="97"/>
      <c r="K3339" s="97"/>
      <c r="L3339" s="195"/>
    </row>
    <row r="3340" spans="1:12" x14ac:dyDescent="0.45">
      <c r="A3340" s="462"/>
      <c r="B3340" s="441"/>
      <c r="C3340" s="194">
        <v>7</v>
      </c>
      <c r="D3340" s="80"/>
      <c r="E3340" s="97"/>
      <c r="F3340" s="97"/>
      <c r="G3340" s="97"/>
      <c r="H3340" s="97"/>
      <c r="I3340" s="97"/>
      <c r="J3340" s="97"/>
      <c r="K3340" s="97"/>
      <c r="L3340" s="195"/>
    </row>
    <row r="3341" spans="1:12" x14ac:dyDescent="0.45">
      <c r="A3341" s="462"/>
      <c r="B3341" s="441"/>
      <c r="C3341" s="194">
        <v>8</v>
      </c>
      <c r="D3341" s="80"/>
      <c r="E3341" s="97"/>
      <c r="F3341" s="97"/>
      <c r="G3341" s="97"/>
      <c r="H3341" s="97"/>
      <c r="I3341" s="97"/>
      <c r="J3341" s="97"/>
      <c r="K3341" s="97"/>
      <c r="L3341" s="195"/>
    </row>
    <row r="3342" spans="1:12" x14ac:dyDescent="0.45">
      <c r="A3342" s="462"/>
      <c r="B3342" s="441"/>
      <c r="C3342" s="194">
        <v>9</v>
      </c>
      <c r="D3342" s="80"/>
      <c r="E3342" s="97"/>
      <c r="F3342" s="97"/>
      <c r="G3342" s="97"/>
      <c r="H3342" s="97"/>
      <c r="I3342" s="97"/>
      <c r="J3342" s="97"/>
      <c r="K3342" s="97"/>
      <c r="L3342" s="195"/>
    </row>
    <row r="3343" spans="1:12" x14ac:dyDescent="0.45">
      <c r="A3343" s="462"/>
      <c r="B3343" s="441"/>
      <c r="C3343" s="194">
        <v>10</v>
      </c>
      <c r="D3343" s="80"/>
      <c r="E3343" s="97"/>
      <c r="F3343" s="97"/>
      <c r="G3343" s="97"/>
      <c r="H3343" s="97"/>
      <c r="I3343" s="97"/>
      <c r="J3343" s="97"/>
      <c r="K3343" s="97"/>
      <c r="L3343" s="195"/>
    </row>
    <row r="3344" spans="1:12" x14ac:dyDescent="0.45">
      <c r="A3344" s="462"/>
      <c r="B3344" s="441"/>
      <c r="C3344" s="194">
        <v>11</v>
      </c>
      <c r="D3344" s="81"/>
      <c r="E3344" s="98"/>
      <c r="F3344" s="98"/>
      <c r="G3344" s="98"/>
      <c r="H3344" s="98"/>
      <c r="I3344" s="98"/>
      <c r="J3344" s="98"/>
      <c r="K3344" s="98"/>
      <c r="L3344" s="196"/>
    </row>
    <row r="3345" spans="1:12" ht="14.65" thickBot="1" x14ac:dyDescent="0.5">
      <c r="A3345" s="463"/>
      <c r="B3345" s="442"/>
      <c r="C3345" s="197">
        <v>12</v>
      </c>
      <c r="D3345" s="82"/>
      <c r="E3345" s="99"/>
      <c r="F3345" s="99"/>
      <c r="G3345" s="99"/>
      <c r="H3345" s="99"/>
      <c r="I3345" s="99"/>
      <c r="J3345" s="99"/>
      <c r="K3345" s="99"/>
      <c r="L3345" s="198"/>
    </row>
    <row r="3346" spans="1:12" x14ac:dyDescent="0.45">
      <c r="A3346" s="461">
        <v>2</v>
      </c>
      <c r="B3346" s="440">
        <v>5</v>
      </c>
      <c r="C3346" s="192">
        <v>1</v>
      </c>
      <c r="D3346" s="79"/>
      <c r="E3346" s="96"/>
      <c r="F3346" s="96"/>
      <c r="G3346" s="96"/>
      <c r="H3346" s="96"/>
      <c r="I3346" s="96"/>
      <c r="J3346" s="96"/>
      <c r="K3346" s="96"/>
      <c r="L3346" s="193"/>
    </row>
    <row r="3347" spans="1:12" x14ac:dyDescent="0.45">
      <c r="A3347" s="462"/>
      <c r="B3347" s="441"/>
      <c r="C3347" s="194">
        <v>2</v>
      </c>
      <c r="D3347" s="80"/>
      <c r="E3347" s="97"/>
      <c r="F3347" s="97"/>
      <c r="G3347" s="97"/>
      <c r="H3347" s="97"/>
      <c r="I3347" s="97"/>
      <c r="J3347" s="97"/>
      <c r="K3347" s="97"/>
      <c r="L3347" s="195"/>
    </row>
    <row r="3348" spans="1:12" x14ac:dyDescent="0.45">
      <c r="A3348" s="462"/>
      <c r="B3348" s="441"/>
      <c r="C3348" s="194">
        <v>3</v>
      </c>
      <c r="D3348" s="80"/>
      <c r="E3348" s="97"/>
      <c r="F3348" s="97"/>
      <c r="G3348" s="97"/>
      <c r="H3348" s="97"/>
      <c r="I3348" s="97"/>
      <c r="J3348" s="97"/>
      <c r="K3348" s="97"/>
      <c r="L3348" s="195"/>
    </row>
    <row r="3349" spans="1:12" x14ac:dyDescent="0.45">
      <c r="A3349" s="462"/>
      <c r="B3349" s="441"/>
      <c r="C3349" s="194">
        <v>4</v>
      </c>
      <c r="D3349" s="80"/>
      <c r="E3349" s="97"/>
      <c r="F3349" s="97"/>
      <c r="G3349" s="97"/>
      <c r="H3349" s="97"/>
      <c r="I3349" s="97"/>
      <c r="J3349" s="97"/>
      <c r="K3349" s="97"/>
      <c r="L3349" s="195"/>
    </row>
    <row r="3350" spans="1:12" x14ac:dyDescent="0.45">
      <c r="A3350" s="462"/>
      <c r="B3350" s="441"/>
      <c r="C3350" s="194">
        <v>5</v>
      </c>
      <c r="D3350" s="80"/>
      <c r="E3350" s="97"/>
      <c r="F3350" s="97"/>
      <c r="G3350" s="97"/>
      <c r="H3350" s="97"/>
      <c r="I3350" s="97"/>
      <c r="J3350" s="97"/>
      <c r="K3350" s="97"/>
      <c r="L3350" s="195"/>
    </row>
    <row r="3351" spans="1:12" x14ac:dyDescent="0.45">
      <c r="A3351" s="462"/>
      <c r="B3351" s="441"/>
      <c r="C3351" s="194">
        <v>6</v>
      </c>
      <c r="D3351" s="80"/>
      <c r="E3351" s="97"/>
      <c r="F3351" s="97"/>
      <c r="G3351" s="97"/>
      <c r="H3351" s="97"/>
      <c r="I3351" s="97"/>
      <c r="J3351" s="97"/>
      <c r="K3351" s="97"/>
      <c r="L3351" s="195"/>
    </row>
    <row r="3352" spans="1:12" x14ac:dyDescent="0.45">
      <c r="A3352" s="462"/>
      <c r="B3352" s="441"/>
      <c r="C3352" s="194">
        <v>7</v>
      </c>
      <c r="D3352" s="80"/>
      <c r="E3352" s="97"/>
      <c r="F3352" s="97"/>
      <c r="G3352" s="97"/>
      <c r="H3352" s="97"/>
      <c r="I3352" s="97"/>
      <c r="J3352" s="97"/>
      <c r="K3352" s="97"/>
      <c r="L3352" s="195"/>
    </row>
    <row r="3353" spans="1:12" x14ac:dyDescent="0.45">
      <c r="A3353" s="462"/>
      <c r="B3353" s="441"/>
      <c r="C3353" s="194">
        <v>8</v>
      </c>
      <c r="D3353" s="80"/>
      <c r="E3353" s="97"/>
      <c r="F3353" s="97"/>
      <c r="G3353" s="97"/>
      <c r="H3353" s="97"/>
      <c r="I3353" s="97"/>
      <c r="J3353" s="97"/>
      <c r="K3353" s="97"/>
      <c r="L3353" s="195"/>
    </row>
    <row r="3354" spans="1:12" x14ac:dyDescent="0.45">
      <c r="A3354" s="462"/>
      <c r="B3354" s="441"/>
      <c r="C3354" s="194">
        <v>9</v>
      </c>
      <c r="D3354" s="80"/>
      <c r="E3354" s="97"/>
      <c r="F3354" s="97"/>
      <c r="G3354" s="97"/>
      <c r="H3354" s="97"/>
      <c r="I3354" s="97"/>
      <c r="J3354" s="97"/>
      <c r="K3354" s="97"/>
      <c r="L3354" s="195"/>
    </row>
    <row r="3355" spans="1:12" x14ac:dyDescent="0.45">
      <c r="A3355" s="462"/>
      <c r="B3355" s="441"/>
      <c r="C3355" s="194">
        <v>10</v>
      </c>
      <c r="D3355" s="80"/>
      <c r="E3355" s="97"/>
      <c r="F3355" s="97"/>
      <c r="G3355" s="97"/>
      <c r="H3355" s="97"/>
      <c r="I3355" s="97"/>
      <c r="J3355" s="97"/>
      <c r="K3355" s="97"/>
      <c r="L3355" s="195"/>
    </row>
    <row r="3356" spans="1:12" x14ac:dyDescent="0.45">
      <c r="A3356" s="462"/>
      <c r="B3356" s="441"/>
      <c r="C3356" s="194">
        <v>11</v>
      </c>
      <c r="D3356" s="81"/>
      <c r="E3356" s="98"/>
      <c r="F3356" s="98"/>
      <c r="G3356" s="98"/>
      <c r="H3356" s="98"/>
      <c r="I3356" s="98"/>
      <c r="J3356" s="98"/>
      <c r="K3356" s="98"/>
      <c r="L3356" s="196"/>
    </row>
    <row r="3357" spans="1:12" ht="14.65" thickBot="1" x14ac:dyDescent="0.5">
      <c r="A3357" s="462"/>
      <c r="B3357" s="442"/>
      <c r="C3357" s="197">
        <v>12</v>
      </c>
      <c r="D3357" s="82"/>
      <c r="E3357" s="99"/>
      <c r="F3357" s="99"/>
      <c r="G3357" s="99"/>
      <c r="H3357" s="99"/>
      <c r="I3357" s="99"/>
      <c r="J3357" s="99"/>
      <c r="K3357" s="99"/>
      <c r="L3357" s="198"/>
    </row>
    <row r="3358" spans="1:12" x14ac:dyDescent="0.45">
      <c r="A3358" s="462"/>
      <c r="B3358" s="440">
        <v>6</v>
      </c>
      <c r="C3358" s="192">
        <v>1</v>
      </c>
      <c r="D3358" s="79"/>
      <c r="E3358" s="96"/>
      <c r="F3358" s="96"/>
      <c r="G3358" s="96"/>
      <c r="H3358" s="96"/>
      <c r="I3358" s="96"/>
      <c r="J3358" s="96"/>
      <c r="K3358" s="96"/>
      <c r="L3358" s="193"/>
    </row>
    <row r="3359" spans="1:12" x14ac:dyDescent="0.45">
      <c r="A3359" s="462"/>
      <c r="B3359" s="441"/>
      <c r="C3359" s="194">
        <v>2</v>
      </c>
      <c r="D3359" s="80"/>
      <c r="E3359" s="97"/>
      <c r="F3359" s="97"/>
      <c r="G3359" s="97"/>
      <c r="H3359" s="97"/>
      <c r="I3359" s="97"/>
      <c r="J3359" s="97"/>
      <c r="K3359" s="97"/>
      <c r="L3359" s="195"/>
    </row>
    <row r="3360" spans="1:12" x14ac:dyDescent="0.45">
      <c r="A3360" s="462"/>
      <c r="B3360" s="441"/>
      <c r="C3360" s="194">
        <v>3</v>
      </c>
      <c r="D3360" s="80"/>
      <c r="E3360" s="97"/>
      <c r="F3360" s="97"/>
      <c r="G3360" s="97"/>
      <c r="H3360" s="97"/>
      <c r="I3360" s="97"/>
      <c r="J3360" s="97"/>
      <c r="K3360" s="97"/>
      <c r="L3360" s="195"/>
    </row>
    <row r="3361" spans="1:12" x14ac:dyDescent="0.45">
      <c r="A3361" s="462"/>
      <c r="B3361" s="441"/>
      <c r="C3361" s="194">
        <v>4</v>
      </c>
      <c r="D3361" s="80"/>
      <c r="E3361" s="97"/>
      <c r="F3361" s="97"/>
      <c r="G3361" s="97"/>
      <c r="H3361" s="97"/>
      <c r="I3361" s="97"/>
      <c r="J3361" s="97"/>
      <c r="K3361" s="97"/>
      <c r="L3361" s="195"/>
    </row>
    <row r="3362" spans="1:12" x14ac:dyDescent="0.45">
      <c r="A3362" s="462"/>
      <c r="B3362" s="441"/>
      <c r="C3362" s="194">
        <v>5</v>
      </c>
      <c r="D3362" s="80"/>
      <c r="E3362" s="97"/>
      <c r="F3362" s="97"/>
      <c r="G3362" s="97"/>
      <c r="H3362" s="97"/>
      <c r="I3362" s="97"/>
      <c r="J3362" s="97"/>
      <c r="K3362" s="97"/>
      <c r="L3362" s="195"/>
    </row>
    <row r="3363" spans="1:12" x14ac:dyDescent="0.45">
      <c r="A3363" s="462"/>
      <c r="B3363" s="441"/>
      <c r="C3363" s="194">
        <v>6</v>
      </c>
      <c r="D3363" s="80"/>
      <c r="E3363" s="97"/>
      <c r="F3363" s="97"/>
      <c r="G3363" s="97"/>
      <c r="H3363" s="97"/>
      <c r="I3363" s="97"/>
      <c r="J3363" s="97"/>
      <c r="K3363" s="97"/>
      <c r="L3363" s="195"/>
    </row>
    <row r="3364" spans="1:12" x14ac:dyDescent="0.45">
      <c r="A3364" s="462"/>
      <c r="B3364" s="441"/>
      <c r="C3364" s="194">
        <v>7</v>
      </c>
      <c r="D3364" s="80"/>
      <c r="E3364" s="97"/>
      <c r="F3364" s="97"/>
      <c r="G3364" s="97"/>
      <c r="H3364" s="97"/>
      <c r="I3364" s="97"/>
      <c r="J3364" s="97"/>
      <c r="K3364" s="97"/>
      <c r="L3364" s="195"/>
    </row>
    <row r="3365" spans="1:12" x14ac:dyDescent="0.45">
      <c r="A3365" s="462"/>
      <c r="B3365" s="441"/>
      <c r="C3365" s="194">
        <v>8</v>
      </c>
      <c r="D3365" s="80"/>
      <c r="E3365" s="97"/>
      <c r="F3365" s="97"/>
      <c r="G3365" s="97"/>
      <c r="H3365" s="97"/>
      <c r="I3365" s="97"/>
      <c r="J3365" s="97"/>
      <c r="K3365" s="97"/>
      <c r="L3365" s="195"/>
    </row>
    <row r="3366" spans="1:12" x14ac:dyDescent="0.45">
      <c r="A3366" s="462"/>
      <c r="B3366" s="441"/>
      <c r="C3366" s="194">
        <v>9</v>
      </c>
      <c r="D3366" s="80"/>
      <c r="E3366" s="97"/>
      <c r="F3366" s="97"/>
      <c r="G3366" s="97"/>
      <c r="H3366" s="97"/>
      <c r="I3366" s="97"/>
      <c r="J3366" s="97"/>
      <c r="K3366" s="97"/>
      <c r="L3366" s="195"/>
    </row>
    <row r="3367" spans="1:12" x14ac:dyDescent="0.45">
      <c r="A3367" s="462"/>
      <c r="B3367" s="441"/>
      <c r="C3367" s="194">
        <v>10</v>
      </c>
      <c r="D3367" s="80"/>
      <c r="E3367" s="97"/>
      <c r="F3367" s="97"/>
      <c r="G3367" s="97"/>
      <c r="H3367" s="97"/>
      <c r="I3367" s="97"/>
      <c r="J3367" s="97"/>
      <c r="K3367" s="97"/>
      <c r="L3367" s="195"/>
    </row>
    <row r="3368" spans="1:12" x14ac:dyDescent="0.45">
      <c r="A3368" s="462"/>
      <c r="B3368" s="441"/>
      <c r="C3368" s="194">
        <v>11</v>
      </c>
      <c r="D3368" s="81"/>
      <c r="E3368" s="98"/>
      <c r="F3368" s="98"/>
      <c r="G3368" s="98"/>
      <c r="H3368" s="98"/>
      <c r="I3368" s="98"/>
      <c r="J3368" s="98"/>
      <c r="K3368" s="98"/>
      <c r="L3368" s="196"/>
    </row>
    <row r="3369" spans="1:12" ht="14.65" thickBot="1" x14ac:dyDescent="0.5">
      <c r="A3369" s="462"/>
      <c r="B3369" s="442"/>
      <c r="C3369" s="197">
        <v>12</v>
      </c>
      <c r="D3369" s="82"/>
      <c r="E3369" s="99"/>
      <c r="F3369" s="99"/>
      <c r="G3369" s="99"/>
      <c r="H3369" s="99"/>
      <c r="I3369" s="99"/>
      <c r="J3369" s="99"/>
      <c r="K3369" s="99"/>
      <c r="L3369" s="198"/>
    </row>
    <row r="3370" spans="1:12" x14ac:dyDescent="0.45">
      <c r="A3370" s="462"/>
      <c r="B3370" s="440">
        <v>7</v>
      </c>
      <c r="C3370" s="192">
        <v>1</v>
      </c>
      <c r="D3370" s="79"/>
      <c r="E3370" s="96"/>
      <c r="F3370" s="96"/>
      <c r="G3370" s="96"/>
      <c r="H3370" s="96"/>
      <c r="I3370" s="96"/>
      <c r="J3370" s="96"/>
      <c r="K3370" s="96"/>
      <c r="L3370" s="193"/>
    </row>
    <row r="3371" spans="1:12" x14ac:dyDescent="0.45">
      <c r="A3371" s="462"/>
      <c r="B3371" s="441"/>
      <c r="C3371" s="194">
        <v>2</v>
      </c>
      <c r="D3371" s="80"/>
      <c r="E3371" s="97"/>
      <c r="F3371" s="97"/>
      <c r="G3371" s="97"/>
      <c r="H3371" s="97"/>
      <c r="I3371" s="97"/>
      <c r="J3371" s="97"/>
      <c r="K3371" s="97"/>
      <c r="L3371" s="195"/>
    </row>
    <row r="3372" spans="1:12" x14ac:dyDescent="0.45">
      <c r="A3372" s="462"/>
      <c r="B3372" s="441"/>
      <c r="C3372" s="194">
        <v>3</v>
      </c>
      <c r="D3372" s="80"/>
      <c r="E3372" s="97"/>
      <c r="F3372" s="97"/>
      <c r="G3372" s="97"/>
      <c r="H3372" s="97"/>
      <c r="I3372" s="97"/>
      <c r="J3372" s="97"/>
      <c r="K3372" s="97"/>
      <c r="L3372" s="195"/>
    </row>
    <row r="3373" spans="1:12" x14ac:dyDescent="0.45">
      <c r="A3373" s="462"/>
      <c r="B3373" s="441"/>
      <c r="C3373" s="194">
        <v>4</v>
      </c>
      <c r="D3373" s="80"/>
      <c r="E3373" s="97"/>
      <c r="F3373" s="97"/>
      <c r="G3373" s="97"/>
      <c r="H3373" s="97"/>
      <c r="I3373" s="97"/>
      <c r="J3373" s="97"/>
      <c r="K3373" s="97"/>
      <c r="L3373" s="195"/>
    </row>
    <row r="3374" spans="1:12" x14ac:dyDescent="0.45">
      <c r="A3374" s="462"/>
      <c r="B3374" s="441"/>
      <c r="C3374" s="194">
        <v>5</v>
      </c>
      <c r="D3374" s="80"/>
      <c r="E3374" s="97"/>
      <c r="F3374" s="97"/>
      <c r="G3374" s="97"/>
      <c r="H3374" s="97"/>
      <c r="I3374" s="97"/>
      <c r="J3374" s="97"/>
      <c r="K3374" s="97"/>
      <c r="L3374" s="195"/>
    </row>
    <row r="3375" spans="1:12" x14ac:dyDescent="0.45">
      <c r="A3375" s="462"/>
      <c r="B3375" s="441"/>
      <c r="C3375" s="194">
        <v>6</v>
      </c>
      <c r="D3375" s="80"/>
      <c r="E3375" s="97"/>
      <c r="F3375" s="97"/>
      <c r="G3375" s="97"/>
      <c r="H3375" s="97"/>
      <c r="I3375" s="97"/>
      <c r="J3375" s="97"/>
      <c r="K3375" s="97"/>
      <c r="L3375" s="195"/>
    </row>
    <row r="3376" spans="1:12" x14ac:dyDescent="0.45">
      <c r="A3376" s="462"/>
      <c r="B3376" s="441"/>
      <c r="C3376" s="194">
        <v>7</v>
      </c>
      <c r="D3376" s="80"/>
      <c r="E3376" s="97"/>
      <c r="F3376" s="97"/>
      <c r="G3376" s="97"/>
      <c r="H3376" s="97"/>
      <c r="I3376" s="97"/>
      <c r="J3376" s="97"/>
      <c r="K3376" s="97"/>
      <c r="L3376" s="195"/>
    </row>
    <row r="3377" spans="1:12" x14ac:dyDescent="0.45">
      <c r="A3377" s="462"/>
      <c r="B3377" s="441"/>
      <c r="C3377" s="194">
        <v>8</v>
      </c>
      <c r="D3377" s="80"/>
      <c r="E3377" s="97"/>
      <c r="F3377" s="97"/>
      <c r="G3377" s="97"/>
      <c r="H3377" s="97"/>
      <c r="I3377" s="97"/>
      <c r="J3377" s="97"/>
      <c r="K3377" s="97"/>
      <c r="L3377" s="195"/>
    </row>
    <row r="3378" spans="1:12" x14ac:dyDescent="0.45">
      <c r="A3378" s="462"/>
      <c r="B3378" s="441"/>
      <c r="C3378" s="194">
        <v>9</v>
      </c>
      <c r="D3378" s="80"/>
      <c r="E3378" s="97"/>
      <c r="F3378" s="97"/>
      <c r="G3378" s="97"/>
      <c r="H3378" s="97"/>
      <c r="I3378" s="97"/>
      <c r="J3378" s="97"/>
      <c r="K3378" s="97"/>
      <c r="L3378" s="195"/>
    </row>
    <row r="3379" spans="1:12" x14ac:dyDescent="0.45">
      <c r="A3379" s="462"/>
      <c r="B3379" s="441"/>
      <c r="C3379" s="194">
        <v>10</v>
      </c>
      <c r="D3379" s="80"/>
      <c r="E3379" s="97"/>
      <c r="F3379" s="97"/>
      <c r="G3379" s="97"/>
      <c r="H3379" s="97"/>
      <c r="I3379" s="97"/>
      <c r="J3379" s="97"/>
      <c r="K3379" s="97"/>
      <c r="L3379" s="195"/>
    </row>
    <row r="3380" spans="1:12" x14ac:dyDescent="0.45">
      <c r="A3380" s="462"/>
      <c r="B3380" s="441"/>
      <c r="C3380" s="194">
        <v>11</v>
      </c>
      <c r="D3380" s="81"/>
      <c r="E3380" s="98"/>
      <c r="F3380" s="98"/>
      <c r="G3380" s="98"/>
      <c r="H3380" s="98"/>
      <c r="I3380" s="98"/>
      <c r="J3380" s="98"/>
      <c r="K3380" s="98"/>
      <c r="L3380" s="196"/>
    </row>
    <row r="3381" spans="1:12" ht="14.65" thickBot="1" x14ac:dyDescent="0.5">
      <c r="A3381" s="462"/>
      <c r="B3381" s="442"/>
      <c r="C3381" s="197">
        <v>12</v>
      </c>
      <c r="D3381" s="82"/>
      <c r="E3381" s="99"/>
      <c r="F3381" s="99"/>
      <c r="G3381" s="99"/>
      <c r="H3381" s="99"/>
      <c r="I3381" s="99"/>
      <c r="J3381" s="99"/>
      <c r="K3381" s="99"/>
      <c r="L3381" s="198"/>
    </row>
    <row r="3382" spans="1:12" x14ac:dyDescent="0.45">
      <c r="A3382" s="462"/>
      <c r="B3382" s="440">
        <v>8</v>
      </c>
      <c r="C3382" s="192">
        <v>1</v>
      </c>
      <c r="D3382" s="79"/>
      <c r="E3382" s="96"/>
      <c r="F3382" s="96"/>
      <c r="G3382" s="96"/>
      <c r="H3382" s="96"/>
      <c r="I3382" s="96"/>
      <c r="J3382" s="96"/>
      <c r="K3382" s="96"/>
      <c r="L3382" s="193"/>
    </row>
    <row r="3383" spans="1:12" x14ac:dyDescent="0.45">
      <c r="A3383" s="462"/>
      <c r="B3383" s="441"/>
      <c r="C3383" s="194">
        <v>2</v>
      </c>
      <c r="D3383" s="80"/>
      <c r="E3383" s="97"/>
      <c r="F3383" s="97"/>
      <c r="G3383" s="97"/>
      <c r="H3383" s="97"/>
      <c r="I3383" s="97"/>
      <c r="J3383" s="97"/>
      <c r="K3383" s="97"/>
      <c r="L3383" s="195"/>
    </row>
    <row r="3384" spans="1:12" x14ac:dyDescent="0.45">
      <c r="A3384" s="462"/>
      <c r="B3384" s="441"/>
      <c r="C3384" s="194">
        <v>3</v>
      </c>
      <c r="D3384" s="80"/>
      <c r="E3384" s="97"/>
      <c r="F3384" s="97"/>
      <c r="G3384" s="97"/>
      <c r="H3384" s="97"/>
      <c r="I3384" s="97"/>
      <c r="J3384" s="97"/>
      <c r="K3384" s="97"/>
      <c r="L3384" s="195"/>
    </row>
    <row r="3385" spans="1:12" x14ac:dyDescent="0.45">
      <c r="A3385" s="462"/>
      <c r="B3385" s="441"/>
      <c r="C3385" s="194">
        <v>4</v>
      </c>
      <c r="D3385" s="80"/>
      <c r="E3385" s="97"/>
      <c r="F3385" s="97"/>
      <c r="G3385" s="97"/>
      <c r="H3385" s="97"/>
      <c r="I3385" s="97"/>
      <c r="J3385" s="97"/>
      <c r="K3385" s="97"/>
      <c r="L3385" s="195"/>
    </row>
    <row r="3386" spans="1:12" x14ac:dyDescent="0.45">
      <c r="A3386" s="462"/>
      <c r="B3386" s="441"/>
      <c r="C3386" s="194">
        <v>5</v>
      </c>
      <c r="D3386" s="80"/>
      <c r="E3386" s="97"/>
      <c r="F3386" s="97"/>
      <c r="G3386" s="97"/>
      <c r="H3386" s="97"/>
      <c r="I3386" s="97"/>
      <c r="J3386" s="97"/>
      <c r="K3386" s="97"/>
      <c r="L3386" s="195"/>
    </row>
    <row r="3387" spans="1:12" x14ac:dyDescent="0.45">
      <c r="A3387" s="462"/>
      <c r="B3387" s="441"/>
      <c r="C3387" s="194">
        <v>6</v>
      </c>
      <c r="D3387" s="80"/>
      <c r="E3387" s="97"/>
      <c r="F3387" s="97"/>
      <c r="G3387" s="97"/>
      <c r="H3387" s="97"/>
      <c r="I3387" s="97"/>
      <c r="J3387" s="97"/>
      <c r="K3387" s="97"/>
      <c r="L3387" s="195"/>
    </row>
    <row r="3388" spans="1:12" x14ac:dyDescent="0.45">
      <c r="A3388" s="462"/>
      <c r="B3388" s="441"/>
      <c r="C3388" s="194">
        <v>7</v>
      </c>
      <c r="D3388" s="80"/>
      <c r="E3388" s="97"/>
      <c r="F3388" s="97"/>
      <c r="G3388" s="97"/>
      <c r="H3388" s="97"/>
      <c r="I3388" s="97"/>
      <c r="J3388" s="97"/>
      <c r="K3388" s="97"/>
      <c r="L3388" s="195"/>
    </row>
    <row r="3389" spans="1:12" x14ac:dyDescent="0.45">
      <c r="A3389" s="462"/>
      <c r="B3389" s="441"/>
      <c r="C3389" s="194">
        <v>8</v>
      </c>
      <c r="D3389" s="80"/>
      <c r="E3389" s="97"/>
      <c r="F3389" s="97"/>
      <c r="G3389" s="97"/>
      <c r="H3389" s="97"/>
      <c r="I3389" s="97"/>
      <c r="J3389" s="97"/>
      <c r="K3389" s="97"/>
      <c r="L3389" s="195"/>
    </row>
    <row r="3390" spans="1:12" x14ac:dyDescent="0.45">
      <c r="A3390" s="462"/>
      <c r="B3390" s="441"/>
      <c r="C3390" s="194">
        <v>9</v>
      </c>
      <c r="D3390" s="80"/>
      <c r="E3390" s="97"/>
      <c r="F3390" s="97"/>
      <c r="G3390" s="97"/>
      <c r="H3390" s="97"/>
      <c r="I3390" s="97"/>
      <c r="J3390" s="97"/>
      <c r="K3390" s="97"/>
      <c r="L3390" s="195"/>
    </row>
    <row r="3391" spans="1:12" x14ac:dyDescent="0.45">
      <c r="A3391" s="462"/>
      <c r="B3391" s="441"/>
      <c r="C3391" s="194">
        <v>10</v>
      </c>
      <c r="D3391" s="80"/>
      <c r="E3391" s="97"/>
      <c r="F3391" s="97"/>
      <c r="G3391" s="97"/>
      <c r="H3391" s="97"/>
      <c r="I3391" s="97"/>
      <c r="J3391" s="97"/>
      <c r="K3391" s="97"/>
      <c r="L3391" s="195"/>
    </row>
    <row r="3392" spans="1:12" x14ac:dyDescent="0.45">
      <c r="A3392" s="462"/>
      <c r="B3392" s="441"/>
      <c r="C3392" s="194">
        <v>11</v>
      </c>
      <c r="D3392" s="81"/>
      <c r="E3392" s="98"/>
      <c r="F3392" s="98"/>
      <c r="G3392" s="98"/>
      <c r="H3392" s="98"/>
      <c r="I3392" s="98"/>
      <c r="J3392" s="98"/>
      <c r="K3392" s="98"/>
      <c r="L3392" s="196"/>
    </row>
    <row r="3393" spans="1:12" ht="14.65" thickBot="1" x14ac:dyDescent="0.5">
      <c r="A3393" s="463"/>
      <c r="B3393" s="442"/>
      <c r="C3393" s="197">
        <v>12</v>
      </c>
      <c r="D3393" s="82"/>
      <c r="E3393" s="99"/>
      <c r="F3393" s="99"/>
      <c r="G3393" s="99"/>
      <c r="H3393" s="99"/>
      <c r="I3393" s="99"/>
      <c r="J3393" s="99"/>
      <c r="K3393" s="99"/>
      <c r="L3393" s="198"/>
    </row>
    <row r="3394" spans="1:12" x14ac:dyDescent="0.45">
      <c r="A3394" s="461">
        <v>3</v>
      </c>
      <c r="B3394" s="440">
        <v>9</v>
      </c>
      <c r="C3394" s="192">
        <v>1</v>
      </c>
      <c r="D3394" s="79"/>
      <c r="E3394" s="96"/>
      <c r="F3394" s="96"/>
      <c r="G3394" s="96"/>
      <c r="H3394" s="96"/>
      <c r="I3394" s="96"/>
      <c r="J3394" s="96"/>
      <c r="K3394" s="96"/>
      <c r="L3394" s="193"/>
    </row>
    <row r="3395" spans="1:12" x14ac:dyDescent="0.45">
      <c r="A3395" s="462"/>
      <c r="B3395" s="441"/>
      <c r="C3395" s="194">
        <v>2</v>
      </c>
      <c r="D3395" s="80"/>
      <c r="E3395" s="97"/>
      <c r="F3395" s="97"/>
      <c r="G3395" s="97"/>
      <c r="H3395" s="97"/>
      <c r="I3395" s="97"/>
      <c r="J3395" s="97"/>
      <c r="K3395" s="97"/>
      <c r="L3395" s="195"/>
    </row>
    <row r="3396" spans="1:12" x14ac:dyDescent="0.45">
      <c r="A3396" s="462"/>
      <c r="B3396" s="441"/>
      <c r="C3396" s="194">
        <v>3</v>
      </c>
      <c r="D3396" s="80"/>
      <c r="E3396" s="97"/>
      <c r="F3396" s="97"/>
      <c r="G3396" s="97"/>
      <c r="H3396" s="97"/>
      <c r="I3396" s="97"/>
      <c r="J3396" s="97"/>
      <c r="K3396" s="97"/>
      <c r="L3396" s="195"/>
    </row>
    <row r="3397" spans="1:12" x14ac:dyDescent="0.45">
      <c r="A3397" s="462"/>
      <c r="B3397" s="441"/>
      <c r="C3397" s="194">
        <v>4</v>
      </c>
      <c r="D3397" s="80"/>
      <c r="E3397" s="97"/>
      <c r="F3397" s="97"/>
      <c r="G3397" s="97"/>
      <c r="H3397" s="97"/>
      <c r="I3397" s="97"/>
      <c r="J3397" s="97"/>
      <c r="K3397" s="97"/>
      <c r="L3397" s="195"/>
    </row>
    <row r="3398" spans="1:12" x14ac:dyDescent="0.45">
      <c r="A3398" s="462"/>
      <c r="B3398" s="441"/>
      <c r="C3398" s="194">
        <v>5</v>
      </c>
      <c r="D3398" s="80"/>
      <c r="E3398" s="97"/>
      <c r="F3398" s="97"/>
      <c r="G3398" s="97"/>
      <c r="H3398" s="97"/>
      <c r="I3398" s="97"/>
      <c r="J3398" s="97"/>
      <c r="K3398" s="97"/>
      <c r="L3398" s="195"/>
    </row>
    <row r="3399" spans="1:12" x14ac:dyDescent="0.45">
      <c r="A3399" s="462"/>
      <c r="B3399" s="441"/>
      <c r="C3399" s="194">
        <v>6</v>
      </c>
      <c r="D3399" s="80"/>
      <c r="E3399" s="97"/>
      <c r="F3399" s="97"/>
      <c r="G3399" s="97"/>
      <c r="H3399" s="97"/>
      <c r="I3399" s="97"/>
      <c r="J3399" s="97"/>
      <c r="K3399" s="97"/>
      <c r="L3399" s="195"/>
    </row>
    <row r="3400" spans="1:12" x14ac:dyDescent="0.45">
      <c r="A3400" s="462"/>
      <c r="B3400" s="441"/>
      <c r="C3400" s="194">
        <v>7</v>
      </c>
      <c r="D3400" s="80"/>
      <c r="E3400" s="97"/>
      <c r="F3400" s="97"/>
      <c r="G3400" s="97"/>
      <c r="H3400" s="97"/>
      <c r="I3400" s="97"/>
      <c r="J3400" s="97"/>
      <c r="K3400" s="97"/>
      <c r="L3400" s="195"/>
    </row>
    <row r="3401" spans="1:12" x14ac:dyDescent="0.45">
      <c r="A3401" s="462"/>
      <c r="B3401" s="441"/>
      <c r="C3401" s="194">
        <v>8</v>
      </c>
      <c r="D3401" s="80"/>
      <c r="E3401" s="97"/>
      <c r="F3401" s="97"/>
      <c r="G3401" s="97"/>
      <c r="H3401" s="97"/>
      <c r="I3401" s="97"/>
      <c r="J3401" s="97"/>
      <c r="K3401" s="97"/>
      <c r="L3401" s="195"/>
    </row>
    <row r="3402" spans="1:12" x14ac:dyDescent="0.45">
      <c r="A3402" s="462"/>
      <c r="B3402" s="441"/>
      <c r="C3402" s="194">
        <v>9</v>
      </c>
      <c r="D3402" s="80"/>
      <c r="E3402" s="97"/>
      <c r="F3402" s="97"/>
      <c r="G3402" s="97"/>
      <c r="H3402" s="97"/>
      <c r="I3402" s="97"/>
      <c r="J3402" s="97"/>
      <c r="K3402" s="97"/>
      <c r="L3402" s="195"/>
    </row>
    <row r="3403" spans="1:12" x14ac:dyDescent="0.45">
      <c r="A3403" s="462"/>
      <c r="B3403" s="441"/>
      <c r="C3403" s="194">
        <v>10</v>
      </c>
      <c r="D3403" s="80"/>
      <c r="E3403" s="97"/>
      <c r="F3403" s="97"/>
      <c r="G3403" s="97"/>
      <c r="H3403" s="97"/>
      <c r="I3403" s="97"/>
      <c r="J3403" s="97"/>
      <c r="K3403" s="97"/>
      <c r="L3403" s="195"/>
    </row>
    <row r="3404" spans="1:12" x14ac:dyDescent="0.45">
      <c r="A3404" s="462"/>
      <c r="B3404" s="441"/>
      <c r="C3404" s="194">
        <v>11</v>
      </c>
      <c r="D3404" s="81"/>
      <c r="E3404" s="98"/>
      <c r="F3404" s="98"/>
      <c r="G3404" s="98"/>
      <c r="H3404" s="98"/>
      <c r="I3404" s="98"/>
      <c r="J3404" s="98"/>
      <c r="K3404" s="98"/>
      <c r="L3404" s="196"/>
    </row>
    <row r="3405" spans="1:12" ht="14.65" thickBot="1" x14ac:dyDescent="0.5">
      <c r="A3405" s="462"/>
      <c r="B3405" s="442"/>
      <c r="C3405" s="197">
        <v>12</v>
      </c>
      <c r="D3405" s="82"/>
      <c r="E3405" s="99"/>
      <c r="F3405" s="99"/>
      <c r="G3405" s="99"/>
      <c r="H3405" s="99"/>
      <c r="I3405" s="99"/>
      <c r="J3405" s="99"/>
      <c r="K3405" s="99"/>
      <c r="L3405" s="198"/>
    </row>
    <row r="3406" spans="1:12" x14ac:dyDescent="0.45">
      <c r="A3406" s="462"/>
      <c r="B3406" s="440">
        <v>10</v>
      </c>
      <c r="C3406" s="192">
        <v>1</v>
      </c>
      <c r="D3406" s="79"/>
      <c r="E3406" s="96"/>
      <c r="F3406" s="96"/>
      <c r="G3406" s="96"/>
      <c r="H3406" s="96"/>
      <c r="I3406" s="96"/>
      <c r="J3406" s="96"/>
      <c r="K3406" s="96"/>
      <c r="L3406" s="193"/>
    </row>
    <row r="3407" spans="1:12" x14ac:dyDescent="0.45">
      <c r="A3407" s="462"/>
      <c r="B3407" s="441"/>
      <c r="C3407" s="194">
        <v>2</v>
      </c>
      <c r="D3407" s="80"/>
      <c r="E3407" s="97"/>
      <c r="F3407" s="97"/>
      <c r="G3407" s="97"/>
      <c r="H3407" s="97"/>
      <c r="I3407" s="97"/>
      <c r="J3407" s="97"/>
      <c r="K3407" s="97"/>
      <c r="L3407" s="195"/>
    </row>
    <row r="3408" spans="1:12" x14ac:dyDescent="0.45">
      <c r="A3408" s="462"/>
      <c r="B3408" s="441"/>
      <c r="C3408" s="194">
        <v>3</v>
      </c>
      <c r="D3408" s="80"/>
      <c r="E3408" s="97"/>
      <c r="F3408" s="97"/>
      <c r="G3408" s="97"/>
      <c r="H3408" s="97"/>
      <c r="I3408" s="97"/>
      <c r="J3408" s="97"/>
      <c r="K3408" s="97"/>
      <c r="L3408" s="195"/>
    </row>
    <row r="3409" spans="1:12" x14ac:dyDescent="0.45">
      <c r="A3409" s="462"/>
      <c r="B3409" s="441"/>
      <c r="C3409" s="194">
        <v>4</v>
      </c>
      <c r="D3409" s="80"/>
      <c r="E3409" s="97"/>
      <c r="F3409" s="97"/>
      <c r="G3409" s="97"/>
      <c r="H3409" s="97"/>
      <c r="I3409" s="97"/>
      <c r="J3409" s="97"/>
      <c r="K3409" s="97"/>
      <c r="L3409" s="195"/>
    </row>
    <row r="3410" spans="1:12" x14ac:dyDescent="0.45">
      <c r="A3410" s="462"/>
      <c r="B3410" s="441"/>
      <c r="C3410" s="194">
        <v>5</v>
      </c>
      <c r="D3410" s="80"/>
      <c r="E3410" s="97"/>
      <c r="F3410" s="97"/>
      <c r="G3410" s="97"/>
      <c r="H3410" s="97"/>
      <c r="I3410" s="97"/>
      <c r="J3410" s="97"/>
      <c r="K3410" s="97"/>
      <c r="L3410" s="195"/>
    </row>
    <row r="3411" spans="1:12" x14ac:dyDescent="0.45">
      <c r="A3411" s="462"/>
      <c r="B3411" s="441"/>
      <c r="C3411" s="194">
        <v>6</v>
      </c>
      <c r="D3411" s="80"/>
      <c r="E3411" s="97"/>
      <c r="F3411" s="97"/>
      <c r="G3411" s="97"/>
      <c r="H3411" s="97"/>
      <c r="I3411" s="97"/>
      <c r="J3411" s="97"/>
      <c r="K3411" s="97"/>
      <c r="L3411" s="195"/>
    </row>
    <row r="3412" spans="1:12" x14ac:dyDescent="0.45">
      <c r="A3412" s="462"/>
      <c r="B3412" s="441"/>
      <c r="C3412" s="194">
        <v>7</v>
      </c>
      <c r="D3412" s="80"/>
      <c r="E3412" s="97"/>
      <c r="F3412" s="97"/>
      <c r="G3412" s="97"/>
      <c r="H3412" s="97"/>
      <c r="I3412" s="97"/>
      <c r="J3412" s="97"/>
      <c r="K3412" s="97"/>
      <c r="L3412" s="195"/>
    </row>
    <row r="3413" spans="1:12" x14ac:dyDescent="0.45">
      <c r="A3413" s="462"/>
      <c r="B3413" s="441"/>
      <c r="C3413" s="194">
        <v>8</v>
      </c>
      <c r="D3413" s="80"/>
      <c r="E3413" s="97"/>
      <c r="F3413" s="97"/>
      <c r="G3413" s="97"/>
      <c r="H3413" s="97"/>
      <c r="I3413" s="97"/>
      <c r="J3413" s="97"/>
      <c r="K3413" s="97"/>
      <c r="L3413" s="195"/>
    </row>
    <row r="3414" spans="1:12" x14ac:dyDescent="0.45">
      <c r="A3414" s="462"/>
      <c r="B3414" s="441"/>
      <c r="C3414" s="194">
        <v>9</v>
      </c>
      <c r="D3414" s="80"/>
      <c r="E3414" s="97"/>
      <c r="F3414" s="97"/>
      <c r="G3414" s="97"/>
      <c r="H3414" s="97"/>
      <c r="I3414" s="97"/>
      <c r="J3414" s="97"/>
      <c r="K3414" s="97"/>
      <c r="L3414" s="195"/>
    </row>
    <row r="3415" spans="1:12" x14ac:dyDescent="0.45">
      <c r="A3415" s="462"/>
      <c r="B3415" s="441"/>
      <c r="C3415" s="194">
        <v>10</v>
      </c>
      <c r="D3415" s="80"/>
      <c r="E3415" s="97"/>
      <c r="F3415" s="97"/>
      <c r="G3415" s="97"/>
      <c r="H3415" s="97"/>
      <c r="I3415" s="97"/>
      <c r="J3415" s="97"/>
      <c r="K3415" s="97"/>
      <c r="L3415" s="195"/>
    </row>
    <row r="3416" spans="1:12" x14ac:dyDescent="0.45">
      <c r="A3416" s="462"/>
      <c r="B3416" s="441"/>
      <c r="C3416" s="194">
        <v>11</v>
      </c>
      <c r="D3416" s="81"/>
      <c r="E3416" s="98"/>
      <c r="F3416" s="98"/>
      <c r="G3416" s="98"/>
      <c r="H3416" s="98"/>
      <c r="I3416" s="98"/>
      <c r="J3416" s="98"/>
      <c r="K3416" s="98"/>
      <c r="L3416" s="196"/>
    </row>
    <row r="3417" spans="1:12" ht="14.65" thickBot="1" x14ac:dyDescent="0.5">
      <c r="A3417" s="462"/>
      <c r="B3417" s="442"/>
      <c r="C3417" s="197">
        <v>12</v>
      </c>
      <c r="D3417" s="82"/>
      <c r="E3417" s="99"/>
      <c r="F3417" s="99"/>
      <c r="G3417" s="99"/>
      <c r="H3417" s="99"/>
      <c r="I3417" s="99"/>
      <c r="J3417" s="99"/>
      <c r="K3417" s="99"/>
      <c r="L3417" s="198"/>
    </row>
    <row r="3418" spans="1:12" x14ac:dyDescent="0.45">
      <c r="A3418" s="462"/>
      <c r="B3418" s="440">
        <v>11</v>
      </c>
      <c r="C3418" s="192">
        <v>1</v>
      </c>
      <c r="D3418" s="79"/>
      <c r="E3418" s="96"/>
      <c r="F3418" s="96"/>
      <c r="G3418" s="96"/>
      <c r="H3418" s="96"/>
      <c r="I3418" s="96"/>
      <c r="J3418" s="96"/>
      <c r="K3418" s="96"/>
      <c r="L3418" s="193"/>
    </row>
    <row r="3419" spans="1:12" x14ac:dyDescent="0.45">
      <c r="A3419" s="462"/>
      <c r="B3419" s="441"/>
      <c r="C3419" s="194">
        <v>2</v>
      </c>
      <c r="D3419" s="80"/>
      <c r="E3419" s="97"/>
      <c r="F3419" s="97"/>
      <c r="G3419" s="97"/>
      <c r="H3419" s="97"/>
      <c r="I3419" s="97"/>
      <c r="J3419" s="97"/>
      <c r="K3419" s="97"/>
      <c r="L3419" s="195"/>
    </row>
    <row r="3420" spans="1:12" x14ac:dyDescent="0.45">
      <c r="A3420" s="462"/>
      <c r="B3420" s="441"/>
      <c r="C3420" s="194">
        <v>3</v>
      </c>
      <c r="D3420" s="80"/>
      <c r="E3420" s="97"/>
      <c r="F3420" s="97"/>
      <c r="G3420" s="97"/>
      <c r="H3420" s="97"/>
      <c r="I3420" s="97"/>
      <c r="J3420" s="97"/>
      <c r="K3420" s="97"/>
      <c r="L3420" s="195"/>
    </row>
    <row r="3421" spans="1:12" x14ac:dyDescent="0.45">
      <c r="A3421" s="462"/>
      <c r="B3421" s="441"/>
      <c r="C3421" s="194">
        <v>4</v>
      </c>
      <c r="D3421" s="80"/>
      <c r="E3421" s="97"/>
      <c r="F3421" s="97"/>
      <c r="G3421" s="97"/>
      <c r="H3421" s="97"/>
      <c r="I3421" s="97"/>
      <c r="J3421" s="97"/>
      <c r="K3421" s="97"/>
      <c r="L3421" s="195"/>
    </row>
    <row r="3422" spans="1:12" x14ac:dyDescent="0.45">
      <c r="A3422" s="462"/>
      <c r="B3422" s="441"/>
      <c r="C3422" s="194">
        <v>5</v>
      </c>
      <c r="D3422" s="80"/>
      <c r="E3422" s="97"/>
      <c r="F3422" s="97"/>
      <c r="G3422" s="97"/>
      <c r="H3422" s="97"/>
      <c r="I3422" s="97"/>
      <c r="J3422" s="97"/>
      <c r="K3422" s="97"/>
      <c r="L3422" s="195"/>
    </row>
    <row r="3423" spans="1:12" x14ac:dyDescent="0.45">
      <c r="A3423" s="462"/>
      <c r="B3423" s="441"/>
      <c r="C3423" s="194">
        <v>6</v>
      </c>
      <c r="D3423" s="80"/>
      <c r="E3423" s="97"/>
      <c r="F3423" s="97"/>
      <c r="G3423" s="97"/>
      <c r="H3423" s="97"/>
      <c r="I3423" s="97"/>
      <c r="J3423" s="97"/>
      <c r="K3423" s="97"/>
      <c r="L3423" s="195"/>
    </row>
    <row r="3424" spans="1:12" x14ac:dyDescent="0.45">
      <c r="A3424" s="462"/>
      <c r="B3424" s="441"/>
      <c r="C3424" s="194">
        <v>7</v>
      </c>
      <c r="D3424" s="80"/>
      <c r="E3424" s="97"/>
      <c r="F3424" s="97"/>
      <c r="G3424" s="97"/>
      <c r="H3424" s="97"/>
      <c r="I3424" s="97"/>
      <c r="J3424" s="97"/>
      <c r="K3424" s="97"/>
      <c r="L3424" s="195"/>
    </row>
    <row r="3425" spans="1:12" x14ac:dyDescent="0.45">
      <c r="A3425" s="462"/>
      <c r="B3425" s="441"/>
      <c r="C3425" s="194">
        <v>8</v>
      </c>
      <c r="D3425" s="80"/>
      <c r="E3425" s="97"/>
      <c r="F3425" s="97"/>
      <c r="G3425" s="97"/>
      <c r="H3425" s="97"/>
      <c r="I3425" s="97"/>
      <c r="J3425" s="97"/>
      <c r="K3425" s="97"/>
      <c r="L3425" s="195"/>
    </row>
    <row r="3426" spans="1:12" x14ac:dyDescent="0.45">
      <c r="A3426" s="462"/>
      <c r="B3426" s="441"/>
      <c r="C3426" s="194">
        <v>9</v>
      </c>
      <c r="D3426" s="80"/>
      <c r="E3426" s="97"/>
      <c r="F3426" s="97"/>
      <c r="G3426" s="97"/>
      <c r="H3426" s="97"/>
      <c r="I3426" s="97"/>
      <c r="J3426" s="97"/>
      <c r="K3426" s="97"/>
      <c r="L3426" s="195"/>
    </row>
    <row r="3427" spans="1:12" x14ac:dyDescent="0.45">
      <c r="A3427" s="462"/>
      <c r="B3427" s="441"/>
      <c r="C3427" s="194">
        <v>10</v>
      </c>
      <c r="D3427" s="80"/>
      <c r="E3427" s="97"/>
      <c r="F3427" s="97"/>
      <c r="G3427" s="97"/>
      <c r="H3427" s="97"/>
      <c r="I3427" s="97"/>
      <c r="J3427" s="97"/>
      <c r="K3427" s="97"/>
      <c r="L3427" s="195"/>
    </row>
    <row r="3428" spans="1:12" x14ac:dyDescent="0.45">
      <c r="A3428" s="462"/>
      <c r="B3428" s="441"/>
      <c r="C3428" s="194">
        <v>11</v>
      </c>
      <c r="D3428" s="81"/>
      <c r="E3428" s="98"/>
      <c r="F3428" s="98"/>
      <c r="G3428" s="98"/>
      <c r="H3428" s="98"/>
      <c r="I3428" s="98"/>
      <c r="J3428" s="98"/>
      <c r="K3428" s="98"/>
      <c r="L3428" s="196"/>
    </row>
    <row r="3429" spans="1:12" ht="14.65" thickBot="1" x14ac:dyDescent="0.5">
      <c r="A3429" s="462"/>
      <c r="B3429" s="442"/>
      <c r="C3429" s="197">
        <v>12</v>
      </c>
      <c r="D3429" s="82"/>
      <c r="E3429" s="99"/>
      <c r="F3429" s="99"/>
      <c r="G3429" s="99"/>
      <c r="H3429" s="99"/>
      <c r="I3429" s="99"/>
      <c r="J3429" s="99"/>
      <c r="K3429" s="99"/>
      <c r="L3429" s="198"/>
    </row>
    <row r="3430" spans="1:12" x14ac:dyDescent="0.45">
      <c r="A3430" s="462"/>
      <c r="B3430" s="440">
        <v>12</v>
      </c>
      <c r="C3430" s="192">
        <v>1</v>
      </c>
      <c r="D3430" s="79"/>
      <c r="E3430" s="96"/>
      <c r="F3430" s="96"/>
      <c r="G3430" s="96"/>
      <c r="H3430" s="96"/>
      <c r="I3430" s="96"/>
      <c r="J3430" s="96"/>
      <c r="K3430" s="96"/>
      <c r="L3430" s="193"/>
    </row>
    <row r="3431" spans="1:12" x14ac:dyDescent="0.45">
      <c r="A3431" s="462"/>
      <c r="B3431" s="441"/>
      <c r="C3431" s="194">
        <v>2</v>
      </c>
      <c r="D3431" s="80"/>
      <c r="E3431" s="97"/>
      <c r="F3431" s="97"/>
      <c r="G3431" s="97"/>
      <c r="H3431" s="97"/>
      <c r="I3431" s="97"/>
      <c r="J3431" s="97"/>
      <c r="K3431" s="97"/>
      <c r="L3431" s="195"/>
    </row>
    <row r="3432" spans="1:12" x14ac:dyDescent="0.45">
      <c r="A3432" s="462"/>
      <c r="B3432" s="441"/>
      <c r="C3432" s="194">
        <v>3</v>
      </c>
      <c r="D3432" s="80"/>
      <c r="E3432" s="97"/>
      <c r="F3432" s="97"/>
      <c r="G3432" s="97"/>
      <c r="H3432" s="97"/>
      <c r="I3432" s="97"/>
      <c r="J3432" s="97"/>
      <c r="K3432" s="97"/>
      <c r="L3432" s="195"/>
    </row>
    <row r="3433" spans="1:12" x14ac:dyDescent="0.45">
      <c r="A3433" s="462"/>
      <c r="B3433" s="441"/>
      <c r="C3433" s="194">
        <v>4</v>
      </c>
      <c r="D3433" s="80"/>
      <c r="E3433" s="97"/>
      <c r="F3433" s="97"/>
      <c r="G3433" s="97"/>
      <c r="H3433" s="97"/>
      <c r="I3433" s="97"/>
      <c r="J3433" s="97"/>
      <c r="K3433" s="97"/>
      <c r="L3433" s="195"/>
    </row>
    <row r="3434" spans="1:12" x14ac:dyDescent="0.45">
      <c r="A3434" s="462"/>
      <c r="B3434" s="441"/>
      <c r="C3434" s="194">
        <v>5</v>
      </c>
      <c r="D3434" s="80"/>
      <c r="E3434" s="97"/>
      <c r="F3434" s="97"/>
      <c r="G3434" s="97"/>
      <c r="H3434" s="97"/>
      <c r="I3434" s="97"/>
      <c r="J3434" s="97"/>
      <c r="K3434" s="97"/>
      <c r="L3434" s="195"/>
    </row>
    <row r="3435" spans="1:12" x14ac:dyDescent="0.45">
      <c r="A3435" s="462"/>
      <c r="B3435" s="441"/>
      <c r="C3435" s="194">
        <v>6</v>
      </c>
      <c r="D3435" s="80"/>
      <c r="E3435" s="97"/>
      <c r="F3435" s="97"/>
      <c r="G3435" s="97"/>
      <c r="H3435" s="97"/>
      <c r="I3435" s="97"/>
      <c r="J3435" s="97"/>
      <c r="K3435" s="97"/>
      <c r="L3435" s="195"/>
    </row>
    <row r="3436" spans="1:12" x14ac:dyDescent="0.45">
      <c r="A3436" s="462"/>
      <c r="B3436" s="441"/>
      <c r="C3436" s="194">
        <v>7</v>
      </c>
      <c r="D3436" s="80"/>
      <c r="E3436" s="97"/>
      <c r="F3436" s="97"/>
      <c r="G3436" s="97"/>
      <c r="H3436" s="97"/>
      <c r="I3436" s="97"/>
      <c r="J3436" s="97"/>
      <c r="K3436" s="97"/>
      <c r="L3436" s="195"/>
    </row>
    <row r="3437" spans="1:12" x14ac:dyDescent="0.45">
      <c r="A3437" s="462"/>
      <c r="B3437" s="441"/>
      <c r="C3437" s="194">
        <v>8</v>
      </c>
      <c r="D3437" s="80"/>
      <c r="E3437" s="97"/>
      <c r="F3437" s="97"/>
      <c r="G3437" s="97"/>
      <c r="H3437" s="97"/>
      <c r="I3437" s="97"/>
      <c r="J3437" s="97"/>
      <c r="K3437" s="97"/>
      <c r="L3437" s="195"/>
    </row>
    <row r="3438" spans="1:12" x14ac:dyDescent="0.45">
      <c r="A3438" s="462"/>
      <c r="B3438" s="441"/>
      <c r="C3438" s="194">
        <v>9</v>
      </c>
      <c r="D3438" s="80"/>
      <c r="E3438" s="97"/>
      <c r="F3438" s="97"/>
      <c r="G3438" s="97"/>
      <c r="H3438" s="97"/>
      <c r="I3438" s="97"/>
      <c r="J3438" s="97"/>
      <c r="K3438" s="97"/>
      <c r="L3438" s="195"/>
    </row>
    <row r="3439" spans="1:12" x14ac:dyDescent="0.45">
      <c r="A3439" s="462"/>
      <c r="B3439" s="441"/>
      <c r="C3439" s="194">
        <v>10</v>
      </c>
      <c r="D3439" s="80"/>
      <c r="E3439" s="97"/>
      <c r="F3439" s="97"/>
      <c r="G3439" s="97"/>
      <c r="H3439" s="97"/>
      <c r="I3439" s="97"/>
      <c r="J3439" s="97"/>
      <c r="K3439" s="97"/>
      <c r="L3439" s="195"/>
    </row>
    <row r="3440" spans="1:12" x14ac:dyDescent="0.45">
      <c r="A3440" s="462"/>
      <c r="B3440" s="441"/>
      <c r="C3440" s="194">
        <v>11</v>
      </c>
      <c r="D3440" s="81"/>
      <c r="E3440" s="98"/>
      <c r="F3440" s="98"/>
      <c r="G3440" s="98"/>
      <c r="H3440" s="98"/>
      <c r="I3440" s="98"/>
      <c r="J3440" s="98"/>
      <c r="K3440" s="98"/>
      <c r="L3440" s="196"/>
    </row>
    <row r="3441" spans="1:12" ht="14.65" thickBot="1" x14ac:dyDescent="0.5">
      <c r="A3441" s="463"/>
      <c r="B3441" s="442"/>
      <c r="C3441" s="199">
        <v>12</v>
      </c>
      <c r="D3441" s="82"/>
      <c r="E3441" s="99"/>
      <c r="F3441" s="99"/>
      <c r="G3441" s="99"/>
      <c r="H3441" s="99"/>
      <c r="I3441" s="99"/>
      <c r="J3441" s="99"/>
      <c r="K3441" s="99"/>
      <c r="L3441" s="198"/>
    </row>
    <row r="3443" spans="1:12" s="91" customFormat="1" x14ac:dyDescent="0.45"/>
    <row r="3444" spans="1:12" ht="14.65" thickBot="1" x14ac:dyDescent="0.5"/>
    <row r="3445" spans="1:12" ht="28.9" thickBot="1" x14ac:dyDescent="0.5">
      <c r="A3445" s="187" t="s">
        <v>76</v>
      </c>
      <c r="B3445" s="186">
        <v>23</v>
      </c>
      <c r="C3445" s="109"/>
      <c r="D3445" s="109"/>
    </row>
    <row r="3446" spans="1:12" ht="14.45" customHeight="1" x14ac:dyDescent="0.45">
      <c r="A3446" s="443" t="s">
        <v>27</v>
      </c>
      <c r="B3446" s="448">
        <f>Name23</f>
        <v>0</v>
      </c>
      <c r="C3446" s="449"/>
      <c r="D3446" s="450"/>
      <c r="I3446" s="204"/>
      <c r="J3446" s="204"/>
      <c r="K3446" s="204"/>
      <c r="L3446" s="204"/>
    </row>
    <row r="3447" spans="1:12" x14ac:dyDescent="0.45">
      <c r="A3447" s="444"/>
      <c r="B3447" s="448"/>
      <c r="C3447" s="449"/>
      <c r="D3447" s="450"/>
      <c r="I3447" s="204"/>
      <c r="J3447" s="204"/>
      <c r="K3447" s="204"/>
      <c r="L3447" s="204"/>
    </row>
    <row r="3448" spans="1:12" x14ac:dyDescent="0.45">
      <c r="A3448" s="445"/>
      <c r="B3448" s="388"/>
      <c r="C3448" s="451"/>
      <c r="D3448" s="452"/>
      <c r="I3448" s="204"/>
      <c r="J3448" s="204"/>
      <c r="K3448" s="204"/>
      <c r="L3448" s="204"/>
    </row>
    <row r="3449" spans="1:12" ht="14.45" customHeight="1" x14ac:dyDescent="0.45">
      <c r="A3449" s="443" t="s">
        <v>155</v>
      </c>
      <c r="B3449" s="453">
        <f>GapA23</f>
        <v>0</v>
      </c>
      <c r="C3449" s="454"/>
      <c r="D3449" s="455"/>
      <c r="I3449" s="204"/>
      <c r="J3449" s="204"/>
      <c r="K3449" s="204"/>
      <c r="L3449" s="204"/>
    </row>
    <row r="3450" spans="1:12" x14ac:dyDescent="0.45">
      <c r="A3450" s="444"/>
      <c r="B3450" s="448"/>
      <c r="C3450" s="449"/>
      <c r="D3450" s="450"/>
      <c r="I3450" s="204"/>
      <c r="J3450" s="204"/>
      <c r="K3450" s="204"/>
      <c r="L3450" s="204"/>
    </row>
    <row r="3451" spans="1:12" x14ac:dyDescent="0.45">
      <c r="A3451" s="445"/>
      <c r="B3451" s="388"/>
      <c r="C3451" s="451"/>
      <c r="D3451" s="452"/>
      <c r="I3451" s="204"/>
      <c r="J3451" s="204"/>
      <c r="K3451" s="204"/>
      <c r="L3451" s="204"/>
    </row>
    <row r="3452" spans="1:12" ht="14.45" customHeight="1" x14ac:dyDescent="0.45">
      <c r="A3452" s="443" t="s">
        <v>159</v>
      </c>
      <c r="B3452" s="453">
        <f>Objective23</f>
        <v>0</v>
      </c>
      <c r="C3452" s="454"/>
      <c r="D3452" s="455"/>
      <c r="I3452" s="204"/>
      <c r="J3452" s="204"/>
      <c r="K3452" s="204"/>
      <c r="L3452" s="204"/>
    </row>
    <row r="3453" spans="1:12" x14ac:dyDescent="0.45">
      <c r="A3453" s="444"/>
      <c r="B3453" s="448"/>
      <c r="C3453" s="449"/>
      <c r="D3453" s="450"/>
      <c r="I3453" s="204"/>
      <c r="J3453" s="204"/>
      <c r="K3453" s="204"/>
      <c r="L3453" s="204"/>
    </row>
    <row r="3454" spans="1:12" x14ac:dyDescent="0.45">
      <c r="A3454" s="445"/>
      <c r="B3454" s="388"/>
      <c r="C3454" s="451"/>
      <c r="D3454" s="452"/>
      <c r="I3454" s="204"/>
      <c r="J3454" s="204"/>
      <c r="K3454" s="204"/>
      <c r="L3454" s="204"/>
    </row>
    <row r="3455" spans="1:12" ht="14.45" customHeight="1" x14ac:dyDescent="0.45">
      <c r="A3455" s="446" t="s">
        <v>166</v>
      </c>
      <c r="B3455" s="454">
        <f>Capacity23</f>
        <v>0</v>
      </c>
      <c r="C3455" s="454"/>
      <c r="D3455" s="455"/>
      <c r="I3455" s="204"/>
      <c r="J3455" s="204"/>
      <c r="K3455" s="204"/>
      <c r="L3455" s="204"/>
    </row>
    <row r="3456" spans="1:12" x14ac:dyDescent="0.45">
      <c r="A3456" s="447"/>
      <c r="B3456" s="449"/>
      <c r="C3456" s="449"/>
      <c r="D3456" s="450"/>
      <c r="I3456" s="204"/>
      <c r="J3456" s="204"/>
      <c r="K3456" s="204"/>
      <c r="L3456" s="204"/>
    </row>
    <row r="3457" spans="1:12" ht="14.65" thickBot="1" x14ac:dyDescent="0.5">
      <c r="A3457" s="464"/>
      <c r="B3457" s="456"/>
      <c r="C3457" s="456"/>
      <c r="D3457" s="457"/>
      <c r="I3457" s="204"/>
      <c r="J3457" s="204"/>
      <c r="K3457" s="204"/>
      <c r="L3457" s="204"/>
    </row>
    <row r="3459" spans="1:12" ht="14.65" thickBot="1" x14ac:dyDescent="0.5">
      <c r="A3459" s="90"/>
      <c r="B3459" s="90"/>
      <c r="C3459" s="90"/>
      <c r="D3459" s="90"/>
      <c r="E3459" s="90"/>
      <c r="F3459" s="90"/>
      <c r="G3459" s="90"/>
      <c r="H3459" s="90"/>
      <c r="I3459" s="90"/>
      <c r="J3459" s="90"/>
      <c r="K3459" s="90"/>
      <c r="L3459" s="90"/>
    </row>
    <row r="3460" spans="1:12" ht="21.75" customHeight="1" x14ac:dyDescent="0.45">
      <c r="A3460" s="458" t="s">
        <v>135</v>
      </c>
      <c r="B3460" s="459"/>
      <c r="C3460" s="459"/>
      <c r="D3460" s="459"/>
      <c r="E3460" s="459"/>
      <c r="F3460" s="459"/>
      <c r="G3460" s="459"/>
      <c r="H3460" s="459"/>
      <c r="I3460" s="459"/>
      <c r="J3460" s="459"/>
      <c r="K3460" s="459"/>
      <c r="L3460" s="460"/>
    </row>
    <row r="3461" spans="1:12" ht="29" customHeight="1" thickBot="1" x14ac:dyDescent="0.5">
      <c r="A3461" s="93" t="s">
        <v>74</v>
      </c>
      <c r="B3461" s="94" t="s">
        <v>28</v>
      </c>
      <c r="C3461" s="95" t="s">
        <v>320</v>
      </c>
      <c r="D3461" s="95" t="s">
        <v>127</v>
      </c>
      <c r="E3461" s="114" t="s">
        <v>90</v>
      </c>
      <c r="F3461" s="95" t="s">
        <v>175</v>
      </c>
      <c r="G3461" s="95" t="s">
        <v>176</v>
      </c>
      <c r="H3461" s="95" t="s">
        <v>156</v>
      </c>
      <c r="I3461" s="95" t="s">
        <v>157</v>
      </c>
      <c r="J3461" s="189" t="s">
        <v>321</v>
      </c>
      <c r="K3461" s="190" t="s">
        <v>29</v>
      </c>
      <c r="L3461" s="191" t="s">
        <v>322</v>
      </c>
    </row>
    <row r="3462" spans="1:12" x14ac:dyDescent="0.45">
      <c r="A3462" s="461">
        <v>1</v>
      </c>
      <c r="B3462" s="440">
        <v>1</v>
      </c>
      <c r="C3462" s="192">
        <v>1</v>
      </c>
      <c r="D3462" s="79"/>
      <c r="E3462" s="96"/>
      <c r="F3462" s="96"/>
      <c r="G3462" s="96"/>
      <c r="H3462" s="96"/>
      <c r="I3462" s="96"/>
      <c r="J3462" s="96"/>
      <c r="K3462" s="96"/>
      <c r="L3462" s="193"/>
    </row>
    <row r="3463" spans="1:12" x14ac:dyDescent="0.45">
      <c r="A3463" s="462"/>
      <c r="B3463" s="441"/>
      <c r="C3463" s="194">
        <v>2</v>
      </c>
      <c r="D3463" s="80"/>
      <c r="E3463" s="97"/>
      <c r="F3463" s="97"/>
      <c r="G3463" s="97"/>
      <c r="H3463" s="97"/>
      <c r="I3463" s="97"/>
      <c r="J3463" s="97"/>
      <c r="K3463" s="97"/>
      <c r="L3463" s="195"/>
    </row>
    <row r="3464" spans="1:12" x14ac:dyDescent="0.45">
      <c r="A3464" s="462"/>
      <c r="B3464" s="441"/>
      <c r="C3464" s="194">
        <v>3</v>
      </c>
      <c r="D3464" s="80"/>
      <c r="E3464" s="97"/>
      <c r="F3464" s="97"/>
      <c r="G3464" s="97"/>
      <c r="H3464" s="97"/>
      <c r="I3464" s="97"/>
      <c r="J3464" s="97"/>
      <c r="K3464" s="97"/>
      <c r="L3464" s="195"/>
    </row>
    <row r="3465" spans="1:12" x14ac:dyDescent="0.45">
      <c r="A3465" s="462"/>
      <c r="B3465" s="441"/>
      <c r="C3465" s="194">
        <v>4</v>
      </c>
      <c r="D3465" s="80"/>
      <c r="E3465" s="97"/>
      <c r="F3465" s="97"/>
      <c r="G3465" s="97"/>
      <c r="H3465" s="97"/>
      <c r="I3465" s="97"/>
      <c r="J3465" s="97"/>
      <c r="K3465" s="97"/>
      <c r="L3465" s="195"/>
    </row>
    <row r="3466" spans="1:12" x14ac:dyDescent="0.45">
      <c r="A3466" s="462"/>
      <c r="B3466" s="441"/>
      <c r="C3466" s="194">
        <v>5</v>
      </c>
      <c r="D3466" s="80"/>
      <c r="E3466" s="97"/>
      <c r="F3466" s="97"/>
      <c r="G3466" s="97"/>
      <c r="H3466" s="97"/>
      <c r="I3466" s="97"/>
      <c r="J3466" s="97"/>
      <c r="K3466" s="97"/>
      <c r="L3466" s="195"/>
    </row>
    <row r="3467" spans="1:12" x14ac:dyDescent="0.45">
      <c r="A3467" s="462"/>
      <c r="B3467" s="441"/>
      <c r="C3467" s="194">
        <v>6</v>
      </c>
      <c r="D3467" s="80"/>
      <c r="E3467" s="97"/>
      <c r="F3467" s="97"/>
      <c r="G3467" s="97"/>
      <c r="H3467" s="97"/>
      <c r="I3467" s="97"/>
      <c r="J3467" s="97"/>
      <c r="K3467" s="97"/>
      <c r="L3467" s="195"/>
    </row>
    <row r="3468" spans="1:12" x14ac:dyDescent="0.45">
      <c r="A3468" s="462"/>
      <c r="B3468" s="441"/>
      <c r="C3468" s="194">
        <v>7</v>
      </c>
      <c r="D3468" s="80"/>
      <c r="E3468" s="97"/>
      <c r="F3468" s="97"/>
      <c r="G3468" s="97"/>
      <c r="H3468" s="97"/>
      <c r="I3468" s="97"/>
      <c r="J3468" s="97"/>
      <c r="K3468" s="97"/>
      <c r="L3468" s="195"/>
    </row>
    <row r="3469" spans="1:12" x14ac:dyDescent="0.45">
      <c r="A3469" s="462"/>
      <c r="B3469" s="441"/>
      <c r="C3469" s="194">
        <v>8</v>
      </c>
      <c r="D3469" s="80"/>
      <c r="E3469" s="97"/>
      <c r="F3469" s="97"/>
      <c r="G3469" s="97"/>
      <c r="H3469" s="97"/>
      <c r="I3469" s="97"/>
      <c r="J3469" s="97"/>
      <c r="K3469" s="97"/>
      <c r="L3469" s="195"/>
    </row>
    <row r="3470" spans="1:12" x14ac:dyDescent="0.45">
      <c r="A3470" s="462"/>
      <c r="B3470" s="441"/>
      <c r="C3470" s="194">
        <v>9</v>
      </c>
      <c r="D3470" s="80"/>
      <c r="E3470" s="97"/>
      <c r="F3470" s="97"/>
      <c r="G3470" s="97"/>
      <c r="H3470" s="97"/>
      <c r="I3470" s="97"/>
      <c r="J3470" s="97"/>
      <c r="K3470" s="97"/>
      <c r="L3470" s="195"/>
    </row>
    <row r="3471" spans="1:12" x14ac:dyDescent="0.45">
      <c r="A3471" s="462"/>
      <c r="B3471" s="441"/>
      <c r="C3471" s="194">
        <v>10</v>
      </c>
      <c r="D3471" s="80"/>
      <c r="E3471" s="97"/>
      <c r="F3471" s="97"/>
      <c r="G3471" s="97"/>
      <c r="H3471" s="97"/>
      <c r="I3471" s="97"/>
      <c r="J3471" s="97"/>
      <c r="K3471" s="97"/>
      <c r="L3471" s="195"/>
    </row>
    <row r="3472" spans="1:12" x14ac:dyDescent="0.45">
      <c r="A3472" s="462"/>
      <c r="B3472" s="441"/>
      <c r="C3472" s="194">
        <v>11</v>
      </c>
      <c r="D3472" s="81"/>
      <c r="E3472" s="98"/>
      <c r="F3472" s="98"/>
      <c r="G3472" s="98"/>
      <c r="H3472" s="98"/>
      <c r="I3472" s="98"/>
      <c r="J3472" s="98"/>
      <c r="K3472" s="98"/>
      <c r="L3472" s="196"/>
    </row>
    <row r="3473" spans="1:14" s="90" customFormat="1" ht="14.65" thickBot="1" x14ac:dyDescent="0.5">
      <c r="A3473" s="462"/>
      <c r="B3473" s="442"/>
      <c r="C3473" s="197">
        <v>12</v>
      </c>
      <c r="D3473" s="82"/>
      <c r="E3473" s="99"/>
      <c r="F3473" s="99"/>
      <c r="G3473" s="99"/>
      <c r="H3473" s="99"/>
      <c r="I3473" s="99"/>
      <c r="J3473" s="99"/>
      <c r="K3473" s="99"/>
      <c r="L3473" s="198"/>
      <c r="M3473" s="61"/>
      <c r="N3473" s="61"/>
    </row>
    <row r="3474" spans="1:14" x14ac:dyDescent="0.45">
      <c r="A3474" s="462"/>
      <c r="B3474" s="440">
        <v>2</v>
      </c>
      <c r="C3474" s="192">
        <v>1</v>
      </c>
      <c r="D3474" s="79"/>
      <c r="E3474" s="96"/>
      <c r="F3474" s="96"/>
      <c r="G3474" s="96"/>
      <c r="H3474" s="96"/>
      <c r="I3474" s="96"/>
      <c r="J3474" s="96"/>
      <c r="K3474" s="96"/>
      <c r="L3474" s="193"/>
    </row>
    <row r="3475" spans="1:14" x14ac:dyDescent="0.45">
      <c r="A3475" s="462"/>
      <c r="B3475" s="441"/>
      <c r="C3475" s="194">
        <v>2</v>
      </c>
      <c r="D3475" s="80"/>
      <c r="E3475" s="97"/>
      <c r="F3475" s="97"/>
      <c r="G3475" s="97"/>
      <c r="H3475" s="97"/>
      <c r="I3475" s="97"/>
      <c r="J3475" s="97"/>
      <c r="K3475" s="97"/>
      <c r="L3475" s="195"/>
    </row>
    <row r="3476" spans="1:14" x14ac:dyDescent="0.45">
      <c r="A3476" s="462"/>
      <c r="B3476" s="441"/>
      <c r="C3476" s="194">
        <v>3</v>
      </c>
      <c r="D3476" s="80"/>
      <c r="E3476" s="97"/>
      <c r="F3476" s="97"/>
      <c r="G3476" s="97"/>
      <c r="H3476" s="97"/>
      <c r="I3476" s="97"/>
      <c r="J3476" s="97"/>
      <c r="K3476" s="97"/>
      <c r="L3476" s="195"/>
    </row>
    <row r="3477" spans="1:14" x14ac:dyDescent="0.45">
      <c r="A3477" s="462"/>
      <c r="B3477" s="441"/>
      <c r="C3477" s="194">
        <v>4</v>
      </c>
      <c r="D3477" s="80"/>
      <c r="E3477" s="97"/>
      <c r="F3477" s="97"/>
      <c r="G3477" s="97"/>
      <c r="H3477" s="97"/>
      <c r="I3477" s="97"/>
      <c r="J3477" s="97"/>
      <c r="K3477" s="97"/>
      <c r="L3477" s="195"/>
    </row>
    <row r="3478" spans="1:14" x14ac:dyDescent="0.45">
      <c r="A3478" s="462"/>
      <c r="B3478" s="441"/>
      <c r="C3478" s="194">
        <v>5</v>
      </c>
      <c r="D3478" s="80"/>
      <c r="E3478" s="97"/>
      <c r="F3478" s="97"/>
      <c r="G3478" s="97"/>
      <c r="H3478" s="97"/>
      <c r="I3478" s="97"/>
      <c r="J3478" s="97"/>
      <c r="K3478" s="97"/>
      <c r="L3478" s="195"/>
    </row>
    <row r="3479" spans="1:14" x14ac:dyDescent="0.45">
      <c r="A3479" s="462"/>
      <c r="B3479" s="441"/>
      <c r="C3479" s="194">
        <v>6</v>
      </c>
      <c r="D3479" s="80"/>
      <c r="E3479" s="97"/>
      <c r="F3479" s="97"/>
      <c r="G3479" s="97"/>
      <c r="H3479" s="97"/>
      <c r="I3479" s="97"/>
      <c r="J3479" s="97"/>
      <c r="K3479" s="97"/>
      <c r="L3479" s="195"/>
    </row>
    <row r="3480" spans="1:14" x14ac:dyDescent="0.45">
      <c r="A3480" s="462"/>
      <c r="B3480" s="441"/>
      <c r="C3480" s="194">
        <v>7</v>
      </c>
      <c r="D3480" s="80"/>
      <c r="E3480" s="97"/>
      <c r="F3480" s="97"/>
      <c r="G3480" s="97"/>
      <c r="H3480" s="97"/>
      <c r="I3480" s="97"/>
      <c r="J3480" s="97"/>
      <c r="K3480" s="97"/>
      <c r="L3480" s="195"/>
    </row>
    <row r="3481" spans="1:14" x14ac:dyDescent="0.45">
      <c r="A3481" s="462"/>
      <c r="B3481" s="441"/>
      <c r="C3481" s="194">
        <v>8</v>
      </c>
      <c r="D3481" s="80"/>
      <c r="E3481" s="97"/>
      <c r="F3481" s="97"/>
      <c r="G3481" s="97"/>
      <c r="H3481" s="97"/>
      <c r="I3481" s="97"/>
      <c r="J3481" s="97"/>
      <c r="K3481" s="97"/>
      <c r="L3481" s="195"/>
    </row>
    <row r="3482" spans="1:14" x14ac:dyDescent="0.45">
      <c r="A3482" s="462"/>
      <c r="B3482" s="441"/>
      <c r="C3482" s="194">
        <v>9</v>
      </c>
      <c r="D3482" s="80"/>
      <c r="E3482" s="97"/>
      <c r="F3482" s="97"/>
      <c r="G3482" s="97"/>
      <c r="H3482" s="97"/>
      <c r="I3482" s="97"/>
      <c r="J3482" s="97"/>
      <c r="K3482" s="97"/>
      <c r="L3482" s="195"/>
    </row>
    <row r="3483" spans="1:14" x14ac:dyDescent="0.45">
      <c r="A3483" s="462"/>
      <c r="B3483" s="441"/>
      <c r="C3483" s="194">
        <v>10</v>
      </c>
      <c r="D3483" s="80"/>
      <c r="E3483" s="97"/>
      <c r="F3483" s="97"/>
      <c r="G3483" s="97"/>
      <c r="H3483" s="97"/>
      <c r="I3483" s="97"/>
      <c r="J3483" s="97"/>
      <c r="K3483" s="97"/>
      <c r="L3483" s="195"/>
    </row>
    <row r="3484" spans="1:14" x14ac:dyDescent="0.45">
      <c r="A3484" s="462"/>
      <c r="B3484" s="441"/>
      <c r="C3484" s="194">
        <v>11</v>
      </c>
      <c r="D3484" s="81"/>
      <c r="E3484" s="98"/>
      <c r="F3484" s="98"/>
      <c r="G3484" s="98"/>
      <c r="H3484" s="98"/>
      <c r="I3484" s="98"/>
      <c r="J3484" s="98"/>
      <c r="K3484" s="98"/>
      <c r="L3484" s="196"/>
    </row>
    <row r="3485" spans="1:14" ht="14.65" thickBot="1" x14ac:dyDescent="0.5">
      <c r="A3485" s="462"/>
      <c r="B3485" s="442"/>
      <c r="C3485" s="197">
        <v>12</v>
      </c>
      <c r="D3485" s="82"/>
      <c r="E3485" s="99"/>
      <c r="F3485" s="99"/>
      <c r="G3485" s="99"/>
      <c r="H3485" s="99"/>
      <c r="I3485" s="99"/>
      <c r="J3485" s="99"/>
      <c r="K3485" s="99"/>
      <c r="L3485" s="198"/>
    </row>
    <row r="3486" spans="1:14" x14ac:dyDescent="0.45">
      <c r="A3486" s="462"/>
      <c r="B3486" s="440">
        <v>3</v>
      </c>
      <c r="C3486" s="192">
        <v>1</v>
      </c>
      <c r="D3486" s="79"/>
      <c r="E3486" s="96"/>
      <c r="F3486" s="96"/>
      <c r="G3486" s="96"/>
      <c r="H3486" s="96"/>
      <c r="I3486" s="96"/>
      <c r="J3486" s="96"/>
      <c r="K3486" s="96"/>
      <c r="L3486" s="193"/>
    </row>
    <row r="3487" spans="1:14" x14ac:dyDescent="0.45">
      <c r="A3487" s="462"/>
      <c r="B3487" s="441"/>
      <c r="C3487" s="194">
        <v>2</v>
      </c>
      <c r="D3487" s="80"/>
      <c r="E3487" s="97"/>
      <c r="F3487" s="97"/>
      <c r="G3487" s="97"/>
      <c r="H3487" s="97"/>
      <c r="I3487" s="97"/>
      <c r="J3487" s="97"/>
      <c r="K3487" s="97"/>
      <c r="L3487" s="195"/>
    </row>
    <row r="3488" spans="1:14" x14ac:dyDescent="0.45">
      <c r="A3488" s="462"/>
      <c r="B3488" s="441"/>
      <c r="C3488" s="194">
        <v>3</v>
      </c>
      <c r="D3488" s="80"/>
      <c r="E3488" s="97"/>
      <c r="F3488" s="97"/>
      <c r="G3488" s="97"/>
      <c r="H3488" s="97"/>
      <c r="I3488" s="97"/>
      <c r="J3488" s="97"/>
      <c r="K3488" s="97"/>
      <c r="L3488" s="195"/>
    </row>
    <row r="3489" spans="1:12" x14ac:dyDescent="0.45">
      <c r="A3489" s="462"/>
      <c r="B3489" s="441"/>
      <c r="C3489" s="194">
        <v>4</v>
      </c>
      <c r="D3489" s="80"/>
      <c r="E3489" s="97"/>
      <c r="F3489" s="97"/>
      <c r="G3489" s="97"/>
      <c r="H3489" s="97"/>
      <c r="I3489" s="97"/>
      <c r="J3489" s="97"/>
      <c r="K3489" s="97"/>
      <c r="L3489" s="195"/>
    </row>
    <row r="3490" spans="1:12" x14ac:dyDescent="0.45">
      <c r="A3490" s="462"/>
      <c r="B3490" s="441"/>
      <c r="C3490" s="194">
        <v>5</v>
      </c>
      <c r="D3490" s="80"/>
      <c r="E3490" s="97"/>
      <c r="F3490" s="97"/>
      <c r="G3490" s="97"/>
      <c r="H3490" s="97"/>
      <c r="I3490" s="97"/>
      <c r="J3490" s="97"/>
      <c r="K3490" s="97"/>
      <c r="L3490" s="195"/>
    </row>
    <row r="3491" spans="1:12" x14ac:dyDescent="0.45">
      <c r="A3491" s="462"/>
      <c r="B3491" s="441"/>
      <c r="C3491" s="194">
        <v>6</v>
      </c>
      <c r="D3491" s="80"/>
      <c r="E3491" s="97"/>
      <c r="F3491" s="97"/>
      <c r="G3491" s="97"/>
      <c r="H3491" s="97"/>
      <c r="I3491" s="97"/>
      <c r="J3491" s="97"/>
      <c r="K3491" s="97"/>
      <c r="L3491" s="195"/>
    </row>
    <row r="3492" spans="1:12" x14ac:dyDescent="0.45">
      <c r="A3492" s="462"/>
      <c r="B3492" s="441"/>
      <c r="C3492" s="194">
        <v>7</v>
      </c>
      <c r="D3492" s="80"/>
      <c r="E3492" s="97"/>
      <c r="F3492" s="97"/>
      <c r="G3492" s="97"/>
      <c r="H3492" s="97"/>
      <c r="I3492" s="97"/>
      <c r="J3492" s="97"/>
      <c r="K3492" s="97"/>
      <c r="L3492" s="195"/>
    </row>
    <row r="3493" spans="1:12" x14ac:dyDescent="0.45">
      <c r="A3493" s="462"/>
      <c r="B3493" s="441"/>
      <c r="C3493" s="194">
        <v>8</v>
      </c>
      <c r="D3493" s="80"/>
      <c r="E3493" s="97"/>
      <c r="F3493" s="97"/>
      <c r="G3493" s="97"/>
      <c r="H3493" s="97"/>
      <c r="I3493" s="97"/>
      <c r="J3493" s="97"/>
      <c r="K3493" s="97"/>
      <c r="L3493" s="195"/>
    </row>
    <row r="3494" spans="1:12" x14ac:dyDescent="0.45">
      <c r="A3494" s="462"/>
      <c r="B3494" s="441"/>
      <c r="C3494" s="194">
        <v>9</v>
      </c>
      <c r="D3494" s="80"/>
      <c r="E3494" s="97"/>
      <c r="F3494" s="97"/>
      <c r="G3494" s="97"/>
      <c r="H3494" s="97"/>
      <c r="I3494" s="97"/>
      <c r="J3494" s="97"/>
      <c r="K3494" s="97"/>
      <c r="L3494" s="195"/>
    </row>
    <row r="3495" spans="1:12" x14ac:dyDescent="0.45">
      <c r="A3495" s="462"/>
      <c r="B3495" s="441"/>
      <c r="C3495" s="194">
        <v>10</v>
      </c>
      <c r="D3495" s="80"/>
      <c r="E3495" s="97"/>
      <c r="F3495" s="97"/>
      <c r="G3495" s="97"/>
      <c r="H3495" s="97"/>
      <c r="I3495" s="97"/>
      <c r="J3495" s="97"/>
      <c r="K3495" s="97"/>
      <c r="L3495" s="195"/>
    </row>
    <row r="3496" spans="1:12" x14ac:dyDescent="0.45">
      <c r="A3496" s="462"/>
      <c r="B3496" s="441"/>
      <c r="C3496" s="194">
        <v>11</v>
      </c>
      <c r="D3496" s="81"/>
      <c r="E3496" s="98"/>
      <c r="F3496" s="98"/>
      <c r="G3496" s="98"/>
      <c r="H3496" s="98"/>
      <c r="I3496" s="98"/>
      <c r="J3496" s="98"/>
      <c r="K3496" s="98"/>
      <c r="L3496" s="196"/>
    </row>
    <row r="3497" spans="1:12" ht="14.65" thickBot="1" x14ac:dyDescent="0.5">
      <c r="A3497" s="462"/>
      <c r="B3497" s="442"/>
      <c r="C3497" s="197">
        <v>12</v>
      </c>
      <c r="D3497" s="82"/>
      <c r="E3497" s="99"/>
      <c r="F3497" s="99"/>
      <c r="G3497" s="99"/>
      <c r="H3497" s="99"/>
      <c r="I3497" s="99"/>
      <c r="J3497" s="99"/>
      <c r="K3497" s="99"/>
      <c r="L3497" s="198"/>
    </row>
    <row r="3498" spans="1:12" x14ac:dyDescent="0.45">
      <c r="A3498" s="462"/>
      <c r="B3498" s="440">
        <v>4</v>
      </c>
      <c r="C3498" s="192">
        <v>1</v>
      </c>
      <c r="D3498" s="79"/>
      <c r="E3498" s="96"/>
      <c r="F3498" s="96"/>
      <c r="G3498" s="96"/>
      <c r="H3498" s="96"/>
      <c r="I3498" s="96"/>
      <c r="J3498" s="96"/>
      <c r="K3498" s="96"/>
      <c r="L3498" s="193"/>
    </row>
    <row r="3499" spans="1:12" x14ac:dyDescent="0.45">
      <c r="A3499" s="462"/>
      <c r="B3499" s="441"/>
      <c r="C3499" s="194">
        <v>2</v>
      </c>
      <c r="D3499" s="80"/>
      <c r="E3499" s="97"/>
      <c r="F3499" s="97"/>
      <c r="G3499" s="97"/>
      <c r="H3499" s="97"/>
      <c r="I3499" s="97"/>
      <c r="J3499" s="97"/>
      <c r="K3499" s="97"/>
      <c r="L3499" s="195"/>
    </row>
    <row r="3500" spans="1:12" x14ac:dyDescent="0.45">
      <c r="A3500" s="462"/>
      <c r="B3500" s="441"/>
      <c r="C3500" s="194">
        <v>3</v>
      </c>
      <c r="D3500" s="80"/>
      <c r="E3500" s="97"/>
      <c r="F3500" s="97"/>
      <c r="G3500" s="97"/>
      <c r="H3500" s="97"/>
      <c r="I3500" s="97"/>
      <c r="J3500" s="97"/>
      <c r="K3500" s="97"/>
      <c r="L3500" s="195"/>
    </row>
    <row r="3501" spans="1:12" x14ac:dyDescent="0.45">
      <c r="A3501" s="462"/>
      <c r="B3501" s="441"/>
      <c r="C3501" s="194">
        <v>4</v>
      </c>
      <c r="D3501" s="80"/>
      <c r="E3501" s="97"/>
      <c r="F3501" s="97"/>
      <c r="G3501" s="97"/>
      <c r="H3501" s="97"/>
      <c r="I3501" s="97"/>
      <c r="J3501" s="97"/>
      <c r="K3501" s="97"/>
      <c r="L3501" s="195"/>
    </row>
    <row r="3502" spans="1:12" x14ac:dyDescent="0.45">
      <c r="A3502" s="462"/>
      <c r="B3502" s="441"/>
      <c r="C3502" s="194">
        <v>5</v>
      </c>
      <c r="D3502" s="80"/>
      <c r="E3502" s="97"/>
      <c r="F3502" s="97"/>
      <c r="G3502" s="97"/>
      <c r="H3502" s="97"/>
      <c r="I3502" s="97"/>
      <c r="J3502" s="97"/>
      <c r="K3502" s="97"/>
      <c r="L3502" s="195"/>
    </row>
    <row r="3503" spans="1:12" x14ac:dyDescent="0.45">
      <c r="A3503" s="462"/>
      <c r="B3503" s="441"/>
      <c r="C3503" s="194">
        <v>6</v>
      </c>
      <c r="D3503" s="80"/>
      <c r="E3503" s="97"/>
      <c r="F3503" s="97"/>
      <c r="G3503" s="97"/>
      <c r="H3503" s="97"/>
      <c r="I3503" s="97"/>
      <c r="J3503" s="97"/>
      <c r="K3503" s="97"/>
      <c r="L3503" s="195"/>
    </row>
    <row r="3504" spans="1:12" x14ac:dyDescent="0.45">
      <c r="A3504" s="462"/>
      <c r="B3504" s="441"/>
      <c r="C3504" s="194">
        <v>7</v>
      </c>
      <c r="D3504" s="80"/>
      <c r="E3504" s="97"/>
      <c r="F3504" s="97"/>
      <c r="G3504" s="97"/>
      <c r="H3504" s="97"/>
      <c r="I3504" s="97"/>
      <c r="J3504" s="97"/>
      <c r="K3504" s="97"/>
      <c r="L3504" s="195"/>
    </row>
    <row r="3505" spans="1:12" x14ac:dyDescent="0.45">
      <c r="A3505" s="462"/>
      <c r="B3505" s="441"/>
      <c r="C3505" s="194">
        <v>8</v>
      </c>
      <c r="D3505" s="80"/>
      <c r="E3505" s="97"/>
      <c r="F3505" s="97"/>
      <c r="G3505" s="97"/>
      <c r="H3505" s="97"/>
      <c r="I3505" s="97"/>
      <c r="J3505" s="97"/>
      <c r="K3505" s="97"/>
      <c r="L3505" s="195"/>
    </row>
    <row r="3506" spans="1:12" x14ac:dyDescent="0.45">
      <c r="A3506" s="462"/>
      <c r="B3506" s="441"/>
      <c r="C3506" s="194">
        <v>9</v>
      </c>
      <c r="D3506" s="80"/>
      <c r="E3506" s="97"/>
      <c r="F3506" s="97"/>
      <c r="G3506" s="97"/>
      <c r="H3506" s="97"/>
      <c r="I3506" s="97"/>
      <c r="J3506" s="97"/>
      <c r="K3506" s="97"/>
      <c r="L3506" s="195"/>
    </row>
    <row r="3507" spans="1:12" x14ac:dyDescent="0.45">
      <c r="A3507" s="462"/>
      <c r="B3507" s="441"/>
      <c r="C3507" s="194">
        <v>10</v>
      </c>
      <c r="D3507" s="80"/>
      <c r="E3507" s="97"/>
      <c r="F3507" s="97"/>
      <c r="G3507" s="97"/>
      <c r="H3507" s="97"/>
      <c r="I3507" s="97"/>
      <c r="J3507" s="97"/>
      <c r="K3507" s="97"/>
      <c r="L3507" s="195"/>
    </row>
    <row r="3508" spans="1:12" x14ac:dyDescent="0.45">
      <c r="A3508" s="462"/>
      <c r="B3508" s="441"/>
      <c r="C3508" s="194">
        <v>11</v>
      </c>
      <c r="D3508" s="81"/>
      <c r="E3508" s="98"/>
      <c r="F3508" s="98"/>
      <c r="G3508" s="98"/>
      <c r="H3508" s="98"/>
      <c r="I3508" s="98"/>
      <c r="J3508" s="98"/>
      <c r="K3508" s="98"/>
      <c r="L3508" s="196"/>
    </row>
    <row r="3509" spans="1:12" ht="14.65" thickBot="1" x14ac:dyDescent="0.5">
      <c r="A3509" s="463"/>
      <c r="B3509" s="442"/>
      <c r="C3509" s="197">
        <v>12</v>
      </c>
      <c r="D3509" s="82"/>
      <c r="E3509" s="99"/>
      <c r="F3509" s="99"/>
      <c r="G3509" s="99"/>
      <c r="H3509" s="99"/>
      <c r="I3509" s="99"/>
      <c r="J3509" s="99"/>
      <c r="K3509" s="99"/>
      <c r="L3509" s="198"/>
    </row>
    <row r="3510" spans="1:12" x14ac:dyDescent="0.45">
      <c r="A3510" s="461">
        <v>2</v>
      </c>
      <c r="B3510" s="440">
        <v>5</v>
      </c>
      <c r="C3510" s="192">
        <v>1</v>
      </c>
      <c r="D3510" s="79"/>
      <c r="E3510" s="96"/>
      <c r="F3510" s="96"/>
      <c r="G3510" s="96"/>
      <c r="H3510" s="96"/>
      <c r="I3510" s="96"/>
      <c r="J3510" s="96"/>
      <c r="K3510" s="96"/>
      <c r="L3510" s="193"/>
    </row>
    <row r="3511" spans="1:12" x14ac:dyDescent="0.45">
      <c r="A3511" s="462"/>
      <c r="B3511" s="441"/>
      <c r="C3511" s="194">
        <v>2</v>
      </c>
      <c r="D3511" s="80"/>
      <c r="E3511" s="97"/>
      <c r="F3511" s="97"/>
      <c r="G3511" s="97"/>
      <c r="H3511" s="97"/>
      <c r="I3511" s="97"/>
      <c r="J3511" s="97"/>
      <c r="K3511" s="97"/>
      <c r="L3511" s="195"/>
    </row>
    <row r="3512" spans="1:12" x14ac:dyDescent="0.45">
      <c r="A3512" s="462"/>
      <c r="B3512" s="441"/>
      <c r="C3512" s="194">
        <v>3</v>
      </c>
      <c r="D3512" s="80"/>
      <c r="E3512" s="97"/>
      <c r="F3512" s="97"/>
      <c r="G3512" s="97"/>
      <c r="H3512" s="97"/>
      <c r="I3512" s="97"/>
      <c r="J3512" s="97"/>
      <c r="K3512" s="97"/>
      <c r="L3512" s="195"/>
    </row>
    <row r="3513" spans="1:12" x14ac:dyDescent="0.45">
      <c r="A3513" s="462"/>
      <c r="B3513" s="441"/>
      <c r="C3513" s="194">
        <v>4</v>
      </c>
      <c r="D3513" s="80"/>
      <c r="E3513" s="97"/>
      <c r="F3513" s="97"/>
      <c r="G3513" s="97"/>
      <c r="H3513" s="97"/>
      <c r="I3513" s="97"/>
      <c r="J3513" s="97"/>
      <c r="K3513" s="97"/>
      <c r="L3513" s="195"/>
    </row>
    <row r="3514" spans="1:12" x14ac:dyDescent="0.45">
      <c r="A3514" s="462"/>
      <c r="B3514" s="441"/>
      <c r="C3514" s="194">
        <v>5</v>
      </c>
      <c r="D3514" s="80"/>
      <c r="E3514" s="97"/>
      <c r="F3514" s="97"/>
      <c r="G3514" s="97"/>
      <c r="H3514" s="97"/>
      <c r="I3514" s="97"/>
      <c r="J3514" s="97"/>
      <c r="K3514" s="97"/>
      <c r="L3514" s="195"/>
    </row>
    <row r="3515" spans="1:12" x14ac:dyDescent="0.45">
      <c r="A3515" s="462"/>
      <c r="B3515" s="441"/>
      <c r="C3515" s="194">
        <v>6</v>
      </c>
      <c r="D3515" s="80"/>
      <c r="E3515" s="97"/>
      <c r="F3515" s="97"/>
      <c r="G3515" s="97"/>
      <c r="H3515" s="97"/>
      <c r="I3515" s="97"/>
      <c r="J3515" s="97"/>
      <c r="K3515" s="97"/>
      <c r="L3515" s="195"/>
    </row>
    <row r="3516" spans="1:12" x14ac:dyDescent="0.45">
      <c r="A3516" s="462"/>
      <c r="B3516" s="441"/>
      <c r="C3516" s="194">
        <v>7</v>
      </c>
      <c r="D3516" s="80"/>
      <c r="E3516" s="97"/>
      <c r="F3516" s="97"/>
      <c r="G3516" s="97"/>
      <c r="H3516" s="97"/>
      <c r="I3516" s="97"/>
      <c r="J3516" s="97"/>
      <c r="K3516" s="97"/>
      <c r="L3516" s="195"/>
    </row>
    <row r="3517" spans="1:12" x14ac:dyDescent="0.45">
      <c r="A3517" s="462"/>
      <c r="B3517" s="441"/>
      <c r="C3517" s="194">
        <v>8</v>
      </c>
      <c r="D3517" s="80"/>
      <c r="E3517" s="97"/>
      <c r="F3517" s="97"/>
      <c r="G3517" s="97"/>
      <c r="H3517" s="97"/>
      <c r="I3517" s="97"/>
      <c r="J3517" s="97"/>
      <c r="K3517" s="97"/>
      <c r="L3517" s="195"/>
    </row>
    <row r="3518" spans="1:12" x14ac:dyDescent="0.45">
      <c r="A3518" s="462"/>
      <c r="B3518" s="441"/>
      <c r="C3518" s="194">
        <v>9</v>
      </c>
      <c r="D3518" s="80"/>
      <c r="E3518" s="97"/>
      <c r="F3518" s="97"/>
      <c r="G3518" s="97"/>
      <c r="H3518" s="97"/>
      <c r="I3518" s="97"/>
      <c r="J3518" s="97"/>
      <c r="K3518" s="97"/>
      <c r="L3518" s="195"/>
    </row>
    <row r="3519" spans="1:12" x14ac:dyDescent="0.45">
      <c r="A3519" s="462"/>
      <c r="B3519" s="441"/>
      <c r="C3519" s="194">
        <v>10</v>
      </c>
      <c r="D3519" s="80"/>
      <c r="E3519" s="97"/>
      <c r="F3519" s="97"/>
      <c r="G3519" s="97"/>
      <c r="H3519" s="97"/>
      <c r="I3519" s="97"/>
      <c r="J3519" s="97"/>
      <c r="K3519" s="97"/>
      <c r="L3519" s="195"/>
    </row>
    <row r="3520" spans="1:12" x14ac:dyDescent="0.45">
      <c r="A3520" s="462"/>
      <c r="B3520" s="441"/>
      <c r="C3520" s="194">
        <v>11</v>
      </c>
      <c r="D3520" s="81"/>
      <c r="E3520" s="98"/>
      <c r="F3520" s="98"/>
      <c r="G3520" s="98"/>
      <c r="H3520" s="98"/>
      <c r="I3520" s="98"/>
      <c r="J3520" s="98"/>
      <c r="K3520" s="98"/>
      <c r="L3520" s="196"/>
    </row>
    <row r="3521" spans="1:12" ht="14.65" thickBot="1" x14ac:dyDescent="0.5">
      <c r="A3521" s="462"/>
      <c r="B3521" s="442"/>
      <c r="C3521" s="197">
        <v>12</v>
      </c>
      <c r="D3521" s="82"/>
      <c r="E3521" s="99"/>
      <c r="F3521" s="99"/>
      <c r="G3521" s="99"/>
      <c r="H3521" s="99"/>
      <c r="I3521" s="99"/>
      <c r="J3521" s="99"/>
      <c r="K3521" s="99"/>
      <c r="L3521" s="198"/>
    </row>
    <row r="3522" spans="1:12" x14ac:dyDescent="0.45">
      <c r="A3522" s="462"/>
      <c r="B3522" s="440">
        <v>6</v>
      </c>
      <c r="C3522" s="192">
        <v>1</v>
      </c>
      <c r="D3522" s="79"/>
      <c r="E3522" s="96"/>
      <c r="F3522" s="96"/>
      <c r="G3522" s="96"/>
      <c r="H3522" s="96"/>
      <c r="I3522" s="96"/>
      <c r="J3522" s="96"/>
      <c r="K3522" s="96"/>
      <c r="L3522" s="193"/>
    </row>
    <row r="3523" spans="1:12" x14ac:dyDescent="0.45">
      <c r="A3523" s="462"/>
      <c r="B3523" s="441"/>
      <c r="C3523" s="194">
        <v>2</v>
      </c>
      <c r="D3523" s="80"/>
      <c r="E3523" s="97"/>
      <c r="F3523" s="97"/>
      <c r="G3523" s="97"/>
      <c r="H3523" s="97"/>
      <c r="I3523" s="97"/>
      <c r="J3523" s="97"/>
      <c r="K3523" s="97"/>
      <c r="L3523" s="195"/>
    </row>
    <row r="3524" spans="1:12" x14ac:dyDescent="0.45">
      <c r="A3524" s="462"/>
      <c r="B3524" s="441"/>
      <c r="C3524" s="194">
        <v>3</v>
      </c>
      <c r="D3524" s="80"/>
      <c r="E3524" s="97"/>
      <c r="F3524" s="97"/>
      <c r="G3524" s="97"/>
      <c r="H3524" s="97"/>
      <c r="I3524" s="97"/>
      <c r="J3524" s="97"/>
      <c r="K3524" s="97"/>
      <c r="L3524" s="195"/>
    </row>
    <row r="3525" spans="1:12" x14ac:dyDescent="0.45">
      <c r="A3525" s="462"/>
      <c r="B3525" s="441"/>
      <c r="C3525" s="194">
        <v>4</v>
      </c>
      <c r="D3525" s="80"/>
      <c r="E3525" s="97"/>
      <c r="F3525" s="97"/>
      <c r="G3525" s="97"/>
      <c r="H3525" s="97"/>
      <c r="I3525" s="97"/>
      <c r="J3525" s="97"/>
      <c r="K3525" s="97"/>
      <c r="L3525" s="195"/>
    </row>
    <row r="3526" spans="1:12" x14ac:dyDescent="0.45">
      <c r="A3526" s="462"/>
      <c r="B3526" s="441"/>
      <c r="C3526" s="194">
        <v>5</v>
      </c>
      <c r="D3526" s="80"/>
      <c r="E3526" s="97"/>
      <c r="F3526" s="97"/>
      <c r="G3526" s="97"/>
      <c r="H3526" s="97"/>
      <c r="I3526" s="97"/>
      <c r="J3526" s="97"/>
      <c r="K3526" s="97"/>
      <c r="L3526" s="195"/>
    </row>
    <row r="3527" spans="1:12" x14ac:dyDescent="0.45">
      <c r="A3527" s="462"/>
      <c r="B3527" s="441"/>
      <c r="C3527" s="194">
        <v>6</v>
      </c>
      <c r="D3527" s="80"/>
      <c r="E3527" s="97"/>
      <c r="F3527" s="97"/>
      <c r="G3527" s="97"/>
      <c r="H3527" s="97"/>
      <c r="I3527" s="97"/>
      <c r="J3527" s="97"/>
      <c r="K3527" s="97"/>
      <c r="L3527" s="195"/>
    </row>
    <row r="3528" spans="1:12" x14ac:dyDescent="0.45">
      <c r="A3528" s="462"/>
      <c r="B3528" s="441"/>
      <c r="C3528" s="194">
        <v>7</v>
      </c>
      <c r="D3528" s="80"/>
      <c r="E3528" s="97"/>
      <c r="F3528" s="97"/>
      <c r="G3528" s="97"/>
      <c r="H3528" s="97"/>
      <c r="I3528" s="97"/>
      <c r="J3528" s="97"/>
      <c r="K3528" s="97"/>
      <c r="L3528" s="195"/>
    </row>
    <row r="3529" spans="1:12" x14ac:dyDescent="0.45">
      <c r="A3529" s="462"/>
      <c r="B3529" s="441"/>
      <c r="C3529" s="194">
        <v>8</v>
      </c>
      <c r="D3529" s="80"/>
      <c r="E3529" s="97"/>
      <c r="F3529" s="97"/>
      <c r="G3529" s="97"/>
      <c r="H3529" s="97"/>
      <c r="I3529" s="97"/>
      <c r="J3529" s="97"/>
      <c r="K3529" s="97"/>
      <c r="L3529" s="195"/>
    </row>
    <row r="3530" spans="1:12" x14ac:dyDescent="0.45">
      <c r="A3530" s="462"/>
      <c r="B3530" s="441"/>
      <c r="C3530" s="194">
        <v>9</v>
      </c>
      <c r="D3530" s="80"/>
      <c r="E3530" s="97"/>
      <c r="F3530" s="97"/>
      <c r="G3530" s="97"/>
      <c r="H3530" s="97"/>
      <c r="I3530" s="97"/>
      <c r="J3530" s="97"/>
      <c r="K3530" s="97"/>
      <c r="L3530" s="195"/>
    </row>
    <row r="3531" spans="1:12" x14ac:dyDescent="0.45">
      <c r="A3531" s="462"/>
      <c r="B3531" s="441"/>
      <c r="C3531" s="194">
        <v>10</v>
      </c>
      <c r="D3531" s="80"/>
      <c r="E3531" s="97"/>
      <c r="F3531" s="97"/>
      <c r="G3531" s="97"/>
      <c r="H3531" s="97"/>
      <c r="I3531" s="97"/>
      <c r="J3531" s="97"/>
      <c r="K3531" s="97"/>
      <c r="L3531" s="195"/>
    </row>
    <row r="3532" spans="1:12" x14ac:dyDescent="0.45">
      <c r="A3532" s="462"/>
      <c r="B3532" s="441"/>
      <c r="C3532" s="194">
        <v>11</v>
      </c>
      <c r="D3532" s="81"/>
      <c r="E3532" s="98"/>
      <c r="F3532" s="98"/>
      <c r="G3532" s="98"/>
      <c r="H3532" s="98"/>
      <c r="I3532" s="98"/>
      <c r="J3532" s="98"/>
      <c r="K3532" s="98"/>
      <c r="L3532" s="196"/>
    </row>
    <row r="3533" spans="1:12" ht="14.65" thickBot="1" x14ac:dyDescent="0.5">
      <c r="A3533" s="462"/>
      <c r="B3533" s="442"/>
      <c r="C3533" s="197">
        <v>12</v>
      </c>
      <c r="D3533" s="82"/>
      <c r="E3533" s="99"/>
      <c r="F3533" s="99"/>
      <c r="G3533" s="99"/>
      <c r="H3533" s="99"/>
      <c r="I3533" s="99"/>
      <c r="J3533" s="99"/>
      <c r="K3533" s="99"/>
      <c r="L3533" s="198"/>
    </row>
    <row r="3534" spans="1:12" x14ac:dyDescent="0.45">
      <c r="A3534" s="462"/>
      <c r="B3534" s="440">
        <v>7</v>
      </c>
      <c r="C3534" s="192">
        <v>1</v>
      </c>
      <c r="D3534" s="79"/>
      <c r="E3534" s="96"/>
      <c r="F3534" s="96"/>
      <c r="G3534" s="96"/>
      <c r="H3534" s="96"/>
      <c r="I3534" s="96"/>
      <c r="J3534" s="96"/>
      <c r="K3534" s="96"/>
      <c r="L3534" s="193"/>
    </row>
    <row r="3535" spans="1:12" x14ac:dyDescent="0.45">
      <c r="A3535" s="462"/>
      <c r="B3535" s="441"/>
      <c r="C3535" s="194">
        <v>2</v>
      </c>
      <c r="D3535" s="80"/>
      <c r="E3535" s="97"/>
      <c r="F3535" s="97"/>
      <c r="G3535" s="97"/>
      <c r="H3535" s="97"/>
      <c r="I3535" s="97"/>
      <c r="J3535" s="97"/>
      <c r="K3535" s="97"/>
      <c r="L3535" s="195"/>
    </row>
    <row r="3536" spans="1:12" x14ac:dyDescent="0.45">
      <c r="A3536" s="462"/>
      <c r="B3536" s="441"/>
      <c r="C3536" s="194">
        <v>3</v>
      </c>
      <c r="D3536" s="80"/>
      <c r="E3536" s="97"/>
      <c r="F3536" s="97"/>
      <c r="G3536" s="97"/>
      <c r="H3536" s="97"/>
      <c r="I3536" s="97"/>
      <c r="J3536" s="97"/>
      <c r="K3536" s="97"/>
      <c r="L3536" s="195"/>
    </row>
    <row r="3537" spans="1:12" x14ac:dyDescent="0.45">
      <c r="A3537" s="462"/>
      <c r="B3537" s="441"/>
      <c r="C3537" s="194">
        <v>4</v>
      </c>
      <c r="D3537" s="80"/>
      <c r="E3537" s="97"/>
      <c r="F3537" s="97"/>
      <c r="G3537" s="97"/>
      <c r="H3537" s="97"/>
      <c r="I3537" s="97"/>
      <c r="J3537" s="97"/>
      <c r="K3537" s="97"/>
      <c r="L3537" s="195"/>
    </row>
    <row r="3538" spans="1:12" x14ac:dyDescent="0.45">
      <c r="A3538" s="462"/>
      <c r="B3538" s="441"/>
      <c r="C3538" s="194">
        <v>5</v>
      </c>
      <c r="D3538" s="80"/>
      <c r="E3538" s="97"/>
      <c r="F3538" s="97"/>
      <c r="G3538" s="97"/>
      <c r="H3538" s="97"/>
      <c r="I3538" s="97"/>
      <c r="J3538" s="97"/>
      <c r="K3538" s="97"/>
      <c r="L3538" s="195"/>
    </row>
    <row r="3539" spans="1:12" x14ac:dyDescent="0.45">
      <c r="A3539" s="462"/>
      <c r="B3539" s="441"/>
      <c r="C3539" s="194">
        <v>6</v>
      </c>
      <c r="D3539" s="80"/>
      <c r="E3539" s="97"/>
      <c r="F3539" s="97"/>
      <c r="G3539" s="97"/>
      <c r="H3539" s="97"/>
      <c r="I3539" s="97"/>
      <c r="J3539" s="97"/>
      <c r="K3539" s="97"/>
      <c r="L3539" s="195"/>
    </row>
    <row r="3540" spans="1:12" x14ac:dyDescent="0.45">
      <c r="A3540" s="462"/>
      <c r="B3540" s="441"/>
      <c r="C3540" s="194">
        <v>7</v>
      </c>
      <c r="D3540" s="80"/>
      <c r="E3540" s="97"/>
      <c r="F3540" s="97"/>
      <c r="G3540" s="97"/>
      <c r="H3540" s="97"/>
      <c r="I3540" s="97"/>
      <c r="J3540" s="97"/>
      <c r="K3540" s="97"/>
      <c r="L3540" s="195"/>
    </row>
    <row r="3541" spans="1:12" x14ac:dyDescent="0.45">
      <c r="A3541" s="462"/>
      <c r="B3541" s="441"/>
      <c r="C3541" s="194">
        <v>8</v>
      </c>
      <c r="D3541" s="80"/>
      <c r="E3541" s="97"/>
      <c r="F3541" s="97"/>
      <c r="G3541" s="97"/>
      <c r="H3541" s="97"/>
      <c r="I3541" s="97"/>
      <c r="J3541" s="97"/>
      <c r="K3541" s="97"/>
      <c r="L3541" s="195"/>
    </row>
    <row r="3542" spans="1:12" x14ac:dyDescent="0.45">
      <c r="A3542" s="462"/>
      <c r="B3542" s="441"/>
      <c r="C3542" s="194">
        <v>9</v>
      </c>
      <c r="D3542" s="80"/>
      <c r="E3542" s="97"/>
      <c r="F3542" s="97"/>
      <c r="G3542" s="97"/>
      <c r="H3542" s="97"/>
      <c r="I3542" s="97"/>
      <c r="J3542" s="97"/>
      <c r="K3542" s="97"/>
      <c r="L3542" s="195"/>
    </row>
    <row r="3543" spans="1:12" x14ac:dyDescent="0.45">
      <c r="A3543" s="462"/>
      <c r="B3543" s="441"/>
      <c r="C3543" s="194">
        <v>10</v>
      </c>
      <c r="D3543" s="80"/>
      <c r="E3543" s="97"/>
      <c r="F3543" s="97"/>
      <c r="G3543" s="97"/>
      <c r="H3543" s="97"/>
      <c r="I3543" s="97"/>
      <c r="J3543" s="97"/>
      <c r="K3543" s="97"/>
      <c r="L3543" s="195"/>
    </row>
    <row r="3544" spans="1:12" x14ac:dyDescent="0.45">
      <c r="A3544" s="462"/>
      <c r="B3544" s="441"/>
      <c r="C3544" s="194">
        <v>11</v>
      </c>
      <c r="D3544" s="81"/>
      <c r="E3544" s="98"/>
      <c r="F3544" s="98"/>
      <c r="G3544" s="98"/>
      <c r="H3544" s="98"/>
      <c r="I3544" s="98"/>
      <c r="J3544" s="98"/>
      <c r="K3544" s="98"/>
      <c r="L3544" s="196"/>
    </row>
    <row r="3545" spans="1:12" ht="14.65" thickBot="1" x14ac:dyDescent="0.5">
      <c r="A3545" s="462"/>
      <c r="B3545" s="442"/>
      <c r="C3545" s="197">
        <v>12</v>
      </c>
      <c r="D3545" s="82"/>
      <c r="E3545" s="99"/>
      <c r="F3545" s="99"/>
      <c r="G3545" s="99"/>
      <c r="H3545" s="99"/>
      <c r="I3545" s="99"/>
      <c r="J3545" s="99"/>
      <c r="K3545" s="99"/>
      <c r="L3545" s="198"/>
    </row>
    <row r="3546" spans="1:12" x14ac:dyDescent="0.45">
      <c r="A3546" s="462"/>
      <c r="B3546" s="440">
        <v>8</v>
      </c>
      <c r="C3546" s="192">
        <v>1</v>
      </c>
      <c r="D3546" s="79"/>
      <c r="E3546" s="96"/>
      <c r="F3546" s="96"/>
      <c r="G3546" s="96"/>
      <c r="H3546" s="96"/>
      <c r="I3546" s="96"/>
      <c r="J3546" s="96"/>
      <c r="K3546" s="96"/>
      <c r="L3546" s="193"/>
    </row>
    <row r="3547" spans="1:12" x14ac:dyDescent="0.45">
      <c r="A3547" s="462"/>
      <c r="B3547" s="441"/>
      <c r="C3547" s="194">
        <v>2</v>
      </c>
      <c r="D3547" s="80"/>
      <c r="E3547" s="97"/>
      <c r="F3547" s="97"/>
      <c r="G3547" s="97"/>
      <c r="H3547" s="97"/>
      <c r="I3547" s="97"/>
      <c r="J3547" s="97"/>
      <c r="K3547" s="97"/>
      <c r="L3547" s="195"/>
    </row>
    <row r="3548" spans="1:12" x14ac:dyDescent="0.45">
      <c r="A3548" s="462"/>
      <c r="B3548" s="441"/>
      <c r="C3548" s="194">
        <v>3</v>
      </c>
      <c r="D3548" s="80"/>
      <c r="E3548" s="97"/>
      <c r="F3548" s="97"/>
      <c r="G3548" s="97"/>
      <c r="H3548" s="97"/>
      <c r="I3548" s="97"/>
      <c r="J3548" s="97"/>
      <c r="K3548" s="97"/>
      <c r="L3548" s="195"/>
    </row>
    <row r="3549" spans="1:12" x14ac:dyDescent="0.45">
      <c r="A3549" s="462"/>
      <c r="B3549" s="441"/>
      <c r="C3549" s="194">
        <v>4</v>
      </c>
      <c r="D3549" s="80"/>
      <c r="E3549" s="97"/>
      <c r="F3549" s="97"/>
      <c r="G3549" s="97"/>
      <c r="H3549" s="97"/>
      <c r="I3549" s="97"/>
      <c r="J3549" s="97"/>
      <c r="K3549" s="97"/>
      <c r="L3549" s="195"/>
    </row>
    <row r="3550" spans="1:12" x14ac:dyDescent="0.45">
      <c r="A3550" s="462"/>
      <c r="B3550" s="441"/>
      <c r="C3550" s="194">
        <v>5</v>
      </c>
      <c r="D3550" s="80"/>
      <c r="E3550" s="97"/>
      <c r="F3550" s="97"/>
      <c r="G3550" s="97"/>
      <c r="H3550" s="97"/>
      <c r="I3550" s="97"/>
      <c r="J3550" s="97"/>
      <c r="K3550" s="97"/>
      <c r="L3550" s="195"/>
    </row>
    <row r="3551" spans="1:12" x14ac:dyDescent="0.45">
      <c r="A3551" s="462"/>
      <c r="B3551" s="441"/>
      <c r="C3551" s="194">
        <v>6</v>
      </c>
      <c r="D3551" s="80"/>
      <c r="E3551" s="97"/>
      <c r="F3551" s="97"/>
      <c r="G3551" s="97"/>
      <c r="H3551" s="97"/>
      <c r="I3551" s="97"/>
      <c r="J3551" s="97"/>
      <c r="K3551" s="97"/>
      <c r="L3551" s="195"/>
    </row>
    <row r="3552" spans="1:12" x14ac:dyDescent="0.45">
      <c r="A3552" s="462"/>
      <c r="B3552" s="441"/>
      <c r="C3552" s="194">
        <v>7</v>
      </c>
      <c r="D3552" s="80"/>
      <c r="E3552" s="97"/>
      <c r="F3552" s="97"/>
      <c r="G3552" s="97"/>
      <c r="H3552" s="97"/>
      <c r="I3552" s="97"/>
      <c r="J3552" s="97"/>
      <c r="K3552" s="97"/>
      <c r="L3552" s="195"/>
    </row>
    <row r="3553" spans="1:12" x14ac:dyDescent="0.45">
      <c r="A3553" s="462"/>
      <c r="B3553" s="441"/>
      <c r="C3553" s="194">
        <v>8</v>
      </c>
      <c r="D3553" s="80"/>
      <c r="E3553" s="97"/>
      <c r="F3553" s="97"/>
      <c r="G3553" s="97"/>
      <c r="H3553" s="97"/>
      <c r="I3553" s="97"/>
      <c r="J3553" s="97"/>
      <c r="K3553" s="97"/>
      <c r="L3553" s="195"/>
    </row>
    <row r="3554" spans="1:12" x14ac:dyDescent="0.45">
      <c r="A3554" s="462"/>
      <c r="B3554" s="441"/>
      <c r="C3554" s="194">
        <v>9</v>
      </c>
      <c r="D3554" s="80"/>
      <c r="E3554" s="97"/>
      <c r="F3554" s="97"/>
      <c r="G3554" s="97"/>
      <c r="H3554" s="97"/>
      <c r="I3554" s="97"/>
      <c r="J3554" s="97"/>
      <c r="K3554" s="97"/>
      <c r="L3554" s="195"/>
    </row>
    <row r="3555" spans="1:12" x14ac:dyDescent="0.45">
      <c r="A3555" s="462"/>
      <c r="B3555" s="441"/>
      <c r="C3555" s="194">
        <v>10</v>
      </c>
      <c r="D3555" s="80"/>
      <c r="E3555" s="97"/>
      <c r="F3555" s="97"/>
      <c r="G3555" s="97"/>
      <c r="H3555" s="97"/>
      <c r="I3555" s="97"/>
      <c r="J3555" s="97"/>
      <c r="K3555" s="97"/>
      <c r="L3555" s="195"/>
    </row>
    <row r="3556" spans="1:12" x14ac:dyDescent="0.45">
      <c r="A3556" s="462"/>
      <c r="B3556" s="441"/>
      <c r="C3556" s="194">
        <v>11</v>
      </c>
      <c r="D3556" s="81"/>
      <c r="E3556" s="98"/>
      <c r="F3556" s="98"/>
      <c r="G3556" s="98"/>
      <c r="H3556" s="98"/>
      <c r="I3556" s="98"/>
      <c r="J3556" s="98"/>
      <c r="K3556" s="98"/>
      <c r="L3556" s="196"/>
    </row>
    <row r="3557" spans="1:12" ht="14.65" thickBot="1" x14ac:dyDescent="0.5">
      <c r="A3557" s="463"/>
      <c r="B3557" s="442"/>
      <c r="C3557" s="197">
        <v>12</v>
      </c>
      <c r="D3557" s="82"/>
      <c r="E3557" s="99"/>
      <c r="F3557" s="99"/>
      <c r="G3557" s="99"/>
      <c r="H3557" s="99"/>
      <c r="I3557" s="99"/>
      <c r="J3557" s="99"/>
      <c r="K3557" s="99"/>
      <c r="L3557" s="198"/>
    </row>
    <row r="3558" spans="1:12" x14ac:dyDescent="0.45">
      <c r="A3558" s="461">
        <v>3</v>
      </c>
      <c r="B3558" s="440">
        <v>9</v>
      </c>
      <c r="C3558" s="192">
        <v>1</v>
      </c>
      <c r="D3558" s="79"/>
      <c r="E3558" s="96"/>
      <c r="F3558" s="96"/>
      <c r="G3558" s="96"/>
      <c r="H3558" s="96"/>
      <c r="I3558" s="96"/>
      <c r="J3558" s="96"/>
      <c r="K3558" s="96"/>
      <c r="L3558" s="193"/>
    </row>
    <row r="3559" spans="1:12" x14ac:dyDescent="0.45">
      <c r="A3559" s="462"/>
      <c r="B3559" s="441"/>
      <c r="C3559" s="194">
        <v>2</v>
      </c>
      <c r="D3559" s="80"/>
      <c r="E3559" s="97"/>
      <c r="F3559" s="97"/>
      <c r="G3559" s="97"/>
      <c r="H3559" s="97"/>
      <c r="I3559" s="97"/>
      <c r="J3559" s="97"/>
      <c r="K3559" s="97"/>
      <c r="L3559" s="195"/>
    </row>
    <row r="3560" spans="1:12" x14ac:dyDescent="0.45">
      <c r="A3560" s="462"/>
      <c r="B3560" s="441"/>
      <c r="C3560" s="194">
        <v>3</v>
      </c>
      <c r="D3560" s="80"/>
      <c r="E3560" s="97"/>
      <c r="F3560" s="97"/>
      <c r="G3560" s="97"/>
      <c r="H3560" s="97"/>
      <c r="I3560" s="97"/>
      <c r="J3560" s="97"/>
      <c r="K3560" s="97"/>
      <c r="L3560" s="195"/>
    </row>
    <row r="3561" spans="1:12" x14ac:dyDescent="0.45">
      <c r="A3561" s="462"/>
      <c r="B3561" s="441"/>
      <c r="C3561" s="194">
        <v>4</v>
      </c>
      <c r="D3561" s="80"/>
      <c r="E3561" s="97"/>
      <c r="F3561" s="97"/>
      <c r="G3561" s="97"/>
      <c r="H3561" s="97"/>
      <c r="I3561" s="97"/>
      <c r="J3561" s="97"/>
      <c r="K3561" s="97"/>
      <c r="L3561" s="195"/>
    </row>
    <row r="3562" spans="1:12" x14ac:dyDescent="0.45">
      <c r="A3562" s="462"/>
      <c r="B3562" s="441"/>
      <c r="C3562" s="194">
        <v>5</v>
      </c>
      <c r="D3562" s="80"/>
      <c r="E3562" s="97"/>
      <c r="F3562" s="97"/>
      <c r="G3562" s="97"/>
      <c r="H3562" s="97"/>
      <c r="I3562" s="97"/>
      <c r="J3562" s="97"/>
      <c r="K3562" s="97"/>
      <c r="L3562" s="195"/>
    </row>
    <row r="3563" spans="1:12" x14ac:dyDescent="0.45">
      <c r="A3563" s="462"/>
      <c r="B3563" s="441"/>
      <c r="C3563" s="194">
        <v>6</v>
      </c>
      <c r="D3563" s="80"/>
      <c r="E3563" s="97"/>
      <c r="F3563" s="97"/>
      <c r="G3563" s="97"/>
      <c r="H3563" s="97"/>
      <c r="I3563" s="97"/>
      <c r="J3563" s="97"/>
      <c r="K3563" s="97"/>
      <c r="L3563" s="195"/>
    </row>
    <row r="3564" spans="1:12" x14ac:dyDescent="0.45">
      <c r="A3564" s="462"/>
      <c r="B3564" s="441"/>
      <c r="C3564" s="194">
        <v>7</v>
      </c>
      <c r="D3564" s="80"/>
      <c r="E3564" s="97"/>
      <c r="F3564" s="97"/>
      <c r="G3564" s="97"/>
      <c r="H3564" s="97"/>
      <c r="I3564" s="97"/>
      <c r="J3564" s="97"/>
      <c r="K3564" s="97"/>
      <c r="L3564" s="195"/>
    </row>
    <row r="3565" spans="1:12" x14ac:dyDescent="0.45">
      <c r="A3565" s="462"/>
      <c r="B3565" s="441"/>
      <c r="C3565" s="194">
        <v>8</v>
      </c>
      <c r="D3565" s="80"/>
      <c r="E3565" s="97"/>
      <c r="F3565" s="97"/>
      <c r="G3565" s="97"/>
      <c r="H3565" s="97"/>
      <c r="I3565" s="97"/>
      <c r="J3565" s="97"/>
      <c r="K3565" s="97"/>
      <c r="L3565" s="195"/>
    </row>
    <row r="3566" spans="1:12" x14ac:dyDescent="0.45">
      <c r="A3566" s="462"/>
      <c r="B3566" s="441"/>
      <c r="C3566" s="194">
        <v>9</v>
      </c>
      <c r="D3566" s="80"/>
      <c r="E3566" s="97"/>
      <c r="F3566" s="97"/>
      <c r="G3566" s="97"/>
      <c r="H3566" s="97"/>
      <c r="I3566" s="97"/>
      <c r="J3566" s="97"/>
      <c r="K3566" s="97"/>
      <c r="L3566" s="195"/>
    </row>
    <row r="3567" spans="1:12" x14ac:dyDescent="0.45">
      <c r="A3567" s="462"/>
      <c r="B3567" s="441"/>
      <c r="C3567" s="194">
        <v>10</v>
      </c>
      <c r="D3567" s="80"/>
      <c r="E3567" s="97"/>
      <c r="F3567" s="97"/>
      <c r="G3567" s="97"/>
      <c r="H3567" s="97"/>
      <c r="I3567" s="97"/>
      <c r="J3567" s="97"/>
      <c r="K3567" s="97"/>
      <c r="L3567" s="195"/>
    </row>
    <row r="3568" spans="1:12" x14ac:dyDescent="0.45">
      <c r="A3568" s="462"/>
      <c r="B3568" s="441"/>
      <c r="C3568" s="194">
        <v>11</v>
      </c>
      <c r="D3568" s="81"/>
      <c r="E3568" s="98"/>
      <c r="F3568" s="98"/>
      <c r="G3568" s="98"/>
      <c r="H3568" s="98"/>
      <c r="I3568" s="98"/>
      <c r="J3568" s="98"/>
      <c r="K3568" s="98"/>
      <c r="L3568" s="196"/>
    </row>
    <row r="3569" spans="1:12" ht="14.65" thickBot="1" x14ac:dyDescent="0.5">
      <c r="A3569" s="462"/>
      <c r="B3569" s="442"/>
      <c r="C3569" s="197">
        <v>12</v>
      </c>
      <c r="D3569" s="82"/>
      <c r="E3569" s="99"/>
      <c r="F3569" s="99"/>
      <c r="G3569" s="99"/>
      <c r="H3569" s="99"/>
      <c r="I3569" s="99"/>
      <c r="J3569" s="99"/>
      <c r="K3569" s="99"/>
      <c r="L3569" s="198"/>
    </row>
    <row r="3570" spans="1:12" x14ac:dyDescent="0.45">
      <c r="A3570" s="462"/>
      <c r="B3570" s="440">
        <v>10</v>
      </c>
      <c r="C3570" s="192">
        <v>1</v>
      </c>
      <c r="D3570" s="79"/>
      <c r="E3570" s="96"/>
      <c r="F3570" s="96"/>
      <c r="G3570" s="96"/>
      <c r="H3570" s="96"/>
      <c r="I3570" s="96"/>
      <c r="J3570" s="96"/>
      <c r="K3570" s="96"/>
      <c r="L3570" s="193"/>
    </row>
    <row r="3571" spans="1:12" x14ac:dyDescent="0.45">
      <c r="A3571" s="462"/>
      <c r="B3571" s="441"/>
      <c r="C3571" s="194">
        <v>2</v>
      </c>
      <c r="D3571" s="80"/>
      <c r="E3571" s="97"/>
      <c r="F3571" s="97"/>
      <c r="G3571" s="97"/>
      <c r="H3571" s="97"/>
      <c r="I3571" s="97"/>
      <c r="J3571" s="97"/>
      <c r="K3571" s="97"/>
      <c r="L3571" s="195"/>
    </row>
    <row r="3572" spans="1:12" x14ac:dyDescent="0.45">
      <c r="A3572" s="462"/>
      <c r="B3572" s="441"/>
      <c r="C3572" s="194">
        <v>3</v>
      </c>
      <c r="D3572" s="80"/>
      <c r="E3572" s="97"/>
      <c r="F3572" s="97"/>
      <c r="G3572" s="97"/>
      <c r="H3572" s="97"/>
      <c r="I3572" s="97"/>
      <c r="J3572" s="97"/>
      <c r="K3572" s="97"/>
      <c r="L3572" s="195"/>
    </row>
    <row r="3573" spans="1:12" x14ac:dyDescent="0.45">
      <c r="A3573" s="462"/>
      <c r="B3573" s="441"/>
      <c r="C3573" s="194">
        <v>4</v>
      </c>
      <c r="D3573" s="80"/>
      <c r="E3573" s="97"/>
      <c r="F3573" s="97"/>
      <c r="G3573" s="97"/>
      <c r="H3573" s="97"/>
      <c r="I3573" s="97"/>
      <c r="J3573" s="97"/>
      <c r="K3573" s="97"/>
      <c r="L3573" s="195"/>
    </row>
    <row r="3574" spans="1:12" x14ac:dyDescent="0.45">
      <c r="A3574" s="462"/>
      <c r="B3574" s="441"/>
      <c r="C3574" s="194">
        <v>5</v>
      </c>
      <c r="D3574" s="80"/>
      <c r="E3574" s="97"/>
      <c r="F3574" s="97"/>
      <c r="G3574" s="97"/>
      <c r="H3574" s="97"/>
      <c r="I3574" s="97"/>
      <c r="J3574" s="97"/>
      <c r="K3574" s="97"/>
      <c r="L3574" s="195"/>
    </row>
    <row r="3575" spans="1:12" x14ac:dyDescent="0.45">
      <c r="A3575" s="462"/>
      <c r="B3575" s="441"/>
      <c r="C3575" s="194">
        <v>6</v>
      </c>
      <c r="D3575" s="80"/>
      <c r="E3575" s="97"/>
      <c r="F3575" s="97"/>
      <c r="G3575" s="97"/>
      <c r="H3575" s="97"/>
      <c r="I3575" s="97"/>
      <c r="J3575" s="97"/>
      <c r="K3575" s="97"/>
      <c r="L3575" s="195"/>
    </row>
    <row r="3576" spans="1:12" x14ac:dyDescent="0.45">
      <c r="A3576" s="462"/>
      <c r="B3576" s="441"/>
      <c r="C3576" s="194">
        <v>7</v>
      </c>
      <c r="D3576" s="80"/>
      <c r="E3576" s="97"/>
      <c r="F3576" s="97"/>
      <c r="G3576" s="97"/>
      <c r="H3576" s="97"/>
      <c r="I3576" s="97"/>
      <c r="J3576" s="97"/>
      <c r="K3576" s="97"/>
      <c r="L3576" s="195"/>
    </row>
    <row r="3577" spans="1:12" x14ac:dyDescent="0.45">
      <c r="A3577" s="462"/>
      <c r="B3577" s="441"/>
      <c r="C3577" s="194">
        <v>8</v>
      </c>
      <c r="D3577" s="80"/>
      <c r="E3577" s="97"/>
      <c r="F3577" s="97"/>
      <c r="G3577" s="97"/>
      <c r="H3577" s="97"/>
      <c r="I3577" s="97"/>
      <c r="J3577" s="97"/>
      <c r="K3577" s="97"/>
      <c r="L3577" s="195"/>
    </row>
    <row r="3578" spans="1:12" x14ac:dyDescent="0.45">
      <c r="A3578" s="462"/>
      <c r="B3578" s="441"/>
      <c r="C3578" s="194">
        <v>9</v>
      </c>
      <c r="D3578" s="80"/>
      <c r="E3578" s="97"/>
      <c r="F3578" s="97"/>
      <c r="G3578" s="97"/>
      <c r="H3578" s="97"/>
      <c r="I3578" s="97"/>
      <c r="J3578" s="97"/>
      <c r="K3578" s="97"/>
      <c r="L3578" s="195"/>
    </row>
    <row r="3579" spans="1:12" x14ac:dyDescent="0.45">
      <c r="A3579" s="462"/>
      <c r="B3579" s="441"/>
      <c r="C3579" s="194">
        <v>10</v>
      </c>
      <c r="D3579" s="80"/>
      <c r="E3579" s="97"/>
      <c r="F3579" s="97"/>
      <c r="G3579" s="97"/>
      <c r="H3579" s="97"/>
      <c r="I3579" s="97"/>
      <c r="J3579" s="97"/>
      <c r="K3579" s="97"/>
      <c r="L3579" s="195"/>
    </row>
    <row r="3580" spans="1:12" x14ac:dyDescent="0.45">
      <c r="A3580" s="462"/>
      <c r="B3580" s="441"/>
      <c r="C3580" s="194">
        <v>11</v>
      </c>
      <c r="D3580" s="81"/>
      <c r="E3580" s="98"/>
      <c r="F3580" s="98"/>
      <c r="G3580" s="98"/>
      <c r="H3580" s="98"/>
      <c r="I3580" s="98"/>
      <c r="J3580" s="98"/>
      <c r="K3580" s="98"/>
      <c r="L3580" s="196"/>
    </row>
    <row r="3581" spans="1:12" ht="14.65" thickBot="1" x14ac:dyDescent="0.5">
      <c r="A3581" s="462"/>
      <c r="B3581" s="442"/>
      <c r="C3581" s="197">
        <v>12</v>
      </c>
      <c r="D3581" s="82"/>
      <c r="E3581" s="99"/>
      <c r="F3581" s="99"/>
      <c r="G3581" s="99"/>
      <c r="H3581" s="99"/>
      <c r="I3581" s="99"/>
      <c r="J3581" s="99"/>
      <c r="K3581" s="99"/>
      <c r="L3581" s="198"/>
    </row>
    <row r="3582" spans="1:12" x14ac:dyDescent="0.45">
      <c r="A3582" s="462"/>
      <c r="B3582" s="440">
        <v>11</v>
      </c>
      <c r="C3582" s="192">
        <v>1</v>
      </c>
      <c r="D3582" s="79"/>
      <c r="E3582" s="96"/>
      <c r="F3582" s="96"/>
      <c r="G3582" s="96"/>
      <c r="H3582" s="96"/>
      <c r="I3582" s="96"/>
      <c r="J3582" s="96"/>
      <c r="K3582" s="96"/>
      <c r="L3582" s="193"/>
    </row>
    <row r="3583" spans="1:12" x14ac:dyDescent="0.45">
      <c r="A3583" s="462"/>
      <c r="B3583" s="441"/>
      <c r="C3583" s="194">
        <v>2</v>
      </c>
      <c r="D3583" s="80"/>
      <c r="E3583" s="97"/>
      <c r="F3583" s="97"/>
      <c r="G3583" s="97"/>
      <c r="H3583" s="97"/>
      <c r="I3583" s="97"/>
      <c r="J3583" s="97"/>
      <c r="K3583" s="97"/>
      <c r="L3583" s="195"/>
    </row>
    <row r="3584" spans="1:12" x14ac:dyDescent="0.45">
      <c r="A3584" s="462"/>
      <c r="B3584" s="441"/>
      <c r="C3584" s="194">
        <v>3</v>
      </c>
      <c r="D3584" s="80"/>
      <c r="E3584" s="97"/>
      <c r="F3584" s="97"/>
      <c r="G3584" s="97"/>
      <c r="H3584" s="97"/>
      <c r="I3584" s="97"/>
      <c r="J3584" s="97"/>
      <c r="K3584" s="97"/>
      <c r="L3584" s="195"/>
    </row>
    <row r="3585" spans="1:12" x14ac:dyDescent="0.45">
      <c r="A3585" s="462"/>
      <c r="B3585" s="441"/>
      <c r="C3585" s="194">
        <v>4</v>
      </c>
      <c r="D3585" s="80"/>
      <c r="E3585" s="97"/>
      <c r="F3585" s="97"/>
      <c r="G3585" s="97"/>
      <c r="H3585" s="97"/>
      <c r="I3585" s="97"/>
      <c r="J3585" s="97"/>
      <c r="K3585" s="97"/>
      <c r="L3585" s="195"/>
    </row>
    <row r="3586" spans="1:12" x14ac:dyDescent="0.45">
      <c r="A3586" s="462"/>
      <c r="B3586" s="441"/>
      <c r="C3586" s="194">
        <v>5</v>
      </c>
      <c r="D3586" s="80"/>
      <c r="E3586" s="97"/>
      <c r="F3586" s="97"/>
      <c r="G3586" s="97"/>
      <c r="H3586" s="97"/>
      <c r="I3586" s="97"/>
      <c r="J3586" s="97"/>
      <c r="K3586" s="97"/>
      <c r="L3586" s="195"/>
    </row>
    <row r="3587" spans="1:12" x14ac:dyDescent="0.45">
      <c r="A3587" s="462"/>
      <c r="B3587" s="441"/>
      <c r="C3587" s="194">
        <v>6</v>
      </c>
      <c r="D3587" s="80"/>
      <c r="E3587" s="97"/>
      <c r="F3587" s="97"/>
      <c r="G3587" s="97"/>
      <c r="H3587" s="97"/>
      <c r="I3587" s="97"/>
      <c r="J3587" s="97"/>
      <c r="K3587" s="97"/>
      <c r="L3587" s="195"/>
    </row>
    <row r="3588" spans="1:12" x14ac:dyDescent="0.45">
      <c r="A3588" s="462"/>
      <c r="B3588" s="441"/>
      <c r="C3588" s="194">
        <v>7</v>
      </c>
      <c r="D3588" s="80"/>
      <c r="E3588" s="97"/>
      <c r="F3588" s="97"/>
      <c r="G3588" s="97"/>
      <c r="H3588" s="97"/>
      <c r="I3588" s="97"/>
      <c r="J3588" s="97"/>
      <c r="K3588" s="97"/>
      <c r="L3588" s="195"/>
    </row>
    <row r="3589" spans="1:12" x14ac:dyDescent="0.45">
      <c r="A3589" s="462"/>
      <c r="B3589" s="441"/>
      <c r="C3589" s="194">
        <v>8</v>
      </c>
      <c r="D3589" s="80"/>
      <c r="E3589" s="97"/>
      <c r="F3589" s="97"/>
      <c r="G3589" s="97"/>
      <c r="H3589" s="97"/>
      <c r="I3589" s="97"/>
      <c r="J3589" s="97"/>
      <c r="K3589" s="97"/>
      <c r="L3589" s="195"/>
    </row>
    <row r="3590" spans="1:12" x14ac:dyDescent="0.45">
      <c r="A3590" s="462"/>
      <c r="B3590" s="441"/>
      <c r="C3590" s="194">
        <v>9</v>
      </c>
      <c r="D3590" s="80"/>
      <c r="E3590" s="97"/>
      <c r="F3590" s="97"/>
      <c r="G3590" s="97"/>
      <c r="H3590" s="97"/>
      <c r="I3590" s="97"/>
      <c r="J3590" s="97"/>
      <c r="K3590" s="97"/>
      <c r="L3590" s="195"/>
    </row>
    <row r="3591" spans="1:12" x14ac:dyDescent="0.45">
      <c r="A3591" s="462"/>
      <c r="B3591" s="441"/>
      <c r="C3591" s="194">
        <v>10</v>
      </c>
      <c r="D3591" s="80"/>
      <c r="E3591" s="97"/>
      <c r="F3591" s="97"/>
      <c r="G3591" s="97"/>
      <c r="H3591" s="97"/>
      <c r="I3591" s="97"/>
      <c r="J3591" s="97"/>
      <c r="K3591" s="97"/>
      <c r="L3591" s="195"/>
    </row>
    <row r="3592" spans="1:12" x14ac:dyDescent="0.45">
      <c r="A3592" s="462"/>
      <c r="B3592" s="441"/>
      <c r="C3592" s="194">
        <v>11</v>
      </c>
      <c r="D3592" s="81"/>
      <c r="E3592" s="98"/>
      <c r="F3592" s="98"/>
      <c r="G3592" s="98"/>
      <c r="H3592" s="98"/>
      <c r="I3592" s="98"/>
      <c r="J3592" s="98"/>
      <c r="K3592" s="98"/>
      <c r="L3592" s="196"/>
    </row>
    <row r="3593" spans="1:12" ht="14.65" thickBot="1" x14ac:dyDescent="0.5">
      <c r="A3593" s="462"/>
      <c r="B3593" s="442"/>
      <c r="C3593" s="197">
        <v>12</v>
      </c>
      <c r="D3593" s="82"/>
      <c r="E3593" s="99"/>
      <c r="F3593" s="99"/>
      <c r="G3593" s="99"/>
      <c r="H3593" s="99"/>
      <c r="I3593" s="99"/>
      <c r="J3593" s="99"/>
      <c r="K3593" s="99"/>
      <c r="L3593" s="198"/>
    </row>
    <row r="3594" spans="1:12" x14ac:dyDescent="0.45">
      <c r="A3594" s="462"/>
      <c r="B3594" s="440">
        <v>12</v>
      </c>
      <c r="C3594" s="192">
        <v>1</v>
      </c>
      <c r="D3594" s="79"/>
      <c r="E3594" s="96"/>
      <c r="F3594" s="96"/>
      <c r="G3594" s="96"/>
      <c r="H3594" s="96"/>
      <c r="I3594" s="96"/>
      <c r="J3594" s="96"/>
      <c r="K3594" s="96"/>
      <c r="L3594" s="193"/>
    </row>
    <row r="3595" spans="1:12" x14ac:dyDescent="0.45">
      <c r="A3595" s="462"/>
      <c r="B3595" s="441"/>
      <c r="C3595" s="194">
        <v>2</v>
      </c>
      <c r="D3595" s="80"/>
      <c r="E3595" s="97"/>
      <c r="F3595" s="97"/>
      <c r="G3595" s="97"/>
      <c r="H3595" s="97"/>
      <c r="I3595" s="97"/>
      <c r="J3595" s="97"/>
      <c r="K3595" s="97"/>
      <c r="L3595" s="195"/>
    </row>
    <row r="3596" spans="1:12" x14ac:dyDescent="0.45">
      <c r="A3596" s="462"/>
      <c r="B3596" s="441"/>
      <c r="C3596" s="194">
        <v>3</v>
      </c>
      <c r="D3596" s="80"/>
      <c r="E3596" s="97"/>
      <c r="F3596" s="97"/>
      <c r="G3596" s="97"/>
      <c r="H3596" s="97"/>
      <c r="I3596" s="97"/>
      <c r="J3596" s="97"/>
      <c r="K3596" s="97"/>
      <c r="L3596" s="195"/>
    </row>
    <row r="3597" spans="1:12" x14ac:dyDescent="0.45">
      <c r="A3597" s="462"/>
      <c r="B3597" s="441"/>
      <c r="C3597" s="194">
        <v>4</v>
      </c>
      <c r="D3597" s="80"/>
      <c r="E3597" s="97"/>
      <c r="F3597" s="97"/>
      <c r="G3597" s="97"/>
      <c r="H3597" s="97"/>
      <c r="I3597" s="97"/>
      <c r="J3597" s="97"/>
      <c r="K3597" s="97"/>
      <c r="L3597" s="195"/>
    </row>
    <row r="3598" spans="1:12" x14ac:dyDescent="0.45">
      <c r="A3598" s="462"/>
      <c r="B3598" s="441"/>
      <c r="C3598" s="194">
        <v>5</v>
      </c>
      <c r="D3598" s="80"/>
      <c r="E3598" s="97"/>
      <c r="F3598" s="97"/>
      <c r="G3598" s="97"/>
      <c r="H3598" s="97"/>
      <c r="I3598" s="97"/>
      <c r="J3598" s="97"/>
      <c r="K3598" s="97"/>
      <c r="L3598" s="195"/>
    </row>
    <row r="3599" spans="1:12" x14ac:dyDescent="0.45">
      <c r="A3599" s="462"/>
      <c r="B3599" s="441"/>
      <c r="C3599" s="194">
        <v>6</v>
      </c>
      <c r="D3599" s="80"/>
      <c r="E3599" s="97"/>
      <c r="F3599" s="97"/>
      <c r="G3599" s="97"/>
      <c r="H3599" s="97"/>
      <c r="I3599" s="97"/>
      <c r="J3599" s="97"/>
      <c r="K3599" s="97"/>
      <c r="L3599" s="195"/>
    </row>
    <row r="3600" spans="1:12" x14ac:dyDescent="0.45">
      <c r="A3600" s="462"/>
      <c r="B3600" s="441"/>
      <c r="C3600" s="194">
        <v>7</v>
      </c>
      <c r="D3600" s="80"/>
      <c r="E3600" s="97"/>
      <c r="F3600" s="97"/>
      <c r="G3600" s="97"/>
      <c r="H3600" s="97"/>
      <c r="I3600" s="97"/>
      <c r="J3600" s="97"/>
      <c r="K3600" s="97"/>
      <c r="L3600" s="195"/>
    </row>
    <row r="3601" spans="1:12" x14ac:dyDescent="0.45">
      <c r="A3601" s="462"/>
      <c r="B3601" s="441"/>
      <c r="C3601" s="194">
        <v>8</v>
      </c>
      <c r="D3601" s="80"/>
      <c r="E3601" s="97"/>
      <c r="F3601" s="97"/>
      <c r="G3601" s="97"/>
      <c r="H3601" s="97"/>
      <c r="I3601" s="97"/>
      <c r="J3601" s="97"/>
      <c r="K3601" s="97"/>
      <c r="L3601" s="195"/>
    </row>
    <row r="3602" spans="1:12" x14ac:dyDescent="0.45">
      <c r="A3602" s="462"/>
      <c r="B3602" s="441"/>
      <c r="C3602" s="194">
        <v>9</v>
      </c>
      <c r="D3602" s="80"/>
      <c r="E3602" s="97"/>
      <c r="F3602" s="97"/>
      <c r="G3602" s="97"/>
      <c r="H3602" s="97"/>
      <c r="I3602" s="97"/>
      <c r="J3602" s="97"/>
      <c r="K3602" s="97"/>
      <c r="L3602" s="195"/>
    </row>
    <row r="3603" spans="1:12" x14ac:dyDescent="0.45">
      <c r="A3603" s="462"/>
      <c r="B3603" s="441"/>
      <c r="C3603" s="194">
        <v>10</v>
      </c>
      <c r="D3603" s="80"/>
      <c r="E3603" s="97"/>
      <c r="F3603" s="97"/>
      <c r="G3603" s="97"/>
      <c r="H3603" s="97"/>
      <c r="I3603" s="97"/>
      <c r="J3603" s="97"/>
      <c r="K3603" s="97"/>
      <c r="L3603" s="195"/>
    </row>
    <row r="3604" spans="1:12" x14ac:dyDescent="0.45">
      <c r="A3604" s="462"/>
      <c r="B3604" s="441"/>
      <c r="C3604" s="194">
        <v>11</v>
      </c>
      <c r="D3604" s="81"/>
      <c r="E3604" s="98"/>
      <c r="F3604" s="98"/>
      <c r="G3604" s="98"/>
      <c r="H3604" s="98"/>
      <c r="I3604" s="98"/>
      <c r="J3604" s="98"/>
      <c r="K3604" s="98"/>
      <c r="L3604" s="196"/>
    </row>
    <row r="3605" spans="1:12" ht="14.65" thickBot="1" x14ac:dyDescent="0.5">
      <c r="A3605" s="463"/>
      <c r="B3605" s="442"/>
      <c r="C3605" s="199">
        <v>12</v>
      </c>
      <c r="D3605" s="82"/>
      <c r="E3605" s="99"/>
      <c r="F3605" s="99"/>
      <c r="G3605" s="99"/>
      <c r="H3605" s="99"/>
      <c r="I3605" s="99"/>
      <c r="J3605" s="99"/>
      <c r="K3605" s="99"/>
      <c r="L3605" s="198"/>
    </row>
    <row r="3607" spans="1:12" s="91" customFormat="1" x14ac:dyDescent="0.45"/>
    <row r="3608" spans="1:12" ht="14.65" thickBot="1" x14ac:dyDescent="0.5"/>
    <row r="3609" spans="1:12" ht="28.9" thickBot="1" x14ac:dyDescent="0.5">
      <c r="A3609" s="187" t="s">
        <v>76</v>
      </c>
      <c r="B3609" s="186">
        <v>24</v>
      </c>
      <c r="C3609" s="109"/>
      <c r="D3609" s="109"/>
    </row>
    <row r="3610" spans="1:12" x14ac:dyDescent="0.45">
      <c r="A3610" s="443" t="s">
        <v>27</v>
      </c>
      <c r="B3610" s="448">
        <f>Name24</f>
        <v>0</v>
      </c>
      <c r="C3610" s="449"/>
      <c r="D3610" s="450"/>
      <c r="I3610" s="204"/>
      <c r="J3610" s="204"/>
      <c r="K3610" s="204"/>
      <c r="L3610" s="204"/>
    </row>
    <row r="3611" spans="1:12" x14ac:dyDescent="0.45">
      <c r="A3611" s="444"/>
      <c r="B3611" s="448"/>
      <c r="C3611" s="449"/>
      <c r="D3611" s="450"/>
      <c r="I3611" s="204"/>
      <c r="J3611" s="204"/>
      <c r="K3611" s="204"/>
      <c r="L3611" s="204"/>
    </row>
    <row r="3612" spans="1:12" x14ac:dyDescent="0.45">
      <c r="A3612" s="445"/>
      <c r="B3612" s="388"/>
      <c r="C3612" s="451"/>
      <c r="D3612" s="452"/>
      <c r="I3612" s="204"/>
      <c r="J3612" s="204"/>
      <c r="K3612" s="204"/>
      <c r="L3612" s="204"/>
    </row>
    <row r="3613" spans="1:12" ht="14.45" customHeight="1" x14ac:dyDescent="0.45">
      <c r="A3613" s="444" t="s">
        <v>155</v>
      </c>
      <c r="B3613" s="453">
        <f>GapA24</f>
        <v>0</v>
      </c>
      <c r="C3613" s="454"/>
      <c r="D3613" s="455"/>
      <c r="I3613" s="204"/>
      <c r="J3613" s="204"/>
      <c r="K3613" s="204"/>
      <c r="L3613" s="204"/>
    </row>
    <row r="3614" spans="1:12" x14ac:dyDescent="0.45">
      <c r="A3614" s="444"/>
      <c r="B3614" s="448"/>
      <c r="C3614" s="449"/>
      <c r="D3614" s="450"/>
      <c r="I3614" s="204"/>
      <c r="J3614" s="204"/>
      <c r="K3614" s="204"/>
      <c r="L3614" s="204"/>
    </row>
    <row r="3615" spans="1:12" x14ac:dyDescent="0.45">
      <c r="A3615" s="445"/>
      <c r="B3615" s="388"/>
      <c r="C3615" s="451"/>
      <c r="D3615" s="452"/>
      <c r="I3615" s="204"/>
      <c r="J3615" s="204"/>
      <c r="K3615" s="204"/>
      <c r="L3615" s="204"/>
    </row>
    <row r="3616" spans="1:12" x14ac:dyDescent="0.45">
      <c r="A3616" s="444" t="s">
        <v>159</v>
      </c>
      <c r="B3616" s="453">
        <f>Objective24</f>
        <v>0</v>
      </c>
      <c r="C3616" s="454"/>
      <c r="D3616" s="455"/>
      <c r="I3616" s="204"/>
      <c r="J3616" s="204"/>
      <c r="K3616" s="204"/>
      <c r="L3616" s="204"/>
    </row>
    <row r="3617" spans="1:14" x14ac:dyDescent="0.45">
      <c r="A3617" s="444"/>
      <c r="B3617" s="448"/>
      <c r="C3617" s="449"/>
      <c r="D3617" s="450"/>
      <c r="I3617" s="204"/>
      <c r="J3617" s="204"/>
      <c r="K3617" s="204"/>
      <c r="L3617" s="204"/>
    </row>
    <row r="3618" spans="1:14" x14ac:dyDescent="0.45">
      <c r="A3618" s="445"/>
      <c r="B3618" s="388"/>
      <c r="C3618" s="451"/>
      <c r="D3618" s="452"/>
      <c r="I3618" s="204"/>
      <c r="J3618" s="204"/>
      <c r="K3618" s="204"/>
      <c r="L3618" s="204"/>
    </row>
    <row r="3619" spans="1:14" ht="14.45" customHeight="1" x14ac:dyDescent="0.45">
      <c r="A3619" s="446" t="s">
        <v>166</v>
      </c>
      <c r="B3619" s="454">
        <f>Capacity24</f>
        <v>0</v>
      </c>
      <c r="C3619" s="454"/>
      <c r="D3619" s="455"/>
      <c r="I3619" s="204"/>
      <c r="J3619" s="204"/>
      <c r="K3619" s="204"/>
      <c r="L3619" s="204"/>
    </row>
    <row r="3620" spans="1:14" x14ac:dyDescent="0.45">
      <c r="A3620" s="447"/>
      <c r="B3620" s="449"/>
      <c r="C3620" s="449"/>
      <c r="D3620" s="450"/>
      <c r="I3620" s="204"/>
      <c r="J3620" s="204"/>
      <c r="K3620" s="204"/>
      <c r="L3620" s="204"/>
    </row>
    <row r="3621" spans="1:14" ht="14.65" thickBot="1" x14ac:dyDescent="0.5">
      <c r="A3621" s="464"/>
      <c r="B3621" s="456"/>
      <c r="C3621" s="456"/>
      <c r="D3621" s="457"/>
      <c r="I3621" s="204"/>
      <c r="J3621" s="204"/>
      <c r="K3621" s="204"/>
      <c r="L3621" s="204"/>
    </row>
    <row r="3623" spans="1:14" ht="14.65" thickBot="1" x14ac:dyDescent="0.5">
      <c r="A3623" s="90"/>
      <c r="B3623" s="90"/>
      <c r="C3623" s="90"/>
      <c r="D3623" s="90"/>
      <c r="E3623" s="90"/>
      <c r="F3623" s="90"/>
      <c r="G3623" s="90"/>
      <c r="H3623" s="90"/>
      <c r="I3623" s="90"/>
      <c r="J3623" s="90"/>
      <c r="K3623" s="90"/>
      <c r="L3623" s="90"/>
      <c r="M3623" s="204"/>
      <c r="N3623" s="204"/>
    </row>
    <row r="3624" spans="1:14" ht="21.75" customHeight="1" x14ac:dyDescent="0.45">
      <c r="A3624" s="458" t="s">
        <v>135</v>
      </c>
      <c r="B3624" s="459"/>
      <c r="C3624" s="459"/>
      <c r="D3624" s="459"/>
      <c r="E3624" s="459"/>
      <c r="F3624" s="459"/>
      <c r="G3624" s="459"/>
      <c r="H3624" s="459"/>
      <c r="I3624" s="459"/>
      <c r="J3624" s="459"/>
      <c r="K3624" s="459"/>
      <c r="L3624" s="460"/>
    </row>
    <row r="3625" spans="1:14" ht="29" customHeight="1" thickBot="1" x14ac:dyDescent="0.5">
      <c r="A3625" s="93" t="s">
        <v>74</v>
      </c>
      <c r="B3625" s="94" t="s">
        <v>28</v>
      </c>
      <c r="C3625" s="95" t="s">
        <v>320</v>
      </c>
      <c r="D3625" s="95" t="s">
        <v>127</v>
      </c>
      <c r="E3625" s="114" t="s">
        <v>90</v>
      </c>
      <c r="F3625" s="95" t="s">
        <v>175</v>
      </c>
      <c r="G3625" s="95" t="s">
        <v>176</v>
      </c>
      <c r="H3625" s="95" t="s">
        <v>156</v>
      </c>
      <c r="I3625" s="95" t="s">
        <v>157</v>
      </c>
      <c r="J3625" s="189" t="s">
        <v>321</v>
      </c>
      <c r="K3625" s="190" t="s">
        <v>29</v>
      </c>
      <c r="L3625" s="191" t="s">
        <v>322</v>
      </c>
    </row>
    <row r="3626" spans="1:14" x14ac:dyDescent="0.45">
      <c r="A3626" s="461">
        <v>1</v>
      </c>
      <c r="B3626" s="440">
        <v>1</v>
      </c>
      <c r="C3626" s="192">
        <v>1</v>
      </c>
      <c r="D3626" s="79"/>
      <c r="E3626" s="96"/>
      <c r="F3626" s="96"/>
      <c r="G3626" s="96"/>
      <c r="H3626" s="96"/>
      <c r="I3626" s="96"/>
      <c r="J3626" s="96"/>
      <c r="K3626" s="96"/>
      <c r="L3626" s="193"/>
    </row>
    <row r="3627" spans="1:14" x14ac:dyDescent="0.45">
      <c r="A3627" s="462"/>
      <c r="B3627" s="441"/>
      <c r="C3627" s="194">
        <v>2</v>
      </c>
      <c r="D3627" s="80"/>
      <c r="E3627" s="97"/>
      <c r="F3627" s="97"/>
      <c r="G3627" s="97"/>
      <c r="H3627" s="97"/>
      <c r="I3627" s="97"/>
      <c r="J3627" s="97"/>
      <c r="K3627" s="97"/>
      <c r="L3627" s="195"/>
    </row>
    <row r="3628" spans="1:14" x14ac:dyDescent="0.45">
      <c r="A3628" s="462"/>
      <c r="B3628" s="441"/>
      <c r="C3628" s="194">
        <v>3</v>
      </c>
      <c r="D3628" s="80"/>
      <c r="E3628" s="97"/>
      <c r="F3628" s="97"/>
      <c r="G3628" s="97"/>
      <c r="H3628" s="97"/>
      <c r="I3628" s="97"/>
      <c r="J3628" s="97"/>
      <c r="K3628" s="97"/>
      <c r="L3628" s="195"/>
    </row>
    <row r="3629" spans="1:14" x14ac:dyDescent="0.45">
      <c r="A3629" s="462"/>
      <c r="B3629" s="441"/>
      <c r="C3629" s="194">
        <v>4</v>
      </c>
      <c r="D3629" s="80"/>
      <c r="E3629" s="97"/>
      <c r="F3629" s="97"/>
      <c r="G3629" s="97"/>
      <c r="H3629" s="97"/>
      <c r="I3629" s="97"/>
      <c r="J3629" s="97"/>
      <c r="K3629" s="97"/>
      <c r="L3629" s="195"/>
    </row>
    <row r="3630" spans="1:14" x14ac:dyDescent="0.45">
      <c r="A3630" s="462"/>
      <c r="B3630" s="441"/>
      <c r="C3630" s="194">
        <v>5</v>
      </c>
      <c r="D3630" s="80"/>
      <c r="E3630" s="97"/>
      <c r="F3630" s="97"/>
      <c r="G3630" s="97"/>
      <c r="H3630" s="97"/>
      <c r="I3630" s="97"/>
      <c r="J3630" s="97"/>
      <c r="K3630" s="97"/>
      <c r="L3630" s="195"/>
    </row>
    <row r="3631" spans="1:14" x14ac:dyDescent="0.45">
      <c r="A3631" s="462"/>
      <c r="B3631" s="441"/>
      <c r="C3631" s="194">
        <v>6</v>
      </c>
      <c r="D3631" s="80"/>
      <c r="E3631" s="97"/>
      <c r="F3631" s="97"/>
      <c r="G3631" s="97"/>
      <c r="H3631" s="97"/>
      <c r="I3631" s="97"/>
      <c r="J3631" s="97"/>
      <c r="K3631" s="97"/>
      <c r="L3631" s="195"/>
    </row>
    <row r="3632" spans="1:14" x14ac:dyDescent="0.45">
      <c r="A3632" s="462"/>
      <c r="B3632" s="441"/>
      <c r="C3632" s="194">
        <v>7</v>
      </c>
      <c r="D3632" s="80"/>
      <c r="E3632" s="97"/>
      <c r="F3632" s="97"/>
      <c r="G3632" s="97"/>
      <c r="H3632" s="97"/>
      <c r="I3632" s="97"/>
      <c r="J3632" s="97"/>
      <c r="K3632" s="97"/>
      <c r="L3632" s="195"/>
    </row>
    <row r="3633" spans="1:14" x14ac:dyDescent="0.45">
      <c r="A3633" s="462"/>
      <c r="B3633" s="441"/>
      <c r="C3633" s="194">
        <v>8</v>
      </c>
      <c r="D3633" s="80"/>
      <c r="E3633" s="97"/>
      <c r="F3633" s="97"/>
      <c r="G3633" s="97"/>
      <c r="H3633" s="97"/>
      <c r="I3633" s="97"/>
      <c r="J3633" s="97"/>
      <c r="K3633" s="97"/>
      <c r="L3633" s="195"/>
    </row>
    <row r="3634" spans="1:14" x14ac:dyDescent="0.45">
      <c r="A3634" s="462"/>
      <c r="B3634" s="441"/>
      <c r="C3634" s="194">
        <v>9</v>
      </c>
      <c r="D3634" s="80"/>
      <c r="E3634" s="97"/>
      <c r="F3634" s="97"/>
      <c r="G3634" s="97"/>
      <c r="H3634" s="97"/>
      <c r="I3634" s="97"/>
      <c r="J3634" s="97"/>
      <c r="K3634" s="97"/>
      <c r="L3634" s="195"/>
    </row>
    <row r="3635" spans="1:14" x14ac:dyDescent="0.45">
      <c r="A3635" s="462"/>
      <c r="B3635" s="441"/>
      <c r="C3635" s="194">
        <v>10</v>
      </c>
      <c r="D3635" s="80"/>
      <c r="E3635" s="97"/>
      <c r="F3635" s="97"/>
      <c r="G3635" s="97"/>
      <c r="H3635" s="97"/>
      <c r="I3635" s="97"/>
      <c r="J3635" s="97"/>
      <c r="K3635" s="97"/>
      <c r="L3635" s="195"/>
    </row>
    <row r="3636" spans="1:14" x14ac:dyDescent="0.45">
      <c r="A3636" s="462"/>
      <c r="B3636" s="441"/>
      <c r="C3636" s="194">
        <v>11</v>
      </c>
      <c r="D3636" s="81"/>
      <c r="E3636" s="98"/>
      <c r="F3636" s="98"/>
      <c r="G3636" s="98"/>
      <c r="H3636" s="98"/>
      <c r="I3636" s="98"/>
      <c r="J3636" s="98"/>
      <c r="K3636" s="98"/>
      <c r="L3636" s="196"/>
    </row>
    <row r="3637" spans="1:14" s="90" customFormat="1" ht="14.65" thickBot="1" x14ac:dyDescent="0.5">
      <c r="A3637" s="462"/>
      <c r="B3637" s="442"/>
      <c r="C3637" s="197">
        <v>12</v>
      </c>
      <c r="D3637" s="82"/>
      <c r="E3637" s="99"/>
      <c r="F3637" s="99"/>
      <c r="G3637" s="99"/>
      <c r="H3637" s="99"/>
      <c r="I3637" s="99"/>
      <c r="J3637" s="99"/>
      <c r="K3637" s="99"/>
      <c r="L3637" s="198"/>
      <c r="M3637" s="61"/>
      <c r="N3637" s="61"/>
    </row>
    <row r="3638" spans="1:14" x14ac:dyDescent="0.45">
      <c r="A3638" s="462"/>
      <c r="B3638" s="440">
        <v>2</v>
      </c>
      <c r="C3638" s="192">
        <v>1</v>
      </c>
      <c r="D3638" s="79"/>
      <c r="E3638" s="96"/>
      <c r="F3638" s="96"/>
      <c r="G3638" s="96"/>
      <c r="H3638" s="96"/>
      <c r="I3638" s="96"/>
      <c r="J3638" s="96"/>
      <c r="K3638" s="96"/>
      <c r="L3638" s="193"/>
    </row>
    <row r="3639" spans="1:14" x14ac:dyDescent="0.45">
      <c r="A3639" s="462"/>
      <c r="B3639" s="441"/>
      <c r="C3639" s="194">
        <v>2</v>
      </c>
      <c r="D3639" s="80"/>
      <c r="E3639" s="97"/>
      <c r="F3639" s="97"/>
      <c r="G3639" s="97"/>
      <c r="H3639" s="97"/>
      <c r="I3639" s="97"/>
      <c r="J3639" s="97"/>
      <c r="K3639" s="97"/>
      <c r="L3639" s="195"/>
    </row>
    <row r="3640" spans="1:14" x14ac:dyDescent="0.45">
      <c r="A3640" s="462"/>
      <c r="B3640" s="441"/>
      <c r="C3640" s="194">
        <v>3</v>
      </c>
      <c r="D3640" s="80"/>
      <c r="E3640" s="97"/>
      <c r="F3640" s="97"/>
      <c r="G3640" s="97"/>
      <c r="H3640" s="97"/>
      <c r="I3640" s="97"/>
      <c r="J3640" s="97"/>
      <c r="K3640" s="97"/>
      <c r="L3640" s="195"/>
    </row>
    <row r="3641" spans="1:14" x14ac:dyDescent="0.45">
      <c r="A3641" s="462"/>
      <c r="B3641" s="441"/>
      <c r="C3641" s="194">
        <v>4</v>
      </c>
      <c r="D3641" s="80"/>
      <c r="E3641" s="97"/>
      <c r="F3641" s="97"/>
      <c r="G3641" s="97"/>
      <c r="H3641" s="97"/>
      <c r="I3641" s="97"/>
      <c r="J3641" s="97"/>
      <c r="K3641" s="97"/>
      <c r="L3641" s="195"/>
    </row>
    <row r="3642" spans="1:14" x14ac:dyDescent="0.45">
      <c r="A3642" s="462"/>
      <c r="B3642" s="441"/>
      <c r="C3642" s="194">
        <v>5</v>
      </c>
      <c r="D3642" s="80"/>
      <c r="E3642" s="97"/>
      <c r="F3642" s="97"/>
      <c r="G3642" s="97"/>
      <c r="H3642" s="97"/>
      <c r="I3642" s="97"/>
      <c r="J3642" s="97"/>
      <c r="K3642" s="97"/>
      <c r="L3642" s="195"/>
    </row>
    <row r="3643" spans="1:14" x14ac:dyDescent="0.45">
      <c r="A3643" s="462"/>
      <c r="B3643" s="441"/>
      <c r="C3643" s="194">
        <v>6</v>
      </c>
      <c r="D3643" s="80"/>
      <c r="E3643" s="97"/>
      <c r="F3643" s="97"/>
      <c r="G3643" s="97"/>
      <c r="H3643" s="97"/>
      <c r="I3643" s="97"/>
      <c r="J3643" s="97"/>
      <c r="K3643" s="97"/>
      <c r="L3643" s="195"/>
    </row>
    <row r="3644" spans="1:14" x14ac:dyDescent="0.45">
      <c r="A3644" s="462"/>
      <c r="B3644" s="441"/>
      <c r="C3644" s="194">
        <v>7</v>
      </c>
      <c r="D3644" s="80"/>
      <c r="E3644" s="97"/>
      <c r="F3644" s="97"/>
      <c r="G3644" s="97"/>
      <c r="H3644" s="97"/>
      <c r="I3644" s="97"/>
      <c r="J3644" s="97"/>
      <c r="K3644" s="97"/>
      <c r="L3644" s="195"/>
    </row>
    <row r="3645" spans="1:14" x14ac:dyDescent="0.45">
      <c r="A3645" s="462"/>
      <c r="B3645" s="441"/>
      <c r="C3645" s="194">
        <v>8</v>
      </c>
      <c r="D3645" s="80"/>
      <c r="E3645" s="97"/>
      <c r="F3645" s="97"/>
      <c r="G3645" s="97"/>
      <c r="H3645" s="97"/>
      <c r="I3645" s="97"/>
      <c r="J3645" s="97"/>
      <c r="K3645" s="97"/>
      <c r="L3645" s="195"/>
    </row>
    <row r="3646" spans="1:14" x14ac:dyDescent="0.45">
      <c r="A3646" s="462"/>
      <c r="B3646" s="441"/>
      <c r="C3646" s="194">
        <v>9</v>
      </c>
      <c r="D3646" s="80"/>
      <c r="E3646" s="97"/>
      <c r="F3646" s="97"/>
      <c r="G3646" s="97"/>
      <c r="H3646" s="97"/>
      <c r="I3646" s="97"/>
      <c r="J3646" s="97"/>
      <c r="K3646" s="97"/>
      <c r="L3646" s="195"/>
    </row>
    <row r="3647" spans="1:14" x14ac:dyDescent="0.45">
      <c r="A3647" s="462"/>
      <c r="B3647" s="441"/>
      <c r="C3647" s="194">
        <v>10</v>
      </c>
      <c r="D3647" s="80"/>
      <c r="E3647" s="97"/>
      <c r="F3647" s="97"/>
      <c r="G3647" s="97"/>
      <c r="H3647" s="97"/>
      <c r="I3647" s="97"/>
      <c r="J3647" s="97"/>
      <c r="K3647" s="97"/>
      <c r="L3647" s="195"/>
    </row>
    <row r="3648" spans="1:14" x14ac:dyDescent="0.45">
      <c r="A3648" s="462"/>
      <c r="B3648" s="441"/>
      <c r="C3648" s="194">
        <v>11</v>
      </c>
      <c r="D3648" s="81"/>
      <c r="E3648" s="98"/>
      <c r="F3648" s="98"/>
      <c r="G3648" s="98"/>
      <c r="H3648" s="98"/>
      <c r="I3648" s="98"/>
      <c r="J3648" s="98"/>
      <c r="K3648" s="98"/>
      <c r="L3648" s="196"/>
    </row>
    <row r="3649" spans="1:12" ht="14.65" thickBot="1" x14ac:dyDescent="0.5">
      <c r="A3649" s="462"/>
      <c r="B3649" s="442"/>
      <c r="C3649" s="197">
        <v>12</v>
      </c>
      <c r="D3649" s="82"/>
      <c r="E3649" s="99"/>
      <c r="F3649" s="99"/>
      <c r="G3649" s="99"/>
      <c r="H3649" s="99"/>
      <c r="I3649" s="99"/>
      <c r="J3649" s="99"/>
      <c r="K3649" s="99"/>
      <c r="L3649" s="198"/>
    </row>
    <row r="3650" spans="1:12" x14ac:dyDescent="0.45">
      <c r="A3650" s="462"/>
      <c r="B3650" s="440">
        <v>3</v>
      </c>
      <c r="C3650" s="192">
        <v>1</v>
      </c>
      <c r="D3650" s="79"/>
      <c r="E3650" s="96"/>
      <c r="F3650" s="96"/>
      <c r="G3650" s="96"/>
      <c r="H3650" s="96"/>
      <c r="I3650" s="96"/>
      <c r="J3650" s="96"/>
      <c r="K3650" s="96"/>
      <c r="L3650" s="193"/>
    </row>
    <row r="3651" spans="1:12" x14ac:dyDescent="0.45">
      <c r="A3651" s="462"/>
      <c r="B3651" s="441"/>
      <c r="C3651" s="194">
        <v>2</v>
      </c>
      <c r="D3651" s="80"/>
      <c r="E3651" s="97"/>
      <c r="F3651" s="97"/>
      <c r="G3651" s="97"/>
      <c r="H3651" s="97"/>
      <c r="I3651" s="97"/>
      <c r="J3651" s="97"/>
      <c r="K3651" s="97"/>
      <c r="L3651" s="195"/>
    </row>
    <row r="3652" spans="1:12" x14ac:dyDescent="0.45">
      <c r="A3652" s="462"/>
      <c r="B3652" s="441"/>
      <c r="C3652" s="194">
        <v>3</v>
      </c>
      <c r="D3652" s="80"/>
      <c r="E3652" s="97"/>
      <c r="F3652" s="97"/>
      <c r="G3652" s="97"/>
      <c r="H3652" s="97"/>
      <c r="I3652" s="97"/>
      <c r="J3652" s="97"/>
      <c r="K3652" s="97"/>
      <c r="L3652" s="195"/>
    </row>
    <row r="3653" spans="1:12" x14ac:dyDescent="0.45">
      <c r="A3653" s="462"/>
      <c r="B3653" s="441"/>
      <c r="C3653" s="194">
        <v>4</v>
      </c>
      <c r="D3653" s="80"/>
      <c r="E3653" s="97"/>
      <c r="F3653" s="97"/>
      <c r="G3653" s="97"/>
      <c r="H3653" s="97"/>
      <c r="I3653" s="97"/>
      <c r="J3653" s="97"/>
      <c r="K3653" s="97"/>
      <c r="L3653" s="195"/>
    </row>
    <row r="3654" spans="1:12" x14ac:dyDescent="0.45">
      <c r="A3654" s="462"/>
      <c r="B3654" s="441"/>
      <c r="C3654" s="194">
        <v>5</v>
      </c>
      <c r="D3654" s="80"/>
      <c r="E3654" s="97"/>
      <c r="F3654" s="97"/>
      <c r="G3654" s="97"/>
      <c r="H3654" s="97"/>
      <c r="I3654" s="97"/>
      <c r="J3654" s="97"/>
      <c r="K3654" s="97"/>
      <c r="L3654" s="195"/>
    </row>
    <row r="3655" spans="1:12" x14ac:dyDescent="0.45">
      <c r="A3655" s="462"/>
      <c r="B3655" s="441"/>
      <c r="C3655" s="194">
        <v>6</v>
      </c>
      <c r="D3655" s="80"/>
      <c r="E3655" s="97"/>
      <c r="F3655" s="97"/>
      <c r="G3655" s="97"/>
      <c r="H3655" s="97"/>
      <c r="I3655" s="97"/>
      <c r="J3655" s="97"/>
      <c r="K3655" s="97"/>
      <c r="L3655" s="195"/>
    </row>
    <row r="3656" spans="1:12" x14ac:dyDescent="0.45">
      <c r="A3656" s="462"/>
      <c r="B3656" s="441"/>
      <c r="C3656" s="194">
        <v>7</v>
      </c>
      <c r="D3656" s="80"/>
      <c r="E3656" s="97"/>
      <c r="F3656" s="97"/>
      <c r="G3656" s="97"/>
      <c r="H3656" s="97"/>
      <c r="I3656" s="97"/>
      <c r="J3656" s="97"/>
      <c r="K3656" s="97"/>
      <c r="L3656" s="195"/>
    </row>
    <row r="3657" spans="1:12" x14ac:dyDescent="0.45">
      <c r="A3657" s="462"/>
      <c r="B3657" s="441"/>
      <c r="C3657" s="194">
        <v>8</v>
      </c>
      <c r="D3657" s="80"/>
      <c r="E3657" s="97"/>
      <c r="F3657" s="97"/>
      <c r="G3657" s="97"/>
      <c r="H3657" s="97"/>
      <c r="I3657" s="97"/>
      <c r="J3657" s="97"/>
      <c r="K3657" s="97"/>
      <c r="L3657" s="195"/>
    </row>
    <row r="3658" spans="1:12" x14ac:dyDescent="0.45">
      <c r="A3658" s="462"/>
      <c r="B3658" s="441"/>
      <c r="C3658" s="194">
        <v>9</v>
      </c>
      <c r="D3658" s="80"/>
      <c r="E3658" s="97"/>
      <c r="F3658" s="97"/>
      <c r="G3658" s="97"/>
      <c r="H3658" s="97"/>
      <c r="I3658" s="97"/>
      <c r="J3658" s="97"/>
      <c r="K3658" s="97"/>
      <c r="L3658" s="195"/>
    </row>
    <row r="3659" spans="1:12" x14ac:dyDescent="0.45">
      <c r="A3659" s="462"/>
      <c r="B3659" s="441"/>
      <c r="C3659" s="194">
        <v>10</v>
      </c>
      <c r="D3659" s="80"/>
      <c r="E3659" s="97"/>
      <c r="F3659" s="97"/>
      <c r="G3659" s="97"/>
      <c r="H3659" s="97"/>
      <c r="I3659" s="97"/>
      <c r="J3659" s="97"/>
      <c r="K3659" s="97"/>
      <c r="L3659" s="195"/>
    </row>
    <row r="3660" spans="1:12" x14ac:dyDescent="0.45">
      <c r="A3660" s="462"/>
      <c r="B3660" s="441"/>
      <c r="C3660" s="194">
        <v>11</v>
      </c>
      <c r="D3660" s="81"/>
      <c r="E3660" s="98"/>
      <c r="F3660" s="98"/>
      <c r="G3660" s="98"/>
      <c r="H3660" s="98"/>
      <c r="I3660" s="98"/>
      <c r="J3660" s="98"/>
      <c r="K3660" s="98"/>
      <c r="L3660" s="196"/>
    </row>
    <row r="3661" spans="1:12" ht="14.65" thickBot="1" x14ac:dyDescent="0.5">
      <c r="A3661" s="462"/>
      <c r="B3661" s="442"/>
      <c r="C3661" s="197">
        <v>12</v>
      </c>
      <c r="D3661" s="82"/>
      <c r="E3661" s="99"/>
      <c r="F3661" s="99"/>
      <c r="G3661" s="99"/>
      <c r="H3661" s="99"/>
      <c r="I3661" s="99"/>
      <c r="J3661" s="99"/>
      <c r="K3661" s="99"/>
      <c r="L3661" s="198"/>
    </row>
    <row r="3662" spans="1:12" x14ac:dyDescent="0.45">
      <c r="A3662" s="462"/>
      <c r="B3662" s="440">
        <v>4</v>
      </c>
      <c r="C3662" s="192">
        <v>1</v>
      </c>
      <c r="D3662" s="79"/>
      <c r="E3662" s="96"/>
      <c r="F3662" s="96"/>
      <c r="G3662" s="96"/>
      <c r="H3662" s="96"/>
      <c r="I3662" s="96"/>
      <c r="J3662" s="96"/>
      <c r="K3662" s="96"/>
      <c r="L3662" s="193"/>
    </row>
    <row r="3663" spans="1:12" x14ac:dyDescent="0.45">
      <c r="A3663" s="462"/>
      <c r="B3663" s="441"/>
      <c r="C3663" s="194">
        <v>2</v>
      </c>
      <c r="D3663" s="80"/>
      <c r="E3663" s="97"/>
      <c r="F3663" s="97"/>
      <c r="G3663" s="97"/>
      <c r="H3663" s="97"/>
      <c r="I3663" s="97"/>
      <c r="J3663" s="97"/>
      <c r="K3663" s="97"/>
      <c r="L3663" s="195"/>
    </row>
    <row r="3664" spans="1:12" x14ac:dyDescent="0.45">
      <c r="A3664" s="462"/>
      <c r="B3664" s="441"/>
      <c r="C3664" s="194">
        <v>3</v>
      </c>
      <c r="D3664" s="80"/>
      <c r="E3664" s="97"/>
      <c r="F3664" s="97"/>
      <c r="G3664" s="97"/>
      <c r="H3664" s="97"/>
      <c r="I3664" s="97"/>
      <c r="J3664" s="97"/>
      <c r="K3664" s="97"/>
      <c r="L3664" s="195"/>
    </row>
    <row r="3665" spans="1:12" x14ac:dyDescent="0.45">
      <c r="A3665" s="462"/>
      <c r="B3665" s="441"/>
      <c r="C3665" s="194">
        <v>4</v>
      </c>
      <c r="D3665" s="80"/>
      <c r="E3665" s="97"/>
      <c r="F3665" s="97"/>
      <c r="G3665" s="97"/>
      <c r="H3665" s="97"/>
      <c r="I3665" s="97"/>
      <c r="J3665" s="97"/>
      <c r="K3665" s="97"/>
      <c r="L3665" s="195"/>
    </row>
    <row r="3666" spans="1:12" x14ac:dyDescent="0.45">
      <c r="A3666" s="462"/>
      <c r="B3666" s="441"/>
      <c r="C3666" s="194">
        <v>5</v>
      </c>
      <c r="D3666" s="80"/>
      <c r="E3666" s="97"/>
      <c r="F3666" s="97"/>
      <c r="G3666" s="97"/>
      <c r="H3666" s="97"/>
      <c r="I3666" s="97"/>
      <c r="J3666" s="97"/>
      <c r="K3666" s="97"/>
      <c r="L3666" s="195"/>
    </row>
    <row r="3667" spans="1:12" x14ac:dyDescent="0.45">
      <c r="A3667" s="462"/>
      <c r="B3667" s="441"/>
      <c r="C3667" s="194">
        <v>6</v>
      </c>
      <c r="D3667" s="80"/>
      <c r="E3667" s="97"/>
      <c r="F3667" s="97"/>
      <c r="G3667" s="97"/>
      <c r="H3667" s="97"/>
      <c r="I3667" s="97"/>
      <c r="J3667" s="97"/>
      <c r="K3667" s="97"/>
      <c r="L3667" s="195"/>
    </row>
    <row r="3668" spans="1:12" x14ac:dyDescent="0.45">
      <c r="A3668" s="462"/>
      <c r="B3668" s="441"/>
      <c r="C3668" s="194">
        <v>7</v>
      </c>
      <c r="D3668" s="80"/>
      <c r="E3668" s="97"/>
      <c r="F3668" s="97"/>
      <c r="G3668" s="97"/>
      <c r="H3668" s="97"/>
      <c r="I3668" s="97"/>
      <c r="J3668" s="97"/>
      <c r="K3668" s="97"/>
      <c r="L3668" s="195"/>
    </row>
    <row r="3669" spans="1:12" x14ac:dyDescent="0.45">
      <c r="A3669" s="462"/>
      <c r="B3669" s="441"/>
      <c r="C3669" s="194">
        <v>8</v>
      </c>
      <c r="D3669" s="80"/>
      <c r="E3669" s="97"/>
      <c r="F3669" s="97"/>
      <c r="G3669" s="97"/>
      <c r="H3669" s="97"/>
      <c r="I3669" s="97"/>
      <c r="J3669" s="97"/>
      <c r="K3669" s="97"/>
      <c r="L3669" s="195"/>
    </row>
    <row r="3670" spans="1:12" x14ac:dyDescent="0.45">
      <c r="A3670" s="462"/>
      <c r="B3670" s="441"/>
      <c r="C3670" s="194">
        <v>9</v>
      </c>
      <c r="D3670" s="80"/>
      <c r="E3670" s="97"/>
      <c r="F3670" s="97"/>
      <c r="G3670" s="97"/>
      <c r="H3670" s="97"/>
      <c r="I3670" s="97"/>
      <c r="J3670" s="97"/>
      <c r="K3670" s="97"/>
      <c r="L3670" s="195"/>
    </row>
    <row r="3671" spans="1:12" x14ac:dyDescent="0.45">
      <c r="A3671" s="462"/>
      <c r="B3671" s="441"/>
      <c r="C3671" s="194">
        <v>10</v>
      </c>
      <c r="D3671" s="80"/>
      <c r="E3671" s="97"/>
      <c r="F3671" s="97"/>
      <c r="G3671" s="97"/>
      <c r="H3671" s="97"/>
      <c r="I3671" s="97"/>
      <c r="J3671" s="97"/>
      <c r="K3671" s="97"/>
      <c r="L3671" s="195"/>
    </row>
    <row r="3672" spans="1:12" x14ac:dyDescent="0.45">
      <c r="A3672" s="462"/>
      <c r="B3672" s="441"/>
      <c r="C3672" s="194">
        <v>11</v>
      </c>
      <c r="D3672" s="81"/>
      <c r="E3672" s="98"/>
      <c r="F3672" s="98"/>
      <c r="G3672" s="98"/>
      <c r="H3672" s="98"/>
      <c r="I3672" s="98"/>
      <c r="J3672" s="98"/>
      <c r="K3672" s="98"/>
      <c r="L3672" s="196"/>
    </row>
    <row r="3673" spans="1:12" ht="14.65" thickBot="1" x14ac:dyDescent="0.5">
      <c r="A3673" s="463"/>
      <c r="B3673" s="442"/>
      <c r="C3673" s="197">
        <v>12</v>
      </c>
      <c r="D3673" s="82"/>
      <c r="E3673" s="99"/>
      <c r="F3673" s="99"/>
      <c r="G3673" s="99"/>
      <c r="H3673" s="99"/>
      <c r="I3673" s="99"/>
      <c r="J3673" s="99"/>
      <c r="K3673" s="99"/>
      <c r="L3673" s="198"/>
    </row>
    <row r="3674" spans="1:12" x14ac:dyDescent="0.45">
      <c r="A3674" s="461">
        <v>2</v>
      </c>
      <c r="B3674" s="440">
        <v>5</v>
      </c>
      <c r="C3674" s="192">
        <v>1</v>
      </c>
      <c r="D3674" s="79"/>
      <c r="E3674" s="96"/>
      <c r="F3674" s="96"/>
      <c r="G3674" s="96"/>
      <c r="H3674" s="96"/>
      <c r="I3674" s="96"/>
      <c r="J3674" s="96"/>
      <c r="K3674" s="96"/>
      <c r="L3674" s="193"/>
    </row>
    <row r="3675" spans="1:12" x14ac:dyDescent="0.45">
      <c r="A3675" s="462"/>
      <c r="B3675" s="441"/>
      <c r="C3675" s="194">
        <v>2</v>
      </c>
      <c r="D3675" s="80"/>
      <c r="E3675" s="97"/>
      <c r="F3675" s="97"/>
      <c r="G3675" s="97"/>
      <c r="H3675" s="97"/>
      <c r="I3675" s="97"/>
      <c r="J3675" s="97"/>
      <c r="K3675" s="97"/>
      <c r="L3675" s="195"/>
    </row>
    <row r="3676" spans="1:12" x14ac:dyDescent="0.45">
      <c r="A3676" s="462"/>
      <c r="B3676" s="441"/>
      <c r="C3676" s="194">
        <v>3</v>
      </c>
      <c r="D3676" s="80"/>
      <c r="E3676" s="97"/>
      <c r="F3676" s="97"/>
      <c r="G3676" s="97"/>
      <c r="H3676" s="97"/>
      <c r="I3676" s="97"/>
      <c r="J3676" s="97"/>
      <c r="K3676" s="97"/>
      <c r="L3676" s="195"/>
    </row>
    <row r="3677" spans="1:12" x14ac:dyDescent="0.45">
      <c r="A3677" s="462"/>
      <c r="B3677" s="441"/>
      <c r="C3677" s="194">
        <v>4</v>
      </c>
      <c r="D3677" s="80"/>
      <c r="E3677" s="97"/>
      <c r="F3677" s="97"/>
      <c r="G3677" s="97"/>
      <c r="H3677" s="97"/>
      <c r="I3677" s="97"/>
      <c r="J3677" s="97"/>
      <c r="K3677" s="97"/>
      <c r="L3677" s="195"/>
    </row>
    <row r="3678" spans="1:12" x14ac:dyDescent="0.45">
      <c r="A3678" s="462"/>
      <c r="B3678" s="441"/>
      <c r="C3678" s="194">
        <v>5</v>
      </c>
      <c r="D3678" s="80"/>
      <c r="E3678" s="97"/>
      <c r="F3678" s="97"/>
      <c r="G3678" s="97"/>
      <c r="H3678" s="97"/>
      <c r="I3678" s="97"/>
      <c r="J3678" s="97"/>
      <c r="K3678" s="97"/>
      <c r="L3678" s="195"/>
    </row>
    <row r="3679" spans="1:12" x14ac:dyDescent="0.45">
      <c r="A3679" s="462"/>
      <c r="B3679" s="441"/>
      <c r="C3679" s="194">
        <v>6</v>
      </c>
      <c r="D3679" s="80"/>
      <c r="E3679" s="97"/>
      <c r="F3679" s="97"/>
      <c r="G3679" s="97"/>
      <c r="H3679" s="97"/>
      <c r="I3679" s="97"/>
      <c r="J3679" s="97"/>
      <c r="K3679" s="97"/>
      <c r="L3679" s="195"/>
    </row>
    <row r="3680" spans="1:12" x14ac:dyDescent="0.45">
      <c r="A3680" s="462"/>
      <c r="B3680" s="441"/>
      <c r="C3680" s="194">
        <v>7</v>
      </c>
      <c r="D3680" s="80"/>
      <c r="E3680" s="97"/>
      <c r="F3680" s="97"/>
      <c r="G3680" s="97"/>
      <c r="H3680" s="97"/>
      <c r="I3680" s="97"/>
      <c r="J3680" s="97"/>
      <c r="K3680" s="97"/>
      <c r="L3680" s="195"/>
    </row>
    <row r="3681" spans="1:12" x14ac:dyDescent="0.45">
      <c r="A3681" s="462"/>
      <c r="B3681" s="441"/>
      <c r="C3681" s="194">
        <v>8</v>
      </c>
      <c r="D3681" s="80"/>
      <c r="E3681" s="97"/>
      <c r="F3681" s="97"/>
      <c r="G3681" s="97"/>
      <c r="H3681" s="97"/>
      <c r="I3681" s="97"/>
      <c r="J3681" s="97"/>
      <c r="K3681" s="97"/>
      <c r="L3681" s="195"/>
    </row>
    <row r="3682" spans="1:12" x14ac:dyDescent="0.45">
      <c r="A3682" s="462"/>
      <c r="B3682" s="441"/>
      <c r="C3682" s="194">
        <v>9</v>
      </c>
      <c r="D3682" s="80"/>
      <c r="E3682" s="97"/>
      <c r="F3682" s="97"/>
      <c r="G3682" s="97"/>
      <c r="H3682" s="97"/>
      <c r="I3682" s="97"/>
      <c r="J3682" s="97"/>
      <c r="K3682" s="97"/>
      <c r="L3682" s="195"/>
    </row>
    <row r="3683" spans="1:12" x14ac:dyDescent="0.45">
      <c r="A3683" s="462"/>
      <c r="B3683" s="441"/>
      <c r="C3683" s="194">
        <v>10</v>
      </c>
      <c r="D3683" s="80"/>
      <c r="E3683" s="97"/>
      <c r="F3683" s="97"/>
      <c r="G3683" s="97"/>
      <c r="H3683" s="97"/>
      <c r="I3683" s="97"/>
      <c r="J3683" s="97"/>
      <c r="K3683" s="97"/>
      <c r="L3683" s="195"/>
    </row>
    <row r="3684" spans="1:12" x14ac:dyDescent="0.45">
      <c r="A3684" s="462"/>
      <c r="B3684" s="441"/>
      <c r="C3684" s="194">
        <v>11</v>
      </c>
      <c r="D3684" s="81"/>
      <c r="E3684" s="98"/>
      <c r="F3684" s="98"/>
      <c r="G3684" s="98"/>
      <c r="H3684" s="98"/>
      <c r="I3684" s="98"/>
      <c r="J3684" s="98"/>
      <c r="K3684" s="98"/>
      <c r="L3684" s="196"/>
    </row>
    <row r="3685" spans="1:12" ht="14.65" thickBot="1" x14ac:dyDescent="0.5">
      <c r="A3685" s="462"/>
      <c r="B3685" s="442"/>
      <c r="C3685" s="197">
        <v>12</v>
      </c>
      <c r="D3685" s="82"/>
      <c r="E3685" s="99"/>
      <c r="F3685" s="99"/>
      <c r="G3685" s="99"/>
      <c r="H3685" s="99"/>
      <c r="I3685" s="99"/>
      <c r="J3685" s="99"/>
      <c r="K3685" s="99"/>
      <c r="L3685" s="198"/>
    </row>
    <row r="3686" spans="1:12" x14ac:dyDescent="0.45">
      <c r="A3686" s="462"/>
      <c r="B3686" s="440">
        <v>6</v>
      </c>
      <c r="C3686" s="192">
        <v>1</v>
      </c>
      <c r="D3686" s="79"/>
      <c r="E3686" s="96"/>
      <c r="F3686" s="96"/>
      <c r="G3686" s="96"/>
      <c r="H3686" s="96"/>
      <c r="I3686" s="96"/>
      <c r="J3686" s="96"/>
      <c r="K3686" s="96"/>
      <c r="L3686" s="193"/>
    </row>
    <row r="3687" spans="1:12" x14ac:dyDescent="0.45">
      <c r="A3687" s="462"/>
      <c r="B3687" s="441"/>
      <c r="C3687" s="194">
        <v>2</v>
      </c>
      <c r="D3687" s="80"/>
      <c r="E3687" s="97"/>
      <c r="F3687" s="97"/>
      <c r="G3687" s="97"/>
      <c r="H3687" s="97"/>
      <c r="I3687" s="97"/>
      <c r="J3687" s="97"/>
      <c r="K3687" s="97"/>
      <c r="L3687" s="195"/>
    </row>
    <row r="3688" spans="1:12" x14ac:dyDescent="0.45">
      <c r="A3688" s="462"/>
      <c r="B3688" s="441"/>
      <c r="C3688" s="194">
        <v>3</v>
      </c>
      <c r="D3688" s="80"/>
      <c r="E3688" s="97"/>
      <c r="F3688" s="97"/>
      <c r="G3688" s="97"/>
      <c r="H3688" s="97"/>
      <c r="I3688" s="97"/>
      <c r="J3688" s="97"/>
      <c r="K3688" s="97"/>
      <c r="L3688" s="195"/>
    </row>
    <row r="3689" spans="1:12" x14ac:dyDescent="0.45">
      <c r="A3689" s="462"/>
      <c r="B3689" s="441"/>
      <c r="C3689" s="194">
        <v>4</v>
      </c>
      <c r="D3689" s="80"/>
      <c r="E3689" s="97"/>
      <c r="F3689" s="97"/>
      <c r="G3689" s="97"/>
      <c r="H3689" s="97"/>
      <c r="I3689" s="97"/>
      <c r="J3689" s="97"/>
      <c r="K3689" s="97"/>
      <c r="L3689" s="195"/>
    </row>
    <row r="3690" spans="1:12" x14ac:dyDescent="0.45">
      <c r="A3690" s="462"/>
      <c r="B3690" s="441"/>
      <c r="C3690" s="194">
        <v>5</v>
      </c>
      <c r="D3690" s="80"/>
      <c r="E3690" s="97"/>
      <c r="F3690" s="97"/>
      <c r="G3690" s="97"/>
      <c r="H3690" s="97"/>
      <c r="I3690" s="97"/>
      <c r="J3690" s="97"/>
      <c r="K3690" s="97"/>
      <c r="L3690" s="195"/>
    </row>
    <row r="3691" spans="1:12" x14ac:dyDescent="0.45">
      <c r="A3691" s="462"/>
      <c r="B3691" s="441"/>
      <c r="C3691" s="194">
        <v>6</v>
      </c>
      <c r="D3691" s="80"/>
      <c r="E3691" s="97"/>
      <c r="F3691" s="97"/>
      <c r="G3691" s="97"/>
      <c r="H3691" s="97"/>
      <c r="I3691" s="97"/>
      <c r="J3691" s="97"/>
      <c r="K3691" s="97"/>
      <c r="L3691" s="195"/>
    </row>
    <row r="3692" spans="1:12" x14ac:dyDescent="0.45">
      <c r="A3692" s="462"/>
      <c r="B3692" s="441"/>
      <c r="C3692" s="194">
        <v>7</v>
      </c>
      <c r="D3692" s="80"/>
      <c r="E3692" s="97"/>
      <c r="F3692" s="97"/>
      <c r="G3692" s="97"/>
      <c r="H3692" s="97"/>
      <c r="I3692" s="97"/>
      <c r="J3692" s="97"/>
      <c r="K3692" s="97"/>
      <c r="L3692" s="195"/>
    </row>
    <row r="3693" spans="1:12" x14ac:dyDescent="0.45">
      <c r="A3693" s="462"/>
      <c r="B3693" s="441"/>
      <c r="C3693" s="194">
        <v>8</v>
      </c>
      <c r="D3693" s="80"/>
      <c r="E3693" s="97"/>
      <c r="F3693" s="97"/>
      <c r="G3693" s="97"/>
      <c r="H3693" s="97"/>
      <c r="I3693" s="97"/>
      <c r="J3693" s="97"/>
      <c r="K3693" s="97"/>
      <c r="L3693" s="195"/>
    </row>
    <row r="3694" spans="1:12" x14ac:dyDescent="0.45">
      <c r="A3694" s="462"/>
      <c r="B3694" s="441"/>
      <c r="C3694" s="194">
        <v>9</v>
      </c>
      <c r="D3694" s="80"/>
      <c r="E3694" s="97"/>
      <c r="F3694" s="97"/>
      <c r="G3694" s="97"/>
      <c r="H3694" s="97"/>
      <c r="I3694" s="97"/>
      <c r="J3694" s="97"/>
      <c r="K3694" s="97"/>
      <c r="L3694" s="195"/>
    </row>
    <row r="3695" spans="1:12" x14ac:dyDescent="0.45">
      <c r="A3695" s="462"/>
      <c r="B3695" s="441"/>
      <c r="C3695" s="194">
        <v>10</v>
      </c>
      <c r="D3695" s="80"/>
      <c r="E3695" s="97"/>
      <c r="F3695" s="97"/>
      <c r="G3695" s="97"/>
      <c r="H3695" s="97"/>
      <c r="I3695" s="97"/>
      <c r="J3695" s="97"/>
      <c r="K3695" s="97"/>
      <c r="L3695" s="195"/>
    </row>
    <row r="3696" spans="1:12" x14ac:dyDescent="0.45">
      <c r="A3696" s="462"/>
      <c r="B3696" s="441"/>
      <c r="C3696" s="194">
        <v>11</v>
      </c>
      <c r="D3696" s="81"/>
      <c r="E3696" s="98"/>
      <c r="F3696" s="98"/>
      <c r="G3696" s="98"/>
      <c r="H3696" s="98"/>
      <c r="I3696" s="98"/>
      <c r="J3696" s="98"/>
      <c r="K3696" s="98"/>
      <c r="L3696" s="196"/>
    </row>
    <row r="3697" spans="1:12" ht="14.65" thickBot="1" x14ac:dyDescent="0.5">
      <c r="A3697" s="462"/>
      <c r="B3697" s="442"/>
      <c r="C3697" s="197">
        <v>12</v>
      </c>
      <c r="D3697" s="82"/>
      <c r="E3697" s="99"/>
      <c r="F3697" s="99"/>
      <c r="G3697" s="99"/>
      <c r="H3697" s="99"/>
      <c r="I3697" s="99"/>
      <c r="J3697" s="99"/>
      <c r="K3697" s="99"/>
      <c r="L3697" s="198"/>
    </row>
    <row r="3698" spans="1:12" x14ac:dyDescent="0.45">
      <c r="A3698" s="462"/>
      <c r="B3698" s="440">
        <v>7</v>
      </c>
      <c r="C3698" s="192">
        <v>1</v>
      </c>
      <c r="D3698" s="79"/>
      <c r="E3698" s="96"/>
      <c r="F3698" s="96"/>
      <c r="G3698" s="96"/>
      <c r="H3698" s="96"/>
      <c r="I3698" s="96"/>
      <c r="J3698" s="96"/>
      <c r="K3698" s="96"/>
      <c r="L3698" s="193"/>
    </row>
    <row r="3699" spans="1:12" x14ac:dyDescent="0.45">
      <c r="A3699" s="462"/>
      <c r="B3699" s="441"/>
      <c r="C3699" s="194">
        <v>2</v>
      </c>
      <c r="D3699" s="80"/>
      <c r="E3699" s="97"/>
      <c r="F3699" s="97"/>
      <c r="G3699" s="97"/>
      <c r="H3699" s="97"/>
      <c r="I3699" s="97"/>
      <c r="J3699" s="97"/>
      <c r="K3699" s="97"/>
      <c r="L3699" s="195"/>
    </row>
    <row r="3700" spans="1:12" x14ac:dyDescent="0.45">
      <c r="A3700" s="462"/>
      <c r="B3700" s="441"/>
      <c r="C3700" s="194">
        <v>3</v>
      </c>
      <c r="D3700" s="80"/>
      <c r="E3700" s="97"/>
      <c r="F3700" s="97"/>
      <c r="G3700" s="97"/>
      <c r="H3700" s="97"/>
      <c r="I3700" s="97"/>
      <c r="J3700" s="97"/>
      <c r="K3700" s="97"/>
      <c r="L3700" s="195"/>
    </row>
    <row r="3701" spans="1:12" x14ac:dyDescent="0.45">
      <c r="A3701" s="462"/>
      <c r="B3701" s="441"/>
      <c r="C3701" s="194">
        <v>4</v>
      </c>
      <c r="D3701" s="80"/>
      <c r="E3701" s="97"/>
      <c r="F3701" s="97"/>
      <c r="G3701" s="97"/>
      <c r="H3701" s="97"/>
      <c r="I3701" s="97"/>
      <c r="J3701" s="97"/>
      <c r="K3701" s="97"/>
      <c r="L3701" s="195"/>
    </row>
    <row r="3702" spans="1:12" x14ac:dyDescent="0.45">
      <c r="A3702" s="462"/>
      <c r="B3702" s="441"/>
      <c r="C3702" s="194">
        <v>5</v>
      </c>
      <c r="D3702" s="80"/>
      <c r="E3702" s="97"/>
      <c r="F3702" s="97"/>
      <c r="G3702" s="97"/>
      <c r="H3702" s="97"/>
      <c r="I3702" s="97"/>
      <c r="J3702" s="97"/>
      <c r="K3702" s="97"/>
      <c r="L3702" s="195"/>
    </row>
    <row r="3703" spans="1:12" x14ac:dyDescent="0.45">
      <c r="A3703" s="462"/>
      <c r="B3703" s="441"/>
      <c r="C3703" s="194">
        <v>6</v>
      </c>
      <c r="D3703" s="80"/>
      <c r="E3703" s="97"/>
      <c r="F3703" s="97"/>
      <c r="G3703" s="97"/>
      <c r="H3703" s="97"/>
      <c r="I3703" s="97"/>
      <c r="J3703" s="97"/>
      <c r="K3703" s="97"/>
      <c r="L3703" s="195"/>
    </row>
    <row r="3704" spans="1:12" x14ac:dyDescent="0.45">
      <c r="A3704" s="462"/>
      <c r="B3704" s="441"/>
      <c r="C3704" s="194">
        <v>7</v>
      </c>
      <c r="D3704" s="80"/>
      <c r="E3704" s="97"/>
      <c r="F3704" s="97"/>
      <c r="G3704" s="97"/>
      <c r="H3704" s="97"/>
      <c r="I3704" s="97"/>
      <c r="J3704" s="97"/>
      <c r="K3704" s="97"/>
      <c r="L3704" s="195"/>
    </row>
    <row r="3705" spans="1:12" x14ac:dyDescent="0.45">
      <c r="A3705" s="462"/>
      <c r="B3705" s="441"/>
      <c r="C3705" s="194">
        <v>8</v>
      </c>
      <c r="D3705" s="80"/>
      <c r="E3705" s="97"/>
      <c r="F3705" s="97"/>
      <c r="G3705" s="97"/>
      <c r="H3705" s="97"/>
      <c r="I3705" s="97"/>
      <c r="J3705" s="97"/>
      <c r="K3705" s="97"/>
      <c r="L3705" s="195"/>
    </row>
    <row r="3706" spans="1:12" x14ac:dyDescent="0.45">
      <c r="A3706" s="462"/>
      <c r="B3706" s="441"/>
      <c r="C3706" s="194">
        <v>9</v>
      </c>
      <c r="D3706" s="80"/>
      <c r="E3706" s="97"/>
      <c r="F3706" s="97"/>
      <c r="G3706" s="97"/>
      <c r="H3706" s="97"/>
      <c r="I3706" s="97"/>
      <c r="J3706" s="97"/>
      <c r="K3706" s="97"/>
      <c r="L3706" s="195"/>
    </row>
    <row r="3707" spans="1:12" x14ac:dyDescent="0.45">
      <c r="A3707" s="462"/>
      <c r="B3707" s="441"/>
      <c r="C3707" s="194">
        <v>10</v>
      </c>
      <c r="D3707" s="80"/>
      <c r="E3707" s="97"/>
      <c r="F3707" s="97"/>
      <c r="G3707" s="97"/>
      <c r="H3707" s="97"/>
      <c r="I3707" s="97"/>
      <c r="J3707" s="97"/>
      <c r="K3707" s="97"/>
      <c r="L3707" s="195"/>
    </row>
    <row r="3708" spans="1:12" x14ac:dyDescent="0.45">
      <c r="A3708" s="462"/>
      <c r="B3708" s="441"/>
      <c r="C3708" s="194">
        <v>11</v>
      </c>
      <c r="D3708" s="81"/>
      <c r="E3708" s="98"/>
      <c r="F3708" s="98"/>
      <c r="G3708" s="98"/>
      <c r="H3708" s="98"/>
      <c r="I3708" s="98"/>
      <c r="J3708" s="98"/>
      <c r="K3708" s="98"/>
      <c r="L3708" s="196"/>
    </row>
    <row r="3709" spans="1:12" ht="14.65" thickBot="1" x14ac:dyDescent="0.5">
      <c r="A3709" s="462"/>
      <c r="B3709" s="442"/>
      <c r="C3709" s="197">
        <v>12</v>
      </c>
      <c r="D3709" s="82"/>
      <c r="E3709" s="99"/>
      <c r="F3709" s="99"/>
      <c r="G3709" s="99"/>
      <c r="H3709" s="99"/>
      <c r="I3709" s="99"/>
      <c r="J3709" s="99"/>
      <c r="K3709" s="99"/>
      <c r="L3709" s="198"/>
    </row>
    <row r="3710" spans="1:12" x14ac:dyDescent="0.45">
      <c r="A3710" s="462"/>
      <c r="B3710" s="440">
        <v>8</v>
      </c>
      <c r="C3710" s="192">
        <v>1</v>
      </c>
      <c r="D3710" s="79"/>
      <c r="E3710" s="96"/>
      <c r="F3710" s="96"/>
      <c r="G3710" s="96"/>
      <c r="H3710" s="96"/>
      <c r="I3710" s="96"/>
      <c r="J3710" s="96"/>
      <c r="K3710" s="96"/>
      <c r="L3710" s="193"/>
    </row>
    <row r="3711" spans="1:12" x14ac:dyDescent="0.45">
      <c r="A3711" s="462"/>
      <c r="B3711" s="441"/>
      <c r="C3711" s="194">
        <v>2</v>
      </c>
      <c r="D3711" s="80"/>
      <c r="E3711" s="97"/>
      <c r="F3711" s="97"/>
      <c r="G3711" s="97"/>
      <c r="H3711" s="97"/>
      <c r="I3711" s="97"/>
      <c r="J3711" s="97"/>
      <c r="K3711" s="97"/>
      <c r="L3711" s="195"/>
    </row>
    <row r="3712" spans="1:12" x14ac:dyDescent="0.45">
      <c r="A3712" s="462"/>
      <c r="B3712" s="441"/>
      <c r="C3712" s="194">
        <v>3</v>
      </c>
      <c r="D3712" s="80"/>
      <c r="E3712" s="97"/>
      <c r="F3712" s="97"/>
      <c r="G3712" s="97"/>
      <c r="H3712" s="97"/>
      <c r="I3712" s="97"/>
      <c r="J3712" s="97"/>
      <c r="K3712" s="97"/>
      <c r="L3712" s="195"/>
    </row>
    <row r="3713" spans="1:12" x14ac:dyDescent="0.45">
      <c r="A3713" s="462"/>
      <c r="B3713" s="441"/>
      <c r="C3713" s="194">
        <v>4</v>
      </c>
      <c r="D3713" s="80"/>
      <c r="E3713" s="97"/>
      <c r="F3713" s="97"/>
      <c r="G3713" s="97"/>
      <c r="H3713" s="97"/>
      <c r="I3713" s="97"/>
      <c r="J3713" s="97"/>
      <c r="K3713" s="97"/>
      <c r="L3713" s="195"/>
    </row>
    <row r="3714" spans="1:12" x14ac:dyDescent="0.45">
      <c r="A3714" s="462"/>
      <c r="B3714" s="441"/>
      <c r="C3714" s="194">
        <v>5</v>
      </c>
      <c r="D3714" s="80"/>
      <c r="E3714" s="97"/>
      <c r="F3714" s="97"/>
      <c r="G3714" s="97"/>
      <c r="H3714" s="97"/>
      <c r="I3714" s="97"/>
      <c r="J3714" s="97"/>
      <c r="K3714" s="97"/>
      <c r="L3714" s="195"/>
    </row>
    <row r="3715" spans="1:12" x14ac:dyDescent="0.45">
      <c r="A3715" s="462"/>
      <c r="B3715" s="441"/>
      <c r="C3715" s="194">
        <v>6</v>
      </c>
      <c r="D3715" s="80"/>
      <c r="E3715" s="97"/>
      <c r="F3715" s="97"/>
      <c r="G3715" s="97"/>
      <c r="H3715" s="97"/>
      <c r="I3715" s="97"/>
      <c r="J3715" s="97"/>
      <c r="K3715" s="97"/>
      <c r="L3715" s="195"/>
    </row>
    <row r="3716" spans="1:12" x14ac:dyDescent="0.45">
      <c r="A3716" s="462"/>
      <c r="B3716" s="441"/>
      <c r="C3716" s="194">
        <v>7</v>
      </c>
      <c r="D3716" s="80"/>
      <c r="E3716" s="97"/>
      <c r="F3716" s="97"/>
      <c r="G3716" s="97"/>
      <c r="H3716" s="97"/>
      <c r="I3716" s="97"/>
      <c r="J3716" s="97"/>
      <c r="K3716" s="97"/>
      <c r="L3716" s="195"/>
    </row>
    <row r="3717" spans="1:12" x14ac:dyDescent="0.45">
      <c r="A3717" s="462"/>
      <c r="B3717" s="441"/>
      <c r="C3717" s="194">
        <v>8</v>
      </c>
      <c r="D3717" s="80"/>
      <c r="E3717" s="97"/>
      <c r="F3717" s="97"/>
      <c r="G3717" s="97"/>
      <c r="H3717" s="97"/>
      <c r="I3717" s="97"/>
      <c r="J3717" s="97"/>
      <c r="K3717" s="97"/>
      <c r="L3717" s="195"/>
    </row>
    <row r="3718" spans="1:12" x14ac:dyDescent="0.45">
      <c r="A3718" s="462"/>
      <c r="B3718" s="441"/>
      <c r="C3718" s="194">
        <v>9</v>
      </c>
      <c r="D3718" s="80"/>
      <c r="E3718" s="97"/>
      <c r="F3718" s="97"/>
      <c r="G3718" s="97"/>
      <c r="H3718" s="97"/>
      <c r="I3718" s="97"/>
      <c r="J3718" s="97"/>
      <c r="K3718" s="97"/>
      <c r="L3718" s="195"/>
    </row>
    <row r="3719" spans="1:12" x14ac:dyDescent="0.45">
      <c r="A3719" s="462"/>
      <c r="B3719" s="441"/>
      <c r="C3719" s="194">
        <v>10</v>
      </c>
      <c r="D3719" s="80"/>
      <c r="E3719" s="97"/>
      <c r="F3719" s="97"/>
      <c r="G3719" s="97"/>
      <c r="H3719" s="97"/>
      <c r="I3719" s="97"/>
      <c r="J3719" s="97"/>
      <c r="K3719" s="97"/>
      <c r="L3719" s="195"/>
    </row>
    <row r="3720" spans="1:12" x14ac:dyDescent="0.45">
      <c r="A3720" s="462"/>
      <c r="B3720" s="441"/>
      <c r="C3720" s="194">
        <v>11</v>
      </c>
      <c r="D3720" s="81"/>
      <c r="E3720" s="98"/>
      <c r="F3720" s="98"/>
      <c r="G3720" s="98"/>
      <c r="H3720" s="98"/>
      <c r="I3720" s="98"/>
      <c r="J3720" s="98"/>
      <c r="K3720" s="98"/>
      <c r="L3720" s="196"/>
    </row>
    <row r="3721" spans="1:12" ht="14.65" thickBot="1" x14ac:dyDescent="0.5">
      <c r="A3721" s="463"/>
      <c r="B3721" s="442"/>
      <c r="C3721" s="197">
        <v>12</v>
      </c>
      <c r="D3721" s="82"/>
      <c r="E3721" s="99"/>
      <c r="F3721" s="99"/>
      <c r="G3721" s="99"/>
      <c r="H3721" s="99"/>
      <c r="I3721" s="99"/>
      <c r="J3721" s="99"/>
      <c r="K3721" s="99"/>
      <c r="L3721" s="198"/>
    </row>
    <row r="3722" spans="1:12" x14ac:dyDescent="0.45">
      <c r="A3722" s="461">
        <v>3</v>
      </c>
      <c r="B3722" s="440">
        <v>9</v>
      </c>
      <c r="C3722" s="192">
        <v>1</v>
      </c>
      <c r="D3722" s="79"/>
      <c r="E3722" s="96"/>
      <c r="F3722" s="96"/>
      <c r="G3722" s="96"/>
      <c r="H3722" s="96"/>
      <c r="I3722" s="96"/>
      <c r="J3722" s="96"/>
      <c r="K3722" s="96"/>
      <c r="L3722" s="193"/>
    </row>
    <row r="3723" spans="1:12" x14ac:dyDescent="0.45">
      <c r="A3723" s="462"/>
      <c r="B3723" s="441"/>
      <c r="C3723" s="194">
        <v>2</v>
      </c>
      <c r="D3723" s="80"/>
      <c r="E3723" s="97"/>
      <c r="F3723" s="97"/>
      <c r="G3723" s="97"/>
      <c r="H3723" s="97"/>
      <c r="I3723" s="97"/>
      <c r="J3723" s="97"/>
      <c r="K3723" s="97"/>
      <c r="L3723" s="195"/>
    </row>
    <row r="3724" spans="1:12" x14ac:dyDescent="0.45">
      <c r="A3724" s="462"/>
      <c r="B3724" s="441"/>
      <c r="C3724" s="194">
        <v>3</v>
      </c>
      <c r="D3724" s="80"/>
      <c r="E3724" s="97"/>
      <c r="F3724" s="97"/>
      <c r="G3724" s="97"/>
      <c r="H3724" s="97"/>
      <c r="I3724" s="97"/>
      <c r="J3724" s="97"/>
      <c r="K3724" s="97"/>
      <c r="L3724" s="195"/>
    </row>
    <row r="3725" spans="1:12" x14ac:dyDescent="0.45">
      <c r="A3725" s="462"/>
      <c r="B3725" s="441"/>
      <c r="C3725" s="194">
        <v>4</v>
      </c>
      <c r="D3725" s="80"/>
      <c r="E3725" s="97"/>
      <c r="F3725" s="97"/>
      <c r="G3725" s="97"/>
      <c r="H3725" s="97"/>
      <c r="I3725" s="97"/>
      <c r="J3725" s="97"/>
      <c r="K3725" s="97"/>
      <c r="L3725" s="195"/>
    </row>
    <row r="3726" spans="1:12" x14ac:dyDescent="0.45">
      <c r="A3726" s="462"/>
      <c r="B3726" s="441"/>
      <c r="C3726" s="194">
        <v>5</v>
      </c>
      <c r="D3726" s="80"/>
      <c r="E3726" s="97"/>
      <c r="F3726" s="97"/>
      <c r="G3726" s="97"/>
      <c r="H3726" s="97"/>
      <c r="I3726" s="97"/>
      <c r="J3726" s="97"/>
      <c r="K3726" s="97"/>
      <c r="L3726" s="195"/>
    </row>
    <row r="3727" spans="1:12" x14ac:dyDescent="0.45">
      <c r="A3727" s="462"/>
      <c r="B3727" s="441"/>
      <c r="C3727" s="194">
        <v>6</v>
      </c>
      <c r="D3727" s="80"/>
      <c r="E3727" s="97"/>
      <c r="F3727" s="97"/>
      <c r="G3727" s="97"/>
      <c r="H3727" s="97"/>
      <c r="I3727" s="97"/>
      <c r="J3727" s="97"/>
      <c r="K3727" s="97"/>
      <c r="L3727" s="195"/>
    </row>
    <row r="3728" spans="1:12" x14ac:dyDescent="0.45">
      <c r="A3728" s="462"/>
      <c r="B3728" s="441"/>
      <c r="C3728" s="194">
        <v>7</v>
      </c>
      <c r="D3728" s="80"/>
      <c r="E3728" s="97"/>
      <c r="F3728" s="97"/>
      <c r="G3728" s="97"/>
      <c r="H3728" s="97"/>
      <c r="I3728" s="97"/>
      <c r="J3728" s="97"/>
      <c r="K3728" s="97"/>
      <c r="L3728" s="195"/>
    </row>
    <row r="3729" spans="1:12" x14ac:dyDescent="0.45">
      <c r="A3729" s="462"/>
      <c r="B3729" s="441"/>
      <c r="C3729" s="194">
        <v>8</v>
      </c>
      <c r="D3729" s="80"/>
      <c r="E3729" s="97"/>
      <c r="F3729" s="97"/>
      <c r="G3729" s="97"/>
      <c r="H3729" s="97"/>
      <c r="I3729" s="97"/>
      <c r="J3729" s="97"/>
      <c r="K3729" s="97"/>
      <c r="L3729" s="195"/>
    </row>
    <row r="3730" spans="1:12" x14ac:dyDescent="0.45">
      <c r="A3730" s="462"/>
      <c r="B3730" s="441"/>
      <c r="C3730" s="194">
        <v>9</v>
      </c>
      <c r="D3730" s="80"/>
      <c r="E3730" s="97"/>
      <c r="F3730" s="97"/>
      <c r="G3730" s="97"/>
      <c r="H3730" s="97"/>
      <c r="I3730" s="97"/>
      <c r="J3730" s="97"/>
      <c r="K3730" s="97"/>
      <c r="L3730" s="195"/>
    </row>
    <row r="3731" spans="1:12" x14ac:dyDescent="0.45">
      <c r="A3731" s="462"/>
      <c r="B3731" s="441"/>
      <c r="C3731" s="194">
        <v>10</v>
      </c>
      <c r="D3731" s="80"/>
      <c r="E3731" s="97"/>
      <c r="F3731" s="97"/>
      <c r="G3731" s="97"/>
      <c r="H3731" s="97"/>
      <c r="I3731" s="97"/>
      <c r="J3731" s="97"/>
      <c r="K3731" s="97"/>
      <c r="L3731" s="195"/>
    </row>
    <row r="3732" spans="1:12" x14ac:dyDescent="0.45">
      <c r="A3732" s="462"/>
      <c r="B3732" s="441"/>
      <c r="C3732" s="194">
        <v>11</v>
      </c>
      <c r="D3732" s="81"/>
      <c r="E3732" s="98"/>
      <c r="F3732" s="98"/>
      <c r="G3732" s="98"/>
      <c r="H3732" s="98"/>
      <c r="I3732" s="98"/>
      <c r="J3732" s="98"/>
      <c r="K3732" s="98"/>
      <c r="L3732" s="196"/>
    </row>
    <row r="3733" spans="1:12" ht="14.65" thickBot="1" x14ac:dyDescent="0.5">
      <c r="A3733" s="462"/>
      <c r="B3733" s="442"/>
      <c r="C3733" s="197">
        <v>12</v>
      </c>
      <c r="D3733" s="82"/>
      <c r="E3733" s="99"/>
      <c r="F3733" s="99"/>
      <c r="G3733" s="99"/>
      <c r="H3733" s="99"/>
      <c r="I3733" s="99"/>
      <c r="J3733" s="99"/>
      <c r="K3733" s="99"/>
      <c r="L3733" s="198"/>
    </row>
    <row r="3734" spans="1:12" x14ac:dyDescent="0.45">
      <c r="A3734" s="462"/>
      <c r="B3734" s="440">
        <v>10</v>
      </c>
      <c r="C3734" s="192">
        <v>1</v>
      </c>
      <c r="D3734" s="79"/>
      <c r="E3734" s="96"/>
      <c r="F3734" s="96"/>
      <c r="G3734" s="96"/>
      <c r="H3734" s="96"/>
      <c r="I3734" s="96"/>
      <c r="J3734" s="96"/>
      <c r="K3734" s="96"/>
      <c r="L3734" s="193"/>
    </row>
    <row r="3735" spans="1:12" x14ac:dyDescent="0.45">
      <c r="A3735" s="462"/>
      <c r="B3735" s="441"/>
      <c r="C3735" s="194">
        <v>2</v>
      </c>
      <c r="D3735" s="80"/>
      <c r="E3735" s="97"/>
      <c r="F3735" s="97"/>
      <c r="G3735" s="97"/>
      <c r="H3735" s="97"/>
      <c r="I3735" s="97"/>
      <c r="J3735" s="97"/>
      <c r="K3735" s="97"/>
      <c r="L3735" s="195"/>
    </row>
    <row r="3736" spans="1:12" x14ac:dyDescent="0.45">
      <c r="A3736" s="462"/>
      <c r="B3736" s="441"/>
      <c r="C3736" s="194">
        <v>3</v>
      </c>
      <c r="D3736" s="80"/>
      <c r="E3736" s="97"/>
      <c r="F3736" s="97"/>
      <c r="G3736" s="97"/>
      <c r="H3736" s="97"/>
      <c r="I3736" s="97"/>
      <c r="J3736" s="97"/>
      <c r="K3736" s="97"/>
      <c r="L3736" s="195"/>
    </row>
    <row r="3737" spans="1:12" x14ac:dyDescent="0.45">
      <c r="A3737" s="462"/>
      <c r="B3737" s="441"/>
      <c r="C3737" s="194">
        <v>4</v>
      </c>
      <c r="D3737" s="80"/>
      <c r="E3737" s="97"/>
      <c r="F3737" s="97"/>
      <c r="G3737" s="97"/>
      <c r="H3737" s="97"/>
      <c r="I3737" s="97"/>
      <c r="J3737" s="97"/>
      <c r="K3737" s="97"/>
      <c r="L3737" s="195"/>
    </row>
    <row r="3738" spans="1:12" x14ac:dyDescent="0.45">
      <c r="A3738" s="462"/>
      <c r="B3738" s="441"/>
      <c r="C3738" s="194">
        <v>5</v>
      </c>
      <c r="D3738" s="80"/>
      <c r="E3738" s="97"/>
      <c r="F3738" s="97"/>
      <c r="G3738" s="97"/>
      <c r="H3738" s="97"/>
      <c r="I3738" s="97"/>
      <c r="J3738" s="97"/>
      <c r="K3738" s="97"/>
      <c r="L3738" s="195"/>
    </row>
    <row r="3739" spans="1:12" x14ac:dyDescent="0.45">
      <c r="A3739" s="462"/>
      <c r="B3739" s="441"/>
      <c r="C3739" s="194">
        <v>6</v>
      </c>
      <c r="D3739" s="80"/>
      <c r="E3739" s="97"/>
      <c r="F3739" s="97"/>
      <c r="G3739" s="97"/>
      <c r="H3739" s="97"/>
      <c r="I3739" s="97"/>
      <c r="J3739" s="97"/>
      <c r="K3739" s="97"/>
      <c r="L3739" s="195"/>
    </row>
    <row r="3740" spans="1:12" x14ac:dyDescent="0.45">
      <c r="A3740" s="462"/>
      <c r="B3740" s="441"/>
      <c r="C3740" s="194">
        <v>7</v>
      </c>
      <c r="D3740" s="80"/>
      <c r="E3740" s="97"/>
      <c r="F3740" s="97"/>
      <c r="G3740" s="97"/>
      <c r="H3740" s="97"/>
      <c r="I3740" s="97"/>
      <c r="J3740" s="97"/>
      <c r="K3740" s="97"/>
      <c r="L3740" s="195"/>
    </row>
    <row r="3741" spans="1:12" x14ac:dyDescent="0.45">
      <c r="A3741" s="462"/>
      <c r="B3741" s="441"/>
      <c r="C3741" s="194">
        <v>8</v>
      </c>
      <c r="D3741" s="80"/>
      <c r="E3741" s="97"/>
      <c r="F3741" s="97"/>
      <c r="G3741" s="97"/>
      <c r="H3741" s="97"/>
      <c r="I3741" s="97"/>
      <c r="J3741" s="97"/>
      <c r="K3741" s="97"/>
      <c r="L3741" s="195"/>
    </row>
    <row r="3742" spans="1:12" x14ac:dyDescent="0.45">
      <c r="A3742" s="462"/>
      <c r="B3742" s="441"/>
      <c r="C3742" s="194">
        <v>9</v>
      </c>
      <c r="D3742" s="80"/>
      <c r="E3742" s="97"/>
      <c r="F3742" s="97"/>
      <c r="G3742" s="97"/>
      <c r="H3742" s="97"/>
      <c r="I3742" s="97"/>
      <c r="J3742" s="97"/>
      <c r="K3742" s="97"/>
      <c r="L3742" s="195"/>
    </row>
    <row r="3743" spans="1:12" x14ac:dyDescent="0.45">
      <c r="A3743" s="462"/>
      <c r="B3743" s="441"/>
      <c r="C3743" s="194">
        <v>10</v>
      </c>
      <c r="D3743" s="80"/>
      <c r="E3743" s="97"/>
      <c r="F3743" s="97"/>
      <c r="G3743" s="97"/>
      <c r="H3743" s="97"/>
      <c r="I3743" s="97"/>
      <c r="J3743" s="97"/>
      <c r="K3743" s="97"/>
      <c r="L3743" s="195"/>
    </row>
    <row r="3744" spans="1:12" x14ac:dyDescent="0.45">
      <c r="A3744" s="462"/>
      <c r="B3744" s="441"/>
      <c r="C3744" s="194">
        <v>11</v>
      </c>
      <c r="D3744" s="81"/>
      <c r="E3744" s="98"/>
      <c r="F3744" s="98"/>
      <c r="G3744" s="98"/>
      <c r="H3744" s="98"/>
      <c r="I3744" s="98"/>
      <c r="J3744" s="98"/>
      <c r="K3744" s="98"/>
      <c r="L3744" s="196"/>
    </row>
    <row r="3745" spans="1:12" ht="14.65" thickBot="1" x14ac:dyDescent="0.5">
      <c r="A3745" s="462"/>
      <c r="B3745" s="442"/>
      <c r="C3745" s="197">
        <v>12</v>
      </c>
      <c r="D3745" s="82"/>
      <c r="E3745" s="99"/>
      <c r="F3745" s="99"/>
      <c r="G3745" s="99"/>
      <c r="H3745" s="99"/>
      <c r="I3745" s="99"/>
      <c r="J3745" s="99"/>
      <c r="K3745" s="99"/>
      <c r="L3745" s="198"/>
    </row>
    <row r="3746" spans="1:12" x14ac:dyDescent="0.45">
      <c r="A3746" s="462"/>
      <c r="B3746" s="440">
        <v>11</v>
      </c>
      <c r="C3746" s="192">
        <v>1</v>
      </c>
      <c r="D3746" s="79"/>
      <c r="E3746" s="96"/>
      <c r="F3746" s="96"/>
      <c r="G3746" s="96"/>
      <c r="H3746" s="96"/>
      <c r="I3746" s="96"/>
      <c r="J3746" s="96"/>
      <c r="K3746" s="96"/>
      <c r="L3746" s="193"/>
    </row>
    <row r="3747" spans="1:12" x14ac:dyDescent="0.45">
      <c r="A3747" s="462"/>
      <c r="B3747" s="441"/>
      <c r="C3747" s="194">
        <v>2</v>
      </c>
      <c r="D3747" s="80"/>
      <c r="E3747" s="97"/>
      <c r="F3747" s="97"/>
      <c r="G3747" s="97"/>
      <c r="H3747" s="97"/>
      <c r="I3747" s="97"/>
      <c r="J3747" s="97"/>
      <c r="K3747" s="97"/>
      <c r="L3747" s="195"/>
    </row>
    <row r="3748" spans="1:12" x14ac:dyDescent="0.45">
      <c r="A3748" s="462"/>
      <c r="B3748" s="441"/>
      <c r="C3748" s="194">
        <v>3</v>
      </c>
      <c r="D3748" s="80"/>
      <c r="E3748" s="97"/>
      <c r="F3748" s="97"/>
      <c r="G3748" s="97"/>
      <c r="H3748" s="97"/>
      <c r="I3748" s="97"/>
      <c r="J3748" s="97"/>
      <c r="K3748" s="97"/>
      <c r="L3748" s="195"/>
    </row>
    <row r="3749" spans="1:12" x14ac:dyDescent="0.45">
      <c r="A3749" s="462"/>
      <c r="B3749" s="441"/>
      <c r="C3749" s="194">
        <v>4</v>
      </c>
      <c r="D3749" s="80"/>
      <c r="E3749" s="97"/>
      <c r="F3749" s="97"/>
      <c r="G3749" s="97"/>
      <c r="H3749" s="97"/>
      <c r="I3749" s="97"/>
      <c r="J3749" s="97"/>
      <c r="K3749" s="97"/>
      <c r="L3749" s="195"/>
    </row>
    <row r="3750" spans="1:12" x14ac:dyDescent="0.45">
      <c r="A3750" s="462"/>
      <c r="B3750" s="441"/>
      <c r="C3750" s="194">
        <v>5</v>
      </c>
      <c r="D3750" s="80"/>
      <c r="E3750" s="97"/>
      <c r="F3750" s="97"/>
      <c r="G3750" s="97"/>
      <c r="H3750" s="97"/>
      <c r="I3750" s="97"/>
      <c r="J3750" s="97"/>
      <c r="K3750" s="97"/>
      <c r="L3750" s="195"/>
    </row>
    <row r="3751" spans="1:12" x14ac:dyDescent="0.45">
      <c r="A3751" s="462"/>
      <c r="B3751" s="441"/>
      <c r="C3751" s="194">
        <v>6</v>
      </c>
      <c r="D3751" s="80"/>
      <c r="E3751" s="97"/>
      <c r="F3751" s="97"/>
      <c r="G3751" s="97"/>
      <c r="H3751" s="97"/>
      <c r="I3751" s="97"/>
      <c r="J3751" s="97"/>
      <c r="K3751" s="97"/>
      <c r="L3751" s="195"/>
    </row>
    <row r="3752" spans="1:12" x14ac:dyDescent="0.45">
      <c r="A3752" s="462"/>
      <c r="B3752" s="441"/>
      <c r="C3752" s="194">
        <v>7</v>
      </c>
      <c r="D3752" s="80"/>
      <c r="E3752" s="97"/>
      <c r="F3752" s="97"/>
      <c r="G3752" s="97"/>
      <c r="H3752" s="97"/>
      <c r="I3752" s="97"/>
      <c r="J3752" s="97"/>
      <c r="K3752" s="97"/>
      <c r="L3752" s="195"/>
    </row>
    <row r="3753" spans="1:12" x14ac:dyDescent="0.45">
      <c r="A3753" s="462"/>
      <c r="B3753" s="441"/>
      <c r="C3753" s="194">
        <v>8</v>
      </c>
      <c r="D3753" s="80"/>
      <c r="E3753" s="97"/>
      <c r="F3753" s="97"/>
      <c r="G3753" s="97"/>
      <c r="H3753" s="97"/>
      <c r="I3753" s="97"/>
      <c r="J3753" s="97"/>
      <c r="K3753" s="97"/>
      <c r="L3753" s="195"/>
    </row>
    <row r="3754" spans="1:12" x14ac:dyDescent="0.45">
      <c r="A3754" s="462"/>
      <c r="B3754" s="441"/>
      <c r="C3754" s="194">
        <v>9</v>
      </c>
      <c r="D3754" s="80"/>
      <c r="E3754" s="97"/>
      <c r="F3754" s="97"/>
      <c r="G3754" s="97"/>
      <c r="H3754" s="97"/>
      <c r="I3754" s="97"/>
      <c r="J3754" s="97"/>
      <c r="K3754" s="97"/>
      <c r="L3754" s="195"/>
    </row>
    <row r="3755" spans="1:12" x14ac:dyDescent="0.45">
      <c r="A3755" s="462"/>
      <c r="B3755" s="441"/>
      <c r="C3755" s="194">
        <v>10</v>
      </c>
      <c r="D3755" s="80"/>
      <c r="E3755" s="97"/>
      <c r="F3755" s="97"/>
      <c r="G3755" s="97"/>
      <c r="H3755" s="97"/>
      <c r="I3755" s="97"/>
      <c r="J3755" s="97"/>
      <c r="K3755" s="97"/>
      <c r="L3755" s="195"/>
    </row>
    <row r="3756" spans="1:12" x14ac:dyDescent="0.45">
      <c r="A3756" s="462"/>
      <c r="B3756" s="441"/>
      <c r="C3756" s="194">
        <v>11</v>
      </c>
      <c r="D3756" s="81"/>
      <c r="E3756" s="98"/>
      <c r="F3756" s="98"/>
      <c r="G3756" s="98"/>
      <c r="H3756" s="98"/>
      <c r="I3756" s="98"/>
      <c r="J3756" s="98"/>
      <c r="K3756" s="98"/>
      <c r="L3756" s="196"/>
    </row>
    <row r="3757" spans="1:12" ht="14.65" thickBot="1" x14ac:dyDescent="0.5">
      <c r="A3757" s="462"/>
      <c r="B3757" s="442"/>
      <c r="C3757" s="197">
        <v>12</v>
      </c>
      <c r="D3757" s="82"/>
      <c r="E3757" s="99"/>
      <c r="F3757" s="99"/>
      <c r="G3757" s="99"/>
      <c r="H3757" s="99"/>
      <c r="I3757" s="99"/>
      <c r="J3757" s="99"/>
      <c r="K3757" s="99"/>
      <c r="L3757" s="198"/>
    </row>
    <row r="3758" spans="1:12" x14ac:dyDescent="0.45">
      <c r="A3758" s="462"/>
      <c r="B3758" s="440">
        <v>12</v>
      </c>
      <c r="C3758" s="192">
        <v>1</v>
      </c>
      <c r="D3758" s="79"/>
      <c r="E3758" s="96"/>
      <c r="F3758" s="96"/>
      <c r="G3758" s="96"/>
      <c r="H3758" s="96"/>
      <c r="I3758" s="96"/>
      <c r="J3758" s="96"/>
      <c r="K3758" s="96"/>
      <c r="L3758" s="193"/>
    </row>
    <row r="3759" spans="1:12" x14ac:dyDescent="0.45">
      <c r="A3759" s="462"/>
      <c r="B3759" s="441"/>
      <c r="C3759" s="194">
        <v>2</v>
      </c>
      <c r="D3759" s="80"/>
      <c r="E3759" s="97"/>
      <c r="F3759" s="97"/>
      <c r="G3759" s="97"/>
      <c r="H3759" s="97"/>
      <c r="I3759" s="97"/>
      <c r="J3759" s="97"/>
      <c r="K3759" s="97"/>
      <c r="L3759" s="195"/>
    </row>
    <row r="3760" spans="1:12" x14ac:dyDescent="0.45">
      <c r="A3760" s="462"/>
      <c r="B3760" s="441"/>
      <c r="C3760" s="194">
        <v>3</v>
      </c>
      <c r="D3760" s="80"/>
      <c r="E3760" s="97"/>
      <c r="F3760" s="97"/>
      <c r="G3760" s="97"/>
      <c r="H3760" s="97"/>
      <c r="I3760" s="97"/>
      <c r="J3760" s="97"/>
      <c r="K3760" s="97"/>
      <c r="L3760" s="195"/>
    </row>
    <row r="3761" spans="1:12" x14ac:dyDescent="0.45">
      <c r="A3761" s="462"/>
      <c r="B3761" s="441"/>
      <c r="C3761" s="194">
        <v>4</v>
      </c>
      <c r="D3761" s="80"/>
      <c r="E3761" s="97"/>
      <c r="F3761" s="97"/>
      <c r="G3761" s="97"/>
      <c r="H3761" s="97"/>
      <c r="I3761" s="97"/>
      <c r="J3761" s="97"/>
      <c r="K3761" s="97"/>
      <c r="L3761" s="195"/>
    </row>
    <row r="3762" spans="1:12" x14ac:dyDescent="0.45">
      <c r="A3762" s="462"/>
      <c r="B3762" s="441"/>
      <c r="C3762" s="194">
        <v>5</v>
      </c>
      <c r="D3762" s="80"/>
      <c r="E3762" s="97"/>
      <c r="F3762" s="97"/>
      <c r="G3762" s="97"/>
      <c r="H3762" s="97"/>
      <c r="I3762" s="97"/>
      <c r="J3762" s="97"/>
      <c r="K3762" s="97"/>
      <c r="L3762" s="195"/>
    </row>
    <row r="3763" spans="1:12" x14ac:dyDescent="0.45">
      <c r="A3763" s="462"/>
      <c r="B3763" s="441"/>
      <c r="C3763" s="194">
        <v>6</v>
      </c>
      <c r="D3763" s="80"/>
      <c r="E3763" s="97"/>
      <c r="F3763" s="97"/>
      <c r="G3763" s="97"/>
      <c r="H3763" s="97"/>
      <c r="I3763" s="97"/>
      <c r="J3763" s="97"/>
      <c r="K3763" s="97"/>
      <c r="L3763" s="195"/>
    </row>
    <row r="3764" spans="1:12" x14ac:dyDescent="0.45">
      <c r="A3764" s="462"/>
      <c r="B3764" s="441"/>
      <c r="C3764" s="194">
        <v>7</v>
      </c>
      <c r="D3764" s="80"/>
      <c r="E3764" s="97"/>
      <c r="F3764" s="97"/>
      <c r="G3764" s="97"/>
      <c r="H3764" s="97"/>
      <c r="I3764" s="97"/>
      <c r="J3764" s="97"/>
      <c r="K3764" s="97"/>
      <c r="L3764" s="195"/>
    </row>
    <row r="3765" spans="1:12" x14ac:dyDescent="0.45">
      <c r="A3765" s="462"/>
      <c r="B3765" s="441"/>
      <c r="C3765" s="194">
        <v>8</v>
      </c>
      <c r="D3765" s="80"/>
      <c r="E3765" s="97"/>
      <c r="F3765" s="97"/>
      <c r="G3765" s="97"/>
      <c r="H3765" s="97"/>
      <c r="I3765" s="97"/>
      <c r="J3765" s="97"/>
      <c r="K3765" s="97"/>
      <c r="L3765" s="195"/>
    </row>
    <row r="3766" spans="1:12" x14ac:dyDescent="0.45">
      <c r="A3766" s="462"/>
      <c r="B3766" s="441"/>
      <c r="C3766" s="194">
        <v>9</v>
      </c>
      <c r="D3766" s="80"/>
      <c r="E3766" s="97"/>
      <c r="F3766" s="97"/>
      <c r="G3766" s="97"/>
      <c r="H3766" s="97"/>
      <c r="I3766" s="97"/>
      <c r="J3766" s="97"/>
      <c r="K3766" s="97"/>
      <c r="L3766" s="195"/>
    </row>
    <row r="3767" spans="1:12" x14ac:dyDescent="0.45">
      <c r="A3767" s="462"/>
      <c r="B3767" s="441"/>
      <c r="C3767" s="194">
        <v>10</v>
      </c>
      <c r="D3767" s="80"/>
      <c r="E3767" s="97"/>
      <c r="F3767" s="97"/>
      <c r="G3767" s="97"/>
      <c r="H3767" s="97"/>
      <c r="I3767" s="97"/>
      <c r="J3767" s="97"/>
      <c r="K3767" s="97"/>
      <c r="L3767" s="195"/>
    </row>
    <row r="3768" spans="1:12" x14ac:dyDescent="0.45">
      <c r="A3768" s="462"/>
      <c r="B3768" s="441"/>
      <c r="C3768" s="194">
        <v>11</v>
      </c>
      <c r="D3768" s="81"/>
      <c r="E3768" s="98"/>
      <c r="F3768" s="98"/>
      <c r="G3768" s="98"/>
      <c r="H3768" s="98"/>
      <c r="I3768" s="98"/>
      <c r="J3768" s="98"/>
      <c r="K3768" s="98"/>
      <c r="L3768" s="196"/>
    </row>
    <row r="3769" spans="1:12" ht="14.65" thickBot="1" x14ac:dyDescent="0.5">
      <c r="A3769" s="463"/>
      <c r="B3769" s="442"/>
      <c r="C3769" s="199">
        <v>12</v>
      </c>
      <c r="D3769" s="82"/>
      <c r="E3769" s="99"/>
      <c r="F3769" s="99"/>
      <c r="G3769" s="99"/>
      <c r="H3769" s="99"/>
      <c r="I3769" s="99"/>
      <c r="J3769" s="99"/>
      <c r="K3769" s="99"/>
      <c r="L3769" s="198"/>
    </row>
    <row r="3771" spans="1:12" s="91" customFormat="1" x14ac:dyDescent="0.45"/>
    <row r="3772" spans="1:12" ht="14.65" thickBot="1" x14ac:dyDescent="0.5"/>
    <row r="3773" spans="1:12" ht="28.9" thickBot="1" x14ac:dyDescent="0.5">
      <c r="A3773" s="187" t="s">
        <v>76</v>
      </c>
      <c r="B3773" s="186">
        <v>25</v>
      </c>
      <c r="C3773" s="109"/>
      <c r="D3773" s="109"/>
    </row>
    <row r="3774" spans="1:12" x14ac:dyDescent="0.45">
      <c r="A3774" s="443" t="s">
        <v>27</v>
      </c>
      <c r="B3774" s="448">
        <f>Name25</f>
        <v>0</v>
      </c>
      <c r="C3774" s="449"/>
      <c r="D3774" s="450"/>
      <c r="I3774" s="204"/>
      <c r="J3774" s="204"/>
      <c r="K3774" s="204"/>
      <c r="L3774" s="204"/>
    </row>
    <row r="3775" spans="1:12" x14ac:dyDescent="0.45">
      <c r="A3775" s="444"/>
      <c r="B3775" s="448"/>
      <c r="C3775" s="449"/>
      <c r="D3775" s="450"/>
      <c r="I3775" s="204"/>
      <c r="J3775" s="204"/>
      <c r="K3775" s="204"/>
      <c r="L3775" s="204"/>
    </row>
    <row r="3776" spans="1:12" x14ac:dyDescent="0.45">
      <c r="A3776" s="445"/>
      <c r="B3776" s="388"/>
      <c r="C3776" s="451"/>
      <c r="D3776" s="452"/>
      <c r="I3776" s="204"/>
      <c r="J3776" s="204"/>
      <c r="K3776" s="204"/>
      <c r="L3776" s="204"/>
    </row>
    <row r="3777" spans="1:12" ht="14.45" customHeight="1" x14ac:dyDescent="0.45">
      <c r="A3777" s="444" t="s">
        <v>155</v>
      </c>
      <c r="B3777" s="453">
        <f>GapA25</f>
        <v>0</v>
      </c>
      <c r="C3777" s="454"/>
      <c r="D3777" s="455"/>
      <c r="I3777" s="204"/>
      <c r="J3777" s="204"/>
      <c r="K3777" s="204"/>
      <c r="L3777" s="204"/>
    </row>
    <row r="3778" spans="1:12" x14ac:dyDescent="0.45">
      <c r="A3778" s="444"/>
      <c r="B3778" s="448"/>
      <c r="C3778" s="449"/>
      <c r="D3778" s="450"/>
      <c r="I3778" s="204"/>
      <c r="J3778" s="204"/>
      <c r="K3778" s="204"/>
      <c r="L3778" s="204"/>
    </row>
    <row r="3779" spans="1:12" x14ac:dyDescent="0.45">
      <c r="A3779" s="445"/>
      <c r="B3779" s="388"/>
      <c r="C3779" s="451"/>
      <c r="D3779" s="452"/>
      <c r="I3779" s="204"/>
      <c r="J3779" s="204"/>
      <c r="K3779" s="204"/>
      <c r="L3779" s="204"/>
    </row>
    <row r="3780" spans="1:12" x14ac:dyDescent="0.45">
      <c r="A3780" s="444" t="s">
        <v>159</v>
      </c>
      <c r="B3780" s="453">
        <f>Objective25</f>
        <v>0</v>
      </c>
      <c r="C3780" s="454"/>
      <c r="D3780" s="455"/>
      <c r="I3780" s="204"/>
      <c r="J3780" s="204"/>
      <c r="K3780" s="204"/>
      <c r="L3780" s="204"/>
    </row>
    <row r="3781" spans="1:12" x14ac:dyDescent="0.45">
      <c r="A3781" s="444"/>
      <c r="B3781" s="448"/>
      <c r="C3781" s="449"/>
      <c r="D3781" s="450"/>
      <c r="I3781" s="204"/>
      <c r="J3781" s="204"/>
      <c r="K3781" s="204"/>
      <c r="L3781" s="204"/>
    </row>
    <row r="3782" spans="1:12" x14ac:dyDescent="0.45">
      <c r="A3782" s="445"/>
      <c r="B3782" s="388"/>
      <c r="C3782" s="451"/>
      <c r="D3782" s="452"/>
      <c r="I3782" s="204"/>
      <c r="J3782" s="204"/>
      <c r="K3782" s="204"/>
      <c r="L3782" s="204"/>
    </row>
    <row r="3783" spans="1:12" ht="14.45" customHeight="1" x14ac:dyDescent="0.45">
      <c r="A3783" s="446" t="s">
        <v>166</v>
      </c>
      <c r="B3783" s="454">
        <f>Capacity25</f>
        <v>0</v>
      </c>
      <c r="C3783" s="454"/>
      <c r="D3783" s="455"/>
      <c r="I3783" s="204"/>
      <c r="J3783" s="204"/>
      <c r="K3783" s="204"/>
      <c r="L3783" s="204"/>
    </row>
    <row r="3784" spans="1:12" x14ac:dyDescent="0.45">
      <c r="A3784" s="447"/>
      <c r="B3784" s="449"/>
      <c r="C3784" s="449"/>
      <c r="D3784" s="450"/>
      <c r="I3784" s="204"/>
      <c r="J3784" s="204"/>
      <c r="K3784" s="204"/>
      <c r="L3784" s="204"/>
    </row>
    <row r="3785" spans="1:12" ht="14.65" thickBot="1" x14ac:dyDescent="0.5">
      <c r="A3785" s="464"/>
      <c r="B3785" s="456"/>
      <c r="C3785" s="456"/>
      <c r="D3785" s="457"/>
      <c r="I3785" s="204"/>
      <c r="J3785" s="204"/>
      <c r="K3785" s="204"/>
      <c r="L3785" s="204"/>
    </row>
    <row r="3787" spans="1:12" ht="14.65" thickBot="1" x14ac:dyDescent="0.5">
      <c r="A3787" s="90"/>
      <c r="B3787" s="90"/>
      <c r="C3787" s="90"/>
      <c r="D3787" s="90"/>
      <c r="E3787" s="90"/>
      <c r="F3787" s="90"/>
      <c r="G3787" s="90"/>
      <c r="H3787" s="90"/>
      <c r="I3787" s="90"/>
      <c r="J3787" s="90"/>
      <c r="K3787" s="90"/>
      <c r="L3787" s="90"/>
    </row>
    <row r="3788" spans="1:12" ht="21.75" customHeight="1" x14ac:dyDescent="0.45">
      <c r="A3788" s="458" t="s">
        <v>135</v>
      </c>
      <c r="B3788" s="459"/>
      <c r="C3788" s="459"/>
      <c r="D3788" s="459"/>
      <c r="E3788" s="459"/>
      <c r="F3788" s="459"/>
      <c r="G3788" s="459"/>
      <c r="H3788" s="459"/>
      <c r="I3788" s="459"/>
      <c r="J3788" s="459"/>
      <c r="K3788" s="459"/>
      <c r="L3788" s="460"/>
    </row>
    <row r="3789" spans="1:12" ht="29" customHeight="1" thickBot="1" x14ac:dyDescent="0.5">
      <c r="A3789" s="93" t="s">
        <v>74</v>
      </c>
      <c r="B3789" s="94" t="s">
        <v>28</v>
      </c>
      <c r="C3789" s="95" t="s">
        <v>320</v>
      </c>
      <c r="D3789" s="95" t="s">
        <v>127</v>
      </c>
      <c r="E3789" s="114" t="s">
        <v>90</v>
      </c>
      <c r="F3789" s="95" t="s">
        <v>175</v>
      </c>
      <c r="G3789" s="95" t="s">
        <v>176</v>
      </c>
      <c r="H3789" s="95" t="s">
        <v>156</v>
      </c>
      <c r="I3789" s="95" t="s">
        <v>157</v>
      </c>
      <c r="J3789" s="189" t="s">
        <v>321</v>
      </c>
      <c r="K3789" s="190" t="s">
        <v>29</v>
      </c>
      <c r="L3789" s="191" t="s">
        <v>322</v>
      </c>
    </row>
    <row r="3790" spans="1:12" x14ac:dyDescent="0.45">
      <c r="A3790" s="461">
        <v>1</v>
      </c>
      <c r="B3790" s="440">
        <v>1</v>
      </c>
      <c r="C3790" s="192">
        <v>1</v>
      </c>
      <c r="D3790" s="79"/>
      <c r="E3790" s="96"/>
      <c r="F3790" s="96"/>
      <c r="G3790" s="96"/>
      <c r="H3790" s="96"/>
      <c r="I3790" s="96"/>
      <c r="J3790" s="96"/>
      <c r="K3790" s="96"/>
      <c r="L3790" s="193"/>
    </row>
    <row r="3791" spans="1:12" x14ac:dyDescent="0.45">
      <c r="A3791" s="462"/>
      <c r="B3791" s="441"/>
      <c r="C3791" s="194">
        <v>2</v>
      </c>
      <c r="D3791" s="80"/>
      <c r="E3791" s="97"/>
      <c r="F3791" s="97"/>
      <c r="G3791" s="97"/>
      <c r="H3791" s="97"/>
      <c r="I3791" s="97"/>
      <c r="J3791" s="97"/>
      <c r="K3791" s="97"/>
      <c r="L3791" s="195"/>
    </row>
    <row r="3792" spans="1:12" x14ac:dyDescent="0.45">
      <c r="A3792" s="462"/>
      <c r="B3792" s="441"/>
      <c r="C3792" s="194">
        <v>3</v>
      </c>
      <c r="D3792" s="80"/>
      <c r="E3792" s="97"/>
      <c r="F3792" s="97"/>
      <c r="G3792" s="97"/>
      <c r="H3792" s="97"/>
      <c r="I3792" s="97"/>
      <c r="J3792" s="97"/>
      <c r="K3792" s="97"/>
      <c r="L3792" s="195"/>
    </row>
    <row r="3793" spans="1:14" x14ac:dyDescent="0.45">
      <c r="A3793" s="462"/>
      <c r="B3793" s="441"/>
      <c r="C3793" s="194">
        <v>4</v>
      </c>
      <c r="D3793" s="80"/>
      <c r="E3793" s="97"/>
      <c r="F3793" s="97"/>
      <c r="G3793" s="97"/>
      <c r="H3793" s="97"/>
      <c r="I3793" s="97"/>
      <c r="J3793" s="97"/>
      <c r="K3793" s="97"/>
      <c r="L3793" s="195"/>
    </row>
    <row r="3794" spans="1:14" x14ac:dyDescent="0.45">
      <c r="A3794" s="462"/>
      <c r="B3794" s="441"/>
      <c r="C3794" s="194">
        <v>5</v>
      </c>
      <c r="D3794" s="80"/>
      <c r="E3794" s="97"/>
      <c r="F3794" s="97"/>
      <c r="G3794" s="97"/>
      <c r="H3794" s="97"/>
      <c r="I3794" s="97"/>
      <c r="J3794" s="97"/>
      <c r="K3794" s="97"/>
      <c r="L3794" s="195"/>
    </row>
    <row r="3795" spans="1:14" x14ac:dyDescent="0.45">
      <c r="A3795" s="462"/>
      <c r="B3795" s="441"/>
      <c r="C3795" s="194">
        <v>6</v>
      </c>
      <c r="D3795" s="80"/>
      <c r="E3795" s="97"/>
      <c r="F3795" s="97"/>
      <c r="G3795" s="97"/>
      <c r="H3795" s="97"/>
      <c r="I3795" s="97"/>
      <c r="J3795" s="97"/>
      <c r="K3795" s="97"/>
      <c r="L3795" s="195"/>
    </row>
    <row r="3796" spans="1:14" x14ac:dyDescent="0.45">
      <c r="A3796" s="462"/>
      <c r="B3796" s="441"/>
      <c r="C3796" s="194">
        <v>7</v>
      </c>
      <c r="D3796" s="80"/>
      <c r="E3796" s="97"/>
      <c r="F3796" s="97"/>
      <c r="G3796" s="97"/>
      <c r="H3796" s="97"/>
      <c r="I3796" s="97"/>
      <c r="J3796" s="97"/>
      <c r="K3796" s="97"/>
      <c r="L3796" s="195"/>
    </row>
    <row r="3797" spans="1:14" x14ac:dyDescent="0.45">
      <c r="A3797" s="462"/>
      <c r="B3797" s="441"/>
      <c r="C3797" s="194">
        <v>8</v>
      </c>
      <c r="D3797" s="80"/>
      <c r="E3797" s="97"/>
      <c r="F3797" s="97"/>
      <c r="G3797" s="97"/>
      <c r="H3797" s="97"/>
      <c r="I3797" s="97"/>
      <c r="J3797" s="97"/>
      <c r="K3797" s="97"/>
      <c r="L3797" s="195"/>
    </row>
    <row r="3798" spans="1:14" x14ac:dyDescent="0.45">
      <c r="A3798" s="462"/>
      <c r="B3798" s="441"/>
      <c r="C3798" s="194">
        <v>9</v>
      </c>
      <c r="D3798" s="80"/>
      <c r="E3798" s="97"/>
      <c r="F3798" s="97"/>
      <c r="G3798" s="97"/>
      <c r="H3798" s="97"/>
      <c r="I3798" s="97"/>
      <c r="J3798" s="97"/>
      <c r="K3798" s="97"/>
      <c r="L3798" s="195"/>
    </row>
    <row r="3799" spans="1:14" x14ac:dyDescent="0.45">
      <c r="A3799" s="462"/>
      <c r="B3799" s="441"/>
      <c r="C3799" s="194">
        <v>10</v>
      </c>
      <c r="D3799" s="80"/>
      <c r="E3799" s="97"/>
      <c r="F3799" s="97"/>
      <c r="G3799" s="97"/>
      <c r="H3799" s="97"/>
      <c r="I3799" s="97"/>
      <c r="J3799" s="97"/>
      <c r="K3799" s="97"/>
      <c r="L3799" s="195"/>
    </row>
    <row r="3800" spans="1:14" x14ac:dyDescent="0.45">
      <c r="A3800" s="462"/>
      <c r="B3800" s="441"/>
      <c r="C3800" s="194">
        <v>11</v>
      </c>
      <c r="D3800" s="81"/>
      <c r="E3800" s="98"/>
      <c r="F3800" s="98"/>
      <c r="G3800" s="98"/>
      <c r="H3800" s="98"/>
      <c r="I3800" s="98"/>
      <c r="J3800" s="98"/>
      <c r="K3800" s="98"/>
      <c r="L3800" s="196"/>
    </row>
    <row r="3801" spans="1:14" s="90" customFormat="1" ht="14.65" thickBot="1" x14ac:dyDescent="0.5">
      <c r="A3801" s="462"/>
      <c r="B3801" s="442"/>
      <c r="C3801" s="197">
        <v>12</v>
      </c>
      <c r="D3801" s="82"/>
      <c r="E3801" s="99"/>
      <c r="F3801" s="99"/>
      <c r="G3801" s="99"/>
      <c r="H3801" s="99"/>
      <c r="I3801" s="99"/>
      <c r="J3801" s="99"/>
      <c r="K3801" s="99"/>
      <c r="L3801" s="198"/>
      <c r="M3801" s="61"/>
      <c r="N3801" s="61"/>
    </row>
    <row r="3802" spans="1:14" x14ac:dyDescent="0.45">
      <c r="A3802" s="462"/>
      <c r="B3802" s="440">
        <v>2</v>
      </c>
      <c r="C3802" s="192">
        <v>1</v>
      </c>
      <c r="D3802" s="79"/>
      <c r="E3802" s="96"/>
      <c r="F3802" s="96"/>
      <c r="G3802" s="96"/>
      <c r="H3802" s="96"/>
      <c r="I3802" s="96"/>
      <c r="J3802" s="96"/>
      <c r="K3802" s="96"/>
      <c r="L3802" s="193"/>
    </row>
    <row r="3803" spans="1:14" x14ac:dyDescent="0.45">
      <c r="A3803" s="462"/>
      <c r="B3803" s="441"/>
      <c r="C3803" s="194">
        <v>2</v>
      </c>
      <c r="D3803" s="80"/>
      <c r="E3803" s="97"/>
      <c r="F3803" s="97"/>
      <c r="G3803" s="97"/>
      <c r="H3803" s="97"/>
      <c r="I3803" s="97"/>
      <c r="J3803" s="97"/>
      <c r="K3803" s="97"/>
      <c r="L3803" s="195"/>
    </row>
    <row r="3804" spans="1:14" x14ac:dyDescent="0.45">
      <c r="A3804" s="462"/>
      <c r="B3804" s="441"/>
      <c r="C3804" s="194">
        <v>3</v>
      </c>
      <c r="D3804" s="80"/>
      <c r="E3804" s="97"/>
      <c r="F3804" s="97"/>
      <c r="G3804" s="97"/>
      <c r="H3804" s="97"/>
      <c r="I3804" s="97"/>
      <c r="J3804" s="97"/>
      <c r="K3804" s="97"/>
      <c r="L3804" s="195"/>
    </row>
    <row r="3805" spans="1:14" x14ac:dyDescent="0.45">
      <c r="A3805" s="462"/>
      <c r="B3805" s="441"/>
      <c r="C3805" s="194">
        <v>4</v>
      </c>
      <c r="D3805" s="80"/>
      <c r="E3805" s="97"/>
      <c r="F3805" s="97"/>
      <c r="G3805" s="97"/>
      <c r="H3805" s="97"/>
      <c r="I3805" s="97"/>
      <c r="J3805" s="97"/>
      <c r="K3805" s="97"/>
      <c r="L3805" s="195"/>
    </row>
    <row r="3806" spans="1:14" x14ac:dyDescent="0.45">
      <c r="A3806" s="462"/>
      <c r="B3806" s="441"/>
      <c r="C3806" s="194">
        <v>5</v>
      </c>
      <c r="D3806" s="80"/>
      <c r="E3806" s="97"/>
      <c r="F3806" s="97"/>
      <c r="G3806" s="97"/>
      <c r="H3806" s="97"/>
      <c r="I3806" s="97"/>
      <c r="J3806" s="97"/>
      <c r="K3806" s="97"/>
      <c r="L3806" s="195"/>
    </row>
    <row r="3807" spans="1:14" x14ac:dyDescent="0.45">
      <c r="A3807" s="462"/>
      <c r="B3807" s="441"/>
      <c r="C3807" s="194">
        <v>6</v>
      </c>
      <c r="D3807" s="80"/>
      <c r="E3807" s="97"/>
      <c r="F3807" s="97"/>
      <c r="G3807" s="97"/>
      <c r="H3807" s="97"/>
      <c r="I3807" s="97"/>
      <c r="J3807" s="97"/>
      <c r="K3807" s="97"/>
      <c r="L3807" s="195"/>
    </row>
    <row r="3808" spans="1:14" x14ac:dyDescent="0.45">
      <c r="A3808" s="462"/>
      <c r="B3808" s="441"/>
      <c r="C3808" s="194">
        <v>7</v>
      </c>
      <c r="D3808" s="80"/>
      <c r="E3808" s="97"/>
      <c r="F3808" s="97"/>
      <c r="G3808" s="97"/>
      <c r="H3808" s="97"/>
      <c r="I3808" s="97"/>
      <c r="J3808" s="97"/>
      <c r="K3808" s="97"/>
      <c r="L3808" s="195"/>
    </row>
    <row r="3809" spans="1:12" x14ac:dyDescent="0.45">
      <c r="A3809" s="462"/>
      <c r="B3809" s="441"/>
      <c r="C3809" s="194">
        <v>8</v>
      </c>
      <c r="D3809" s="80"/>
      <c r="E3809" s="97"/>
      <c r="F3809" s="97"/>
      <c r="G3809" s="97"/>
      <c r="H3809" s="97"/>
      <c r="I3809" s="97"/>
      <c r="J3809" s="97"/>
      <c r="K3809" s="97"/>
      <c r="L3809" s="195"/>
    </row>
    <row r="3810" spans="1:12" x14ac:dyDescent="0.45">
      <c r="A3810" s="462"/>
      <c r="B3810" s="441"/>
      <c r="C3810" s="194">
        <v>9</v>
      </c>
      <c r="D3810" s="80"/>
      <c r="E3810" s="97"/>
      <c r="F3810" s="97"/>
      <c r="G3810" s="97"/>
      <c r="H3810" s="97"/>
      <c r="I3810" s="97"/>
      <c r="J3810" s="97"/>
      <c r="K3810" s="97"/>
      <c r="L3810" s="195"/>
    </row>
    <row r="3811" spans="1:12" x14ac:dyDescent="0.45">
      <c r="A3811" s="462"/>
      <c r="B3811" s="441"/>
      <c r="C3811" s="194">
        <v>10</v>
      </c>
      <c r="D3811" s="80"/>
      <c r="E3811" s="97"/>
      <c r="F3811" s="97"/>
      <c r="G3811" s="97"/>
      <c r="H3811" s="97"/>
      <c r="I3811" s="97"/>
      <c r="J3811" s="97"/>
      <c r="K3811" s="97"/>
      <c r="L3811" s="195"/>
    </row>
    <row r="3812" spans="1:12" x14ac:dyDescent="0.45">
      <c r="A3812" s="462"/>
      <c r="B3812" s="441"/>
      <c r="C3812" s="194">
        <v>11</v>
      </c>
      <c r="D3812" s="81"/>
      <c r="E3812" s="98"/>
      <c r="F3812" s="98"/>
      <c r="G3812" s="98"/>
      <c r="H3812" s="98"/>
      <c r="I3812" s="98"/>
      <c r="J3812" s="98"/>
      <c r="K3812" s="98"/>
      <c r="L3812" s="196"/>
    </row>
    <row r="3813" spans="1:12" ht="14.65" thickBot="1" x14ac:dyDescent="0.5">
      <c r="A3813" s="462"/>
      <c r="B3813" s="442"/>
      <c r="C3813" s="197">
        <v>12</v>
      </c>
      <c r="D3813" s="82"/>
      <c r="E3813" s="99"/>
      <c r="F3813" s="99"/>
      <c r="G3813" s="99"/>
      <c r="H3813" s="99"/>
      <c r="I3813" s="99"/>
      <c r="J3813" s="99"/>
      <c r="K3813" s="99"/>
      <c r="L3813" s="198"/>
    </row>
    <row r="3814" spans="1:12" x14ac:dyDescent="0.45">
      <c r="A3814" s="462"/>
      <c r="B3814" s="440">
        <v>3</v>
      </c>
      <c r="C3814" s="192">
        <v>1</v>
      </c>
      <c r="D3814" s="79"/>
      <c r="E3814" s="96"/>
      <c r="F3814" s="96"/>
      <c r="G3814" s="96"/>
      <c r="H3814" s="96"/>
      <c r="I3814" s="96"/>
      <c r="J3814" s="96"/>
      <c r="K3814" s="96"/>
      <c r="L3814" s="193"/>
    </row>
    <row r="3815" spans="1:12" x14ac:dyDescent="0.45">
      <c r="A3815" s="462"/>
      <c r="B3815" s="441"/>
      <c r="C3815" s="194">
        <v>2</v>
      </c>
      <c r="D3815" s="80"/>
      <c r="E3815" s="97"/>
      <c r="F3815" s="97"/>
      <c r="G3815" s="97"/>
      <c r="H3815" s="97"/>
      <c r="I3815" s="97"/>
      <c r="J3815" s="97"/>
      <c r="K3815" s="97"/>
      <c r="L3815" s="195"/>
    </row>
    <row r="3816" spans="1:12" x14ac:dyDescent="0.45">
      <c r="A3816" s="462"/>
      <c r="B3816" s="441"/>
      <c r="C3816" s="194">
        <v>3</v>
      </c>
      <c r="D3816" s="80"/>
      <c r="E3816" s="97"/>
      <c r="F3816" s="97"/>
      <c r="G3816" s="97"/>
      <c r="H3816" s="97"/>
      <c r="I3816" s="97"/>
      <c r="J3816" s="97"/>
      <c r="K3816" s="97"/>
      <c r="L3816" s="195"/>
    </row>
    <row r="3817" spans="1:12" x14ac:dyDescent="0.45">
      <c r="A3817" s="462"/>
      <c r="B3817" s="441"/>
      <c r="C3817" s="194">
        <v>4</v>
      </c>
      <c r="D3817" s="80"/>
      <c r="E3817" s="97"/>
      <c r="F3817" s="97"/>
      <c r="G3817" s="97"/>
      <c r="H3817" s="97"/>
      <c r="I3817" s="97"/>
      <c r="J3817" s="97"/>
      <c r="K3817" s="97"/>
      <c r="L3817" s="195"/>
    </row>
    <row r="3818" spans="1:12" x14ac:dyDescent="0.45">
      <c r="A3818" s="462"/>
      <c r="B3818" s="441"/>
      <c r="C3818" s="194">
        <v>5</v>
      </c>
      <c r="D3818" s="80"/>
      <c r="E3818" s="97"/>
      <c r="F3818" s="97"/>
      <c r="G3818" s="97"/>
      <c r="H3818" s="97"/>
      <c r="I3818" s="97"/>
      <c r="J3818" s="97"/>
      <c r="K3818" s="97"/>
      <c r="L3818" s="195"/>
    </row>
    <row r="3819" spans="1:12" x14ac:dyDescent="0.45">
      <c r="A3819" s="462"/>
      <c r="B3819" s="441"/>
      <c r="C3819" s="194">
        <v>6</v>
      </c>
      <c r="D3819" s="80"/>
      <c r="E3819" s="97"/>
      <c r="F3819" s="97"/>
      <c r="G3819" s="97"/>
      <c r="H3819" s="97"/>
      <c r="I3819" s="97"/>
      <c r="J3819" s="97"/>
      <c r="K3819" s="97"/>
      <c r="L3819" s="195"/>
    </row>
    <row r="3820" spans="1:12" x14ac:dyDescent="0.45">
      <c r="A3820" s="462"/>
      <c r="B3820" s="441"/>
      <c r="C3820" s="194">
        <v>7</v>
      </c>
      <c r="D3820" s="80"/>
      <c r="E3820" s="97"/>
      <c r="F3820" s="97"/>
      <c r="G3820" s="97"/>
      <c r="H3820" s="97"/>
      <c r="I3820" s="97"/>
      <c r="J3820" s="97"/>
      <c r="K3820" s="97"/>
      <c r="L3820" s="195"/>
    </row>
    <row r="3821" spans="1:12" x14ac:dyDescent="0.45">
      <c r="A3821" s="462"/>
      <c r="B3821" s="441"/>
      <c r="C3821" s="194">
        <v>8</v>
      </c>
      <c r="D3821" s="80"/>
      <c r="E3821" s="97"/>
      <c r="F3821" s="97"/>
      <c r="G3821" s="97"/>
      <c r="H3821" s="97"/>
      <c r="I3821" s="97"/>
      <c r="J3821" s="97"/>
      <c r="K3821" s="97"/>
      <c r="L3821" s="195"/>
    </row>
    <row r="3822" spans="1:12" x14ac:dyDescent="0.45">
      <c r="A3822" s="462"/>
      <c r="B3822" s="441"/>
      <c r="C3822" s="194">
        <v>9</v>
      </c>
      <c r="D3822" s="80"/>
      <c r="E3822" s="97"/>
      <c r="F3822" s="97"/>
      <c r="G3822" s="97"/>
      <c r="H3822" s="97"/>
      <c r="I3822" s="97"/>
      <c r="J3822" s="97"/>
      <c r="K3822" s="97"/>
      <c r="L3822" s="195"/>
    </row>
    <row r="3823" spans="1:12" x14ac:dyDescent="0.45">
      <c r="A3823" s="462"/>
      <c r="B3823" s="441"/>
      <c r="C3823" s="194">
        <v>10</v>
      </c>
      <c r="D3823" s="80"/>
      <c r="E3823" s="97"/>
      <c r="F3823" s="97"/>
      <c r="G3823" s="97"/>
      <c r="H3823" s="97"/>
      <c r="I3823" s="97"/>
      <c r="J3823" s="97"/>
      <c r="K3823" s="97"/>
      <c r="L3823" s="195"/>
    </row>
    <row r="3824" spans="1:12" x14ac:dyDescent="0.45">
      <c r="A3824" s="462"/>
      <c r="B3824" s="441"/>
      <c r="C3824" s="194">
        <v>11</v>
      </c>
      <c r="D3824" s="81"/>
      <c r="E3824" s="98"/>
      <c r="F3824" s="98"/>
      <c r="G3824" s="98"/>
      <c r="H3824" s="98"/>
      <c r="I3824" s="98"/>
      <c r="J3824" s="98"/>
      <c r="K3824" s="98"/>
      <c r="L3824" s="196"/>
    </row>
    <row r="3825" spans="1:12" ht="14.65" thickBot="1" x14ac:dyDescent="0.5">
      <c r="A3825" s="462"/>
      <c r="B3825" s="442"/>
      <c r="C3825" s="197">
        <v>12</v>
      </c>
      <c r="D3825" s="82"/>
      <c r="E3825" s="99"/>
      <c r="F3825" s="99"/>
      <c r="G3825" s="99"/>
      <c r="H3825" s="99"/>
      <c r="I3825" s="99"/>
      <c r="J3825" s="99"/>
      <c r="K3825" s="99"/>
      <c r="L3825" s="198"/>
    </row>
    <row r="3826" spans="1:12" x14ac:dyDescent="0.45">
      <c r="A3826" s="462"/>
      <c r="B3826" s="440">
        <v>4</v>
      </c>
      <c r="C3826" s="192">
        <v>1</v>
      </c>
      <c r="D3826" s="79"/>
      <c r="E3826" s="96"/>
      <c r="F3826" s="96"/>
      <c r="G3826" s="96"/>
      <c r="H3826" s="96"/>
      <c r="I3826" s="96"/>
      <c r="J3826" s="96"/>
      <c r="K3826" s="96"/>
      <c r="L3826" s="193"/>
    </row>
    <row r="3827" spans="1:12" x14ac:dyDescent="0.45">
      <c r="A3827" s="462"/>
      <c r="B3827" s="441"/>
      <c r="C3827" s="194">
        <v>2</v>
      </c>
      <c r="D3827" s="80"/>
      <c r="E3827" s="97"/>
      <c r="F3827" s="97"/>
      <c r="G3827" s="97"/>
      <c r="H3827" s="97"/>
      <c r="I3827" s="97"/>
      <c r="J3827" s="97"/>
      <c r="K3827" s="97"/>
      <c r="L3827" s="195"/>
    </row>
    <row r="3828" spans="1:12" x14ac:dyDescent="0.45">
      <c r="A3828" s="462"/>
      <c r="B3828" s="441"/>
      <c r="C3828" s="194">
        <v>3</v>
      </c>
      <c r="D3828" s="80"/>
      <c r="E3828" s="97"/>
      <c r="F3828" s="97"/>
      <c r="G3828" s="97"/>
      <c r="H3828" s="97"/>
      <c r="I3828" s="97"/>
      <c r="J3828" s="97"/>
      <c r="K3828" s="97"/>
      <c r="L3828" s="195"/>
    </row>
    <row r="3829" spans="1:12" x14ac:dyDescent="0.45">
      <c r="A3829" s="462"/>
      <c r="B3829" s="441"/>
      <c r="C3829" s="194">
        <v>4</v>
      </c>
      <c r="D3829" s="80"/>
      <c r="E3829" s="97"/>
      <c r="F3829" s="97"/>
      <c r="G3829" s="97"/>
      <c r="H3829" s="97"/>
      <c r="I3829" s="97"/>
      <c r="J3829" s="97"/>
      <c r="K3829" s="97"/>
      <c r="L3829" s="195"/>
    </row>
    <row r="3830" spans="1:12" x14ac:dyDescent="0.45">
      <c r="A3830" s="462"/>
      <c r="B3830" s="441"/>
      <c r="C3830" s="194">
        <v>5</v>
      </c>
      <c r="D3830" s="80"/>
      <c r="E3830" s="97"/>
      <c r="F3830" s="97"/>
      <c r="G3830" s="97"/>
      <c r="H3830" s="97"/>
      <c r="I3830" s="97"/>
      <c r="J3830" s="97"/>
      <c r="K3830" s="97"/>
      <c r="L3830" s="195"/>
    </row>
    <row r="3831" spans="1:12" x14ac:dyDescent="0.45">
      <c r="A3831" s="462"/>
      <c r="B3831" s="441"/>
      <c r="C3831" s="194">
        <v>6</v>
      </c>
      <c r="D3831" s="80"/>
      <c r="E3831" s="97"/>
      <c r="F3831" s="97"/>
      <c r="G3831" s="97"/>
      <c r="H3831" s="97"/>
      <c r="I3831" s="97"/>
      <c r="J3831" s="97"/>
      <c r="K3831" s="97"/>
      <c r="L3831" s="195"/>
    </row>
    <row r="3832" spans="1:12" x14ac:dyDescent="0.45">
      <c r="A3832" s="462"/>
      <c r="B3832" s="441"/>
      <c r="C3832" s="194">
        <v>7</v>
      </c>
      <c r="D3832" s="80"/>
      <c r="E3832" s="97"/>
      <c r="F3832" s="97"/>
      <c r="G3832" s="97"/>
      <c r="H3832" s="97"/>
      <c r="I3832" s="97"/>
      <c r="J3832" s="97"/>
      <c r="K3832" s="97"/>
      <c r="L3832" s="195"/>
    </row>
    <row r="3833" spans="1:12" x14ac:dyDescent="0.45">
      <c r="A3833" s="462"/>
      <c r="B3833" s="441"/>
      <c r="C3833" s="194">
        <v>8</v>
      </c>
      <c r="D3833" s="80"/>
      <c r="E3833" s="97"/>
      <c r="F3833" s="97"/>
      <c r="G3833" s="97"/>
      <c r="H3833" s="97"/>
      <c r="I3833" s="97"/>
      <c r="J3833" s="97"/>
      <c r="K3833" s="97"/>
      <c r="L3833" s="195"/>
    </row>
    <row r="3834" spans="1:12" x14ac:dyDescent="0.45">
      <c r="A3834" s="462"/>
      <c r="B3834" s="441"/>
      <c r="C3834" s="194">
        <v>9</v>
      </c>
      <c r="D3834" s="80"/>
      <c r="E3834" s="97"/>
      <c r="F3834" s="97"/>
      <c r="G3834" s="97"/>
      <c r="H3834" s="97"/>
      <c r="I3834" s="97"/>
      <c r="J3834" s="97"/>
      <c r="K3834" s="97"/>
      <c r="L3834" s="195"/>
    </row>
    <row r="3835" spans="1:12" x14ac:dyDescent="0.45">
      <c r="A3835" s="462"/>
      <c r="B3835" s="441"/>
      <c r="C3835" s="194">
        <v>10</v>
      </c>
      <c r="D3835" s="80"/>
      <c r="E3835" s="97"/>
      <c r="F3835" s="97"/>
      <c r="G3835" s="97"/>
      <c r="H3835" s="97"/>
      <c r="I3835" s="97"/>
      <c r="J3835" s="97"/>
      <c r="K3835" s="97"/>
      <c r="L3835" s="195"/>
    </row>
    <row r="3836" spans="1:12" x14ac:dyDescent="0.45">
      <c r="A3836" s="462"/>
      <c r="B3836" s="441"/>
      <c r="C3836" s="194">
        <v>11</v>
      </c>
      <c r="D3836" s="81"/>
      <c r="E3836" s="98"/>
      <c r="F3836" s="98"/>
      <c r="G3836" s="98"/>
      <c r="H3836" s="98"/>
      <c r="I3836" s="98"/>
      <c r="J3836" s="98"/>
      <c r="K3836" s="98"/>
      <c r="L3836" s="196"/>
    </row>
    <row r="3837" spans="1:12" ht="14.65" thickBot="1" x14ac:dyDescent="0.5">
      <c r="A3837" s="463"/>
      <c r="B3837" s="442"/>
      <c r="C3837" s="197">
        <v>12</v>
      </c>
      <c r="D3837" s="82"/>
      <c r="E3837" s="99"/>
      <c r="F3837" s="99"/>
      <c r="G3837" s="99"/>
      <c r="H3837" s="99"/>
      <c r="I3837" s="99"/>
      <c r="J3837" s="99"/>
      <c r="K3837" s="99"/>
      <c r="L3837" s="198"/>
    </row>
    <row r="3838" spans="1:12" x14ac:dyDescent="0.45">
      <c r="A3838" s="461">
        <v>2</v>
      </c>
      <c r="B3838" s="440">
        <v>5</v>
      </c>
      <c r="C3838" s="192">
        <v>1</v>
      </c>
      <c r="D3838" s="79"/>
      <c r="E3838" s="96"/>
      <c r="F3838" s="96"/>
      <c r="G3838" s="96"/>
      <c r="H3838" s="96"/>
      <c r="I3838" s="96"/>
      <c r="J3838" s="96"/>
      <c r="K3838" s="96"/>
      <c r="L3838" s="193"/>
    </row>
    <row r="3839" spans="1:12" x14ac:dyDescent="0.45">
      <c r="A3839" s="462"/>
      <c r="B3839" s="441"/>
      <c r="C3839" s="194">
        <v>2</v>
      </c>
      <c r="D3839" s="80"/>
      <c r="E3839" s="97"/>
      <c r="F3839" s="97"/>
      <c r="G3839" s="97"/>
      <c r="H3839" s="97"/>
      <c r="I3839" s="97"/>
      <c r="J3839" s="97"/>
      <c r="K3839" s="97"/>
      <c r="L3839" s="195"/>
    </row>
    <row r="3840" spans="1:12" x14ac:dyDescent="0.45">
      <c r="A3840" s="462"/>
      <c r="B3840" s="441"/>
      <c r="C3840" s="194">
        <v>3</v>
      </c>
      <c r="D3840" s="80"/>
      <c r="E3840" s="97"/>
      <c r="F3840" s="97"/>
      <c r="G3840" s="97"/>
      <c r="H3840" s="97"/>
      <c r="I3840" s="97"/>
      <c r="J3840" s="97"/>
      <c r="K3840" s="97"/>
      <c r="L3840" s="195"/>
    </row>
    <row r="3841" spans="1:12" x14ac:dyDescent="0.45">
      <c r="A3841" s="462"/>
      <c r="B3841" s="441"/>
      <c r="C3841" s="194">
        <v>4</v>
      </c>
      <c r="D3841" s="80"/>
      <c r="E3841" s="97"/>
      <c r="F3841" s="97"/>
      <c r="G3841" s="97"/>
      <c r="H3841" s="97"/>
      <c r="I3841" s="97"/>
      <c r="J3841" s="97"/>
      <c r="K3841" s="97"/>
      <c r="L3841" s="195"/>
    </row>
    <row r="3842" spans="1:12" x14ac:dyDescent="0.45">
      <c r="A3842" s="462"/>
      <c r="B3842" s="441"/>
      <c r="C3842" s="194">
        <v>5</v>
      </c>
      <c r="D3842" s="80"/>
      <c r="E3842" s="97"/>
      <c r="F3842" s="97"/>
      <c r="G3842" s="97"/>
      <c r="H3842" s="97"/>
      <c r="I3842" s="97"/>
      <c r="J3842" s="97"/>
      <c r="K3842" s="97"/>
      <c r="L3842" s="195"/>
    </row>
    <row r="3843" spans="1:12" x14ac:dyDescent="0.45">
      <c r="A3843" s="462"/>
      <c r="B3843" s="441"/>
      <c r="C3843" s="194">
        <v>6</v>
      </c>
      <c r="D3843" s="80"/>
      <c r="E3843" s="97"/>
      <c r="F3843" s="97"/>
      <c r="G3843" s="97"/>
      <c r="H3843" s="97"/>
      <c r="I3843" s="97"/>
      <c r="J3843" s="97"/>
      <c r="K3843" s="97"/>
      <c r="L3843" s="195"/>
    </row>
    <row r="3844" spans="1:12" x14ac:dyDescent="0.45">
      <c r="A3844" s="462"/>
      <c r="B3844" s="441"/>
      <c r="C3844" s="194">
        <v>7</v>
      </c>
      <c r="D3844" s="80"/>
      <c r="E3844" s="97"/>
      <c r="F3844" s="97"/>
      <c r="G3844" s="97"/>
      <c r="H3844" s="97"/>
      <c r="I3844" s="97"/>
      <c r="J3844" s="97"/>
      <c r="K3844" s="97"/>
      <c r="L3844" s="195"/>
    </row>
    <row r="3845" spans="1:12" x14ac:dyDescent="0.45">
      <c r="A3845" s="462"/>
      <c r="B3845" s="441"/>
      <c r="C3845" s="194">
        <v>8</v>
      </c>
      <c r="D3845" s="80"/>
      <c r="E3845" s="97"/>
      <c r="F3845" s="97"/>
      <c r="G3845" s="97"/>
      <c r="H3845" s="97"/>
      <c r="I3845" s="97"/>
      <c r="J3845" s="97"/>
      <c r="K3845" s="97"/>
      <c r="L3845" s="195"/>
    </row>
    <row r="3846" spans="1:12" x14ac:dyDescent="0.45">
      <c r="A3846" s="462"/>
      <c r="B3846" s="441"/>
      <c r="C3846" s="194">
        <v>9</v>
      </c>
      <c r="D3846" s="80"/>
      <c r="E3846" s="97"/>
      <c r="F3846" s="97"/>
      <c r="G3846" s="97"/>
      <c r="H3846" s="97"/>
      <c r="I3846" s="97"/>
      <c r="J3846" s="97"/>
      <c r="K3846" s="97"/>
      <c r="L3846" s="195"/>
    </row>
    <row r="3847" spans="1:12" x14ac:dyDescent="0.45">
      <c r="A3847" s="462"/>
      <c r="B3847" s="441"/>
      <c r="C3847" s="194">
        <v>10</v>
      </c>
      <c r="D3847" s="80"/>
      <c r="E3847" s="97"/>
      <c r="F3847" s="97"/>
      <c r="G3847" s="97"/>
      <c r="H3847" s="97"/>
      <c r="I3847" s="97"/>
      <c r="J3847" s="97"/>
      <c r="K3847" s="97"/>
      <c r="L3847" s="195"/>
    </row>
    <row r="3848" spans="1:12" x14ac:dyDescent="0.45">
      <c r="A3848" s="462"/>
      <c r="B3848" s="441"/>
      <c r="C3848" s="194">
        <v>11</v>
      </c>
      <c r="D3848" s="81"/>
      <c r="E3848" s="98"/>
      <c r="F3848" s="98"/>
      <c r="G3848" s="98"/>
      <c r="H3848" s="98"/>
      <c r="I3848" s="98"/>
      <c r="J3848" s="98"/>
      <c r="K3848" s="98"/>
      <c r="L3848" s="196"/>
    </row>
    <row r="3849" spans="1:12" ht="14.65" thickBot="1" x14ac:dyDescent="0.5">
      <c r="A3849" s="462"/>
      <c r="B3849" s="442"/>
      <c r="C3849" s="197">
        <v>12</v>
      </c>
      <c r="D3849" s="82"/>
      <c r="E3849" s="99"/>
      <c r="F3849" s="99"/>
      <c r="G3849" s="99"/>
      <c r="H3849" s="99"/>
      <c r="I3849" s="99"/>
      <c r="J3849" s="99"/>
      <c r="K3849" s="99"/>
      <c r="L3849" s="198"/>
    </row>
    <row r="3850" spans="1:12" x14ac:dyDescent="0.45">
      <c r="A3850" s="462"/>
      <c r="B3850" s="440">
        <v>6</v>
      </c>
      <c r="C3850" s="192">
        <v>1</v>
      </c>
      <c r="D3850" s="79"/>
      <c r="E3850" s="96"/>
      <c r="F3850" s="96"/>
      <c r="G3850" s="96"/>
      <c r="H3850" s="96"/>
      <c r="I3850" s="96"/>
      <c r="J3850" s="96"/>
      <c r="K3850" s="96"/>
      <c r="L3850" s="193"/>
    </row>
    <row r="3851" spans="1:12" x14ac:dyDescent="0.45">
      <c r="A3851" s="462"/>
      <c r="B3851" s="441"/>
      <c r="C3851" s="194">
        <v>2</v>
      </c>
      <c r="D3851" s="80"/>
      <c r="E3851" s="97"/>
      <c r="F3851" s="97"/>
      <c r="G3851" s="97"/>
      <c r="H3851" s="97"/>
      <c r="I3851" s="97"/>
      <c r="J3851" s="97"/>
      <c r="K3851" s="97"/>
      <c r="L3851" s="195"/>
    </row>
    <row r="3852" spans="1:12" x14ac:dyDescent="0.45">
      <c r="A3852" s="462"/>
      <c r="B3852" s="441"/>
      <c r="C3852" s="194">
        <v>3</v>
      </c>
      <c r="D3852" s="80"/>
      <c r="E3852" s="97"/>
      <c r="F3852" s="97"/>
      <c r="G3852" s="97"/>
      <c r="H3852" s="97"/>
      <c r="I3852" s="97"/>
      <c r="J3852" s="97"/>
      <c r="K3852" s="97"/>
      <c r="L3852" s="195"/>
    </row>
    <row r="3853" spans="1:12" x14ac:dyDescent="0.45">
      <c r="A3853" s="462"/>
      <c r="B3853" s="441"/>
      <c r="C3853" s="194">
        <v>4</v>
      </c>
      <c r="D3853" s="80"/>
      <c r="E3853" s="97"/>
      <c r="F3853" s="97"/>
      <c r="G3853" s="97"/>
      <c r="H3853" s="97"/>
      <c r="I3853" s="97"/>
      <c r="J3853" s="97"/>
      <c r="K3853" s="97"/>
      <c r="L3853" s="195"/>
    </row>
    <row r="3854" spans="1:12" x14ac:dyDescent="0.45">
      <c r="A3854" s="462"/>
      <c r="B3854" s="441"/>
      <c r="C3854" s="194">
        <v>5</v>
      </c>
      <c r="D3854" s="80"/>
      <c r="E3854" s="97"/>
      <c r="F3854" s="97"/>
      <c r="G3854" s="97"/>
      <c r="H3854" s="97"/>
      <c r="I3854" s="97"/>
      <c r="J3854" s="97"/>
      <c r="K3854" s="97"/>
      <c r="L3854" s="195"/>
    </row>
    <row r="3855" spans="1:12" x14ac:dyDescent="0.45">
      <c r="A3855" s="462"/>
      <c r="B3855" s="441"/>
      <c r="C3855" s="194">
        <v>6</v>
      </c>
      <c r="D3855" s="80"/>
      <c r="E3855" s="97"/>
      <c r="F3855" s="97"/>
      <c r="G3855" s="97"/>
      <c r="H3855" s="97"/>
      <c r="I3855" s="97"/>
      <c r="J3855" s="97"/>
      <c r="K3855" s="97"/>
      <c r="L3855" s="195"/>
    </row>
    <row r="3856" spans="1:12" x14ac:dyDescent="0.45">
      <c r="A3856" s="462"/>
      <c r="B3856" s="441"/>
      <c r="C3856" s="194">
        <v>7</v>
      </c>
      <c r="D3856" s="80"/>
      <c r="E3856" s="97"/>
      <c r="F3856" s="97"/>
      <c r="G3856" s="97"/>
      <c r="H3856" s="97"/>
      <c r="I3856" s="97"/>
      <c r="J3856" s="97"/>
      <c r="K3856" s="97"/>
      <c r="L3856" s="195"/>
    </row>
    <row r="3857" spans="1:12" x14ac:dyDescent="0.45">
      <c r="A3857" s="462"/>
      <c r="B3857" s="441"/>
      <c r="C3857" s="194">
        <v>8</v>
      </c>
      <c r="D3857" s="80"/>
      <c r="E3857" s="97"/>
      <c r="F3857" s="97"/>
      <c r="G3857" s="97"/>
      <c r="H3857" s="97"/>
      <c r="I3857" s="97"/>
      <c r="J3857" s="97"/>
      <c r="K3857" s="97"/>
      <c r="L3857" s="195"/>
    </row>
    <row r="3858" spans="1:12" x14ac:dyDescent="0.45">
      <c r="A3858" s="462"/>
      <c r="B3858" s="441"/>
      <c r="C3858" s="194">
        <v>9</v>
      </c>
      <c r="D3858" s="80"/>
      <c r="E3858" s="97"/>
      <c r="F3858" s="97"/>
      <c r="G3858" s="97"/>
      <c r="H3858" s="97"/>
      <c r="I3858" s="97"/>
      <c r="J3858" s="97"/>
      <c r="K3858" s="97"/>
      <c r="L3858" s="195"/>
    </row>
    <row r="3859" spans="1:12" x14ac:dyDescent="0.45">
      <c r="A3859" s="462"/>
      <c r="B3859" s="441"/>
      <c r="C3859" s="194">
        <v>10</v>
      </c>
      <c r="D3859" s="80"/>
      <c r="E3859" s="97"/>
      <c r="F3859" s="97"/>
      <c r="G3859" s="97"/>
      <c r="H3859" s="97"/>
      <c r="I3859" s="97"/>
      <c r="J3859" s="97"/>
      <c r="K3859" s="97"/>
      <c r="L3859" s="195"/>
    </row>
    <row r="3860" spans="1:12" x14ac:dyDescent="0.45">
      <c r="A3860" s="462"/>
      <c r="B3860" s="441"/>
      <c r="C3860" s="194">
        <v>11</v>
      </c>
      <c r="D3860" s="81"/>
      <c r="E3860" s="98"/>
      <c r="F3860" s="98"/>
      <c r="G3860" s="98"/>
      <c r="H3860" s="98"/>
      <c r="I3860" s="98"/>
      <c r="J3860" s="98"/>
      <c r="K3860" s="98"/>
      <c r="L3860" s="196"/>
    </row>
    <row r="3861" spans="1:12" ht="14.65" thickBot="1" x14ac:dyDescent="0.5">
      <c r="A3861" s="462"/>
      <c r="B3861" s="442"/>
      <c r="C3861" s="197">
        <v>12</v>
      </c>
      <c r="D3861" s="82"/>
      <c r="E3861" s="99"/>
      <c r="F3861" s="99"/>
      <c r="G3861" s="99"/>
      <c r="H3861" s="99"/>
      <c r="I3861" s="99"/>
      <c r="J3861" s="99"/>
      <c r="K3861" s="99"/>
      <c r="L3861" s="198"/>
    </row>
    <row r="3862" spans="1:12" x14ac:dyDescent="0.45">
      <c r="A3862" s="462"/>
      <c r="B3862" s="440">
        <v>7</v>
      </c>
      <c r="C3862" s="192">
        <v>1</v>
      </c>
      <c r="D3862" s="79"/>
      <c r="E3862" s="96"/>
      <c r="F3862" s="96"/>
      <c r="G3862" s="96"/>
      <c r="H3862" s="96"/>
      <c r="I3862" s="96"/>
      <c r="J3862" s="96"/>
      <c r="K3862" s="96"/>
      <c r="L3862" s="193"/>
    </row>
    <row r="3863" spans="1:12" x14ac:dyDescent="0.45">
      <c r="A3863" s="462"/>
      <c r="B3863" s="441"/>
      <c r="C3863" s="194">
        <v>2</v>
      </c>
      <c r="D3863" s="80"/>
      <c r="E3863" s="97"/>
      <c r="F3863" s="97"/>
      <c r="G3863" s="97"/>
      <c r="H3863" s="97"/>
      <c r="I3863" s="97"/>
      <c r="J3863" s="97"/>
      <c r="K3863" s="97"/>
      <c r="L3863" s="195"/>
    </row>
    <row r="3864" spans="1:12" x14ac:dyDescent="0.45">
      <c r="A3864" s="462"/>
      <c r="B3864" s="441"/>
      <c r="C3864" s="194">
        <v>3</v>
      </c>
      <c r="D3864" s="80"/>
      <c r="E3864" s="97"/>
      <c r="F3864" s="97"/>
      <c r="G3864" s="97"/>
      <c r="H3864" s="97"/>
      <c r="I3864" s="97"/>
      <c r="J3864" s="97"/>
      <c r="K3864" s="97"/>
      <c r="L3864" s="195"/>
    </row>
    <row r="3865" spans="1:12" x14ac:dyDescent="0.45">
      <c r="A3865" s="462"/>
      <c r="B3865" s="441"/>
      <c r="C3865" s="194">
        <v>4</v>
      </c>
      <c r="D3865" s="80"/>
      <c r="E3865" s="97"/>
      <c r="F3865" s="97"/>
      <c r="G3865" s="97"/>
      <c r="H3865" s="97"/>
      <c r="I3865" s="97"/>
      <c r="J3865" s="97"/>
      <c r="K3865" s="97"/>
      <c r="L3865" s="195"/>
    </row>
    <row r="3866" spans="1:12" x14ac:dyDescent="0.45">
      <c r="A3866" s="462"/>
      <c r="B3866" s="441"/>
      <c r="C3866" s="194">
        <v>5</v>
      </c>
      <c r="D3866" s="80"/>
      <c r="E3866" s="97"/>
      <c r="F3866" s="97"/>
      <c r="G3866" s="97"/>
      <c r="H3866" s="97"/>
      <c r="I3866" s="97"/>
      <c r="J3866" s="97"/>
      <c r="K3866" s="97"/>
      <c r="L3866" s="195"/>
    </row>
    <row r="3867" spans="1:12" x14ac:dyDescent="0.45">
      <c r="A3867" s="462"/>
      <c r="B3867" s="441"/>
      <c r="C3867" s="194">
        <v>6</v>
      </c>
      <c r="D3867" s="80"/>
      <c r="E3867" s="97"/>
      <c r="F3867" s="97"/>
      <c r="G3867" s="97"/>
      <c r="H3867" s="97"/>
      <c r="I3867" s="97"/>
      <c r="J3867" s="97"/>
      <c r="K3867" s="97"/>
      <c r="L3867" s="195"/>
    </row>
    <row r="3868" spans="1:12" x14ac:dyDescent="0.45">
      <c r="A3868" s="462"/>
      <c r="B3868" s="441"/>
      <c r="C3868" s="194">
        <v>7</v>
      </c>
      <c r="D3868" s="80"/>
      <c r="E3868" s="97"/>
      <c r="F3868" s="97"/>
      <c r="G3868" s="97"/>
      <c r="H3868" s="97"/>
      <c r="I3868" s="97"/>
      <c r="J3868" s="97"/>
      <c r="K3868" s="97"/>
      <c r="L3868" s="195"/>
    </row>
    <row r="3869" spans="1:12" x14ac:dyDescent="0.45">
      <c r="A3869" s="462"/>
      <c r="B3869" s="441"/>
      <c r="C3869" s="194">
        <v>8</v>
      </c>
      <c r="D3869" s="80"/>
      <c r="E3869" s="97"/>
      <c r="F3869" s="97"/>
      <c r="G3869" s="97"/>
      <c r="H3869" s="97"/>
      <c r="I3869" s="97"/>
      <c r="J3869" s="97"/>
      <c r="K3869" s="97"/>
      <c r="L3869" s="195"/>
    </row>
    <row r="3870" spans="1:12" x14ac:dyDescent="0.45">
      <c r="A3870" s="462"/>
      <c r="B3870" s="441"/>
      <c r="C3870" s="194">
        <v>9</v>
      </c>
      <c r="D3870" s="80"/>
      <c r="E3870" s="97"/>
      <c r="F3870" s="97"/>
      <c r="G3870" s="97"/>
      <c r="H3870" s="97"/>
      <c r="I3870" s="97"/>
      <c r="J3870" s="97"/>
      <c r="K3870" s="97"/>
      <c r="L3870" s="195"/>
    </row>
    <row r="3871" spans="1:12" x14ac:dyDescent="0.45">
      <c r="A3871" s="462"/>
      <c r="B3871" s="441"/>
      <c r="C3871" s="194">
        <v>10</v>
      </c>
      <c r="D3871" s="80"/>
      <c r="E3871" s="97"/>
      <c r="F3871" s="97"/>
      <c r="G3871" s="97"/>
      <c r="H3871" s="97"/>
      <c r="I3871" s="97"/>
      <c r="J3871" s="97"/>
      <c r="K3871" s="97"/>
      <c r="L3871" s="195"/>
    </row>
    <row r="3872" spans="1:12" x14ac:dyDescent="0.45">
      <c r="A3872" s="462"/>
      <c r="B3872" s="441"/>
      <c r="C3872" s="194">
        <v>11</v>
      </c>
      <c r="D3872" s="81"/>
      <c r="E3872" s="98"/>
      <c r="F3872" s="98"/>
      <c r="G3872" s="98"/>
      <c r="H3872" s="98"/>
      <c r="I3872" s="98"/>
      <c r="J3872" s="98"/>
      <c r="K3872" s="98"/>
      <c r="L3872" s="196"/>
    </row>
    <row r="3873" spans="1:12" ht="14.65" thickBot="1" x14ac:dyDescent="0.5">
      <c r="A3873" s="462"/>
      <c r="B3873" s="442"/>
      <c r="C3873" s="197">
        <v>12</v>
      </c>
      <c r="D3873" s="82"/>
      <c r="E3873" s="99"/>
      <c r="F3873" s="99"/>
      <c r="G3873" s="99"/>
      <c r="H3873" s="99"/>
      <c r="I3873" s="99"/>
      <c r="J3873" s="99"/>
      <c r="K3873" s="99"/>
      <c r="L3873" s="198"/>
    </row>
    <row r="3874" spans="1:12" x14ac:dyDescent="0.45">
      <c r="A3874" s="462"/>
      <c r="B3874" s="440">
        <v>8</v>
      </c>
      <c r="C3874" s="192">
        <v>1</v>
      </c>
      <c r="D3874" s="79"/>
      <c r="E3874" s="96"/>
      <c r="F3874" s="96"/>
      <c r="G3874" s="96"/>
      <c r="H3874" s="96"/>
      <c r="I3874" s="96"/>
      <c r="J3874" s="96"/>
      <c r="K3874" s="96"/>
      <c r="L3874" s="193"/>
    </row>
    <row r="3875" spans="1:12" x14ac:dyDescent="0.45">
      <c r="A3875" s="462"/>
      <c r="B3875" s="441"/>
      <c r="C3875" s="194">
        <v>2</v>
      </c>
      <c r="D3875" s="80"/>
      <c r="E3875" s="97"/>
      <c r="F3875" s="97"/>
      <c r="G3875" s="97"/>
      <c r="H3875" s="97"/>
      <c r="I3875" s="97"/>
      <c r="J3875" s="97"/>
      <c r="K3875" s="97"/>
      <c r="L3875" s="195"/>
    </row>
    <row r="3876" spans="1:12" x14ac:dyDescent="0.45">
      <c r="A3876" s="462"/>
      <c r="B3876" s="441"/>
      <c r="C3876" s="194">
        <v>3</v>
      </c>
      <c r="D3876" s="80"/>
      <c r="E3876" s="97"/>
      <c r="F3876" s="97"/>
      <c r="G3876" s="97"/>
      <c r="H3876" s="97"/>
      <c r="I3876" s="97"/>
      <c r="J3876" s="97"/>
      <c r="K3876" s="97"/>
      <c r="L3876" s="195"/>
    </row>
    <row r="3877" spans="1:12" x14ac:dyDescent="0.45">
      <c r="A3877" s="462"/>
      <c r="B3877" s="441"/>
      <c r="C3877" s="194">
        <v>4</v>
      </c>
      <c r="D3877" s="80"/>
      <c r="E3877" s="97"/>
      <c r="F3877" s="97"/>
      <c r="G3877" s="97"/>
      <c r="H3877" s="97"/>
      <c r="I3877" s="97"/>
      <c r="J3877" s="97"/>
      <c r="K3877" s="97"/>
      <c r="L3877" s="195"/>
    </row>
    <row r="3878" spans="1:12" x14ac:dyDescent="0.45">
      <c r="A3878" s="462"/>
      <c r="B3878" s="441"/>
      <c r="C3878" s="194">
        <v>5</v>
      </c>
      <c r="D3878" s="80"/>
      <c r="E3878" s="97"/>
      <c r="F3878" s="97"/>
      <c r="G3878" s="97"/>
      <c r="H3878" s="97"/>
      <c r="I3878" s="97"/>
      <c r="J3878" s="97"/>
      <c r="K3878" s="97"/>
      <c r="L3878" s="195"/>
    </row>
    <row r="3879" spans="1:12" x14ac:dyDescent="0.45">
      <c r="A3879" s="462"/>
      <c r="B3879" s="441"/>
      <c r="C3879" s="194">
        <v>6</v>
      </c>
      <c r="D3879" s="80"/>
      <c r="E3879" s="97"/>
      <c r="F3879" s="97"/>
      <c r="G3879" s="97"/>
      <c r="H3879" s="97"/>
      <c r="I3879" s="97"/>
      <c r="J3879" s="97"/>
      <c r="K3879" s="97"/>
      <c r="L3879" s="195"/>
    </row>
    <row r="3880" spans="1:12" x14ac:dyDescent="0.45">
      <c r="A3880" s="462"/>
      <c r="B3880" s="441"/>
      <c r="C3880" s="194">
        <v>7</v>
      </c>
      <c r="D3880" s="80"/>
      <c r="E3880" s="97"/>
      <c r="F3880" s="97"/>
      <c r="G3880" s="97"/>
      <c r="H3880" s="97"/>
      <c r="I3880" s="97"/>
      <c r="J3880" s="97"/>
      <c r="K3880" s="97"/>
      <c r="L3880" s="195"/>
    </row>
    <row r="3881" spans="1:12" x14ac:dyDescent="0.45">
      <c r="A3881" s="462"/>
      <c r="B3881" s="441"/>
      <c r="C3881" s="194">
        <v>8</v>
      </c>
      <c r="D3881" s="80"/>
      <c r="E3881" s="97"/>
      <c r="F3881" s="97"/>
      <c r="G3881" s="97"/>
      <c r="H3881" s="97"/>
      <c r="I3881" s="97"/>
      <c r="J3881" s="97"/>
      <c r="K3881" s="97"/>
      <c r="L3881" s="195"/>
    </row>
    <row r="3882" spans="1:12" x14ac:dyDescent="0.45">
      <c r="A3882" s="462"/>
      <c r="B3882" s="441"/>
      <c r="C3882" s="194">
        <v>9</v>
      </c>
      <c r="D3882" s="80"/>
      <c r="E3882" s="97"/>
      <c r="F3882" s="97"/>
      <c r="G3882" s="97"/>
      <c r="H3882" s="97"/>
      <c r="I3882" s="97"/>
      <c r="J3882" s="97"/>
      <c r="K3882" s="97"/>
      <c r="L3882" s="195"/>
    </row>
    <row r="3883" spans="1:12" x14ac:dyDescent="0.45">
      <c r="A3883" s="462"/>
      <c r="B3883" s="441"/>
      <c r="C3883" s="194">
        <v>10</v>
      </c>
      <c r="D3883" s="80"/>
      <c r="E3883" s="97"/>
      <c r="F3883" s="97"/>
      <c r="G3883" s="97"/>
      <c r="H3883" s="97"/>
      <c r="I3883" s="97"/>
      <c r="J3883" s="97"/>
      <c r="K3883" s="97"/>
      <c r="L3883" s="195"/>
    </row>
    <row r="3884" spans="1:12" x14ac:dyDescent="0.45">
      <c r="A3884" s="462"/>
      <c r="B3884" s="441"/>
      <c r="C3884" s="194">
        <v>11</v>
      </c>
      <c r="D3884" s="81"/>
      <c r="E3884" s="98"/>
      <c r="F3884" s="98"/>
      <c r="G3884" s="98"/>
      <c r="H3884" s="98"/>
      <c r="I3884" s="98"/>
      <c r="J3884" s="98"/>
      <c r="K3884" s="98"/>
      <c r="L3884" s="196"/>
    </row>
    <row r="3885" spans="1:12" ht="14.65" thickBot="1" x14ac:dyDescent="0.5">
      <c r="A3885" s="463"/>
      <c r="B3885" s="442"/>
      <c r="C3885" s="197">
        <v>12</v>
      </c>
      <c r="D3885" s="82"/>
      <c r="E3885" s="99"/>
      <c r="F3885" s="99"/>
      <c r="G3885" s="99"/>
      <c r="H3885" s="99"/>
      <c r="I3885" s="99"/>
      <c r="J3885" s="99"/>
      <c r="K3885" s="99"/>
      <c r="L3885" s="198"/>
    </row>
    <row r="3886" spans="1:12" x14ac:dyDescent="0.45">
      <c r="A3886" s="461">
        <v>3</v>
      </c>
      <c r="B3886" s="440">
        <v>9</v>
      </c>
      <c r="C3886" s="192">
        <v>1</v>
      </c>
      <c r="D3886" s="79"/>
      <c r="E3886" s="96"/>
      <c r="F3886" s="96"/>
      <c r="G3886" s="96"/>
      <c r="H3886" s="96"/>
      <c r="I3886" s="96"/>
      <c r="J3886" s="96"/>
      <c r="K3886" s="96"/>
      <c r="L3886" s="193"/>
    </row>
    <row r="3887" spans="1:12" x14ac:dyDescent="0.45">
      <c r="A3887" s="462"/>
      <c r="B3887" s="441"/>
      <c r="C3887" s="194">
        <v>2</v>
      </c>
      <c r="D3887" s="80"/>
      <c r="E3887" s="97"/>
      <c r="F3887" s="97"/>
      <c r="G3887" s="97"/>
      <c r="H3887" s="97"/>
      <c r="I3887" s="97"/>
      <c r="J3887" s="97"/>
      <c r="K3887" s="97"/>
      <c r="L3887" s="195"/>
    </row>
    <row r="3888" spans="1:12" x14ac:dyDescent="0.45">
      <c r="A3888" s="462"/>
      <c r="B3888" s="441"/>
      <c r="C3888" s="194">
        <v>3</v>
      </c>
      <c r="D3888" s="80"/>
      <c r="E3888" s="97"/>
      <c r="F3888" s="97"/>
      <c r="G3888" s="97"/>
      <c r="H3888" s="97"/>
      <c r="I3888" s="97"/>
      <c r="J3888" s="97"/>
      <c r="K3888" s="97"/>
      <c r="L3888" s="195"/>
    </row>
    <row r="3889" spans="1:12" x14ac:dyDescent="0.45">
      <c r="A3889" s="462"/>
      <c r="B3889" s="441"/>
      <c r="C3889" s="194">
        <v>4</v>
      </c>
      <c r="D3889" s="80"/>
      <c r="E3889" s="97"/>
      <c r="F3889" s="97"/>
      <c r="G3889" s="97"/>
      <c r="H3889" s="97"/>
      <c r="I3889" s="97"/>
      <c r="J3889" s="97"/>
      <c r="K3889" s="97"/>
      <c r="L3889" s="195"/>
    </row>
    <row r="3890" spans="1:12" x14ac:dyDescent="0.45">
      <c r="A3890" s="462"/>
      <c r="B3890" s="441"/>
      <c r="C3890" s="194">
        <v>5</v>
      </c>
      <c r="D3890" s="80"/>
      <c r="E3890" s="97"/>
      <c r="F3890" s="97"/>
      <c r="G3890" s="97"/>
      <c r="H3890" s="97"/>
      <c r="I3890" s="97"/>
      <c r="J3890" s="97"/>
      <c r="K3890" s="97"/>
      <c r="L3890" s="195"/>
    </row>
    <row r="3891" spans="1:12" x14ac:dyDescent="0.45">
      <c r="A3891" s="462"/>
      <c r="B3891" s="441"/>
      <c r="C3891" s="194">
        <v>6</v>
      </c>
      <c r="D3891" s="80"/>
      <c r="E3891" s="97"/>
      <c r="F3891" s="97"/>
      <c r="G3891" s="97"/>
      <c r="H3891" s="97"/>
      <c r="I3891" s="97"/>
      <c r="J3891" s="97"/>
      <c r="K3891" s="97"/>
      <c r="L3891" s="195"/>
    </row>
    <row r="3892" spans="1:12" x14ac:dyDescent="0.45">
      <c r="A3892" s="462"/>
      <c r="B3892" s="441"/>
      <c r="C3892" s="194">
        <v>7</v>
      </c>
      <c r="D3892" s="80"/>
      <c r="E3892" s="97"/>
      <c r="F3892" s="97"/>
      <c r="G3892" s="97"/>
      <c r="H3892" s="97"/>
      <c r="I3892" s="97"/>
      <c r="J3892" s="97"/>
      <c r="K3892" s="97"/>
      <c r="L3892" s="195"/>
    </row>
    <row r="3893" spans="1:12" x14ac:dyDescent="0.45">
      <c r="A3893" s="462"/>
      <c r="B3893" s="441"/>
      <c r="C3893" s="194">
        <v>8</v>
      </c>
      <c r="D3893" s="80"/>
      <c r="E3893" s="97"/>
      <c r="F3893" s="97"/>
      <c r="G3893" s="97"/>
      <c r="H3893" s="97"/>
      <c r="I3893" s="97"/>
      <c r="J3893" s="97"/>
      <c r="K3893" s="97"/>
      <c r="L3893" s="195"/>
    </row>
    <row r="3894" spans="1:12" x14ac:dyDescent="0.45">
      <c r="A3894" s="462"/>
      <c r="B3894" s="441"/>
      <c r="C3894" s="194">
        <v>9</v>
      </c>
      <c r="D3894" s="80"/>
      <c r="E3894" s="97"/>
      <c r="F3894" s="97"/>
      <c r="G3894" s="97"/>
      <c r="H3894" s="97"/>
      <c r="I3894" s="97"/>
      <c r="J3894" s="97"/>
      <c r="K3894" s="97"/>
      <c r="L3894" s="195"/>
    </row>
    <row r="3895" spans="1:12" x14ac:dyDescent="0.45">
      <c r="A3895" s="462"/>
      <c r="B3895" s="441"/>
      <c r="C3895" s="194">
        <v>10</v>
      </c>
      <c r="D3895" s="80"/>
      <c r="E3895" s="97"/>
      <c r="F3895" s="97"/>
      <c r="G3895" s="97"/>
      <c r="H3895" s="97"/>
      <c r="I3895" s="97"/>
      <c r="J3895" s="97"/>
      <c r="K3895" s="97"/>
      <c r="L3895" s="195"/>
    </row>
    <row r="3896" spans="1:12" x14ac:dyDescent="0.45">
      <c r="A3896" s="462"/>
      <c r="B3896" s="441"/>
      <c r="C3896" s="194">
        <v>11</v>
      </c>
      <c r="D3896" s="81"/>
      <c r="E3896" s="98"/>
      <c r="F3896" s="98"/>
      <c r="G3896" s="98"/>
      <c r="H3896" s="98"/>
      <c r="I3896" s="98"/>
      <c r="J3896" s="98"/>
      <c r="K3896" s="98"/>
      <c r="L3896" s="196"/>
    </row>
    <row r="3897" spans="1:12" ht="14.65" thickBot="1" x14ac:dyDescent="0.5">
      <c r="A3897" s="462"/>
      <c r="B3897" s="442"/>
      <c r="C3897" s="197">
        <v>12</v>
      </c>
      <c r="D3897" s="82"/>
      <c r="E3897" s="99"/>
      <c r="F3897" s="99"/>
      <c r="G3897" s="99"/>
      <c r="H3897" s="99"/>
      <c r="I3897" s="99"/>
      <c r="J3897" s="99"/>
      <c r="K3897" s="99"/>
      <c r="L3897" s="198"/>
    </row>
    <row r="3898" spans="1:12" x14ac:dyDescent="0.45">
      <c r="A3898" s="462"/>
      <c r="B3898" s="440">
        <v>10</v>
      </c>
      <c r="C3898" s="192">
        <v>1</v>
      </c>
      <c r="D3898" s="79"/>
      <c r="E3898" s="96"/>
      <c r="F3898" s="96"/>
      <c r="G3898" s="96"/>
      <c r="H3898" s="96"/>
      <c r="I3898" s="96"/>
      <c r="J3898" s="96"/>
      <c r="K3898" s="96"/>
      <c r="L3898" s="193"/>
    </row>
    <row r="3899" spans="1:12" x14ac:dyDescent="0.45">
      <c r="A3899" s="462"/>
      <c r="B3899" s="441"/>
      <c r="C3899" s="194">
        <v>2</v>
      </c>
      <c r="D3899" s="80"/>
      <c r="E3899" s="97"/>
      <c r="F3899" s="97"/>
      <c r="G3899" s="97"/>
      <c r="H3899" s="97"/>
      <c r="I3899" s="97"/>
      <c r="J3899" s="97"/>
      <c r="K3899" s="97"/>
      <c r="L3899" s="195"/>
    </row>
    <row r="3900" spans="1:12" x14ac:dyDescent="0.45">
      <c r="A3900" s="462"/>
      <c r="B3900" s="441"/>
      <c r="C3900" s="194">
        <v>3</v>
      </c>
      <c r="D3900" s="80"/>
      <c r="E3900" s="97"/>
      <c r="F3900" s="97"/>
      <c r="G3900" s="97"/>
      <c r="H3900" s="97"/>
      <c r="I3900" s="97"/>
      <c r="J3900" s="97"/>
      <c r="K3900" s="97"/>
      <c r="L3900" s="195"/>
    </row>
    <row r="3901" spans="1:12" x14ac:dyDescent="0.45">
      <c r="A3901" s="462"/>
      <c r="B3901" s="441"/>
      <c r="C3901" s="194">
        <v>4</v>
      </c>
      <c r="D3901" s="80"/>
      <c r="E3901" s="97"/>
      <c r="F3901" s="97"/>
      <c r="G3901" s="97"/>
      <c r="H3901" s="97"/>
      <c r="I3901" s="97"/>
      <c r="J3901" s="97"/>
      <c r="K3901" s="97"/>
      <c r="L3901" s="195"/>
    </row>
    <row r="3902" spans="1:12" x14ac:dyDescent="0.45">
      <c r="A3902" s="462"/>
      <c r="B3902" s="441"/>
      <c r="C3902" s="194">
        <v>5</v>
      </c>
      <c r="D3902" s="80"/>
      <c r="E3902" s="97"/>
      <c r="F3902" s="97"/>
      <c r="G3902" s="97"/>
      <c r="H3902" s="97"/>
      <c r="I3902" s="97"/>
      <c r="J3902" s="97"/>
      <c r="K3902" s="97"/>
      <c r="L3902" s="195"/>
    </row>
    <row r="3903" spans="1:12" x14ac:dyDescent="0.45">
      <c r="A3903" s="462"/>
      <c r="B3903" s="441"/>
      <c r="C3903" s="194">
        <v>6</v>
      </c>
      <c r="D3903" s="80"/>
      <c r="E3903" s="97"/>
      <c r="F3903" s="97"/>
      <c r="G3903" s="97"/>
      <c r="H3903" s="97"/>
      <c r="I3903" s="97"/>
      <c r="J3903" s="97"/>
      <c r="K3903" s="97"/>
      <c r="L3903" s="195"/>
    </row>
    <row r="3904" spans="1:12" x14ac:dyDescent="0.45">
      <c r="A3904" s="462"/>
      <c r="B3904" s="441"/>
      <c r="C3904" s="194">
        <v>7</v>
      </c>
      <c r="D3904" s="80"/>
      <c r="E3904" s="97"/>
      <c r="F3904" s="97"/>
      <c r="G3904" s="97"/>
      <c r="H3904" s="97"/>
      <c r="I3904" s="97"/>
      <c r="J3904" s="97"/>
      <c r="K3904" s="97"/>
      <c r="L3904" s="195"/>
    </row>
    <row r="3905" spans="1:12" x14ac:dyDescent="0.45">
      <c r="A3905" s="462"/>
      <c r="B3905" s="441"/>
      <c r="C3905" s="194">
        <v>8</v>
      </c>
      <c r="D3905" s="80"/>
      <c r="E3905" s="97"/>
      <c r="F3905" s="97"/>
      <c r="G3905" s="97"/>
      <c r="H3905" s="97"/>
      <c r="I3905" s="97"/>
      <c r="J3905" s="97"/>
      <c r="K3905" s="97"/>
      <c r="L3905" s="195"/>
    </row>
    <row r="3906" spans="1:12" x14ac:dyDescent="0.45">
      <c r="A3906" s="462"/>
      <c r="B3906" s="441"/>
      <c r="C3906" s="194">
        <v>9</v>
      </c>
      <c r="D3906" s="80"/>
      <c r="E3906" s="97"/>
      <c r="F3906" s="97"/>
      <c r="G3906" s="97"/>
      <c r="H3906" s="97"/>
      <c r="I3906" s="97"/>
      <c r="J3906" s="97"/>
      <c r="K3906" s="97"/>
      <c r="L3906" s="195"/>
    </row>
    <row r="3907" spans="1:12" x14ac:dyDescent="0.45">
      <c r="A3907" s="462"/>
      <c r="B3907" s="441"/>
      <c r="C3907" s="194">
        <v>10</v>
      </c>
      <c r="D3907" s="80"/>
      <c r="E3907" s="97"/>
      <c r="F3907" s="97"/>
      <c r="G3907" s="97"/>
      <c r="H3907" s="97"/>
      <c r="I3907" s="97"/>
      <c r="J3907" s="97"/>
      <c r="K3907" s="97"/>
      <c r="L3907" s="195"/>
    </row>
    <row r="3908" spans="1:12" x14ac:dyDescent="0.45">
      <c r="A3908" s="462"/>
      <c r="B3908" s="441"/>
      <c r="C3908" s="194">
        <v>11</v>
      </c>
      <c r="D3908" s="81"/>
      <c r="E3908" s="98"/>
      <c r="F3908" s="98"/>
      <c r="G3908" s="98"/>
      <c r="H3908" s="98"/>
      <c r="I3908" s="98"/>
      <c r="J3908" s="98"/>
      <c r="K3908" s="98"/>
      <c r="L3908" s="196"/>
    </row>
    <row r="3909" spans="1:12" ht="14.65" thickBot="1" x14ac:dyDescent="0.5">
      <c r="A3909" s="462"/>
      <c r="B3909" s="442"/>
      <c r="C3909" s="197">
        <v>12</v>
      </c>
      <c r="D3909" s="82"/>
      <c r="E3909" s="99"/>
      <c r="F3909" s="99"/>
      <c r="G3909" s="99"/>
      <c r="H3909" s="99"/>
      <c r="I3909" s="99"/>
      <c r="J3909" s="99"/>
      <c r="K3909" s="99"/>
      <c r="L3909" s="198"/>
    </row>
    <row r="3910" spans="1:12" x14ac:dyDescent="0.45">
      <c r="A3910" s="462"/>
      <c r="B3910" s="440">
        <v>11</v>
      </c>
      <c r="C3910" s="192">
        <v>1</v>
      </c>
      <c r="D3910" s="79"/>
      <c r="E3910" s="96"/>
      <c r="F3910" s="96"/>
      <c r="G3910" s="96"/>
      <c r="H3910" s="96"/>
      <c r="I3910" s="96"/>
      <c r="J3910" s="96"/>
      <c r="K3910" s="96"/>
      <c r="L3910" s="193"/>
    </row>
    <row r="3911" spans="1:12" x14ac:dyDescent="0.45">
      <c r="A3911" s="462"/>
      <c r="B3911" s="441"/>
      <c r="C3911" s="194">
        <v>2</v>
      </c>
      <c r="D3911" s="80"/>
      <c r="E3911" s="97"/>
      <c r="F3911" s="97"/>
      <c r="G3911" s="97"/>
      <c r="H3911" s="97"/>
      <c r="I3911" s="97"/>
      <c r="J3911" s="97"/>
      <c r="K3911" s="97"/>
      <c r="L3911" s="195"/>
    </row>
    <row r="3912" spans="1:12" x14ac:dyDescent="0.45">
      <c r="A3912" s="462"/>
      <c r="B3912" s="441"/>
      <c r="C3912" s="194">
        <v>3</v>
      </c>
      <c r="D3912" s="80"/>
      <c r="E3912" s="97"/>
      <c r="F3912" s="97"/>
      <c r="G3912" s="97"/>
      <c r="H3912" s="97"/>
      <c r="I3912" s="97"/>
      <c r="J3912" s="97"/>
      <c r="K3912" s="97"/>
      <c r="L3912" s="195"/>
    </row>
    <row r="3913" spans="1:12" x14ac:dyDescent="0.45">
      <c r="A3913" s="462"/>
      <c r="B3913" s="441"/>
      <c r="C3913" s="194">
        <v>4</v>
      </c>
      <c r="D3913" s="80"/>
      <c r="E3913" s="97"/>
      <c r="F3913" s="97"/>
      <c r="G3913" s="97"/>
      <c r="H3913" s="97"/>
      <c r="I3913" s="97"/>
      <c r="J3913" s="97"/>
      <c r="K3913" s="97"/>
      <c r="L3913" s="195"/>
    </row>
    <row r="3914" spans="1:12" x14ac:dyDescent="0.45">
      <c r="A3914" s="462"/>
      <c r="B3914" s="441"/>
      <c r="C3914" s="194">
        <v>5</v>
      </c>
      <c r="D3914" s="80"/>
      <c r="E3914" s="97"/>
      <c r="F3914" s="97"/>
      <c r="G3914" s="97"/>
      <c r="H3914" s="97"/>
      <c r="I3914" s="97"/>
      <c r="J3914" s="97"/>
      <c r="K3914" s="97"/>
      <c r="L3914" s="195"/>
    </row>
    <row r="3915" spans="1:12" x14ac:dyDescent="0.45">
      <c r="A3915" s="462"/>
      <c r="B3915" s="441"/>
      <c r="C3915" s="194">
        <v>6</v>
      </c>
      <c r="D3915" s="80"/>
      <c r="E3915" s="97"/>
      <c r="F3915" s="97"/>
      <c r="G3915" s="97"/>
      <c r="H3915" s="97"/>
      <c r="I3915" s="97"/>
      <c r="J3915" s="97"/>
      <c r="K3915" s="97"/>
      <c r="L3915" s="195"/>
    </row>
    <row r="3916" spans="1:12" x14ac:dyDescent="0.45">
      <c r="A3916" s="462"/>
      <c r="B3916" s="441"/>
      <c r="C3916" s="194">
        <v>7</v>
      </c>
      <c r="D3916" s="80"/>
      <c r="E3916" s="97"/>
      <c r="F3916" s="97"/>
      <c r="G3916" s="97"/>
      <c r="H3916" s="97"/>
      <c r="I3916" s="97"/>
      <c r="J3916" s="97"/>
      <c r="K3916" s="97"/>
      <c r="L3916" s="195"/>
    </row>
    <row r="3917" spans="1:12" x14ac:dyDescent="0.45">
      <c r="A3917" s="462"/>
      <c r="B3917" s="441"/>
      <c r="C3917" s="194">
        <v>8</v>
      </c>
      <c r="D3917" s="80"/>
      <c r="E3917" s="97"/>
      <c r="F3917" s="97"/>
      <c r="G3917" s="97"/>
      <c r="H3917" s="97"/>
      <c r="I3917" s="97"/>
      <c r="J3917" s="97"/>
      <c r="K3917" s="97"/>
      <c r="L3917" s="195"/>
    </row>
    <row r="3918" spans="1:12" x14ac:dyDescent="0.45">
      <c r="A3918" s="462"/>
      <c r="B3918" s="441"/>
      <c r="C3918" s="194">
        <v>9</v>
      </c>
      <c r="D3918" s="80"/>
      <c r="E3918" s="97"/>
      <c r="F3918" s="97"/>
      <c r="G3918" s="97"/>
      <c r="H3918" s="97"/>
      <c r="I3918" s="97"/>
      <c r="J3918" s="97"/>
      <c r="K3918" s="97"/>
      <c r="L3918" s="195"/>
    </row>
    <row r="3919" spans="1:12" x14ac:dyDescent="0.45">
      <c r="A3919" s="462"/>
      <c r="B3919" s="441"/>
      <c r="C3919" s="194">
        <v>10</v>
      </c>
      <c r="D3919" s="80"/>
      <c r="E3919" s="97"/>
      <c r="F3919" s="97"/>
      <c r="G3919" s="97"/>
      <c r="H3919" s="97"/>
      <c r="I3919" s="97"/>
      <c r="J3919" s="97"/>
      <c r="K3919" s="97"/>
      <c r="L3919" s="195"/>
    </row>
    <row r="3920" spans="1:12" x14ac:dyDescent="0.45">
      <c r="A3920" s="462"/>
      <c r="B3920" s="441"/>
      <c r="C3920" s="194">
        <v>11</v>
      </c>
      <c r="D3920" s="81"/>
      <c r="E3920" s="98"/>
      <c r="F3920" s="98"/>
      <c r="G3920" s="98"/>
      <c r="H3920" s="98"/>
      <c r="I3920" s="98"/>
      <c r="J3920" s="98"/>
      <c r="K3920" s="98"/>
      <c r="L3920" s="196"/>
    </row>
    <row r="3921" spans="1:12" ht="14.65" thickBot="1" x14ac:dyDescent="0.5">
      <c r="A3921" s="462"/>
      <c r="B3921" s="442"/>
      <c r="C3921" s="197">
        <v>12</v>
      </c>
      <c r="D3921" s="82"/>
      <c r="E3921" s="99"/>
      <c r="F3921" s="99"/>
      <c r="G3921" s="99"/>
      <c r="H3921" s="99"/>
      <c r="I3921" s="99"/>
      <c r="J3921" s="99"/>
      <c r="K3921" s="99"/>
      <c r="L3921" s="198"/>
    </row>
    <row r="3922" spans="1:12" x14ac:dyDescent="0.45">
      <c r="A3922" s="462"/>
      <c r="B3922" s="440">
        <v>12</v>
      </c>
      <c r="C3922" s="192">
        <v>1</v>
      </c>
      <c r="D3922" s="79"/>
      <c r="E3922" s="96"/>
      <c r="F3922" s="96"/>
      <c r="G3922" s="96"/>
      <c r="H3922" s="96"/>
      <c r="I3922" s="96"/>
      <c r="J3922" s="96"/>
      <c r="K3922" s="96"/>
      <c r="L3922" s="193"/>
    </row>
    <row r="3923" spans="1:12" x14ac:dyDescent="0.45">
      <c r="A3923" s="462"/>
      <c r="B3923" s="441"/>
      <c r="C3923" s="194">
        <v>2</v>
      </c>
      <c r="D3923" s="80"/>
      <c r="E3923" s="97"/>
      <c r="F3923" s="97"/>
      <c r="G3923" s="97"/>
      <c r="H3923" s="97"/>
      <c r="I3923" s="97"/>
      <c r="J3923" s="97"/>
      <c r="K3923" s="97"/>
      <c r="L3923" s="195"/>
    </row>
    <row r="3924" spans="1:12" x14ac:dyDescent="0.45">
      <c r="A3924" s="462"/>
      <c r="B3924" s="441"/>
      <c r="C3924" s="194">
        <v>3</v>
      </c>
      <c r="D3924" s="80"/>
      <c r="E3924" s="97"/>
      <c r="F3924" s="97"/>
      <c r="G3924" s="97"/>
      <c r="H3924" s="97"/>
      <c r="I3924" s="97"/>
      <c r="J3924" s="97"/>
      <c r="K3924" s="97"/>
      <c r="L3924" s="195"/>
    </row>
    <row r="3925" spans="1:12" x14ac:dyDescent="0.45">
      <c r="A3925" s="462"/>
      <c r="B3925" s="441"/>
      <c r="C3925" s="194">
        <v>4</v>
      </c>
      <c r="D3925" s="80"/>
      <c r="E3925" s="97"/>
      <c r="F3925" s="97"/>
      <c r="G3925" s="97"/>
      <c r="H3925" s="97"/>
      <c r="I3925" s="97"/>
      <c r="J3925" s="97"/>
      <c r="K3925" s="97"/>
      <c r="L3925" s="195"/>
    </row>
    <row r="3926" spans="1:12" x14ac:dyDescent="0.45">
      <c r="A3926" s="462"/>
      <c r="B3926" s="441"/>
      <c r="C3926" s="194">
        <v>5</v>
      </c>
      <c r="D3926" s="80"/>
      <c r="E3926" s="97"/>
      <c r="F3926" s="97"/>
      <c r="G3926" s="97"/>
      <c r="H3926" s="97"/>
      <c r="I3926" s="97"/>
      <c r="J3926" s="97"/>
      <c r="K3926" s="97"/>
      <c r="L3926" s="195"/>
    </row>
    <row r="3927" spans="1:12" x14ac:dyDescent="0.45">
      <c r="A3927" s="462"/>
      <c r="B3927" s="441"/>
      <c r="C3927" s="194">
        <v>6</v>
      </c>
      <c r="D3927" s="80"/>
      <c r="E3927" s="97"/>
      <c r="F3927" s="97"/>
      <c r="G3927" s="97"/>
      <c r="H3927" s="97"/>
      <c r="I3927" s="97"/>
      <c r="J3927" s="97"/>
      <c r="K3927" s="97"/>
      <c r="L3927" s="195"/>
    </row>
    <row r="3928" spans="1:12" x14ac:dyDescent="0.45">
      <c r="A3928" s="462"/>
      <c r="B3928" s="441"/>
      <c r="C3928" s="194">
        <v>7</v>
      </c>
      <c r="D3928" s="80"/>
      <c r="E3928" s="97"/>
      <c r="F3928" s="97"/>
      <c r="G3928" s="97"/>
      <c r="H3928" s="97"/>
      <c r="I3928" s="97"/>
      <c r="J3928" s="97"/>
      <c r="K3928" s="97"/>
      <c r="L3928" s="195"/>
    </row>
    <row r="3929" spans="1:12" x14ac:dyDescent="0.45">
      <c r="A3929" s="462"/>
      <c r="B3929" s="441"/>
      <c r="C3929" s="194">
        <v>8</v>
      </c>
      <c r="D3929" s="80"/>
      <c r="E3929" s="97"/>
      <c r="F3929" s="97"/>
      <c r="G3929" s="97"/>
      <c r="H3929" s="97"/>
      <c r="I3929" s="97"/>
      <c r="J3929" s="97"/>
      <c r="K3929" s="97"/>
      <c r="L3929" s="195"/>
    </row>
    <row r="3930" spans="1:12" x14ac:dyDescent="0.45">
      <c r="A3930" s="462"/>
      <c r="B3930" s="441"/>
      <c r="C3930" s="194">
        <v>9</v>
      </c>
      <c r="D3930" s="80"/>
      <c r="E3930" s="97"/>
      <c r="F3930" s="97"/>
      <c r="G3930" s="97"/>
      <c r="H3930" s="97"/>
      <c r="I3930" s="97"/>
      <c r="J3930" s="97"/>
      <c r="K3930" s="97"/>
      <c r="L3930" s="195"/>
    </row>
    <row r="3931" spans="1:12" x14ac:dyDescent="0.45">
      <c r="A3931" s="462"/>
      <c r="B3931" s="441"/>
      <c r="C3931" s="194">
        <v>10</v>
      </c>
      <c r="D3931" s="80"/>
      <c r="E3931" s="97"/>
      <c r="F3931" s="97"/>
      <c r="G3931" s="97"/>
      <c r="H3931" s="97"/>
      <c r="I3931" s="97"/>
      <c r="J3931" s="97"/>
      <c r="K3931" s="97"/>
      <c r="L3931" s="195"/>
    </row>
    <row r="3932" spans="1:12" x14ac:dyDescent="0.45">
      <c r="A3932" s="462"/>
      <c r="B3932" s="441"/>
      <c r="C3932" s="194">
        <v>11</v>
      </c>
      <c r="D3932" s="81"/>
      <c r="E3932" s="98"/>
      <c r="F3932" s="98"/>
      <c r="G3932" s="98"/>
      <c r="H3932" s="98"/>
      <c r="I3932" s="98"/>
      <c r="J3932" s="98"/>
      <c r="K3932" s="98"/>
      <c r="L3932" s="196"/>
    </row>
    <row r="3933" spans="1:12" ht="14.65" thickBot="1" x14ac:dyDescent="0.5">
      <c r="A3933" s="463"/>
      <c r="B3933" s="442"/>
      <c r="C3933" s="199">
        <v>12</v>
      </c>
      <c r="D3933" s="82"/>
      <c r="E3933" s="99"/>
      <c r="F3933" s="99"/>
      <c r="G3933" s="99"/>
      <c r="H3933" s="99"/>
      <c r="I3933" s="99"/>
      <c r="J3933" s="99"/>
      <c r="K3933" s="99"/>
      <c r="L3933" s="198"/>
    </row>
    <row r="3935" spans="1:12" s="91" customFormat="1" x14ac:dyDescent="0.45"/>
    <row r="3936" spans="1:12" ht="14.65" thickBot="1" x14ac:dyDescent="0.5"/>
    <row r="3937" spans="1:14" ht="33.6" customHeight="1" thickBot="1" x14ac:dyDescent="0.5">
      <c r="A3937" s="187" t="s">
        <v>76</v>
      </c>
      <c r="B3937" s="186">
        <v>26</v>
      </c>
      <c r="C3937" s="109"/>
      <c r="D3937" s="109"/>
    </row>
    <row r="3938" spans="1:14" ht="15.6" customHeight="1" x14ac:dyDescent="0.45">
      <c r="A3938" s="443" t="s">
        <v>89</v>
      </c>
      <c r="B3938" s="448">
        <f>Name26</f>
        <v>0</v>
      </c>
      <c r="C3938" s="449"/>
      <c r="D3938" s="450"/>
    </row>
    <row r="3939" spans="1:14" ht="15.6" customHeight="1" x14ac:dyDescent="0.45">
      <c r="A3939" s="444"/>
      <c r="B3939" s="448"/>
      <c r="C3939" s="449"/>
      <c r="D3939" s="450"/>
    </row>
    <row r="3940" spans="1:14" ht="15.6" customHeight="1" x14ac:dyDescent="0.45">
      <c r="A3940" s="445"/>
      <c r="B3940" s="388"/>
      <c r="C3940" s="451"/>
      <c r="D3940" s="452"/>
    </row>
    <row r="3941" spans="1:14" ht="15.6" customHeight="1" x14ac:dyDescent="0.45">
      <c r="A3941" s="444" t="s">
        <v>155</v>
      </c>
      <c r="B3941" s="453">
        <f>GapA26</f>
        <v>0</v>
      </c>
      <c r="C3941" s="454"/>
      <c r="D3941" s="455"/>
    </row>
    <row r="3942" spans="1:14" ht="15.6" customHeight="1" x14ac:dyDescent="0.45">
      <c r="A3942" s="444"/>
      <c r="B3942" s="448"/>
      <c r="C3942" s="449"/>
      <c r="D3942" s="450"/>
    </row>
    <row r="3943" spans="1:14" ht="15.6" customHeight="1" x14ac:dyDescent="0.45">
      <c r="A3943" s="445"/>
      <c r="B3943" s="388"/>
      <c r="C3943" s="451"/>
      <c r="D3943" s="452"/>
    </row>
    <row r="3944" spans="1:14" ht="15.6" customHeight="1" x14ac:dyDescent="0.45">
      <c r="A3944" s="444" t="s">
        <v>159</v>
      </c>
      <c r="B3944" s="453">
        <f>Objective26</f>
        <v>0</v>
      </c>
      <c r="C3944" s="454"/>
      <c r="D3944" s="455"/>
    </row>
    <row r="3945" spans="1:14" ht="15.6" customHeight="1" x14ac:dyDescent="0.45">
      <c r="A3945" s="444"/>
      <c r="B3945" s="448"/>
      <c r="C3945" s="449"/>
      <c r="D3945" s="450"/>
    </row>
    <row r="3946" spans="1:14" ht="15.6" customHeight="1" x14ac:dyDescent="0.45">
      <c r="A3946" s="445"/>
      <c r="B3946" s="388"/>
      <c r="C3946" s="451"/>
      <c r="D3946" s="452"/>
    </row>
    <row r="3947" spans="1:14" ht="15.6" customHeight="1" x14ac:dyDescent="0.45">
      <c r="A3947" s="446" t="s">
        <v>166</v>
      </c>
      <c r="B3947" s="454">
        <f>Capacity26</f>
        <v>0</v>
      </c>
      <c r="C3947" s="454"/>
      <c r="D3947" s="455"/>
    </row>
    <row r="3948" spans="1:14" ht="15.6" customHeight="1" x14ac:dyDescent="0.45">
      <c r="A3948" s="447"/>
      <c r="B3948" s="449"/>
      <c r="C3948" s="449"/>
      <c r="D3948" s="450"/>
    </row>
    <row r="3949" spans="1:14" ht="15.6" customHeight="1" thickBot="1" x14ac:dyDescent="0.5">
      <c r="A3949" s="447"/>
      <c r="B3949" s="456"/>
      <c r="C3949" s="456"/>
      <c r="D3949" s="457"/>
    </row>
    <row r="3950" spans="1:14" x14ac:dyDescent="0.45">
      <c r="A3950" s="188"/>
    </row>
    <row r="3951" spans="1:14" ht="14.65" thickBot="1" x14ac:dyDescent="0.5">
      <c r="A3951" s="90"/>
      <c r="B3951" s="90"/>
      <c r="C3951" s="90"/>
      <c r="D3951" s="90"/>
      <c r="E3951" s="90"/>
      <c r="F3951" s="90"/>
      <c r="G3951" s="90"/>
      <c r="H3951" s="90"/>
      <c r="I3951" s="90"/>
      <c r="J3951" s="90"/>
      <c r="K3951" s="90"/>
      <c r="L3951" s="90"/>
      <c r="M3951" s="90"/>
      <c r="N3951" s="90"/>
    </row>
    <row r="3952" spans="1:14" ht="21.75" customHeight="1" x14ac:dyDescent="0.45">
      <c r="A3952" s="458" t="s">
        <v>135</v>
      </c>
      <c r="B3952" s="459"/>
      <c r="C3952" s="459"/>
      <c r="D3952" s="459"/>
      <c r="E3952" s="459"/>
      <c r="F3952" s="459"/>
      <c r="G3952" s="459"/>
      <c r="H3952" s="459"/>
      <c r="I3952" s="459"/>
      <c r="J3952" s="459"/>
      <c r="K3952" s="459"/>
      <c r="L3952" s="460"/>
    </row>
    <row r="3953" spans="1:14" ht="29" customHeight="1" thickBot="1" x14ac:dyDescent="0.5">
      <c r="A3953" s="93" t="s">
        <v>74</v>
      </c>
      <c r="B3953" s="94" t="s">
        <v>28</v>
      </c>
      <c r="C3953" s="95" t="s">
        <v>320</v>
      </c>
      <c r="D3953" s="95" t="s">
        <v>127</v>
      </c>
      <c r="E3953" s="114" t="s">
        <v>90</v>
      </c>
      <c r="F3953" s="95" t="s">
        <v>175</v>
      </c>
      <c r="G3953" s="95" t="s">
        <v>176</v>
      </c>
      <c r="H3953" s="95" t="s">
        <v>156</v>
      </c>
      <c r="I3953" s="95" t="s">
        <v>157</v>
      </c>
      <c r="J3953" s="189" t="s">
        <v>321</v>
      </c>
      <c r="K3953" s="190" t="s">
        <v>29</v>
      </c>
      <c r="L3953" s="191" t="s">
        <v>322</v>
      </c>
    </row>
    <row r="3954" spans="1:14" x14ac:dyDescent="0.45">
      <c r="A3954" s="461">
        <v>1</v>
      </c>
      <c r="B3954" s="440">
        <v>1</v>
      </c>
      <c r="C3954" s="192">
        <v>1</v>
      </c>
      <c r="D3954" s="79"/>
      <c r="E3954" s="96"/>
      <c r="F3954" s="96"/>
      <c r="G3954" s="96"/>
      <c r="H3954" s="96"/>
      <c r="I3954" s="96"/>
      <c r="J3954" s="96"/>
      <c r="K3954" s="96"/>
      <c r="L3954" s="193"/>
    </row>
    <row r="3955" spans="1:14" x14ac:dyDescent="0.45">
      <c r="A3955" s="462"/>
      <c r="B3955" s="441"/>
      <c r="C3955" s="194">
        <v>2</v>
      </c>
      <c r="D3955" s="80"/>
      <c r="E3955" s="97"/>
      <c r="F3955" s="97"/>
      <c r="G3955" s="97"/>
      <c r="H3955" s="97"/>
      <c r="I3955" s="97"/>
      <c r="J3955" s="97"/>
      <c r="K3955" s="97"/>
      <c r="L3955" s="195"/>
    </row>
    <row r="3956" spans="1:14" x14ac:dyDescent="0.45">
      <c r="A3956" s="462"/>
      <c r="B3956" s="441"/>
      <c r="C3956" s="194">
        <v>3</v>
      </c>
      <c r="D3956" s="80"/>
      <c r="E3956" s="97"/>
      <c r="F3956" s="97"/>
      <c r="G3956" s="97"/>
      <c r="H3956" s="97"/>
      <c r="I3956" s="97"/>
      <c r="J3956" s="97"/>
      <c r="K3956" s="97"/>
      <c r="L3956" s="195"/>
    </row>
    <row r="3957" spans="1:14" x14ac:dyDescent="0.45">
      <c r="A3957" s="462"/>
      <c r="B3957" s="441"/>
      <c r="C3957" s="194">
        <v>4</v>
      </c>
      <c r="D3957" s="80"/>
      <c r="E3957" s="97"/>
      <c r="F3957" s="97"/>
      <c r="G3957" s="97"/>
      <c r="H3957" s="97"/>
      <c r="I3957" s="97"/>
      <c r="J3957" s="97"/>
      <c r="K3957" s="97"/>
      <c r="L3957" s="195"/>
    </row>
    <row r="3958" spans="1:14" x14ac:dyDescent="0.45">
      <c r="A3958" s="462"/>
      <c r="B3958" s="441"/>
      <c r="C3958" s="194">
        <v>5</v>
      </c>
      <c r="D3958" s="80"/>
      <c r="E3958" s="97"/>
      <c r="F3958" s="97"/>
      <c r="G3958" s="97"/>
      <c r="H3958" s="97"/>
      <c r="I3958" s="97"/>
      <c r="J3958" s="97"/>
      <c r="K3958" s="97"/>
      <c r="L3958" s="195"/>
    </row>
    <row r="3959" spans="1:14" x14ac:dyDescent="0.45">
      <c r="A3959" s="462"/>
      <c r="B3959" s="441"/>
      <c r="C3959" s="194">
        <v>6</v>
      </c>
      <c r="D3959" s="80"/>
      <c r="E3959" s="97"/>
      <c r="F3959" s="97"/>
      <c r="G3959" s="97"/>
      <c r="H3959" s="97"/>
      <c r="I3959" s="97"/>
      <c r="J3959" s="97"/>
      <c r="K3959" s="97"/>
      <c r="L3959" s="195"/>
    </row>
    <row r="3960" spans="1:14" x14ac:dyDescent="0.45">
      <c r="A3960" s="462"/>
      <c r="B3960" s="441"/>
      <c r="C3960" s="194">
        <v>7</v>
      </c>
      <c r="D3960" s="80"/>
      <c r="E3960" s="97"/>
      <c r="F3960" s="97"/>
      <c r="G3960" s="97"/>
      <c r="H3960" s="97"/>
      <c r="I3960" s="97"/>
      <c r="J3960" s="97"/>
      <c r="K3960" s="97"/>
      <c r="L3960" s="195"/>
    </row>
    <row r="3961" spans="1:14" x14ac:dyDescent="0.45">
      <c r="A3961" s="462"/>
      <c r="B3961" s="441"/>
      <c r="C3961" s="194">
        <v>8</v>
      </c>
      <c r="D3961" s="80"/>
      <c r="E3961" s="97"/>
      <c r="F3961" s="97"/>
      <c r="G3961" s="97"/>
      <c r="H3961" s="97"/>
      <c r="I3961" s="97"/>
      <c r="J3961" s="97"/>
      <c r="K3961" s="97"/>
      <c r="L3961" s="195"/>
    </row>
    <row r="3962" spans="1:14" x14ac:dyDescent="0.45">
      <c r="A3962" s="462"/>
      <c r="B3962" s="441"/>
      <c r="C3962" s="194">
        <v>9</v>
      </c>
      <c r="D3962" s="80"/>
      <c r="E3962" s="97"/>
      <c r="F3962" s="97"/>
      <c r="G3962" s="97"/>
      <c r="H3962" s="97"/>
      <c r="I3962" s="97"/>
      <c r="J3962" s="97"/>
      <c r="K3962" s="97"/>
      <c r="L3962" s="195"/>
    </row>
    <row r="3963" spans="1:14" x14ac:dyDescent="0.45">
      <c r="A3963" s="462"/>
      <c r="B3963" s="441"/>
      <c r="C3963" s="194">
        <v>10</v>
      </c>
      <c r="D3963" s="80"/>
      <c r="E3963" s="97"/>
      <c r="F3963" s="97"/>
      <c r="G3963" s="97"/>
      <c r="H3963" s="97"/>
      <c r="I3963" s="97"/>
      <c r="J3963" s="97"/>
      <c r="K3963" s="97"/>
      <c r="L3963" s="195"/>
    </row>
    <row r="3964" spans="1:14" x14ac:dyDescent="0.45">
      <c r="A3964" s="462"/>
      <c r="B3964" s="441"/>
      <c r="C3964" s="194">
        <v>11</v>
      </c>
      <c r="D3964" s="81"/>
      <c r="E3964" s="98"/>
      <c r="F3964" s="98"/>
      <c r="G3964" s="98"/>
      <c r="H3964" s="98"/>
      <c r="I3964" s="98"/>
      <c r="J3964" s="98"/>
      <c r="K3964" s="98"/>
      <c r="L3964" s="196"/>
    </row>
    <row r="3965" spans="1:14" s="90" customFormat="1" ht="14.65" thickBot="1" x14ac:dyDescent="0.5">
      <c r="A3965" s="462"/>
      <c r="B3965" s="442"/>
      <c r="C3965" s="197">
        <v>12</v>
      </c>
      <c r="D3965" s="82"/>
      <c r="E3965" s="99"/>
      <c r="F3965" s="99"/>
      <c r="G3965" s="99"/>
      <c r="H3965" s="99"/>
      <c r="I3965" s="99"/>
      <c r="J3965" s="99"/>
      <c r="K3965" s="99"/>
      <c r="L3965" s="198"/>
      <c r="M3965" s="61"/>
      <c r="N3965" s="61"/>
    </row>
    <row r="3966" spans="1:14" x14ac:dyDescent="0.45">
      <c r="A3966" s="462"/>
      <c r="B3966" s="440">
        <v>2</v>
      </c>
      <c r="C3966" s="192">
        <v>1</v>
      </c>
      <c r="D3966" s="79"/>
      <c r="E3966" s="96"/>
      <c r="F3966" s="96"/>
      <c r="G3966" s="96"/>
      <c r="H3966" s="96"/>
      <c r="I3966" s="96"/>
      <c r="J3966" s="96"/>
      <c r="K3966" s="96"/>
      <c r="L3966" s="193"/>
    </row>
    <row r="3967" spans="1:14" x14ac:dyDescent="0.45">
      <c r="A3967" s="462"/>
      <c r="B3967" s="441"/>
      <c r="C3967" s="194">
        <v>2</v>
      </c>
      <c r="D3967" s="80"/>
      <c r="E3967" s="97"/>
      <c r="F3967" s="97"/>
      <c r="G3967" s="97"/>
      <c r="H3967" s="97"/>
      <c r="I3967" s="97"/>
      <c r="J3967" s="97"/>
      <c r="K3967" s="97"/>
      <c r="L3967" s="195"/>
    </row>
    <row r="3968" spans="1:14" x14ac:dyDescent="0.45">
      <c r="A3968" s="462"/>
      <c r="B3968" s="441"/>
      <c r="C3968" s="194">
        <v>3</v>
      </c>
      <c r="D3968" s="80"/>
      <c r="E3968" s="97"/>
      <c r="F3968" s="97"/>
      <c r="G3968" s="97"/>
      <c r="H3968" s="97"/>
      <c r="I3968" s="97"/>
      <c r="J3968" s="97"/>
      <c r="K3968" s="97"/>
      <c r="L3968" s="195"/>
    </row>
    <row r="3969" spans="1:12" x14ac:dyDescent="0.45">
      <c r="A3969" s="462"/>
      <c r="B3969" s="441"/>
      <c r="C3969" s="194">
        <v>4</v>
      </c>
      <c r="D3969" s="80"/>
      <c r="E3969" s="97"/>
      <c r="F3969" s="97"/>
      <c r="G3969" s="97"/>
      <c r="H3969" s="97"/>
      <c r="I3969" s="97"/>
      <c r="J3969" s="97"/>
      <c r="K3969" s="97"/>
      <c r="L3969" s="195"/>
    </row>
    <row r="3970" spans="1:12" x14ac:dyDescent="0.45">
      <c r="A3970" s="462"/>
      <c r="B3970" s="441"/>
      <c r="C3970" s="194">
        <v>5</v>
      </c>
      <c r="D3970" s="80"/>
      <c r="E3970" s="97"/>
      <c r="F3970" s="97"/>
      <c r="G3970" s="97"/>
      <c r="H3970" s="97"/>
      <c r="I3970" s="97"/>
      <c r="J3970" s="97"/>
      <c r="K3970" s="97"/>
      <c r="L3970" s="195"/>
    </row>
    <row r="3971" spans="1:12" x14ac:dyDescent="0.45">
      <c r="A3971" s="462"/>
      <c r="B3971" s="441"/>
      <c r="C3971" s="194">
        <v>6</v>
      </c>
      <c r="D3971" s="80"/>
      <c r="E3971" s="97"/>
      <c r="F3971" s="97"/>
      <c r="G3971" s="97"/>
      <c r="H3971" s="97"/>
      <c r="I3971" s="97"/>
      <c r="J3971" s="97"/>
      <c r="K3971" s="97"/>
      <c r="L3971" s="195"/>
    </row>
    <row r="3972" spans="1:12" x14ac:dyDescent="0.45">
      <c r="A3972" s="462"/>
      <c r="B3972" s="441"/>
      <c r="C3972" s="194">
        <v>7</v>
      </c>
      <c r="D3972" s="80"/>
      <c r="E3972" s="97"/>
      <c r="F3972" s="97"/>
      <c r="G3972" s="97"/>
      <c r="H3972" s="97"/>
      <c r="I3972" s="97"/>
      <c r="J3972" s="97"/>
      <c r="K3972" s="97"/>
      <c r="L3972" s="195"/>
    </row>
    <row r="3973" spans="1:12" x14ac:dyDescent="0.45">
      <c r="A3973" s="462"/>
      <c r="B3973" s="441"/>
      <c r="C3973" s="194">
        <v>8</v>
      </c>
      <c r="D3973" s="80"/>
      <c r="E3973" s="97"/>
      <c r="F3973" s="97"/>
      <c r="G3973" s="97"/>
      <c r="H3973" s="97"/>
      <c r="I3973" s="97"/>
      <c r="J3973" s="97"/>
      <c r="K3973" s="97"/>
      <c r="L3973" s="195"/>
    </row>
    <row r="3974" spans="1:12" x14ac:dyDescent="0.45">
      <c r="A3974" s="462"/>
      <c r="B3974" s="441"/>
      <c r="C3974" s="194">
        <v>9</v>
      </c>
      <c r="D3974" s="80"/>
      <c r="E3974" s="97"/>
      <c r="F3974" s="97"/>
      <c r="G3974" s="97"/>
      <c r="H3974" s="97"/>
      <c r="I3974" s="97"/>
      <c r="J3974" s="97"/>
      <c r="K3974" s="97"/>
      <c r="L3974" s="195"/>
    </row>
    <row r="3975" spans="1:12" x14ac:dyDescent="0.45">
      <c r="A3975" s="462"/>
      <c r="B3975" s="441"/>
      <c r="C3975" s="194">
        <v>10</v>
      </c>
      <c r="D3975" s="80"/>
      <c r="E3975" s="97"/>
      <c r="F3975" s="97"/>
      <c r="G3975" s="97"/>
      <c r="H3975" s="97"/>
      <c r="I3975" s="97"/>
      <c r="J3975" s="97"/>
      <c r="K3975" s="97"/>
      <c r="L3975" s="195"/>
    </row>
    <row r="3976" spans="1:12" x14ac:dyDescent="0.45">
      <c r="A3976" s="462"/>
      <c r="B3976" s="441"/>
      <c r="C3976" s="194">
        <v>11</v>
      </c>
      <c r="D3976" s="81"/>
      <c r="E3976" s="98"/>
      <c r="F3976" s="98"/>
      <c r="G3976" s="98"/>
      <c r="H3976" s="98"/>
      <c r="I3976" s="98"/>
      <c r="J3976" s="98"/>
      <c r="K3976" s="98"/>
      <c r="L3976" s="196"/>
    </row>
    <row r="3977" spans="1:12" ht="14.65" thickBot="1" x14ac:dyDescent="0.5">
      <c r="A3977" s="462"/>
      <c r="B3977" s="442"/>
      <c r="C3977" s="197">
        <v>12</v>
      </c>
      <c r="D3977" s="82"/>
      <c r="E3977" s="99"/>
      <c r="F3977" s="99"/>
      <c r="G3977" s="99"/>
      <c r="H3977" s="99"/>
      <c r="I3977" s="99"/>
      <c r="J3977" s="99"/>
      <c r="K3977" s="99"/>
      <c r="L3977" s="198"/>
    </row>
    <row r="3978" spans="1:12" x14ac:dyDescent="0.45">
      <c r="A3978" s="462"/>
      <c r="B3978" s="440">
        <v>3</v>
      </c>
      <c r="C3978" s="192">
        <v>1</v>
      </c>
      <c r="D3978" s="79"/>
      <c r="E3978" s="96"/>
      <c r="F3978" s="96"/>
      <c r="G3978" s="96"/>
      <c r="H3978" s="96"/>
      <c r="I3978" s="96"/>
      <c r="J3978" s="96"/>
      <c r="K3978" s="96"/>
      <c r="L3978" s="193"/>
    </row>
    <row r="3979" spans="1:12" x14ac:dyDescent="0.45">
      <c r="A3979" s="462"/>
      <c r="B3979" s="441"/>
      <c r="C3979" s="194">
        <v>2</v>
      </c>
      <c r="D3979" s="80"/>
      <c r="E3979" s="97"/>
      <c r="F3979" s="97"/>
      <c r="G3979" s="97"/>
      <c r="H3979" s="97"/>
      <c r="I3979" s="97"/>
      <c r="J3979" s="97"/>
      <c r="K3979" s="97"/>
      <c r="L3979" s="195"/>
    </row>
    <row r="3980" spans="1:12" x14ac:dyDescent="0.45">
      <c r="A3980" s="462"/>
      <c r="B3980" s="441"/>
      <c r="C3980" s="194">
        <v>3</v>
      </c>
      <c r="D3980" s="80"/>
      <c r="E3980" s="97"/>
      <c r="F3980" s="97"/>
      <c r="G3980" s="97"/>
      <c r="H3980" s="97"/>
      <c r="I3980" s="97"/>
      <c r="J3980" s="97"/>
      <c r="K3980" s="97"/>
      <c r="L3980" s="195"/>
    </row>
    <row r="3981" spans="1:12" x14ac:dyDescent="0.45">
      <c r="A3981" s="462"/>
      <c r="B3981" s="441"/>
      <c r="C3981" s="194">
        <v>4</v>
      </c>
      <c r="D3981" s="80"/>
      <c r="E3981" s="97"/>
      <c r="F3981" s="97"/>
      <c r="G3981" s="97"/>
      <c r="H3981" s="97"/>
      <c r="I3981" s="97"/>
      <c r="J3981" s="97"/>
      <c r="K3981" s="97"/>
      <c r="L3981" s="195"/>
    </row>
    <row r="3982" spans="1:12" x14ac:dyDescent="0.45">
      <c r="A3982" s="462"/>
      <c r="B3982" s="441"/>
      <c r="C3982" s="194">
        <v>5</v>
      </c>
      <c r="D3982" s="80"/>
      <c r="E3982" s="97"/>
      <c r="F3982" s="97"/>
      <c r="G3982" s="97"/>
      <c r="H3982" s="97"/>
      <c r="I3982" s="97"/>
      <c r="J3982" s="97"/>
      <c r="K3982" s="97"/>
      <c r="L3982" s="195"/>
    </row>
    <row r="3983" spans="1:12" x14ac:dyDescent="0.45">
      <c r="A3983" s="462"/>
      <c r="B3983" s="441"/>
      <c r="C3983" s="194">
        <v>6</v>
      </c>
      <c r="D3983" s="80"/>
      <c r="E3983" s="97"/>
      <c r="F3983" s="97"/>
      <c r="G3983" s="97"/>
      <c r="H3983" s="97"/>
      <c r="I3983" s="97"/>
      <c r="J3983" s="97"/>
      <c r="K3983" s="97"/>
      <c r="L3983" s="195"/>
    </row>
    <row r="3984" spans="1:12" x14ac:dyDescent="0.45">
      <c r="A3984" s="462"/>
      <c r="B3984" s="441"/>
      <c r="C3984" s="194">
        <v>7</v>
      </c>
      <c r="D3984" s="80"/>
      <c r="E3984" s="97"/>
      <c r="F3984" s="97"/>
      <c r="G3984" s="97"/>
      <c r="H3984" s="97"/>
      <c r="I3984" s="97"/>
      <c r="J3984" s="97"/>
      <c r="K3984" s="97"/>
      <c r="L3984" s="195"/>
    </row>
    <row r="3985" spans="1:12" x14ac:dyDescent="0.45">
      <c r="A3985" s="462"/>
      <c r="B3985" s="441"/>
      <c r="C3985" s="194">
        <v>8</v>
      </c>
      <c r="D3985" s="80"/>
      <c r="E3985" s="97"/>
      <c r="F3985" s="97"/>
      <c r="G3985" s="97"/>
      <c r="H3985" s="97"/>
      <c r="I3985" s="97"/>
      <c r="J3985" s="97"/>
      <c r="K3985" s="97"/>
      <c r="L3985" s="195"/>
    </row>
    <row r="3986" spans="1:12" x14ac:dyDescent="0.45">
      <c r="A3986" s="462"/>
      <c r="B3986" s="441"/>
      <c r="C3986" s="194">
        <v>9</v>
      </c>
      <c r="D3986" s="80"/>
      <c r="E3986" s="97"/>
      <c r="F3986" s="97"/>
      <c r="G3986" s="97"/>
      <c r="H3986" s="97"/>
      <c r="I3986" s="97"/>
      <c r="J3986" s="97"/>
      <c r="K3986" s="97"/>
      <c r="L3986" s="195"/>
    </row>
    <row r="3987" spans="1:12" x14ac:dyDescent="0.45">
      <c r="A3987" s="462"/>
      <c r="B3987" s="441"/>
      <c r="C3987" s="194">
        <v>10</v>
      </c>
      <c r="D3987" s="80"/>
      <c r="E3987" s="97"/>
      <c r="F3987" s="97"/>
      <c r="G3987" s="97"/>
      <c r="H3987" s="97"/>
      <c r="I3987" s="97"/>
      <c r="J3987" s="97"/>
      <c r="K3987" s="97"/>
      <c r="L3987" s="195"/>
    </row>
    <row r="3988" spans="1:12" x14ac:dyDescent="0.45">
      <c r="A3988" s="462"/>
      <c r="B3988" s="441"/>
      <c r="C3988" s="194">
        <v>11</v>
      </c>
      <c r="D3988" s="81"/>
      <c r="E3988" s="98"/>
      <c r="F3988" s="98"/>
      <c r="G3988" s="98"/>
      <c r="H3988" s="98"/>
      <c r="I3988" s="98"/>
      <c r="J3988" s="98"/>
      <c r="K3988" s="98"/>
      <c r="L3988" s="196"/>
    </row>
    <row r="3989" spans="1:12" ht="14.65" thickBot="1" x14ac:dyDescent="0.5">
      <c r="A3989" s="462"/>
      <c r="B3989" s="442"/>
      <c r="C3989" s="197">
        <v>12</v>
      </c>
      <c r="D3989" s="82"/>
      <c r="E3989" s="99"/>
      <c r="F3989" s="99"/>
      <c r="G3989" s="99"/>
      <c r="H3989" s="99"/>
      <c r="I3989" s="99"/>
      <c r="J3989" s="99"/>
      <c r="K3989" s="99"/>
      <c r="L3989" s="198"/>
    </row>
    <row r="3990" spans="1:12" x14ac:dyDescent="0.45">
      <c r="A3990" s="462"/>
      <c r="B3990" s="440">
        <v>4</v>
      </c>
      <c r="C3990" s="192">
        <v>1</v>
      </c>
      <c r="D3990" s="79"/>
      <c r="E3990" s="96"/>
      <c r="F3990" s="96"/>
      <c r="G3990" s="96"/>
      <c r="H3990" s="96"/>
      <c r="I3990" s="96"/>
      <c r="J3990" s="96"/>
      <c r="K3990" s="96"/>
      <c r="L3990" s="193"/>
    </row>
    <row r="3991" spans="1:12" x14ac:dyDescent="0.45">
      <c r="A3991" s="462"/>
      <c r="B3991" s="441"/>
      <c r="C3991" s="194">
        <v>2</v>
      </c>
      <c r="D3991" s="80"/>
      <c r="E3991" s="97"/>
      <c r="F3991" s="97"/>
      <c r="G3991" s="97"/>
      <c r="H3991" s="97"/>
      <c r="I3991" s="97"/>
      <c r="J3991" s="97"/>
      <c r="K3991" s="97"/>
      <c r="L3991" s="195"/>
    </row>
    <row r="3992" spans="1:12" x14ac:dyDescent="0.45">
      <c r="A3992" s="462"/>
      <c r="B3992" s="441"/>
      <c r="C3992" s="194">
        <v>3</v>
      </c>
      <c r="D3992" s="80"/>
      <c r="E3992" s="97"/>
      <c r="F3992" s="97"/>
      <c r="G3992" s="97"/>
      <c r="H3992" s="97"/>
      <c r="I3992" s="97"/>
      <c r="J3992" s="97"/>
      <c r="K3992" s="97"/>
      <c r="L3992" s="195"/>
    </row>
    <row r="3993" spans="1:12" x14ac:dyDescent="0.45">
      <c r="A3993" s="462"/>
      <c r="B3993" s="441"/>
      <c r="C3993" s="194">
        <v>4</v>
      </c>
      <c r="D3993" s="80"/>
      <c r="E3993" s="97"/>
      <c r="F3993" s="97"/>
      <c r="G3993" s="97"/>
      <c r="H3993" s="97"/>
      <c r="I3993" s="97"/>
      <c r="J3993" s="97"/>
      <c r="K3993" s="97"/>
      <c r="L3993" s="195"/>
    </row>
    <row r="3994" spans="1:12" x14ac:dyDescent="0.45">
      <c r="A3994" s="462"/>
      <c r="B3994" s="441"/>
      <c r="C3994" s="194">
        <v>5</v>
      </c>
      <c r="D3994" s="80"/>
      <c r="E3994" s="97"/>
      <c r="F3994" s="97"/>
      <c r="G3994" s="97"/>
      <c r="H3994" s="97"/>
      <c r="I3994" s="97"/>
      <c r="J3994" s="97"/>
      <c r="K3994" s="97"/>
      <c r="L3994" s="195"/>
    </row>
    <row r="3995" spans="1:12" x14ac:dyDescent="0.45">
      <c r="A3995" s="462"/>
      <c r="B3995" s="441"/>
      <c r="C3995" s="194">
        <v>6</v>
      </c>
      <c r="D3995" s="80"/>
      <c r="E3995" s="97"/>
      <c r="F3995" s="97"/>
      <c r="G3995" s="97"/>
      <c r="H3995" s="97"/>
      <c r="I3995" s="97"/>
      <c r="J3995" s="97"/>
      <c r="K3995" s="97"/>
      <c r="L3995" s="195"/>
    </row>
    <row r="3996" spans="1:12" x14ac:dyDescent="0.45">
      <c r="A3996" s="462"/>
      <c r="B3996" s="441"/>
      <c r="C3996" s="194">
        <v>7</v>
      </c>
      <c r="D3996" s="80"/>
      <c r="E3996" s="97"/>
      <c r="F3996" s="97"/>
      <c r="G3996" s="97"/>
      <c r="H3996" s="97"/>
      <c r="I3996" s="97"/>
      <c r="J3996" s="97"/>
      <c r="K3996" s="97"/>
      <c r="L3996" s="195"/>
    </row>
    <row r="3997" spans="1:12" x14ac:dyDescent="0.45">
      <c r="A3997" s="462"/>
      <c r="B3997" s="441"/>
      <c r="C3997" s="194">
        <v>8</v>
      </c>
      <c r="D3997" s="80"/>
      <c r="E3997" s="97"/>
      <c r="F3997" s="97"/>
      <c r="G3997" s="97"/>
      <c r="H3997" s="97"/>
      <c r="I3997" s="97"/>
      <c r="J3997" s="97"/>
      <c r="K3997" s="97"/>
      <c r="L3997" s="195"/>
    </row>
    <row r="3998" spans="1:12" x14ac:dyDescent="0.45">
      <c r="A3998" s="462"/>
      <c r="B3998" s="441"/>
      <c r="C3998" s="194">
        <v>9</v>
      </c>
      <c r="D3998" s="80"/>
      <c r="E3998" s="97"/>
      <c r="F3998" s="97"/>
      <c r="G3998" s="97"/>
      <c r="H3998" s="97"/>
      <c r="I3998" s="97"/>
      <c r="J3998" s="97"/>
      <c r="K3998" s="97"/>
      <c r="L3998" s="195"/>
    </row>
    <row r="3999" spans="1:12" x14ac:dyDescent="0.45">
      <c r="A3999" s="462"/>
      <c r="B3999" s="441"/>
      <c r="C3999" s="194">
        <v>10</v>
      </c>
      <c r="D3999" s="80"/>
      <c r="E3999" s="97"/>
      <c r="F3999" s="97"/>
      <c r="G3999" s="97"/>
      <c r="H3999" s="97"/>
      <c r="I3999" s="97"/>
      <c r="J3999" s="97"/>
      <c r="K3999" s="97"/>
      <c r="L3999" s="195"/>
    </row>
    <row r="4000" spans="1:12" x14ac:dyDescent="0.45">
      <c r="A4000" s="462"/>
      <c r="B4000" s="441"/>
      <c r="C4000" s="194">
        <v>11</v>
      </c>
      <c r="D4000" s="81"/>
      <c r="E4000" s="98"/>
      <c r="F4000" s="98"/>
      <c r="G4000" s="98"/>
      <c r="H4000" s="98"/>
      <c r="I4000" s="98"/>
      <c r="J4000" s="98"/>
      <c r="K4000" s="98"/>
      <c r="L4000" s="196"/>
    </row>
    <row r="4001" spans="1:12" ht="14.65" thickBot="1" x14ac:dyDescent="0.5">
      <c r="A4001" s="463"/>
      <c r="B4001" s="442"/>
      <c r="C4001" s="197">
        <v>12</v>
      </c>
      <c r="D4001" s="82"/>
      <c r="E4001" s="99"/>
      <c r="F4001" s="99"/>
      <c r="G4001" s="99"/>
      <c r="H4001" s="99"/>
      <c r="I4001" s="99"/>
      <c r="J4001" s="99"/>
      <c r="K4001" s="99"/>
      <c r="L4001" s="198"/>
    </row>
    <row r="4002" spans="1:12" x14ac:dyDescent="0.45">
      <c r="A4002" s="461">
        <v>2</v>
      </c>
      <c r="B4002" s="440">
        <v>5</v>
      </c>
      <c r="C4002" s="192">
        <v>1</v>
      </c>
      <c r="D4002" s="79"/>
      <c r="E4002" s="96"/>
      <c r="F4002" s="96"/>
      <c r="G4002" s="96"/>
      <c r="H4002" s="96"/>
      <c r="I4002" s="96"/>
      <c r="J4002" s="96"/>
      <c r="K4002" s="96"/>
      <c r="L4002" s="193"/>
    </row>
    <row r="4003" spans="1:12" x14ac:dyDescent="0.45">
      <c r="A4003" s="462"/>
      <c r="B4003" s="441"/>
      <c r="C4003" s="194">
        <v>2</v>
      </c>
      <c r="D4003" s="80"/>
      <c r="E4003" s="97"/>
      <c r="F4003" s="97"/>
      <c r="G4003" s="97"/>
      <c r="H4003" s="97"/>
      <c r="I4003" s="97"/>
      <c r="J4003" s="97"/>
      <c r="K4003" s="97"/>
      <c r="L4003" s="195"/>
    </row>
    <row r="4004" spans="1:12" x14ac:dyDescent="0.45">
      <c r="A4004" s="462"/>
      <c r="B4004" s="441"/>
      <c r="C4004" s="194">
        <v>3</v>
      </c>
      <c r="D4004" s="80"/>
      <c r="E4004" s="97"/>
      <c r="F4004" s="97"/>
      <c r="G4004" s="97"/>
      <c r="H4004" s="97"/>
      <c r="I4004" s="97"/>
      <c r="J4004" s="97"/>
      <c r="K4004" s="97"/>
      <c r="L4004" s="195"/>
    </row>
    <row r="4005" spans="1:12" x14ac:dyDescent="0.45">
      <c r="A4005" s="462"/>
      <c r="B4005" s="441"/>
      <c r="C4005" s="194">
        <v>4</v>
      </c>
      <c r="D4005" s="80"/>
      <c r="E4005" s="97"/>
      <c r="F4005" s="97"/>
      <c r="G4005" s="97"/>
      <c r="H4005" s="97"/>
      <c r="I4005" s="97"/>
      <c r="J4005" s="97"/>
      <c r="K4005" s="97"/>
      <c r="L4005" s="195"/>
    </row>
    <row r="4006" spans="1:12" x14ac:dyDescent="0.45">
      <c r="A4006" s="462"/>
      <c r="B4006" s="441"/>
      <c r="C4006" s="194">
        <v>5</v>
      </c>
      <c r="D4006" s="80"/>
      <c r="E4006" s="97"/>
      <c r="F4006" s="97"/>
      <c r="G4006" s="97"/>
      <c r="H4006" s="97"/>
      <c r="I4006" s="97"/>
      <c r="J4006" s="97"/>
      <c r="K4006" s="97"/>
      <c r="L4006" s="195"/>
    </row>
    <row r="4007" spans="1:12" x14ac:dyDescent="0.45">
      <c r="A4007" s="462"/>
      <c r="B4007" s="441"/>
      <c r="C4007" s="194">
        <v>6</v>
      </c>
      <c r="D4007" s="80"/>
      <c r="E4007" s="97"/>
      <c r="F4007" s="97"/>
      <c r="G4007" s="97"/>
      <c r="H4007" s="97"/>
      <c r="I4007" s="97"/>
      <c r="J4007" s="97"/>
      <c r="K4007" s="97"/>
      <c r="L4007" s="195"/>
    </row>
    <row r="4008" spans="1:12" x14ac:dyDescent="0.45">
      <c r="A4008" s="462"/>
      <c r="B4008" s="441"/>
      <c r="C4008" s="194">
        <v>7</v>
      </c>
      <c r="D4008" s="80"/>
      <c r="E4008" s="97"/>
      <c r="F4008" s="97"/>
      <c r="G4008" s="97"/>
      <c r="H4008" s="97"/>
      <c r="I4008" s="97"/>
      <c r="J4008" s="97"/>
      <c r="K4008" s="97"/>
      <c r="L4008" s="195"/>
    </row>
    <row r="4009" spans="1:12" x14ac:dyDescent="0.45">
      <c r="A4009" s="462"/>
      <c r="B4009" s="441"/>
      <c r="C4009" s="194">
        <v>8</v>
      </c>
      <c r="D4009" s="80"/>
      <c r="E4009" s="97"/>
      <c r="F4009" s="97"/>
      <c r="G4009" s="97"/>
      <c r="H4009" s="97"/>
      <c r="I4009" s="97"/>
      <c r="J4009" s="97"/>
      <c r="K4009" s="97"/>
      <c r="L4009" s="195"/>
    </row>
    <row r="4010" spans="1:12" x14ac:dyDescent="0.45">
      <c r="A4010" s="462"/>
      <c r="B4010" s="441"/>
      <c r="C4010" s="194">
        <v>9</v>
      </c>
      <c r="D4010" s="80"/>
      <c r="E4010" s="97"/>
      <c r="F4010" s="97"/>
      <c r="G4010" s="97"/>
      <c r="H4010" s="97"/>
      <c r="I4010" s="97"/>
      <c r="J4010" s="97"/>
      <c r="K4010" s="97"/>
      <c r="L4010" s="195"/>
    </row>
    <row r="4011" spans="1:12" x14ac:dyDescent="0.45">
      <c r="A4011" s="462"/>
      <c r="B4011" s="441"/>
      <c r="C4011" s="194">
        <v>10</v>
      </c>
      <c r="D4011" s="80"/>
      <c r="E4011" s="97"/>
      <c r="F4011" s="97"/>
      <c r="G4011" s="97"/>
      <c r="H4011" s="97"/>
      <c r="I4011" s="97"/>
      <c r="J4011" s="97"/>
      <c r="K4011" s="97"/>
      <c r="L4011" s="195"/>
    </row>
    <row r="4012" spans="1:12" x14ac:dyDescent="0.45">
      <c r="A4012" s="462"/>
      <c r="B4012" s="441"/>
      <c r="C4012" s="194">
        <v>11</v>
      </c>
      <c r="D4012" s="81"/>
      <c r="E4012" s="98"/>
      <c r="F4012" s="98"/>
      <c r="G4012" s="98"/>
      <c r="H4012" s="98"/>
      <c r="I4012" s="98"/>
      <c r="J4012" s="98"/>
      <c r="K4012" s="98"/>
      <c r="L4012" s="196"/>
    </row>
    <row r="4013" spans="1:12" ht="14.65" thickBot="1" x14ac:dyDescent="0.5">
      <c r="A4013" s="462"/>
      <c r="B4013" s="442"/>
      <c r="C4013" s="197">
        <v>12</v>
      </c>
      <c r="D4013" s="82"/>
      <c r="E4013" s="99"/>
      <c r="F4013" s="99"/>
      <c r="G4013" s="99"/>
      <c r="H4013" s="99"/>
      <c r="I4013" s="99"/>
      <c r="J4013" s="99"/>
      <c r="K4013" s="99"/>
      <c r="L4013" s="198"/>
    </row>
    <row r="4014" spans="1:12" x14ac:dyDescent="0.45">
      <c r="A4014" s="462"/>
      <c r="B4014" s="440">
        <v>6</v>
      </c>
      <c r="C4014" s="192">
        <v>1</v>
      </c>
      <c r="D4014" s="79"/>
      <c r="E4014" s="96"/>
      <c r="F4014" s="96"/>
      <c r="G4014" s="96"/>
      <c r="H4014" s="96"/>
      <c r="I4014" s="96"/>
      <c r="J4014" s="96"/>
      <c r="K4014" s="96"/>
      <c r="L4014" s="193"/>
    </row>
    <row r="4015" spans="1:12" x14ac:dyDescent="0.45">
      <c r="A4015" s="462"/>
      <c r="B4015" s="441"/>
      <c r="C4015" s="194">
        <v>2</v>
      </c>
      <c r="D4015" s="80"/>
      <c r="E4015" s="97"/>
      <c r="F4015" s="97"/>
      <c r="G4015" s="97"/>
      <c r="H4015" s="97"/>
      <c r="I4015" s="97"/>
      <c r="J4015" s="97"/>
      <c r="K4015" s="97"/>
      <c r="L4015" s="195"/>
    </row>
    <row r="4016" spans="1:12" x14ac:dyDescent="0.45">
      <c r="A4016" s="462"/>
      <c r="B4016" s="441"/>
      <c r="C4016" s="194">
        <v>3</v>
      </c>
      <c r="D4016" s="80"/>
      <c r="E4016" s="97"/>
      <c r="F4016" s="97"/>
      <c r="G4016" s="97"/>
      <c r="H4016" s="97"/>
      <c r="I4016" s="97"/>
      <c r="J4016" s="97"/>
      <c r="K4016" s="97"/>
      <c r="L4016" s="195"/>
    </row>
    <row r="4017" spans="1:12" x14ac:dyDescent="0.45">
      <c r="A4017" s="462"/>
      <c r="B4017" s="441"/>
      <c r="C4017" s="194">
        <v>4</v>
      </c>
      <c r="D4017" s="80"/>
      <c r="E4017" s="97"/>
      <c r="F4017" s="97"/>
      <c r="G4017" s="97"/>
      <c r="H4017" s="97"/>
      <c r="I4017" s="97"/>
      <c r="J4017" s="97"/>
      <c r="K4017" s="97"/>
      <c r="L4017" s="195"/>
    </row>
    <row r="4018" spans="1:12" x14ac:dyDescent="0.45">
      <c r="A4018" s="462"/>
      <c r="B4018" s="441"/>
      <c r="C4018" s="194">
        <v>5</v>
      </c>
      <c r="D4018" s="80"/>
      <c r="E4018" s="97"/>
      <c r="F4018" s="97"/>
      <c r="G4018" s="97"/>
      <c r="H4018" s="97"/>
      <c r="I4018" s="97"/>
      <c r="J4018" s="97"/>
      <c r="K4018" s="97"/>
      <c r="L4018" s="195"/>
    </row>
    <row r="4019" spans="1:12" x14ac:dyDescent="0.45">
      <c r="A4019" s="462"/>
      <c r="B4019" s="441"/>
      <c r="C4019" s="194">
        <v>6</v>
      </c>
      <c r="D4019" s="80"/>
      <c r="E4019" s="97"/>
      <c r="F4019" s="97"/>
      <c r="G4019" s="97"/>
      <c r="H4019" s="97"/>
      <c r="I4019" s="97"/>
      <c r="J4019" s="97"/>
      <c r="K4019" s="97"/>
      <c r="L4019" s="195"/>
    </row>
    <row r="4020" spans="1:12" x14ac:dyDescent="0.45">
      <c r="A4020" s="462"/>
      <c r="B4020" s="441"/>
      <c r="C4020" s="194">
        <v>7</v>
      </c>
      <c r="D4020" s="80"/>
      <c r="E4020" s="97"/>
      <c r="F4020" s="97"/>
      <c r="G4020" s="97"/>
      <c r="H4020" s="97"/>
      <c r="I4020" s="97"/>
      <c r="J4020" s="97"/>
      <c r="K4020" s="97"/>
      <c r="L4020" s="195"/>
    </row>
    <row r="4021" spans="1:12" x14ac:dyDescent="0.45">
      <c r="A4021" s="462"/>
      <c r="B4021" s="441"/>
      <c r="C4021" s="194">
        <v>8</v>
      </c>
      <c r="D4021" s="80"/>
      <c r="E4021" s="97"/>
      <c r="F4021" s="97"/>
      <c r="G4021" s="97"/>
      <c r="H4021" s="97"/>
      <c r="I4021" s="97"/>
      <c r="J4021" s="97"/>
      <c r="K4021" s="97"/>
      <c r="L4021" s="195"/>
    </row>
    <row r="4022" spans="1:12" x14ac:dyDescent="0.45">
      <c r="A4022" s="462"/>
      <c r="B4022" s="441"/>
      <c r="C4022" s="194">
        <v>9</v>
      </c>
      <c r="D4022" s="80"/>
      <c r="E4022" s="97"/>
      <c r="F4022" s="97"/>
      <c r="G4022" s="97"/>
      <c r="H4022" s="97"/>
      <c r="I4022" s="97"/>
      <c r="J4022" s="97"/>
      <c r="K4022" s="97"/>
      <c r="L4022" s="195"/>
    </row>
    <row r="4023" spans="1:12" x14ac:dyDescent="0.45">
      <c r="A4023" s="462"/>
      <c r="B4023" s="441"/>
      <c r="C4023" s="194">
        <v>10</v>
      </c>
      <c r="D4023" s="80"/>
      <c r="E4023" s="97"/>
      <c r="F4023" s="97"/>
      <c r="G4023" s="97"/>
      <c r="H4023" s="97"/>
      <c r="I4023" s="97"/>
      <c r="J4023" s="97"/>
      <c r="K4023" s="97"/>
      <c r="L4023" s="195"/>
    </row>
    <row r="4024" spans="1:12" x14ac:dyDescent="0.45">
      <c r="A4024" s="462"/>
      <c r="B4024" s="441"/>
      <c r="C4024" s="194">
        <v>11</v>
      </c>
      <c r="D4024" s="81"/>
      <c r="E4024" s="98"/>
      <c r="F4024" s="98"/>
      <c r="G4024" s="98"/>
      <c r="H4024" s="98"/>
      <c r="I4024" s="98"/>
      <c r="J4024" s="98"/>
      <c r="K4024" s="98"/>
      <c r="L4024" s="196"/>
    </row>
    <row r="4025" spans="1:12" ht="14.65" thickBot="1" x14ac:dyDescent="0.5">
      <c r="A4025" s="462"/>
      <c r="B4025" s="442"/>
      <c r="C4025" s="197">
        <v>12</v>
      </c>
      <c r="D4025" s="82"/>
      <c r="E4025" s="99"/>
      <c r="F4025" s="99"/>
      <c r="G4025" s="99"/>
      <c r="H4025" s="99"/>
      <c r="I4025" s="99"/>
      <c r="J4025" s="99"/>
      <c r="K4025" s="99"/>
      <c r="L4025" s="198"/>
    </row>
    <row r="4026" spans="1:12" x14ac:dyDescent="0.45">
      <c r="A4026" s="462"/>
      <c r="B4026" s="440">
        <v>7</v>
      </c>
      <c r="C4026" s="192">
        <v>1</v>
      </c>
      <c r="D4026" s="79"/>
      <c r="E4026" s="96"/>
      <c r="F4026" s="96"/>
      <c r="G4026" s="96"/>
      <c r="H4026" s="96"/>
      <c r="I4026" s="96"/>
      <c r="J4026" s="96"/>
      <c r="K4026" s="96"/>
      <c r="L4026" s="193"/>
    </row>
    <row r="4027" spans="1:12" x14ac:dyDescent="0.45">
      <c r="A4027" s="462"/>
      <c r="B4027" s="441"/>
      <c r="C4027" s="194">
        <v>2</v>
      </c>
      <c r="D4027" s="80"/>
      <c r="E4027" s="97"/>
      <c r="F4027" s="97"/>
      <c r="G4027" s="97"/>
      <c r="H4027" s="97"/>
      <c r="I4027" s="97"/>
      <c r="J4027" s="97"/>
      <c r="K4027" s="97"/>
      <c r="L4027" s="195"/>
    </row>
    <row r="4028" spans="1:12" x14ac:dyDescent="0.45">
      <c r="A4028" s="462"/>
      <c r="B4028" s="441"/>
      <c r="C4028" s="194">
        <v>3</v>
      </c>
      <c r="D4028" s="80"/>
      <c r="E4028" s="97"/>
      <c r="F4028" s="97"/>
      <c r="G4028" s="97"/>
      <c r="H4028" s="97"/>
      <c r="I4028" s="97"/>
      <c r="J4028" s="97"/>
      <c r="K4028" s="97"/>
      <c r="L4028" s="195"/>
    </row>
    <row r="4029" spans="1:12" x14ac:dyDescent="0.45">
      <c r="A4029" s="462"/>
      <c r="B4029" s="441"/>
      <c r="C4029" s="194">
        <v>4</v>
      </c>
      <c r="D4029" s="80"/>
      <c r="E4029" s="97"/>
      <c r="F4029" s="97"/>
      <c r="G4029" s="97"/>
      <c r="H4029" s="97"/>
      <c r="I4029" s="97"/>
      <c r="J4029" s="97"/>
      <c r="K4029" s="97"/>
      <c r="L4029" s="195"/>
    </row>
    <row r="4030" spans="1:12" x14ac:dyDescent="0.45">
      <c r="A4030" s="462"/>
      <c r="B4030" s="441"/>
      <c r="C4030" s="194">
        <v>5</v>
      </c>
      <c r="D4030" s="80"/>
      <c r="E4030" s="97"/>
      <c r="F4030" s="97"/>
      <c r="G4030" s="97"/>
      <c r="H4030" s="97"/>
      <c r="I4030" s="97"/>
      <c r="J4030" s="97"/>
      <c r="K4030" s="97"/>
      <c r="L4030" s="195"/>
    </row>
    <row r="4031" spans="1:12" x14ac:dyDescent="0.45">
      <c r="A4031" s="462"/>
      <c r="B4031" s="441"/>
      <c r="C4031" s="194">
        <v>6</v>
      </c>
      <c r="D4031" s="80"/>
      <c r="E4031" s="97"/>
      <c r="F4031" s="97"/>
      <c r="G4031" s="97"/>
      <c r="H4031" s="97"/>
      <c r="I4031" s="97"/>
      <c r="J4031" s="97"/>
      <c r="K4031" s="97"/>
      <c r="L4031" s="195"/>
    </row>
    <row r="4032" spans="1:12" x14ac:dyDescent="0.45">
      <c r="A4032" s="462"/>
      <c r="B4032" s="441"/>
      <c r="C4032" s="194">
        <v>7</v>
      </c>
      <c r="D4032" s="80"/>
      <c r="E4032" s="97"/>
      <c r="F4032" s="97"/>
      <c r="G4032" s="97"/>
      <c r="H4032" s="97"/>
      <c r="I4032" s="97"/>
      <c r="J4032" s="97"/>
      <c r="K4032" s="97"/>
      <c r="L4032" s="195"/>
    </row>
    <row r="4033" spans="1:12" x14ac:dyDescent="0.45">
      <c r="A4033" s="462"/>
      <c r="B4033" s="441"/>
      <c r="C4033" s="194">
        <v>8</v>
      </c>
      <c r="D4033" s="80"/>
      <c r="E4033" s="97"/>
      <c r="F4033" s="97"/>
      <c r="G4033" s="97"/>
      <c r="H4033" s="97"/>
      <c r="I4033" s="97"/>
      <c r="J4033" s="97"/>
      <c r="K4033" s="97"/>
      <c r="L4033" s="195"/>
    </row>
    <row r="4034" spans="1:12" x14ac:dyDescent="0.45">
      <c r="A4034" s="462"/>
      <c r="B4034" s="441"/>
      <c r="C4034" s="194">
        <v>9</v>
      </c>
      <c r="D4034" s="80"/>
      <c r="E4034" s="97"/>
      <c r="F4034" s="97"/>
      <c r="G4034" s="97"/>
      <c r="H4034" s="97"/>
      <c r="I4034" s="97"/>
      <c r="J4034" s="97"/>
      <c r="K4034" s="97"/>
      <c r="L4034" s="195"/>
    </row>
    <row r="4035" spans="1:12" x14ac:dyDescent="0.45">
      <c r="A4035" s="462"/>
      <c r="B4035" s="441"/>
      <c r="C4035" s="194">
        <v>10</v>
      </c>
      <c r="D4035" s="80"/>
      <c r="E4035" s="97"/>
      <c r="F4035" s="97"/>
      <c r="G4035" s="97"/>
      <c r="H4035" s="97"/>
      <c r="I4035" s="97"/>
      <c r="J4035" s="97"/>
      <c r="K4035" s="97"/>
      <c r="L4035" s="195"/>
    </row>
    <row r="4036" spans="1:12" x14ac:dyDescent="0.45">
      <c r="A4036" s="462"/>
      <c r="B4036" s="441"/>
      <c r="C4036" s="194">
        <v>11</v>
      </c>
      <c r="D4036" s="81"/>
      <c r="E4036" s="98"/>
      <c r="F4036" s="98"/>
      <c r="G4036" s="98"/>
      <c r="H4036" s="98"/>
      <c r="I4036" s="98"/>
      <c r="J4036" s="98"/>
      <c r="K4036" s="98"/>
      <c r="L4036" s="196"/>
    </row>
    <row r="4037" spans="1:12" ht="14.65" thickBot="1" x14ac:dyDescent="0.5">
      <c r="A4037" s="462"/>
      <c r="B4037" s="442"/>
      <c r="C4037" s="197">
        <v>12</v>
      </c>
      <c r="D4037" s="82"/>
      <c r="E4037" s="99"/>
      <c r="F4037" s="99"/>
      <c r="G4037" s="99"/>
      <c r="H4037" s="99"/>
      <c r="I4037" s="99"/>
      <c r="J4037" s="99"/>
      <c r="K4037" s="99"/>
      <c r="L4037" s="198"/>
    </row>
    <row r="4038" spans="1:12" x14ac:dyDescent="0.45">
      <c r="A4038" s="462"/>
      <c r="B4038" s="440">
        <v>8</v>
      </c>
      <c r="C4038" s="192">
        <v>1</v>
      </c>
      <c r="D4038" s="79"/>
      <c r="E4038" s="96"/>
      <c r="F4038" s="96"/>
      <c r="G4038" s="96"/>
      <c r="H4038" s="96"/>
      <c r="I4038" s="96"/>
      <c r="J4038" s="96"/>
      <c r="K4038" s="96"/>
      <c r="L4038" s="193"/>
    </row>
    <row r="4039" spans="1:12" x14ac:dyDescent="0.45">
      <c r="A4039" s="462"/>
      <c r="B4039" s="441"/>
      <c r="C4039" s="194">
        <v>2</v>
      </c>
      <c r="D4039" s="80"/>
      <c r="E4039" s="97"/>
      <c r="F4039" s="97"/>
      <c r="G4039" s="97"/>
      <c r="H4039" s="97"/>
      <c r="I4039" s="97"/>
      <c r="J4039" s="97"/>
      <c r="K4039" s="97"/>
      <c r="L4039" s="195"/>
    </row>
    <row r="4040" spans="1:12" x14ac:dyDescent="0.45">
      <c r="A4040" s="462"/>
      <c r="B4040" s="441"/>
      <c r="C4040" s="194">
        <v>3</v>
      </c>
      <c r="D4040" s="80"/>
      <c r="E4040" s="97"/>
      <c r="F4040" s="97"/>
      <c r="G4040" s="97"/>
      <c r="H4040" s="97"/>
      <c r="I4040" s="97"/>
      <c r="J4040" s="97"/>
      <c r="K4040" s="97"/>
      <c r="L4040" s="195"/>
    </row>
    <row r="4041" spans="1:12" x14ac:dyDescent="0.45">
      <c r="A4041" s="462"/>
      <c r="B4041" s="441"/>
      <c r="C4041" s="194">
        <v>4</v>
      </c>
      <c r="D4041" s="80"/>
      <c r="E4041" s="97"/>
      <c r="F4041" s="97"/>
      <c r="G4041" s="97"/>
      <c r="H4041" s="97"/>
      <c r="I4041" s="97"/>
      <c r="J4041" s="97"/>
      <c r="K4041" s="97"/>
      <c r="L4041" s="195"/>
    </row>
    <row r="4042" spans="1:12" x14ac:dyDescent="0.45">
      <c r="A4042" s="462"/>
      <c r="B4042" s="441"/>
      <c r="C4042" s="194">
        <v>5</v>
      </c>
      <c r="D4042" s="80"/>
      <c r="E4042" s="97"/>
      <c r="F4042" s="97"/>
      <c r="G4042" s="97"/>
      <c r="H4042" s="97"/>
      <c r="I4042" s="97"/>
      <c r="J4042" s="97"/>
      <c r="K4042" s="97"/>
      <c r="L4042" s="195"/>
    </row>
    <row r="4043" spans="1:12" x14ac:dyDescent="0.45">
      <c r="A4043" s="462"/>
      <c r="B4043" s="441"/>
      <c r="C4043" s="194">
        <v>6</v>
      </c>
      <c r="D4043" s="80"/>
      <c r="E4043" s="97"/>
      <c r="F4043" s="97"/>
      <c r="G4043" s="97"/>
      <c r="H4043" s="97"/>
      <c r="I4043" s="97"/>
      <c r="J4043" s="97"/>
      <c r="K4043" s="97"/>
      <c r="L4043" s="195"/>
    </row>
    <row r="4044" spans="1:12" x14ac:dyDescent="0.45">
      <c r="A4044" s="462"/>
      <c r="B4044" s="441"/>
      <c r="C4044" s="194">
        <v>7</v>
      </c>
      <c r="D4044" s="80"/>
      <c r="E4044" s="97"/>
      <c r="F4044" s="97"/>
      <c r="G4044" s="97"/>
      <c r="H4044" s="97"/>
      <c r="I4044" s="97"/>
      <c r="J4044" s="97"/>
      <c r="K4044" s="97"/>
      <c r="L4044" s="195"/>
    </row>
    <row r="4045" spans="1:12" x14ac:dyDescent="0.45">
      <c r="A4045" s="462"/>
      <c r="B4045" s="441"/>
      <c r="C4045" s="194">
        <v>8</v>
      </c>
      <c r="D4045" s="80"/>
      <c r="E4045" s="97"/>
      <c r="F4045" s="97"/>
      <c r="G4045" s="97"/>
      <c r="H4045" s="97"/>
      <c r="I4045" s="97"/>
      <c r="J4045" s="97"/>
      <c r="K4045" s="97"/>
      <c r="L4045" s="195"/>
    </row>
    <row r="4046" spans="1:12" x14ac:dyDescent="0.45">
      <c r="A4046" s="462"/>
      <c r="B4046" s="441"/>
      <c r="C4046" s="194">
        <v>9</v>
      </c>
      <c r="D4046" s="80"/>
      <c r="E4046" s="97"/>
      <c r="F4046" s="97"/>
      <c r="G4046" s="97"/>
      <c r="H4046" s="97"/>
      <c r="I4046" s="97"/>
      <c r="J4046" s="97"/>
      <c r="K4046" s="97"/>
      <c r="L4046" s="195"/>
    </row>
    <row r="4047" spans="1:12" x14ac:dyDescent="0.45">
      <c r="A4047" s="462"/>
      <c r="B4047" s="441"/>
      <c r="C4047" s="194">
        <v>10</v>
      </c>
      <c r="D4047" s="80"/>
      <c r="E4047" s="97"/>
      <c r="F4047" s="97"/>
      <c r="G4047" s="97"/>
      <c r="H4047" s="97"/>
      <c r="I4047" s="97"/>
      <c r="J4047" s="97"/>
      <c r="K4047" s="97"/>
      <c r="L4047" s="195"/>
    </row>
    <row r="4048" spans="1:12" x14ac:dyDescent="0.45">
      <c r="A4048" s="462"/>
      <c r="B4048" s="441"/>
      <c r="C4048" s="194">
        <v>11</v>
      </c>
      <c r="D4048" s="81"/>
      <c r="E4048" s="98"/>
      <c r="F4048" s="98"/>
      <c r="G4048" s="98"/>
      <c r="H4048" s="98"/>
      <c r="I4048" s="98"/>
      <c r="J4048" s="98"/>
      <c r="K4048" s="98"/>
      <c r="L4048" s="196"/>
    </row>
    <row r="4049" spans="1:12" ht="14.65" thickBot="1" x14ac:dyDescent="0.5">
      <c r="A4049" s="463"/>
      <c r="B4049" s="442"/>
      <c r="C4049" s="197">
        <v>12</v>
      </c>
      <c r="D4049" s="82"/>
      <c r="E4049" s="99"/>
      <c r="F4049" s="99"/>
      <c r="G4049" s="99"/>
      <c r="H4049" s="99"/>
      <c r="I4049" s="99"/>
      <c r="J4049" s="99"/>
      <c r="K4049" s="99"/>
      <c r="L4049" s="198"/>
    </row>
    <row r="4050" spans="1:12" x14ac:dyDescent="0.45">
      <c r="A4050" s="461">
        <v>3</v>
      </c>
      <c r="B4050" s="440">
        <v>9</v>
      </c>
      <c r="C4050" s="192">
        <v>1</v>
      </c>
      <c r="D4050" s="79"/>
      <c r="E4050" s="96"/>
      <c r="F4050" s="96"/>
      <c r="G4050" s="96"/>
      <c r="H4050" s="96"/>
      <c r="I4050" s="96"/>
      <c r="J4050" s="96"/>
      <c r="K4050" s="96"/>
      <c r="L4050" s="193"/>
    </row>
    <row r="4051" spans="1:12" x14ac:dyDescent="0.45">
      <c r="A4051" s="462"/>
      <c r="B4051" s="441"/>
      <c r="C4051" s="194">
        <v>2</v>
      </c>
      <c r="D4051" s="80"/>
      <c r="E4051" s="97"/>
      <c r="F4051" s="97"/>
      <c r="G4051" s="97"/>
      <c r="H4051" s="97"/>
      <c r="I4051" s="97"/>
      <c r="J4051" s="97"/>
      <c r="K4051" s="97"/>
      <c r="L4051" s="195"/>
    </row>
    <row r="4052" spans="1:12" x14ac:dyDescent="0.45">
      <c r="A4052" s="462"/>
      <c r="B4052" s="441"/>
      <c r="C4052" s="194">
        <v>3</v>
      </c>
      <c r="D4052" s="80"/>
      <c r="E4052" s="97"/>
      <c r="F4052" s="97"/>
      <c r="G4052" s="97"/>
      <c r="H4052" s="97"/>
      <c r="I4052" s="97"/>
      <c r="J4052" s="97"/>
      <c r="K4052" s="97"/>
      <c r="L4052" s="195"/>
    </row>
    <row r="4053" spans="1:12" x14ac:dyDescent="0.45">
      <c r="A4053" s="462"/>
      <c r="B4053" s="441"/>
      <c r="C4053" s="194">
        <v>4</v>
      </c>
      <c r="D4053" s="80"/>
      <c r="E4053" s="97"/>
      <c r="F4053" s="97"/>
      <c r="G4053" s="97"/>
      <c r="H4053" s="97"/>
      <c r="I4053" s="97"/>
      <c r="J4053" s="97"/>
      <c r="K4053" s="97"/>
      <c r="L4053" s="195"/>
    </row>
    <row r="4054" spans="1:12" x14ac:dyDescent="0.45">
      <c r="A4054" s="462"/>
      <c r="B4054" s="441"/>
      <c r="C4054" s="194">
        <v>5</v>
      </c>
      <c r="D4054" s="80"/>
      <c r="E4054" s="97"/>
      <c r="F4054" s="97"/>
      <c r="G4054" s="97"/>
      <c r="H4054" s="97"/>
      <c r="I4054" s="97"/>
      <c r="J4054" s="97"/>
      <c r="K4054" s="97"/>
      <c r="L4054" s="195"/>
    </row>
    <row r="4055" spans="1:12" x14ac:dyDescent="0.45">
      <c r="A4055" s="462"/>
      <c r="B4055" s="441"/>
      <c r="C4055" s="194">
        <v>6</v>
      </c>
      <c r="D4055" s="80"/>
      <c r="E4055" s="97"/>
      <c r="F4055" s="97"/>
      <c r="G4055" s="97"/>
      <c r="H4055" s="97"/>
      <c r="I4055" s="97"/>
      <c r="J4055" s="97"/>
      <c r="K4055" s="97"/>
      <c r="L4055" s="195"/>
    </row>
    <row r="4056" spans="1:12" x14ac:dyDescent="0.45">
      <c r="A4056" s="462"/>
      <c r="B4056" s="441"/>
      <c r="C4056" s="194">
        <v>7</v>
      </c>
      <c r="D4056" s="80"/>
      <c r="E4056" s="97"/>
      <c r="F4056" s="97"/>
      <c r="G4056" s="97"/>
      <c r="H4056" s="97"/>
      <c r="I4056" s="97"/>
      <c r="J4056" s="97"/>
      <c r="K4056" s="97"/>
      <c r="L4056" s="195"/>
    </row>
    <row r="4057" spans="1:12" x14ac:dyDescent="0.45">
      <c r="A4057" s="462"/>
      <c r="B4057" s="441"/>
      <c r="C4057" s="194">
        <v>8</v>
      </c>
      <c r="D4057" s="80"/>
      <c r="E4057" s="97"/>
      <c r="F4057" s="97"/>
      <c r="G4057" s="97"/>
      <c r="H4057" s="97"/>
      <c r="I4057" s="97"/>
      <c r="J4057" s="97"/>
      <c r="K4057" s="97"/>
      <c r="L4057" s="195"/>
    </row>
    <row r="4058" spans="1:12" x14ac:dyDescent="0.45">
      <c r="A4058" s="462"/>
      <c r="B4058" s="441"/>
      <c r="C4058" s="194">
        <v>9</v>
      </c>
      <c r="D4058" s="80"/>
      <c r="E4058" s="97"/>
      <c r="F4058" s="97"/>
      <c r="G4058" s="97"/>
      <c r="H4058" s="97"/>
      <c r="I4058" s="97"/>
      <c r="J4058" s="97"/>
      <c r="K4058" s="97"/>
      <c r="L4058" s="195"/>
    </row>
    <row r="4059" spans="1:12" x14ac:dyDescent="0.45">
      <c r="A4059" s="462"/>
      <c r="B4059" s="441"/>
      <c r="C4059" s="194">
        <v>10</v>
      </c>
      <c r="D4059" s="80"/>
      <c r="E4059" s="97"/>
      <c r="F4059" s="97"/>
      <c r="G4059" s="97"/>
      <c r="H4059" s="97"/>
      <c r="I4059" s="97"/>
      <c r="J4059" s="97"/>
      <c r="K4059" s="97"/>
      <c r="L4059" s="195"/>
    </row>
    <row r="4060" spans="1:12" x14ac:dyDescent="0.45">
      <c r="A4060" s="462"/>
      <c r="B4060" s="441"/>
      <c r="C4060" s="194">
        <v>11</v>
      </c>
      <c r="D4060" s="81"/>
      <c r="E4060" s="98"/>
      <c r="F4060" s="98"/>
      <c r="G4060" s="98"/>
      <c r="H4060" s="98"/>
      <c r="I4060" s="98"/>
      <c r="J4060" s="98"/>
      <c r="K4060" s="98"/>
      <c r="L4060" s="196"/>
    </row>
    <row r="4061" spans="1:12" ht="14.65" thickBot="1" x14ac:dyDescent="0.5">
      <c r="A4061" s="462"/>
      <c r="B4061" s="442"/>
      <c r="C4061" s="197">
        <v>12</v>
      </c>
      <c r="D4061" s="82"/>
      <c r="E4061" s="99"/>
      <c r="F4061" s="99"/>
      <c r="G4061" s="99"/>
      <c r="H4061" s="99"/>
      <c r="I4061" s="99"/>
      <c r="J4061" s="99"/>
      <c r="K4061" s="99"/>
      <c r="L4061" s="198"/>
    </row>
    <row r="4062" spans="1:12" x14ac:dyDescent="0.45">
      <c r="A4062" s="462"/>
      <c r="B4062" s="440">
        <v>10</v>
      </c>
      <c r="C4062" s="192">
        <v>1</v>
      </c>
      <c r="D4062" s="79"/>
      <c r="E4062" s="96"/>
      <c r="F4062" s="96"/>
      <c r="G4062" s="96"/>
      <c r="H4062" s="96"/>
      <c r="I4062" s="96"/>
      <c r="J4062" s="96"/>
      <c r="K4062" s="96"/>
      <c r="L4062" s="193"/>
    </row>
    <row r="4063" spans="1:12" x14ac:dyDescent="0.45">
      <c r="A4063" s="462"/>
      <c r="B4063" s="441"/>
      <c r="C4063" s="194">
        <v>2</v>
      </c>
      <c r="D4063" s="80"/>
      <c r="E4063" s="97"/>
      <c r="F4063" s="97"/>
      <c r="G4063" s="97"/>
      <c r="H4063" s="97"/>
      <c r="I4063" s="97"/>
      <c r="J4063" s="97"/>
      <c r="K4063" s="97"/>
      <c r="L4063" s="195"/>
    </row>
    <row r="4064" spans="1:12" x14ac:dyDescent="0.45">
      <c r="A4064" s="462"/>
      <c r="B4064" s="441"/>
      <c r="C4064" s="194">
        <v>3</v>
      </c>
      <c r="D4064" s="80"/>
      <c r="E4064" s="97"/>
      <c r="F4064" s="97"/>
      <c r="G4064" s="97"/>
      <c r="H4064" s="97"/>
      <c r="I4064" s="97"/>
      <c r="J4064" s="97"/>
      <c r="K4064" s="97"/>
      <c r="L4064" s="195"/>
    </row>
    <row r="4065" spans="1:12" x14ac:dyDescent="0.45">
      <c r="A4065" s="462"/>
      <c r="B4065" s="441"/>
      <c r="C4065" s="194">
        <v>4</v>
      </c>
      <c r="D4065" s="80"/>
      <c r="E4065" s="97"/>
      <c r="F4065" s="97"/>
      <c r="G4065" s="97"/>
      <c r="H4065" s="97"/>
      <c r="I4065" s="97"/>
      <c r="J4065" s="97"/>
      <c r="K4065" s="97"/>
      <c r="L4065" s="195"/>
    </row>
    <row r="4066" spans="1:12" x14ac:dyDescent="0.45">
      <c r="A4066" s="462"/>
      <c r="B4066" s="441"/>
      <c r="C4066" s="194">
        <v>5</v>
      </c>
      <c r="D4066" s="80"/>
      <c r="E4066" s="97"/>
      <c r="F4066" s="97"/>
      <c r="G4066" s="97"/>
      <c r="H4066" s="97"/>
      <c r="I4066" s="97"/>
      <c r="J4066" s="97"/>
      <c r="K4066" s="97"/>
      <c r="L4066" s="195"/>
    </row>
    <row r="4067" spans="1:12" x14ac:dyDescent="0.45">
      <c r="A4067" s="462"/>
      <c r="B4067" s="441"/>
      <c r="C4067" s="194">
        <v>6</v>
      </c>
      <c r="D4067" s="80"/>
      <c r="E4067" s="97"/>
      <c r="F4067" s="97"/>
      <c r="G4067" s="97"/>
      <c r="H4067" s="97"/>
      <c r="I4067" s="97"/>
      <c r="J4067" s="97"/>
      <c r="K4067" s="97"/>
      <c r="L4067" s="195"/>
    </row>
    <row r="4068" spans="1:12" x14ac:dyDescent="0.45">
      <c r="A4068" s="462"/>
      <c r="B4068" s="441"/>
      <c r="C4068" s="194">
        <v>7</v>
      </c>
      <c r="D4068" s="80"/>
      <c r="E4068" s="97"/>
      <c r="F4068" s="97"/>
      <c r="G4068" s="97"/>
      <c r="H4068" s="97"/>
      <c r="I4068" s="97"/>
      <c r="J4068" s="97"/>
      <c r="K4068" s="97"/>
      <c r="L4068" s="195"/>
    </row>
    <row r="4069" spans="1:12" x14ac:dyDescent="0.45">
      <c r="A4069" s="462"/>
      <c r="B4069" s="441"/>
      <c r="C4069" s="194">
        <v>8</v>
      </c>
      <c r="D4069" s="80"/>
      <c r="E4069" s="97"/>
      <c r="F4069" s="97"/>
      <c r="G4069" s="97"/>
      <c r="H4069" s="97"/>
      <c r="I4069" s="97"/>
      <c r="J4069" s="97"/>
      <c r="K4069" s="97"/>
      <c r="L4069" s="195"/>
    </row>
    <row r="4070" spans="1:12" x14ac:dyDescent="0.45">
      <c r="A4070" s="462"/>
      <c r="B4070" s="441"/>
      <c r="C4070" s="194">
        <v>9</v>
      </c>
      <c r="D4070" s="80"/>
      <c r="E4070" s="97"/>
      <c r="F4070" s="97"/>
      <c r="G4070" s="97"/>
      <c r="H4070" s="97"/>
      <c r="I4070" s="97"/>
      <c r="J4070" s="97"/>
      <c r="K4070" s="97"/>
      <c r="L4070" s="195"/>
    </row>
    <row r="4071" spans="1:12" x14ac:dyDescent="0.45">
      <c r="A4071" s="462"/>
      <c r="B4071" s="441"/>
      <c r="C4071" s="194">
        <v>10</v>
      </c>
      <c r="D4071" s="80"/>
      <c r="E4071" s="97"/>
      <c r="F4071" s="97"/>
      <c r="G4071" s="97"/>
      <c r="H4071" s="97"/>
      <c r="I4071" s="97"/>
      <c r="J4071" s="97"/>
      <c r="K4071" s="97"/>
      <c r="L4071" s="195"/>
    </row>
    <row r="4072" spans="1:12" x14ac:dyDescent="0.45">
      <c r="A4072" s="462"/>
      <c r="B4072" s="441"/>
      <c r="C4072" s="194">
        <v>11</v>
      </c>
      <c r="D4072" s="81"/>
      <c r="E4072" s="98"/>
      <c r="F4072" s="98"/>
      <c r="G4072" s="98"/>
      <c r="H4072" s="98"/>
      <c r="I4072" s="98"/>
      <c r="J4072" s="98"/>
      <c r="K4072" s="98"/>
      <c r="L4072" s="196"/>
    </row>
    <row r="4073" spans="1:12" ht="14.65" thickBot="1" x14ac:dyDescent="0.5">
      <c r="A4073" s="462"/>
      <c r="B4073" s="442"/>
      <c r="C4073" s="197">
        <v>12</v>
      </c>
      <c r="D4073" s="82"/>
      <c r="E4073" s="99"/>
      <c r="F4073" s="99"/>
      <c r="G4073" s="99"/>
      <c r="H4073" s="99"/>
      <c r="I4073" s="99"/>
      <c r="J4073" s="99"/>
      <c r="K4073" s="99"/>
      <c r="L4073" s="198"/>
    </row>
    <row r="4074" spans="1:12" x14ac:dyDescent="0.45">
      <c r="A4074" s="462"/>
      <c r="B4074" s="440">
        <v>11</v>
      </c>
      <c r="C4074" s="192">
        <v>1</v>
      </c>
      <c r="D4074" s="79"/>
      <c r="E4074" s="96"/>
      <c r="F4074" s="96"/>
      <c r="G4074" s="96"/>
      <c r="H4074" s="96"/>
      <c r="I4074" s="96"/>
      <c r="J4074" s="96"/>
      <c r="K4074" s="96"/>
      <c r="L4074" s="193"/>
    </row>
    <row r="4075" spans="1:12" x14ac:dyDescent="0.45">
      <c r="A4075" s="462"/>
      <c r="B4075" s="441"/>
      <c r="C4075" s="194">
        <v>2</v>
      </c>
      <c r="D4075" s="80"/>
      <c r="E4075" s="97"/>
      <c r="F4075" s="97"/>
      <c r="G4075" s="97"/>
      <c r="H4075" s="97"/>
      <c r="I4075" s="97"/>
      <c r="J4075" s="97"/>
      <c r="K4075" s="97"/>
      <c r="L4075" s="195"/>
    </row>
    <row r="4076" spans="1:12" x14ac:dyDescent="0.45">
      <c r="A4076" s="462"/>
      <c r="B4076" s="441"/>
      <c r="C4076" s="194">
        <v>3</v>
      </c>
      <c r="D4076" s="80"/>
      <c r="E4076" s="97"/>
      <c r="F4076" s="97"/>
      <c r="G4076" s="97"/>
      <c r="H4076" s="97"/>
      <c r="I4076" s="97"/>
      <c r="J4076" s="97"/>
      <c r="K4076" s="97"/>
      <c r="L4076" s="195"/>
    </row>
    <row r="4077" spans="1:12" x14ac:dyDescent="0.45">
      <c r="A4077" s="462"/>
      <c r="B4077" s="441"/>
      <c r="C4077" s="194">
        <v>4</v>
      </c>
      <c r="D4077" s="80"/>
      <c r="E4077" s="97"/>
      <c r="F4077" s="97"/>
      <c r="G4077" s="97"/>
      <c r="H4077" s="97"/>
      <c r="I4077" s="97"/>
      <c r="J4077" s="97"/>
      <c r="K4077" s="97"/>
      <c r="L4077" s="195"/>
    </row>
    <row r="4078" spans="1:12" x14ac:dyDescent="0.45">
      <c r="A4078" s="462"/>
      <c r="B4078" s="441"/>
      <c r="C4078" s="194">
        <v>5</v>
      </c>
      <c r="D4078" s="80"/>
      <c r="E4078" s="97"/>
      <c r="F4078" s="97"/>
      <c r="G4078" s="97"/>
      <c r="H4078" s="97"/>
      <c r="I4078" s="97"/>
      <c r="J4078" s="97"/>
      <c r="K4078" s="97"/>
      <c r="L4078" s="195"/>
    </row>
    <row r="4079" spans="1:12" x14ac:dyDescent="0.45">
      <c r="A4079" s="462"/>
      <c r="B4079" s="441"/>
      <c r="C4079" s="194">
        <v>6</v>
      </c>
      <c r="D4079" s="80"/>
      <c r="E4079" s="97"/>
      <c r="F4079" s="97"/>
      <c r="G4079" s="97"/>
      <c r="H4079" s="97"/>
      <c r="I4079" s="97"/>
      <c r="J4079" s="97"/>
      <c r="K4079" s="97"/>
      <c r="L4079" s="195"/>
    </row>
    <row r="4080" spans="1:12" x14ac:dyDescent="0.45">
      <c r="A4080" s="462"/>
      <c r="B4080" s="441"/>
      <c r="C4080" s="194">
        <v>7</v>
      </c>
      <c r="D4080" s="80"/>
      <c r="E4080" s="97"/>
      <c r="F4080" s="97"/>
      <c r="G4080" s="97"/>
      <c r="H4080" s="97"/>
      <c r="I4080" s="97"/>
      <c r="J4080" s="97"/>
      <c r="K4080" s="97"/>
      <c r="L4080" s="195"/>
    </row>
    <row r="4081" spans="1:12" x14ac:dyDescent="0.45">
      <c r="A4081" s="462"/>
      <c r="B4081" s="441"/>
      <c r="C4081" s="194">
        <v>8</v>
      </c>
      <c r="D4081" s="80"/>
      <c r="E4081" s="97"/>
      <c r="F4081" s="97"/>
      <c r="G4081" s="97"/>
      <c r="H4081" s="97"/>
      <c r="I4081" s="97"/>
      <c r="J4081" s="97"/>
      <c r="K4081" s="97"/>
      <c r="L4081" s="195"/>
    </row>
    <row r="4082" spans="1:12" x14ac:dyDescent="0.45">
      <c r="A4082" s="462"/>
      <c r="B4082" s="441"/>
      <c r="C4082" s="194">
        <v>9</v>
      </c>
      <c r="D4082" s="80"/>
      <c r="E4082" s="97"/>
      <c r="F4082" s="97"/>
      <c r="G4082" s="97"/>
      <c r="H4082" s="97"/>
      <c r="I4082" s="97"/>
      <c r="J4082" s="97"/>
      <c r="K4082" s="97"/>
      <c r="L4082" s="195"/>
    </row>
    <row r="4083" spans="1:12" x14ac:dyDescent="0.45">
      <c r="A4083" s="462"/>
      <c r="B4083" s="441"/>
      <c r="C4083" s="194">
        <v>10</v>
      </c>
      <c r="D4083" s="80"/>
      <c r="E4083" s="97"/>
      <c r="F4083" s="97"/>
      <c r="G4083" s="97"/>
      <c r="H4083" s="97"/>
      <c r="I4083" s="97"/>
      <c r="J4083" s="97"/>
      <c r="K4083" s="97"/>
      <c r="L4083" s="195"/>
    </row>
    <row r="4084" spans="1:12" x14ac:dyDescent="0.45">
      <c r="A4084" s="462"/>
      <c r="B4084" s="441"/>
      <c r="C4084" s="194">
        <v>11</v>
      </c>
      <c r="D4084" s="81"/>
      <c r="E4084" s="98"/>
      <c r="F4084" s="98"/>
      <c r="G4084" s="98"/>
      <c r="H4084" s="98"/>
      <c r="I4084" s="98"/>
      <c r="J4084" s="98"/>
      <c r="K4084" s="98"/>
      <c r="L4084" s="196"/>
    </row>
    <row r="4085" spans="1:12" ht="14.65" thickBot="1" x14ac:dyDescent="0.5">
      <c r="A4085" s="462"/>
      <c r="B4085" s="442"/>
      <c r="C4085" s="197">
        <v>12</v>
      </c>
      <c r="D4085" s="82"/>
      <c r="E4085" s="99"/>
      <c r="F4085" s="99"/>
      <c r="G4085" s="99"/>
      <c r="H4085" s="99"/>
      <c r="I4085" s="99"/>
      <c r="J4085" s="99"/>
      <c r="K4085" s="99"/>
      <c r="L4085" s="198"/>
    </row>
    <row r="4086" spans="1:12" x14ac:dyDescent="0.45">
      <c r="A4086" s="462"/>
      <c r="B4086" s="440">
        <v>12</v>
      </c>
      <c r="C4086" s="192">
        <v>1</v>
      </c>
      <c r="D4086" s="79"/>
      <c r="E4086" s="96"/>
      <c r="F4086" s="96"/>
      <c r="G4086" s="96"/>
      <c r="H4086" s="96"/>
      <c r="I4086" s="96"/>
      <c r="J4086" s="96"/>
      <c r="K4086" s="96"/>
      <c r="L4086" s="193"/>
    </row>
    <row r="4087" spans="1:12" x14ac:dyDescent="0.45">
      <c r="A4087" s="462"/>
      <c r="B4087" s="441"/>
      <c r="C4087" s="194">
        <v>2</v>
      </c>
      <c r="D4087" s="80"/>
      <c r="E4087" s="97"/>
      <c r="F4087" s="97"/>
      <c r="G4087" s="97"/>
      <c r="H4087" s="97"/>
      <c r="I4087" s="97"/>
      <c r="J4087" s="97"/>
      <c r="K4087" s="97"/>
      <c r="L4087" s="195"/>
    </row>
    <row r="4088" spans="1:12" x14ac:dyDescent="0.45">
      <c r="A4088" s="462"/>
      <c r="B4088" s="441"/>
      <c r="C4088" s="194">
        <v>3</v>
      </c>
      <c r="D4088" s="80"/>
      <c r="E4088" s="97"/>
      <c r="F4088" s="97"/>
      <c r="G4088" s="97"/>
      <c r="H4088" s="97"/>
      <c r="I4088" s="97"/>
      <c r="J4088" s="97"/>
      <c r="K4088" s="97"/>
      <c r="L4088" s="195"/>
    </row>
    <row r="4089" spans="1:12" x14ac:dyDescent="0.45">
      <c r="A4089" s="462"/>
      <c r="B4089" s="441"/>
      <c r="C4089" s="194">
        <v>4</v>
      </c>
      <c r="D4089" s="80"/>
      <c r="E4089" s="97"/>
      <c r="F4089" s="97"/>
      <c r="G4089" s="97"/>
      <c r="H4089" s="97"/>
      <c r="I4089" s="97"/>
      <c r="J4089" s="97"/>
      <c r="K4089" s="97"/>
      <c r="L4089" s="195"/>
    </row>
    <row r="4090" spans="1:12" x14ac:dyDescent="0.45">
      <c r="A4090" s="462"/>
      <c r="B4090" s="441"/>
      <c r="C4090" s="194">
        <v>5</v>
      </c>
      <c r="D4090" s="80"/>
      <c r="E4090" s="97"/>
      <c r="F4090" s="97"/>
      <c r="G4090" s="97"/>
      <c r="H4090" s="97"/>
      <c r="I4090" s="97"/>
      <c r="J4090" s="97"/>
      <c r="K4090" s="97"/>
      <c r="L4090" s="195"/>
    </row>
    <row r="4091" spans="1:12" x14ac:dyDescent="0.45">
      <c r="A4091" s="462"/>
      <c r="B4091" s="441"/>
      <c r="C4091" s="194">
        <v>6</v>
      </c>
      <c r="D4091" s="80"/>
      <c r="E4091" s="97"/>
      <c r="F4091" s="97"/>
      <c r="G4091" s="97"/>
      <c r="H4091" s="97"/>
      <c r="I4091" s="97"/>
      <c r="J4091" s="97"/>
      <c r="K4091" s="97"/>
      <c r="L4091" s="195"/>
    </row>
    <row r="4092" spans="1:12" x14ac:dyDescent="0.45">
      <c r="A4092" s="462"/>
      <c r="B4092" s="441"/>
      <c r="C4092" s="194">
        <v>7</v>
      </c>
      <c r="D4092" s="80"/>
      <c r="E4092" s="97"/>
      <c r="F4092" s="97"/>
      <c r="G4092" s="97"/>
      <c r="H4092" s="97"/>
      <c r="I4092" s="97"/>
      <c r="J4092" s="97"/>
      <c r="K4092" s="97"/>
      <c r="L4092" s="195"/>
    </row>
    <row r="4093" spans="1:12" x14ac:dyDescent="0.45">
      <c r="A4093" s="462"/>
      <c r="B4093" s="441"/>
      <c r="C4093" s="194">
        <v>8</v>
      </c>
      <c r="D4093" s="80"/>
      <c r="E4093" s="97"/>
      <c r="F4093" s="97"/>
      <c r="G4093" s="97"/>
      <c r="H4093" s="97"/>
      <c r="I4093" s="97"/>
      <c r="J4093" s="97"/>
      <c r="K4093" s="97"/>
      <c r="L4093" s="195"/>
    </row>
    <row r="4094" spans="1:12" x14ac:dyDescent="0.45">
      <c r="A4094" s="462"/>
      <c r="B4094" s="441"/>
      <c r="C4094" s="194">
        <v>9</v>
      </c>
      <c r="D4094" s="80"/>
      <c r="E4094" s="97"/>
      <c r="F4094" s="97"/>
      <c r="G4094" s="97"/>
      <c r="H4094" s="97"/>
      <c r="I4094" s="97"/>
      <c r="J4094" s="97"/>
      <c r="K4094" s="97"/>
      <c r="L4094" s="195"/>
    </row>
    <row r="4095" spans="1:12" x14ac:dyDescent="0.45">
      <c r="A4095" s="462"/>
      <c r="B4095" s="441"/>
      <c r="C4095" s="194">
        <v>10</v>
      </c>
      <c r="D4095" s="80"/>
      <c r="E4095" s="97"/>
      <c r="F4095" s="97"/>
      <c r="G4095" s="97"/>
      <c r="H4095" s="97"/>
      <c r="I4095" s="97"/>
      <c r="J4095" s="97"/>
      <c r="K4095" s="97"/>
      <c r="L4095" s="195"/>
    </row>
    <row r="4096" spans="1:12" x14ac:dyDescent="0.45">
      <c r="A4096" s="462"/>
      <c r="B4096" s="441"/>
      <c r="C4096" s="194">
        <v>11</v>
      </c>
      <c r="D4096" s="81"/>
      <c r="E4096" s="98"/>
      <c r="F4096" s="98"/>
      <c r="G4096" s="98"/>
      <c r="H4096" s="98"/>
      <c r="I4096" s="98"/>
      <c r="J4096" s="98"/>
      <c r="K4096" s="98"/>
      <c r="L4096" s="196"/>
    </row>
    <row r="4097" spans="1:14" ht="14.65" thickBot="1" x14ac:dyDescent="0.5">
      <c r="A4097" s="463"/>
      <c r="B4097" s="442"/>
      <c r="C4097" s="199">
        <v>12</v>
      </c>
      <c r="D4097" s="82"/>
      <c r="E4097" s="99"/>
      <c r="F4097" s="99"/>
      <c r="G4097" s="99"/>
      <c r="H4097" s="99"/>
      <c r="I4097" s="99"/>
      <c r="J4097" s="99"/>
      <c r="K4097" s="99"/>
      <c r="L4097" s="198"/>
    </row>
    <row r="4098" spans="1:14" x14ac:dyDescent="0.45">
      <c r="A4098" s="200"/>
      <c r="B4098" s="200"/>
      <c r="C4098" s="200"/>
      <c r="D4098" s="201"/>
      <c r="E4098" s="201"/>
      <c r="F4098" s="201"/>
      <c r="G4098" s="201"/>
      <c r="H4098" s="201"/>
      <c r="I4098" s="201"/>
      <c r="J4098" s="201"/>
      <c r="K4098" s="201"/>
      <c r="L4098" s="201"/>
    </row>
    <row r="4099" spans="1:14" s="91" customFormat="1" x14ac:dyDescent="0.45">
      <c r="A4099" s="202"/>
      <c r="B4099" s="202"/>
      <c r="C4099" s="202"/>
      <c r="D4099" s="203"/>
      <c r="E4099" s="203"/>
      <c r="F4099" s="203"/>
      <c r="G4099" s="203"/>
      <c r="H4099" s="203"/>
      <c r="I4099" s="203"/>
      <c r="J4099" s="203"/>
      <c r="K4099" s="203"/>
      <c r="L4099" s="203"/>
    </row>
    <row r="4100" spans="1:14" ht="14.65" thickBot="1" x14ac:dyDescent="0.5"/>
    <row r="4101" spans="1:14" ht="28.9" thickBot="1" x14ac:dyDescent="0.5">
      <c r="A4101" s="187" t="s">
        <v>76</v>
      </c>
      <c r="B4101" s="186">
        <v>27</v>
      </c>
      <c r="C4101" s="109"/>
      <c r="D4101" s="109"/>
    </row>
    <row r="4102" spans="1:14" x14ac:dyDescent="0.45">
      <c r="A4102" s="443" t="s">
        <v>27</v>
      </c>
      <c r="B4102" s="448">
        <f>Name27</f>
        <v>0</v>
      </c>
      <c r="C4102" s="449"/>
      <c r="D4102" s="450"/>
      <c r="I4102" s="204"/>
      <c r="J4102" s="204"/>
      <c r="K4102" s="204"/>
      <c r="L4102" s="204"/>
      <c r="M4102" s="204"/>
      <c r="N4102" s="204"/>
    </row>
    <row r="4103" spans="1:14" x14ac:dyDescent="0.45">
      <c r="A4103" s="444"/>
      <c r="B4103" s="448"/>
      <c r="C4103" s="449"/>
      <c r="D4103" s="450"/>
      <c r="I4103" s="204"/>
      <c r="J4103" s="204"/>
      <c r="K4103" s="204"/>
      <c r="L4103" s="204"/>
      <c r="M4103" s="204"/>
      <c r="N4103" s="204"/>
    </row>
    <row r="4104" spans="1:14" x14ac:dyDescent="0.45">
      <c r="A4104" s="445"/>
      <c r="B4104" s="388"/>
      <c r="C4104" s="451"/>
      <c r="D4104" s="452"/>
      <c r="I4104" s="204"/>
      <c r="J4104" s="204"/>
      <c r="K4104" s="204"/>
      <c r="L4104" s="204"/>
      <c r="M4104" s="204"/>
      <c r="N4104" s="204"/>
    </row>
    <row r="4105" spans="1:14" ht="14.45" customHeight="1" x14ac:dyDescent="0.45">
      <c r="A4105" s="444" t="s">
        <v>155</v>
      </c>
      <c r="B4105" s="453">
        <f>GapA27</f>
        <v>0</v>
      </c>
      <c r="C4105" s="454"/>
      <c r="D4105" s="455"/>
      <c r="I4105" s="204"/>
      <c r="J4105" s="204"/>
      <c r="K4105" s="204"/>
      <c r="L4105" s="204"/>
      <c r="M4105" s="204"/>
      <c r="N4105" s="204"/>
    </row>
    <row r="4106" spans="1:14" x14ac:dyDescent="0.45">
      <c r="A4106" s="444"/>
      <c r="B4106" s="448"/>
      <c r="C4106" s="449"/>
      <c r="D4106" s="450"/>
      <c r="I4106" s="204"/>
      <c r="J4106" s="204"/>
      <c r="K4106" s="204"/>
      <c r="L4106" s="204"/>
      <c r="M4106" s="204"/>
      <c r="N4106" s="204"/>
    </row>
    <row r="4107" spans="1:14" x14ac:dyDescent="0.45">
      <c r="A4107" s="445"/>
      <c r="B4107" s="388"/>
      <c r="C4107" s="451"/>
      <c r="D4107" s="452"/>
      <c r="I4107" s="204"/>
      <c r="J4107" s="204"/>
      <c r="K4107" s="204"/>
      <c r="L4107" s="204"/>
      <c r="M4107" s="204"/>
      <c r="N4107" s="204"/>
    </row>
    <row r="4108" spans="1:14" x14ac:dyDescent="0.45">
      <c r="A4108" s="444" t="s">
        <v>159</v>
      </c>
      <c r="B4108" s="453">
        <f>Objective27</f>
        <v>0</v>
      </c>
      <c r="C4108" s="454"/>
      <c r="D4108" s="455"/>
      <c r="I4108" s="204"/>
      <c r="J4108" s="204"/>
      <c r="K4108" s="204"/>
      <c r="L4108" s="204"/>
      <c r="M4108" s="204"/>
      <c r="N4108" s="204"/>
    </row>
    <row r="4109" spans="1:14" x14ac:dyDescent="0.45">
      <c r="A4109" s="444"/>
      <c r="B4109" s="448"/>
      <c r="C4109" s="449"/>
      <c r="D4109" s="450"/>
      <c r="I4109" s="204"/>
      <c r="J4109" s="204"/>
      <c r="K4109" s="204"/>
      <c r="L4109" s="204"/>
      <c r="M4109" s="204"/>
      <c r="N4109" s="204"/>
    </row>
    <row r="4110" spans="1:14" x14ac:dyDescent="0.45">
      <c r="A4110" s="445"/>
      <c r="B4110" s="388"/>
      <c r="C4110" s="451"/>
      <c r="D4110" s="452"/>
      <c r="I4110" s="204"/>
      <c r="J4110" s="204"/>
      <c r="K4110" s="204"/>
      <c r="L4110" s="204"/>
      <c r="M4110" s="204"/>
      <c r="N4110" s="204"/>
    </row>
    <row r="4111" spans="1:14" ht="14.45" customHeight="1" x14ac:dyDescent="0.45">
      <c r="A4111" s="446" t="s">
        <v>166</v>
      </c>
      <c r="B4111" s="454">
        <f>Capacity27</f>
        <v>0</v>
      </c>
      <c r="C4111" s="454"/>
      <c r="D4111" s="455"/>
      <c r="I4111" s="204"/>
      <c r="J4111" s="204"/>
      <c r="K4111" s="204"/>
      <c r="L4111" s="204"/>
      <c r="M4111" s="204"/>
      <c r="N4111" s="204"/>
    </row>
    <row r="4112" spans="1:14" x14ac:dyDescent="0.45">
      <c r="A4112" s="447"/>
      <c r="B4112" s="449"/>
      <c r="C4112" s="449"/>
      <c r="D4112" s="450"/>
      <c r="I4112" s="204"/>
      <c r="J4112" s="204"/>
      <c r="K4112" s="204"/>
      <c r="L4112" s="204"/>
      <c r="M4112" s="204"/>
      <c r="N4112" s="204"/>
    </row>
    <row r="4113" spans="1:14" ht="14.65" thickBot="1" x14ac:dyDescent="0.5">
      <c r="A4113" s="447"/>
      <c r="B4113" s="456"/>
      <c r="C4113" s="456"/>
      <c r="D4113" s="457"/>
      <c r="I4113" s="204"/>
      <c r="J4113" s="204"/>
      <c r="K4113" s="204"/>
      <c r="L4113" s="204"/>
      <c r="M4113" s="204"/>
      <c r="N4113" s="204"/>
    </row>
    <row r="4114" spans="1:14" x14ac:dyDescent="0.45">
      <c r="A4114" s="188"/>
    </row>
    <row r="4115" spans="1:14" ht="14.45" customHeight="1" thickBot="1" x14ac:dyDescent="0.5">
      <c r="A4115" s="90"/>
      <c r="B4115" s="90"/>
      <c r="C4115" s="90"/>
      <c r="D4115" s="90"/>
      <c r="E4115" s="90"/>
      <c r="F4115" s="90"/>
      <c r="G4115" s="90"/>
      <c r="H4115" s="90"/>
      <c r="I4115" s="90"/>
      <c r="J4115" s="90"/>
      <c r="K4115" s="90"/>
      <c r="L4115" s="90"/>
      <c r="M4115" s="90"/>
      <c r="N4115" s="90"/>
    </row>
    <row r="4116" spans="1:14" ht="21.75" customHeight="1" x14ac:dyDescent="0.45">
      <c r="A4116" s="458" t="s">
        <v>135</v>
      </c>
      <c r="B4116" s="459"/>
      <c r="C4116" s="459"/>
      <c r="D4116" s="459"/>
      <c r="E4116" s="459"/>
      <c r="F4116" s="459"/>
      <c r="G4116" s="459"/>
      <c r="H4116" s="459"/>
      <c r="I4116" s="459"/>
      <c r="J4116" s="459"/>
      <c r="K4116" s="459"/>
      <c r="L4116" s="460"/>
    </row>
    <row r="4117" spans="1:14" ht="29" customHeight="1" thickBot="1" x14ac:dyDescent="0.5">
      <c r="A4117" s="93" t="s">
        <v>74</v>
      </c>
      <c r="B4117" s="94" t="s">
        <v>28</v>
      </c>
      <c r="C4117" s="95" t="s">
        <v>320</v>
      </c>
      <c r="D4117" s="95" t="s">
        <v>127</v>
      </c>
      <c r="E4117" s="114" t="s">
        <v>90</v>
      </c>
      <c r="F4117" s="95" t="s">
        <v>175</v>
      </c>
      <c r="G4117" s="95" t="s">
        <v>176</v>
      </c>
      <c r="H4117" s="95" t="s">
        <v>156</v>
      </c>
      <c r="I4117" s="95" t="s">
        <v>157</v>
      </c>
      <c r="J4117" s="189" t="s">
        <v>321</v>
      </c>
      <c r="K4117" s="190" t="s">
        <v>29</v>
      </c>
      <c r="L4117" s="191" t="s">
        <v>322</v>
      </c>
    </row>
    <row r="4118" spans="1:14" x14ac:dyDescent="0.45">
      <c r="A4118" s="461">
        <v>1</v>
      </c>
      <c r="B4118" s="440">
        <v>1</v>
      </c>
      <c r="C4118" s="192">
        <v>1</v>
      </c>
      <c r="D4118" s="79"/>
      <c r="E4118" s="96"/>
      <c r="F4118" s="96"/>
      <c r="G4118" s="96"/>
      <c r="H4118" s="96"/>
      <c r="I4118" s="96"/>
      <c r="J4118" s="96"/>
      <c r="K4118" s="96"/>
      <c r="L4118" s="193"/>
    </row>
    <row r="4119" spans="1:14" x14ac:dyDescent="0.45">
      <c r="A4119" s="462"/>
      <c r="B4119" s="441"/>
      <c r="C4119" s="194">
        <v>2</v>
      </c>
      <c r="D4119" s="80"/>
      <c r="E4119" s="97"/>
      <c r="F4119" s="97"/>
      <c r="G4119" s="97"/>
      <c r="H4119" s="97"/>
      <c r="I4119" s="97"/>
      <c r="J4119" s="97"/>
      <c r="K4119" s="97"/>
      <c r="L4119" s="195"/>
    </row>
    <row r="4120" spans="1:14" x14ac:dyDescent="0.45">
      <c r="A4120" s="462"/>
      <c r="B4120" s="441"/>
      <c r="C4120" s="194">
        <v>3</v>
      </c>
      <c r="D4120" s="80"/>
      <c r="E4120" s="97"/>
      <c r="F4120" s="97"/>
      <c r="G4120" s="97"/>
      <c r="H4120" s="97"/>
      <c r="I4120" s="97"/>
      <c r="J4120" s="97"/>
      <c r="K4120" s="97"/>
      <c r="L4120" s="195"/>
    </row>
    <row r="4121" spans="1:14" x14ac:dyDescent="0.45">
      <c r="A4121" s="462"/>
      <c r="B4121" s="441"/>
      <c r="C4121" s="194">
        <v>4</v>
      </c>
      <c r="D4121" s="80"/>
      <c r="E4121" s="97"/>
      <c r="F4121" s="97"/>
      <c r="G4121" s="97"/>
      <c r="H4121" s="97"/>
      <c r="I4121" s="97"/>
      <c r="J4121" s="97"/>
      <c r="K4121" s="97"/>
      <c r="L4121" s="195"/>
    </row>
    <row r="4122" spans="1:14" x14ac:dyDescent="0.45">
      <c r="A4122" s="462"/>
      <c r="B4122" s="441"/>
      <c r="C4122" s="194">
        <v>5</v>
      </c>
      <c r="D4122" s="80"/>
      <c r="E4122" s="97"/>
      <c r="F4122" s="97"/>
      <c r="G4122" s="97"/>
      <c r="H4122" s="97"/>
      <c r="I4122" s="97"/>
      <c r="J4122" s="97"/>
      <c r="K4122" s="97"/>
      <c r="L4122" s="195"/>
    </row>
    <row r="4123" spans="1:14" x14ac:dyDescent="0.45">
      <c r="A4123" s="462"/>
      <c r="B4123" s="441"/>
      <c r="C4123" s="194">
        <v>6</v>
      </c>
      <c r="D4123" s="80"/>
      <c r="E4123" s="97"/>
      <c r="F4123" s="97"/>
      <c r="G4123" s="97"/>
      <c r="H4123" s="97"/>
      <c r="I4123" s="97"/>
      <c r="J4123" s="97"/>
      <c r="K4123" s="97"/>
      <c r="L4123" s="195"/>
    </row>
    <row r="4124" spans="1:14" x14ac:dyDescent="0.45">
      <c r="A4124" s="462"/>
      <c r="B4124" s="441"/>
      <c r="C4124" s="194">
        <v>7</v>
      </c>
      <c r="D4124" s="80"/>
      <c r="E4124" s="97"/>
      <c r="F4124" s="97"/>
      <c r="G4124" s="97"/>
      <c r="H4124" s="97"/>
      <c r="I4124" s="97"/>
      <c r="J4124" s="97"/>
      <c r="K4124" s="97"/>
      <c r="L4124" s="195"/>
    </row>
    <row r="4125" spans="1:14" x14ac:dyDescent="0.45">
      <c r="A4125" s="462"/>
      <c r="B4125" s="441"/>
      <c r="C4125" s="194">
        <v>8</v>
      </c>
      <c r="D4125" s="80"/>
      <c r="E4125" s="97"/>
      <c r="F4125" s="97"/>
      <c r="G4125" s="97"/>
      <c r="H4125" s="97"/>
      <c r="I4125" s="97"/>
      <c r="J4125" s="97"/>
      <c r="K4125" s="97"/>
      <c r="L4125" s="195"/>
    </row>
    <row r="4126" spans="1:14" x14ac:dyDescent="0.45">
      <c r="A4126" s="462"/>
      <c r="B4126" s="441"/>
      <c r="C4126" s="194">
        <v>9</v>
      </c>
      <c r="D4126" s="80"/>
      <c r="E4126" s="97"/>
      <c r="F4126" s="97"/>
      <c r="G4126" s="97"/>
      <c r="H4126" s="97"/>
      <c r="I4126" s="97"/>
      <c r="J4126" s="97"/>
      <c r="K4126" s="97"/>
      <c r="L4126" s="195"/>
    </row>
    <row r="4127" spans="1:14" x14ac:dyDescent="0.45">
      <c r="A4127" s="462"/>
      <c r="B4127" s="441"/>
      <c r="C4127" s="194">
        <v>10</v>
      </c>
      <c r="D4127" s="80"/>
      <c r="E4127" s="97"/>
      <c r="F4127" s="97"/>
      <c r="G4127" s="97"/>
      <c r="H4127" s="97"/>
      <c r="I4127" s="97"/>
      <c r="J4127" s="97"/>
      <c r="K4127" s="97"/>
      <c r="L4127" s="195"/>
    </row>
    <row r="4128" spans="1:14" x14ac:dyDescent="0.45">
      <c r="A4128" s="462"/>
      <c r="B4128" s="441"/>
      <c r="C4128" s="194">
        <v>11</v>
      </c>
      <c r="D4128" s="81"/>
      <c r="E4128" s="98"/>
      <c r="F4128" s="98"/>
      <c r="G4128" s="98"/>
      <c r="H4128" s="98"/>
      <c r="I4128" s="98"/>
      <c r="J4128" s="98"/>
      <c r="K4128" s="98"/>
      <c r="L4128" s="196"/>
    </row>
    <row r="4129" spans="1:14" s="90" customFormat="1" ht="14.65" thickBot="1" x14ac:dyDescent="0.5">
      <c r="A4129" s="462"/>
      <c r="B4129" s="442"/>
      <c r="C4129" s="197">
        <v>12</v>
      </c>
      <c r="D4129" s="82"/>
      <c r="E4129" s="99"/>
      <c r="F4129" s="99"/>
      <c r="G4129" s="99"/>
      <c r="H4129" s="99"/>
      <c r="I4129" s="99"/>
      <c r="J4129" s="99"/>
      <c r="K4129" s="99"/>
      <c r="L4129" s="198"/>
      <c r="M4129" s="61"/>
      <c r="N4129" s="61"/>
    </row>
    <row r="4130" spans="1:14" x14ac:dyDescent="0.45">
      <c r="A4130" s="462"/>
      <c r="B4130" s="440">
        <v>2</v>
      </c>
      <c r="C4130" s="192">
        <v>1</v>
      </c>
      <c r="D4130" s="79"/>
      <c r="E4130" s="96"/>
      <c r="F4130" s="96"/>
      <c r="G4130" s="96"/>
      <c r="H4130" s="96"/>
      <c r="I4130" s="96"/>
      <c r="J4130" s="96"/>
      <c r="K4130" s="96"/>
      <c r="L4130" s="193"/>
    </row>
    <row r="4131" spans="1:14" x14ac:dyDescent="0.45">
      <c r="A4131" s="462"/>
      <c r="B4131" s="441"/>
      <c r="C4131" s="194">
        <v>2</v>
      </c>
      <c r="D4131" s="80"/>
      <c r="E4131" s="97"/>
      <c r="F4131" s="97"/>
      <c r="G4131" s="97"/>
      <c r="H4131" s="97"/>
      <c r="I4131" s="97"/>
      <c r="J4131" s="97"/>
      <c r="K4131" s="97"/>
      <c r="L4131" s="195"/>
    </row>
    <row r="4132" spans="1:14" x14ac:dyDescent="0.45">
      <c r="A4132" s="462"/>
      <c r="B4132" s="441"/>
      <c r="C4132" s="194">
        <v>3</v>
      </c>
      <c r="D4132" s="80"/>
      <c r="E4132" s="97"/>
      <c r="F4132" s="97"/>
      <c r="G4132" s="97"/>
      <c r="H4132" s="97"/>
      <c r="I4132" s="97"/>
      <c r="J4132" s="97"/>
      <c r="K4132" s="97"/>
      <c r="L4132" s="195"/>
    </row>
    <row r="4133" spans="1:14" x14ac:dyDescent="0.45">
      <c r="A4133" s="462"/>
      <c r="B4133" s="441"/>
      <c r="C4133" s="194">
        <v>4</v>
      </c>
      <c r="D4133" s="80"/>
      <c r="E4133" s="97"/>
      <c r="F4133" s="97"/>
      <c r="G4133" s="97"/>
      <c r="H4133" s="97"/>
      <c r="I4133" s="97"/>
      <c r="J4133" s="97"/>
      <c r="K4133" s="97"/>
      <c r="L4133" s="195"/>
    </row>
    <row r="4134" spans="1:14" x14ac:dyDescent="0.45">
      <c r="A4134" s="462"/>
      <c r="B4134" s="441"/>
      <c r="C4134" s="194">
        <v>5</v>
      </c>
      <c r="D4134" s="80"/>
      <c r="E4134" s="97"/>
      <c r="F4134" s="97"/>
      <c r="G4134" s="97"/>
      <c r="H4134" s="97"/>
      <c r="I4134" s="97"/>
      <c r="J4134" s="97"/>
      <c r="K4134" s="97"/>
      <c r="L4134" s="195"/>
    </row>
    <row r="4135" spans="1:14" x14ac:dyDescent="0.45">
      <c r="A4135" s="462"/>
      <c r="B4135" s="441"/>
      <c r="C4135" s="194">
        <v>6</v>
      </c>
      <c r="D4135" s="80"/>
      <c r="E4135" s="97"/>
      <c r="F4135" s="97"/>
      <c r="G4135" s="97"/>
      <c r="H4135" s="97"/>
      <c r="I4135" s="97"/>
      <c r="J4135" s="97"/>
      <c r="K4135" s="97"/>
      <c r="L4135" s="195"/>
    </row>
    <row r="4136" spans="1:14" x14ac:dyDescent="0.45">
      <c r="A4136" s="462"/>
      <c r="B4136" s="441"/>
      <c r="C4136" s="194">
        <v>7</v>
      </c>
      <c r="D4136" s="80"/>
      <c r="E4136" s="97"/>
      <c r="F4136" s="97"/>
      <c r="G4136" s="97"/>
      <c r="H4136" s="97"/>
      <c r="I4136" s="97"/>
      <c r="J4136" s="97"/>
      <c r="K4136" s="97"/>
      <c r="L4136" s="195"/>
    </row>
    <row r="4137" spans="1:14" x14ac:dyDescent="0.45">
      <c r="A4137" s="462"/>
      <c r="B4137" s="441"/>
      <c r="C4137" s="194">
        <v>8</v>
      </c>
      <c r="D4137" s="80"/>
      <c r="E4137" s="97"/>
      <c r="F4137" s="97"/>
      <c r="G4137" s="97"/>
      <c r="H4137" s="97"/>
      <c r="I4137" s="97"/>
      <c r="J4137" s="97"/>
      <c r="K4137" s="97"/>
      <c r="L4137" s="195"/>
    </row>
    <row r="4138" spans="1:14" x14ac:dyDescent="0.45">
      <c r="A4138" s="462"/>
      <c r="B4138" s="441"/>
      <c r="C4138" s="194">
        <v>9</v>
      </c>
      <c r="D4138" s="80"/>
      <c r="E4138" s="97"/>
      <c r="F4138" s="97"/>
      <c r="G4138" s="97"/>
      <c r="H4138" s="97"/>
      <c r="I4138" s="97"/>
      <c r="J4138" s="97"/>
      <c r="K4138" s="97"/>
      <c r="L4138" s="195"/>
    </row>
    <row r="4139" spans="1:14" x14ac:dyDescent="0.45">
      <c r="A4139" s="462"/>
      <c r="B4139" s="441"/>
      <c r="C4139" s="194">
        <v>10</v>
      </c>
      <c r="D4139" s="80"/>
      <c r="E4139" s="97"/>
      <c r="F4139" s="97"/>
      <c r="G4139" s="97"/>
      <c r="H4139" s="97"/>
      <c r="I4139" s="97"/>
      <c r="J4139" s="97"/>
      <c r="K4139" s="97"/>
      <c r="L4139" s="195"/>
    </row>
    <row r="4140" spans="1:14" x14ac:dyDescent="0.45">
      <c r="A4140" s="462"/>
      <c r="B4140" s="441"/>
      <c r="C4140" s="194">
        <v>11</v>
      </c>
      <c r="D4140" s="81"/>
      <c r="E4140" s="98"/>
      <c r="F4140" s="98"/>
      <c r="G4140" s="98"/>
      <c r="H4140" s="98"/>
      <c r="I4140" s="98"/>
      <c r="J4140" s="98"/>
      <c r="K4140" s="98"/>
      <c r="L4140" s="196"/>
    </row>
    <row r="4141" spans="1:14" ht="14.65" thickBot="1" x14ac:dyDescent="0.5">
      <c r="A4141" s="462"/>
      <c r="B4141" s="442"/>
      <c r="C4141" s="197">
        <v>12</v>
      </c>
      <c r="D4141" s="82"/>
      <c r="E4141" s="99"/>
      <c r="F4141" s="99"/>
      <c r="G4141" s="99"/>
      <c r="H4141" s="99"/>
      <c r="I4141" s="99"/>
      <c r="J4141" s="99"/>
      <c r="K4141" s="99"/>
      <c r="L4141" s="198"/>
    </row>
    <row r="4142" spans="1:14" x14ac:dyDescent="0.45">
      <c r="A4142" s="462"/>
      <c r="B4142" s="440">
        <v>3</v>
      </c>
      <c r="C4142" s="192">
        <v>1</v>
      </c>
      <c r="D4142" s="79"/>
      <c r="E4142" s="96"/>
      <c r="F4142" s="96"/>
      <c r="G4142" s="96"/>
      <c r="H4142" s="96"/>
      <c r="I4142" s="96"/>
      <c r="J4142" s="96"/>
      <c r="K4142" s="96"/>
      <c r="L4142" s="193"/>
    </row>
    <row r="4143" spans="1:14" x14ac:dyDescent="0.45">
      <c r="A4143" s="462"/>
      <c r="B4143" s="441"/>
      <c r="C4143" s="194">
        <v>2</v>
      </c>
      <c r="D4143" s="80"/>
      <c r="E4143" s="97"/>
      <c r="F4143" s="97"/>
      <c r="G4143" s="97"/>
      <c r="H4143" s="97"/>
      <c r="I4143" s="97"/>
      <c r="J4143" s="97"/>
      <c r="K4143" s="97"/>
      <c r="L4143" s="195"/>
    </row>
    <row r="4144" spans="1:14" x14ac:dyDescent="0.45">
      <c r="A4144" s="462"/>
      <c r="B4144" s="441"/>
      <c r="C4144" s="194">
        <v>3</v>
      </c>
      <c r="D4144" s="80"/>
      <c r="E4144" s="97"/>
      <c r="F4144" s="97"/>
      <c r="G4144" s="97"/>
      <c r="H4144" s="97"/>
      <c r="I4144" s="97"/>
      <c r="J4144" s="97"/>
      <c r="K4144" s="97"/>
      <c r="L4144" s="195"/>
    </row>
    <row r="4145" spans="1:12" x14ac:dyDescent="0.45">
      <c r="A4145" s="462"/>
      <c r="B4145" s="441"/>
      <c r="C4145" s="194">
        <v>4</v>
      </c>
      <c r="D4145" s="80"/>
      <c r="E4145" s="97"/>
      <c r="F4145" s="97"/>
      <c r="G4145" s="97"/>
      <c r="H4145" s="97"/>
      <c r="I4145" s="97"/>
      <c r="J4145" s="97"/>
      <c r="K4145" s="97"/>
      <c r="L4145" s="195"/>
    </row>
    <row r="4146" spans="1:12" x14ac:dyDescent="0.45">
      <c r="A4146" s="462"/>
      <c r="B4146" s="441"/>
      <c r="C4146" s="194">
        <v>5</v>
      </c>
      <c r="D4146" s="80"/>
      <c r="E4146" s="97"/>
      <c r="F4146" s="97"/>
      <c r="G4146" s="97"/>
      <c r="H4146" s="97"/>
      <c r="I4146" s="97"/>
      <c r="J4146" s="97"/>
      <c r="K4146" s="97"/>
      <c r="L4146" s="195"/>
    </row>
    <row r="4147" spans="1:12" x14ac:dyDescent="0.45">
      <c r="A4147" s="462"/>
      <c r="B4147" s="441"/>
      <c r="C4147" s="194">
        <v>6</v>
      </c>
      <c r="D4147" s="80"/>
      <c r="E4147" s="97"/>
      <c r="F4147" s="97"/>
      <c r="G4147" s="97"/>
      <c r="H4147" s="97"/>
      <c r="I4147" s="97"/>
      <c r="J4147" s="97"/>
      <c r="K4147" s="97"/>
      <c r="L4147" s="195"/>
    </row>
    <row r="4148" spans="1:12" x14ac:dyDescent="0.45">
      <c r="A4148" s="462"/>
      <c r="B4148" s="441"/>
      <c r="C4148" s="194">
        <v>7</v>
      </c>
      <c r="D4148" s="80"/>
      <c r="E4148" s="97"/>
      <c r="F4148" s="97"/>
      <c r="G4148" s="97"/>
      <c r="H4148" s="97"/>
      <c r="I4148" s="97"/>
      <c r="J4148" s="97"/>
      <c r="K4148" s="97"/>
      <c r="L4148" s="195"/>
    </row>
    <row r="4149" spans="1:12" x14ac:dyDescent="0.45">
      <c r="A4149" s="462"/>
      <c r="B4149" s="441"/>
      <c r="C4149" s="194">
        <v>8</v>
      </c>
      <c r="D4149" s="80"/>
      <c r="E4149" s="97"/>
      <c r="F4149" s="97"/>
      <c r="G4149" s="97"/>
      <c r="H4149" s="97"/>
      <c r="I4149" s="97"/>
      <c r="J4149" s="97"/>
      <c r="K4149" s="97"/>
      <c r="L4149" s="195"/>
    </row>
    <row r="4150" spans="1:12" x14ac:dyDescent="0.45">
      <c r="A4150" s="462"/>
      <c r="B4150" s="441"/>
      <c r="C4150" s="194">
        <v>9</v>
      </c>
      <c r="D4150" s="80"/>
      <c r="E4150" s="97"/>
      <c r="F4150" s="97"/>
      <c r="G4150" s="97"/>
      <c r="H4150" s="97"/>
      <c r="I4150" s="97"/>
      <c r="J4150" s="97"/>
      <c r="K4150" s="97"/>
      <c r="L4150" s="195"/>
    </row>
    <row r="4151" spans="1:12" x14ac:dyDescent="0.45">
      <c r="A4151" s="462"/>
      <c r="B4151" s="441"/>
      <c r="C4151" s="194">
        <v>10</v>
      </c>
      <c r="D4151" s="80"/>
      <c r="E4151" s="97"/>
      <c r="F4151" s="97"/>
      <c r="G4151" s="97"/>
      <c r="H4151" s="97"/>
      <c r="I4151" s="97"/>
      <c r="J4151" s="97"/>
      <c r="K4151" s="97"/>
      <c r="L4151" s="195"/>
    </row>
    <row r="4152" spans="1:12" x14ac:dyDescent="0.45">
      <c r="A4152" s="462"/>
      <c r="B4152" s="441"/>
      <c r="C4152" s="194">
        <v>11</v>
      </c>
      <c r="D4152" s="81"/>
      <c r="E4152" s="98"/>
      <c r="F4152" s="98"/>
      <c r="G4152" s="98"/>
      <c r="H4152" s="98"/>
      <c r="I4152" s="98"/>
      <c r="J4152" s="98"/>
      <c r="K4152" s="98"/>
      <c r="L4152" s="196"/>
    </row>
    <row r="4153" spans="1:12" ht="14.65" thickBot="1" x14ac:dyDescent="0.5">
      <c r="A4153" s="462"/>
      <c r="B4153" s="442"/>
      <c r="C4153" s="197">
        <v>12</v>
      </c>
      <c r="D4153" s="82"/>
      <c r="E4153" s="99"/>
      <c r="F4153" s="99"/>
      <c r="G4153" s="99"/>
      <c r="H4153" s="99"/>
      <c r="I4153" s="99"/>
      <c r="J4153" s="99"/>
      <c r="K4153" s="99"/>
      <c r="L4153" s="198"/>
    </row>
    <row r="4154" spans="1:12" x14ac:dyDescent="0.45">
      <c r="A4154" s="462"/>
      <c r="B4154" s="440">
        <v>4</v>
      </c>
      <c r="C4154" s="192">
        <v>1</v>
      </c>
      <c r="D4154" s="79"/>
      <c r="E4154" s="96"/>
      <c r="F4154" s="96"/>
      <c r="G4154" s="96"/>
      <c r="H4154" s="96"/>
      <c r="I4154" s="96"/>
      <c r="J4154" s="96"/>
      <c r="K4154" s="96"/>
      <c r="L4154" s="193"/>
    </row>
    <row r="4155" spans="1:12" x14ac:dyDescent="0.45">
      <c r="A4155" s="462"/>
      <c r="B4155" s="441"/>
      <c r="C4155" s="194">
        <v>2</v>
      </c>
      <c r="D4155" s="80"/>
      <c r="E4155" s="97"/>
      <c r="F4155" s="97"/>
      <c r="G4155" s="97"/>
      <c r="H4155" s="97"/>
      <c r="I4155" s="97"/>
      <c r="J4155" s="97"/>
      <c r="K4155" s="97"/>
      <c r="L4155" s="195"/>
    </row>
    <row r="4156" spans="1:12" x14ac:dyDescent="0.45">
      <c r="A4156" s="462"/>
      <c r="B4156" s="441"/>
      <c r="C4156" s="194">
        <v>3</v>
      </c>
      <c r="D4156" s="80"/>
      <c r="E4156" s="97"/>
      <c r="F4156" s="97"/>
      <c r="G4156" s="97"/>
      <c r="H4156" s="97"/>
      <c r="I4156" s="97"/>
      <c r="J4156" s="97"/>
      <c r="K4156" s="97"/>
      <c r="L4156" s="195"/>
    </row>
    <row r="4157" spans="1:12" x14ac:dyDescent="0.45">
      <c r="A4157" s="462"/>
      <c r="B4157" s="441"/>
      <c r="C4157" s="194">
        <v>4</v>
      </c>
      <c r="D4157" s="80"/>
      <c r="E4157" s="97"/>
      <c r="F4157" s="97"/>
      <c r="G4157" s="97"/>
      <c r="H4157" s="97"/>
      <c r="I4157" s="97"/>
      <c r="J4157" s="97"/>
      <c r="K4157" s="97"/>
      <c r="L4157" s="195"/>
    </row>
    <row r="4158" spans="1:12" x14ac:dyDescent="0.45">
      <c r="A4158" s="462"/>
      <c r="B4158" s="441"/>
      <c r="C4158" s="194">
        <v>5</v>
      </c>
      <c r="D4158" s="80"/>
      <c r="E4158" s="97"/>
      <c r="F4158" s="97"/>
      <c r="G4158" s="97"/>
      <c r="H4158" s="97"/>
      <c r="I4158" s="97"/>
      <c r="J4158" s="97"/>
      <c r="K4158" s="97"/>
      <c r="L4158" s="195"/>
    </row>
    <row r="4159" spans="1:12" x14ac:dyDescent="0.45">
      <c r="A4159" s="462"/>
      <c r="B4159" s="441"/>
      <c r="C4159" s="194">
        <v>6</v>
      </c>
      <c r="D4159" s="80"/>
      <c r="E4159" s="97"/>
      <c r="F4159" s="97"/>
      <c r="G4159" s="97"/>
      <c r="H4159" s="97"/>
      <c r="I4159" s="97"/>
      <c r="J4159" s="97"/>
      <c r="K4159" s="97"/>
      <c r="L4159" s="195"/>
    </row>
    <row r="4160" spans="1:12" x14ac:dyDescent="0.45">
      <c r="A4160" s="462"/>
      <c r="B4160" s="441"/>
      <c r="C4160" s="194">
        <v>7</v>
      </c>
      <c r="D4160" s="80"/>
      <c r="E4160" s="97"/>
      <c r="F4160" s="97"/>
      <c r="G4160" s="97"/>
      <c r="H4160" s="97"/>
      <c r="I4160" s="97"/>
      <c r="J4160" s="97"/>
      <c r="K4160" s="97"/>
      <c r="L4160" s="195"/>
    </row>
    <row r="4161" spans="1:12" x14ac:dyDescent="0.45">
      <c r="A4161" s="462"/>
      <c r="B4161" s="441"/>
      <c r="C4161" s="194">
        <v>8</v>
      </c>
      <c r="D4161" s="80"/>
      <c r="E4161" s="97"/>
      <c r="F4161" s="97"/>
      <c r="G4161" s="97"/>
      <c r="H4161" s="97"/>
      <c r="I4161" s="97"/>
      <c r="J4161" s="97"/>
      <c r="K4161" s="97"/>
      <c r="L4161" s="195"/>
    </row>
    <row r="4162" spans="1:12" x14ac:dyDescent="0.45">
      <c r="A4162" s="462"/>
      <c r="B4162" s="441"/>
      <c r="C4162" s="194">
        <v>9</v>
      </c>
      <c r="D4162" s="80"/>
      <c r="E4162" s="97"/>
      <c r="F4162" s="97"/>
      <c r="G4162" s="97"/>
      <c r="H4162" s="97"/>
      <c r="I4162" s="97"/>
      <c r="J4162" s="97"/>
      <c r="K4162" s="97"/>
      <c r="L4162" s="195"/>
    </row>
    <row r="4163" spans="1:12" x14ac:dyDescent="0.45">
      <c r="A4163" s="462"/>
      <c r="B4163" s="441"/>
      <c r="C4163" s="194">
        <v>10</v>
      </c>
      <c r="D4163" s="80"/>
      <c r="E4163" s="97"/>
      <c r="F4163" s="97"/>
      <c r="G4163" s="97"/>
      <c r="H4163" s="97"/>
      <c r="I4163" s="97"/>
      <c r="J4163" s="97"/>
      <c r="K4163" s="97"/>
      <c r="L4163" s="195"/>
    </row>
    <row r="4164" spans="1:12" x14ac:dyDescent="0.45">
      <c r="A4164" s="462"/>
      <c r="B4164" s="441"/>
      <c r="C4164" s="194">
        <v>11</v>
      </c>
      <c r="D4164" s="81"/>
      <c r="E4164" s="98"/>
      <c r="F4164" s="98"/>
      <c r="G4164" s="98"/>
      <c r="H4164" s="98"/>
      <c r="I4164" s="98"/>
      <c r="J4164" s="98"/>
      <c r="K4164" s="98"/>
      <c r="L4164" s="196"/>
    </row>
    <row r="4165" spans="1:12" ht="14.65" thickBot="1" x14ac:dyDescent="0.5">
      <c r="A4165" s="463"/>
      <c r="B4165" s="442"/>
      <c r="C4165" s="197">
        <v>12</v>
      </c>
      <c r="D4165" s="82"/>
      <c r="E4165" s="99"/>
      <c r="F4165" s="99"/>
      <c r="G4165" s="99"/>
      <c r="H4165" s="99"/>
      <c r="I4165" s="99"/>
      <c r="J4165" s="99"/>
      <c r="K4165" s="99"/>
      <c r="L4165" s="198"/>
    </row>
    <row r="4166" spans="1:12" x14ac:dyDescent="0.45">
      <c r="A4166" s="461">
        <v>2</v>
      </c>
      <c r="B4166" s="440">
        <v>5</v>
      </c>
      <c r="C4166" s="192">
        <v>1</v>
      </c>
      <c r="D4166" s="79"/>
      <c r="E4166" s="96"/>
      <c r="F4166" s="96"/>
      <c r="G4166" s="96"/>
      <c r="H4166" s="96"/>
      <c r="I4166" s="96"/>
      <c r="J4166" s="96"/>
      <c r="K4166" s="96"/>
      <c r="L4166" s="193"/>
    </row>
    <row r="4167" spans="1:12" x14ac:dyDescent="0.45">
      <c r="A4167" s="462"/>
      <c r="B4167" s="441"/>
      <c r="C4167" s="194">
        <v>2</v>
      </c>
      <c r="D4167" s="80"/>
      <c r="E4167" s="97"/>
      <c r="F4167" s="97"/>
      <c r="G4167" s="97"/>
      <c r="H4167" s="97"/>
      <c r="I4167" s="97"/>
      <c r="J4167" s="97"/>
      <c r="K4167" s="97"/>
      <c r="L4167" s="195"/>
    </row>
    <row r="4168" spans="1:12" x14ac:dyDescent="0.45">
      <c r="A4168" s="462"/>
      <c r="B4168" s="441"/>
      <c r="C4168" s="194">
        <v>3</v>
      </c>
      <c r="D4168" s="80"/>
      <c r="E4168" s="97"/>
      <c r="F4168" s="97"/>
      <c r="G4168" s="97"/>
      <c r="H4168" s="97"/>
      <c r="I4168" s="97"/>
      <c r="J4168" s="97"/>
      <c r="K4168" s="97"/>
      <c r="L4168" s="195"/>
    </row>
    <row r="4169" spans="1:12" x14ac:dyDescent="0.45">
      <c r="A4169" s="462"/>
      <c r="B4169" s="441"/>
      <c r="C4169" s="194">
        <v>4</v>
      </c>
      <c r="D4169" s="80"/>
      <c r="E4169" s="97"/>
      <c r="F4169" s="97"/>
      <c r="G4169" s="97"/>
      <c r="H4169" s="97"/>
      <c r="I4169" s="97"/>
      <c r="J4169" s="97"/>
      <c r="K4169" s="97"/>
      <c r="L4169" s="195"/>
    </row>
    <row r="4170" spans="1:12" x14ac:dyDescent="0.45">
      <c r="A4170" s="462"/>
      <c r="B4170" s="441"/>
      <c r="C4170" s="194">
        <v>5</v>
      </c>
      <c r="D4170" s="80"/>
      <c r="E4170" s="97"/>
      <c r="F4170" s="97"/>
      <c r="G4170" s="97"/>
      <c r="H4170" s="97"/>
      <c r="I4170" s="97"/>
      <c r="J4170" s="97"/>
      <c r="K4170" s="97"/>
      <c r="L4170" s="195"/>
    </row>
    <row r="4171" spans="1:12" x14ac:dyDescent="0.45">
      <c r="A4171" s="462"/>
      <c r="B4171" s="441"/>
      <c r="C4171" s="194">
        <v>6</v>
      </c>
      <c r="D4171" s="80"/>
      <c r="E4171" s="97"/>
      <c r="F4171" s="97"/>
      <c r="G4171" s="97"/>
      <c r="H4171" s="97"/>
      <c r="I4171" s="97"/>
      <c r="J4171" s="97"/>
      <c r="K4171" s="97"/>
      <c r="L4171" s="195"/>
    </row>
    <row r="4172" spans="1:12" x14ac:dyDescent="0.45">
      <c r="A4172" s="462"/>
      <c r="B4172" s="441"/>
      <c r="C4172" s="194">
        <v>7</v>
      </c>
      <c r="D4172" s="80"/>
      <c r="E4172" s="97"/>
      <c r="F4172" s="97"/>
      <c r="G4172" s="97"/>
      <c r="H4172" s="97"/>
      <c r="I4172" s="97"/>
      <c r="J4172" s="97"/>
      <c r="K4172" s="97"/>
      <c r="L4172" s="195"/>
    </row>
    <row r="4173" spans="1:12" x14ac:dyDescent="0.45">
      <c r="A4173" s="462"/>
      <c r="B4173" s="441"/>
      <c r="C4173" s="194">
        <v>8</v>
      </c>
      <c r="D4173" s="80"/>
      <c r="E4173" s="97"/>
      <c r="F4173" s="97"/>
      <c r="G4173" s="97"/>
      <c r="H4173" s="97"/>
      <c r="I4173" s="97"/>
      <c r="J4173" s="97"/>
      <c r="K4173" s="97"/>
      <c r="L4173" s="195"/>
    </row>
    <row r="4174" spans="1:12" x14ac:dyDescent="0.45">
      <c r="A4174" s="462"/>
      <c r="B4174" s="441"/>
      <c r="C4174" s="194">
        <v>9</v>
      </c>
      <c r="D4174" s="80"/>
      <c r="E4174" s="97"/>
      <c r="F4174" s="97"/>
      <c r="G4174" s="97"/>
      <c r="H4174" s="97"/>
      <c r="I4174" s="97"/>
      <c r="J4174" s="97"/>
      <c r="K4174" s="97"/>
      <c r="L4174" s="195"/>
    </row>
    <row r="4175" spans="1:12" x14ac:dyDescent="0.45">
      <c r="A4175" s="462"/>
      <c r="B4175" s="441"/>
      <c r="C4175" s="194">
        <v>10</v>
      </c>
      <c r="D4175" s="80"/>
      <c r="E4175" s="97"/>
      <c r="F4175" s="97"/>
      <c r="G4175" s="97"/>
      <c r="H4175" s="97"/>
      <c r="I4175" s="97"/>
      <c r="J4175" s="97"/>
      <c r="K4175" s="97"/>
      <c r="L4175" s="195"/>
    </row>
    <row r="4176" spans="1:12" x14ac:dyDescent="0.45">
      <c r="A4176" s="462"/>
      <c r="B4176" s="441"/>
      <c r="C4176" s="194">
        <v>11</v>
      </c>
      <c r="D4176" s="81"/>
      <c r="E4176" s="98"/>
      <c r="F4176" s="98"/>
      <c r="G4176" s="98"/>
      <c r="H4176" s="98"/>
      <c r="I4176" s="98"/>
      <c r="J4176" s="98"/>
      <c r="K4176" s="98"/>
      <c r="L4176" s="196"/>
    </row>
    <row r="4177" spans="1:12" ht="14.65" thickBot="1" x14ac:dyDescent="0.5">
      <c r="A4177" s="462"/>
      <c r="B4177" s="442"/>
      <c r="C4177" s="197">
        <v>12</v>
      </c>
      <c r="D4177" s="82"/>
      <c r="E4177" s="99"/>
      <c r="F4177" s="99"/>
      <c r="G4177" s="99"/>
      <c r="H4177" s="99"/>
      <c r="I4177" s="99"/>
      <c r="J4177" s="99"/>
      <c r="K4177" s="99"/>
      <c r="L4177" s="198"/>
    </row>
    <row r="4178" spans="1:12" x14ac:dyDescent="0.45">
      <c r="A4178" s="462"/>
      <c r="B4178" s="440">
        <v>6</v>
      </c>
      <c r="C4178" s="192">
        <v>1</v>
      </c>
      <c r="D4178" s="79"/>
      <c r="E4178" s="96"/>
      <c r="F4178" s="96"/>
      <c r="G4178" s="96"/>
      <c r="H4178" s="96"/>
      <c r="I4178" s="96"/>
      <c r="J4178" s="96"/>
      <c r="K4178" s="96"/>
      <c r="L4178" s="193"/>
    </row>
    <row r="4179" spans="1:12" x14ac:dyDescent="0.45">
      <c r="A4179" s="462"/>
      <c r="B4179" s="441"/>
      <c r="C4179" s="194">
        <v>2</v>
      </c>
      <c r="D4179" s="80"/>
      <c r="E4179" s="97"/>
      <c r="F4179" s="97"/>
      <c r="G4179" s="97"/>
      <c r="H4179" s="97"/>
      <c r="I4179" s="97"/>
      <c r="J4179" s="97"/>
      <c r="K4179" s="97"/>
      <c r="L4179" s="195"/>
    </row>
    <row r="4180" spans="1:12" x14ac:dyDescent="0.45">
      <c r="A4180" s="462"/>
      <c r="B4180" s="441"/>
      <c r="C4180" s="194">
        <v>3</v>
      </c>
      <c r="D4180" s="80"/>
      <c r="E4180" s="97"/>
      <c r="F4180" s="97"/>
      <c r="G4180" s="97"/>
      <c r="H4180" s="97"/>
      <c r="I4180" s="97"/>
      <c r="J4180" s="97"/>
      <c r="K4180" s="97"/>
      <c r="L4180" s="195"/>
    </row>
    <row r="4181" spans="1:12" x14ac:dyDescent="0.45">
      <c r="A4181" s="462"/>
      <c r="B4181" s="441"/>
      <c r="C4181" s="194">
        <v>4</v>
      </c>
      <c r="D4181" s="80"/>
      <c r="E4181" s="97"/>
      <c r="F4181" s="97"/>
      <c r="G4181" s="97"/>
      <c r="H4181" s="97"/>
      <c r="I4181" s="97"/>
      <c r="J4181" s="97"/>
      <c r="K4181" s="97"/>
      <c r="L4181" s="195"/>
    </row>
    <row r="4182" spans="1:12" x14ac:dyDescent="0.45">
      <c r="A4182" s="462"/>
      <c r="B4182" s="441"/>
      <c r="C4182" s="194">
        <v>5</v>
      </c>
      <c r="D4182" s="80"/>
      <c r="E4182" s="97"/>
      <c r="F4182" s="97"/>
      <c r="G4182" s="97"/>
      <c r="H4182" s="97"/>
      <c r="I4182" s="97"/>
      <c r="J4182" s="97"/>
      <c r="K4182" s="97"/>
      <c r="L4182" s="195"/>
    </row>
    <row r="4183" spans="1:12" x14ac:dyDescent="0.45">
      <c r="A4183" s="462"/>
      <c r="B4183" s="441"/>
      <c r="C4183" s="194">
        <v>6</v>
      </c>
      <c r="D4183" s="80"/>
      <c r="E4183" s="97"/>
      <c r="F4183" s="97"/>
      <c r="G4183" s="97"/>
      <c r="H4183" s="97"/>
      <c r="I4183" s="97"/>
      <c r="J4183" s="97"/>
      <c r="K4183" s="97"/>
      <c r="L4183" s="195"/>
    </row>
    <row r="4184" spans="1:12" x14ac:dyDescent="0.45">
      <c r="A4184" s="462"/>
      <c r="B4184" s="441"/>
      <c r="C4184" s="194">
        <v>7</v>
      </c>
      <c r="D4184" s="80"/>
      <c r="E4184" s="97"/>
      <c r="F4184" s="97"/>
      <c r="G4184" s="97"/>
      <c r="H4184" s="97"/>
      <c r="I4184" s="97"/>
      <c r="J4184" s="97"/>
      <c r="K4184" s="97"/>
      <c r="L4184" s="195"/>
    </row>
    <row r="4185" spans="1:12" x14ac:dyDescent="0.45">
      <c r="A4185" s="462"/>
      <c r="B4185" s="441"/>
      <c r="C4185" s="194">
        <v>8</v>
      </c>
      <c r="D4185" s="80"/>
      <c r="E4185" s="97"/>
      <c r="F4185" s="97"/>
      <c r="G4185" s="97"/>
      <c r="H4185" s="97"/>
      <c r="I4185" s="97"/>
      <c r="J4185" s="97"/>
      <c r="K4185" s="97"/>
      <c r="L4185" s="195"/>
    </row>
    <row r="4186" spans="1:12" x14ac:dyDescent="0.45">
      <c r="A4186" s="462"/>
      <c r="B4186" s="441"/>
      <c r="C4186" s="194">
        <v>9</v>
      </c>
      <c r="D4186" s="80"/>
      <c r="E4186" s="97"/>
      <c r="F4186" s="97"/>
      <c r="G4186" s="97"/>
      <c r="H4186" s="97"/>
      <c r="I4186" s="97"/>
      <c r="J4186" s="97"/>
      <c r="K4186" s="97"/>
      <c r="L4186" s="195"/>
    </row>
    <row r="4187" spans="1:12" x14ac:dyDescent="0.45">
      <c r="A4187" s="462"/>
      <c r="B4187" s="441"/>
      <c r="C4187" s="194">
        <v>10</v>
      </c>
      <c r="D4187" s="80"/>
      <c r="E4187" s="97"/>
      <c r="F4187" s="97"/>
      <c r="G4187" s="97"/>
      <c r="H4187" s="97"/>
      <c r="I4187" s="97"/>
      <c r="J4187" s="97"/>
      <c r="K4187" s="97"/>
      <c r="L4187" s="195"/>
    </row>
    <row r="4188" spans="1:12" x14ac:dyDescent="0.45">
      <c r="A4188" s="462"/>
      <c r="B4188" s="441"/>
      <c r="C4188" s="194">
        <v>11</v>
      </c>
      <c r="D4188" s="81"/>
      <c r="E4188" s="98"/>
      <c r="F4188" s="98"/>
      <c r="G4188" s="98"/>
      <c r="H4188" s="98"/>
      <c r="I4188" s="98"/>
      <c r="J4188" s="98"/>
      <c r="K4188" s="98"/>
      <c r="L4188" s="196"/>
    </row>
    <row r="4189" spans="1:12" ht="14.65" thickBot="1" x14ac:dyDescent="0.5">
      <c r="A4189" s="462"/>
      <c r="B4189" s="442"/>
      <c r="C4189" s="197">
        <v>12</v>
      </c>
      <c r="D4189" s="82"/>
      <c r="E4189" s="99"/>
      <c r="F4189" s="99"/>
      <c r="G4189" s="99"/>
      <c r="H4189" s="99"/>
      <c r="I4189" s="99"/>
      <c r="J4189" s="99"/>
      <c r="K4189" s="99"/>
      <c r="L4189" s="198"/>
    </row>
    <row r="4190" spans="1:12" x14ac:dyDescent="0.45">
      <c r="A4190" s="462"/>
      <c r="B4190" s="440">
        <v>7</v>
      </c>
      <c r="C4190" s="192">
        <v>1</v>
      </c>
      <c r="D4190" s="79"/>
      <c r="E4190" s="96"/>
      <c r="F4190" s="96"/>
      <c r="G4190" s="96"/>
      <c r="H4190" s="96"/>
      <c r="I4190" s="96"/>
      <c r="J4190" s="96"/>
      <c r="K4190" s="96"/>
      <c r="L4190" s="193"/>
    </row>
    <row r="4191" spans="1:12" x14ac:dyDescent="0.45">
      <c r="A4191" s="462"/>
      <c r="B4191" s="441"/>
      <c r="C4191" s="194">
        <v>2</v>
      </c>
      <c r="D4191" s="80"/>
      <c r="E4191" s="97"/>
      <c r="F4191" s="97"/>
      <c r="G4191" s="97"/>
      <c r="H4191" s="97"/>
      <c r="I4191" s="97"/>
      <c r="J4191" s="97"/>
      <c r="K4191" s="97"/>
      <c r="L4191" s="195"/>
    </row>
    <row r="4192" spans="1:12" x14ac:dyDescent="0.45">
      <c r="A4192" s="462"/>
      <c r="B4192" s="441"/>
      <c r="C4192" s="194">
        <v>3</v>
      </c>
      <c r="D4192" s="80"/>
      <c r="E4192" s="97"/>
      <c r="F4192" s="97"/>
      <c r="G4192" s="97"/>
      <c r="H4192" s="97"/>
      <c r="I4192" s="97"/>
      <c r="J4192" s="97"/>
      <c r="K4192" s="97"/>
      <c r="L4192" s="195"/>
    </row>
    <row r="4193" spans="1:12" x14ac:dyDescent="0.45">
      <c r="A4193" s="462"/>
      <c r="B4193" s="441"/>
      <c r="C4193" s="194">
        <v>4</v>
      </c>
      <c r="D4193" s="80"/>
      <c r="E4193" s="97"/>
      <c r="F4193" s="97"/>
      <c r="G4193" s="97"/>
      <c r="H4193" s="97"/>
      <c r="I4193" s="97"/>
      <c r="J4193" s="97"/>
      <c r="K4193" s="97"/>
      <c r="L4193" s="195"/>
    </row>
    <row r="4194" spans="1:12" x14ac:dyDescent="0.45">
      <c r="A4194" s="462"/>
      <c r="B4194" s="441"/>
      <c r="C4194" s="194">
        <v>5</v>
      </c>
      <c r="D4194" s="80"/>
      <c r="E4194" s="97"/>
      <c r="F4194" s="97"/>
      <c r="G4194" s="97"/>
      <c r="H4194" s="97"/>
      <c r="I4194" s="97"/>
      <c r="J4194" s="97"/>
      <c r="K4194" s="97"/>
      <c r="L4194" s="195"/>
    </row>
    <row r="4195" spans="1:12" x14ac:dyDescent="0.45">
      <c r="A4195" s="462"/>
      <c r="B4195" s="441"/>
      <c r="C4195" s="194">
        <v>6</v>
      </c>
      <c r="D4195" s="80"/>
      <c r="E4195" s="97"/>
      <c r="F4195" s="97"/>
      <c r="G4195" s="97"/>
      <c r="H4195" s="97"/>
      <c r="I4195" s="97"/>
      <c r="J4195" s="97"/>
      <c r="K4195" s="97"/>
      <c r="L4195" s="195"/>
    </row>
    <row r="4196" spans="1:12" x14ac:dyDescent="0.45">
      <c r="A4196" s="462"/>
      <c r="B4196" s="441"/>
      <c r="C4196" s="194">
        <v>7</v>
      </c>
      <c r="D4196" s="80"/>
      <c r="E4196" s="97"/>
      <c r="F4196" s="97"/>
      <c r="G4196" s="97"/>
      <c r="H4196" s="97"/>
      <c r="I4196" s="97"/>
      <c r="J4196" s="97"/>
      <c r="K4196" s="97"/>
      <c r="L4196" s="195"/>
    </row>
    <row r="4197" spans="1:12" x14ac:dyDescent="0.45">
      <c r="A4197" s="462"/>
      <c r="B4197" s="441"/>
      <c r="C4197" s="194">
        <v>8</v>
      </c>
      <c r="D4197" s="80"/>
      <c r="E4197" s="97"/>
      <c r="F4197" s="97"/>
      <c r="G4197" s="97"/>
      <c r="H4197" s="97"/>
      <c r="I4197" s="97"/>
      <c r="J4197" s="97"/>
      <c r="K4197" s="97"/>
      <c r="L4197" s="195"/>
    </row>
    <row r="4198" spans="1:12" x14ac:dyDescent="0.45">
      <c r="A4198" s="462"/>
      <c r="B4198" s="441"/>
      <c r="C4198" s="194">
        <v>9</v>
      </c>
      <c r="D4198" s="80"/>
      <c r="E4198" s="97"/>
      <c r="F4198" s="97"/>
      <c r="G4198" s="97"/>
      <c r="H4198" s="97"/>
      <c r="I4198" s="97"/>
      <c r="J4198" s="97"/>
      <c r="K4198" s="97"/>
      <c r="L4198" s="195"/>
    </row>
    <row r="4199" spans="1:12" x14ac:dyDescent="0.45">
      <c r="A4199" s="462"/>
      <c r="B4199" s="441"/>
      <c r="C4199" s="194">
        <v>10</v>
      </c>
      <c r="D4199" s="80"/>
      <c r="E4199" s="97"/>
      <c r="F4199" s="97"/>
      <c r="G4199" s="97"/>
      <c r="H4199" s="97"/>
      <c r="I4199" s="97"/>
      <c r="J4199" s="97"/>
      <c r="K4199" s="97"/>
      <c r="L4199" s="195"/>
    </row>
    <row r="4200" spans="1:12" x14ac:dyDescent="0.45">
      <c r="A4200" s="462"/>
      <c r="B4200" s="441"/>
      <c r="C4200" s="194">
        <v>11</v>
      </c>
      <c r="D4200" s="81"/>
      <c r="E4200" s="98"/>
      <c r="F4200" s="98"/>
      <c r="G4200" s="98"/>
      <c r="H4200" s="98"/>
      <c r="I4200" s="98"/>
      <c r="J4200" s="98"/>
      <c r="K4200" s="98"/>
      <c r="L4200" s="196"/>
    </row>
    <row r="4201" spans="1:12" ht="14.65" thickBot="1" x14ac:dyDescent="0.5">
      <c r="A4201" s="462"/>
      <c r="B4201" s="442"/>
      <c r="C4201" s="197">
        <v>12</v>
      </c>
      <c r="D4201" s="82"/>
      <c r="E4201" s="99"/>
      <c r="F4201" s="99"/>
      <c r="G4201" s="99"/>
      <c r="H4201" s="99"/>
      <c r="I4201" s="99"/>
      <c r="J4201" s="99"/>
      <c r="K4201" s="99"/>
      <c r="L4201" s="198"/>
    </row>
    <row r="4202" spans="1:12" x14ac:dyDescent="0.45">
      <c r="A4202" s="462"/>
      <c r="B4202" s="440">
        <v>8</v>
      </c>
      <c r="C4202" s="192">
        <v>1</v>
      </c>
      <c r="D4202" s="79"/>
      <c r="E4202" s="96"/>
      <c r="F4202" s="96"/>
      <c r="G4202" s="96"/>
      <c r="H4202" s="96"/>
      <c r="I4202" s="96"/>
      <c r="J4202" s="96"/>
      <c r="K4202" s="96"/>
      <c r="L4202" s="193"/>
    </row>
    <row r="4203" spans="1:12" x14ac:dyDescent="0.45">
      <c r="A4203" s="462"/>
      <c r="B4203" s="441"/>
      <c r="C4203" s="194">
        <v>2</v>
      </c>
      <c r="D4203" s="80"/>
      <c r="E4203" s="97"/>
      <c r="F4203" s="97"/>
      <c r="G4203" s="97"/>
      <c r="H4203" s="97"/>
      <c r="I4203" s="97"/>
      <c r="J4203" s="97"/>
      <c r="K4203" s="97"/>
      <c r="L4203" s="195"/>
    </row>
    <row r="4204" spans="1:12" x14ac:dyDescent="0.45">
      <c r="A4204" s="462"/>
      <c r="B4204" s="441"/>
      <c r="C4204" s="194">
        <v>3</v>
      </c>
      <c r="D4204" s="80"/>
      <c r="E4204" s="97"/>
      <c r="F4204" s="97"/>
      <c r="G4204" s="97"/>
      <c r="H4204" s="97"/>
      <c r="I4204" s="97"/>
      <c r="J4204" s="97"/>
      <c r="K4204" s="97"/>
      <c r="L4204" s="195"/>
    </row>
    <row r="4205" spans="1:12" x14ac:dyDescent="0.45">
      <c r="A4205" s="462"/>
      <c r="B4205" s="441"/>
      <c r="C4205" s="194">
        <v>4</v>
      </c>
      <c r="D4205" s="80"/>
      <c r="E4205" s="97"/>
      <c r="F4205" s="97"/>
      <c r="G4205" s="97"/>
      <c r="H4205" s="97"/>
      <c r="I4205" s="97"/>
      <c r="J4205" s="97"/>
      <c r="K4205" s="97"/>
      <c r="L4205" s="195"/>
    </row>
    <row r="4206" spans="1:12" x14ac:dyDescent="0.45">
      <c r="A4206" s="462"/>
      <c r="B4206" s="441"/>
      <c r="C4206" s="194">
        <v>5</v>
      </c>
      <c r="D4206" s="80"/>
      <c r="E4206" s="97"/>
      <c r="F4206" s="97"/>
      <c r="G4206" s="97"/>
      <c r="H4206" s="97"/>
      <c r="I4206" s="97"/>
      <c r="J4206" s="97"/>
      <c r="K4206" s="97"/>
      <c r="L4206" s="195"/>
    </row>
    <row r="4207" spans="1:12" x14ac:dyDescent="0.45">
      <c r="A4207" s="462"/>
      <c r="B4207" s="441"/>
      <c r="C4207" s="194">
        <v>6</v>
      </c>
      <c r="D4207" s="80"/>
      <c r="E4207" s="97"/>
      <c r="F4207" s="97"/>
      <c r="G4207" s="97"/>
      <c r="H4207" s="97"/>
      <c r="I4207" s="97"/>
      <c r="J4207" s="97"/>
      <c r="K4207" s="97"/>
      <c r="L4207" s="195"/>
    </row>
    <row r="4208" spans="1:12" x14ac:dyDescent="0.45">
      <c r="A4208" s="462"/>
      <c r="B4208" s="441"/>
      <c r="C4208" s="194">
        <v>7</v>
      </c>
      <c r="D4208" s="80"/>
      <c r="E4208" s="97"/>
      <c r="F4208" s="97"/>
      <c r="G4208" s="97"/>
      <c r="H4208" s="97"/>
      <c r="I4208" s="97"/>
      <c r="J4208" s="97"/>
      <c r="K4208" s="97"/>
      <c r="L4208" s="195"/>
    </row>
    <row r="4209" spans="1:12" x14ac:dyDescent="0.45">
      <c r="A4209" s="462"/>
      <c r="B4209" s="441"/>
      <c r="C4209" s="194">
        <v>8</v>
      </c>
      <c r="D4209" s="80"/>
      <c r="E4209" s="97"/>
      <c r="F4209" s="97"/>
      <c r="G4209" s="97"/>
      <c r="H4209" s="97"/>
      <c r="I4209" s="97"/>
      <c r="J4209" s="97"/>
      <c r="K4209" s="97"/>
      <c r="L4209" s="195"/>
    </row>
    <row r="4210" spans="1:12" x14ac:dyDescent="0.45">
      <c r="A4210" s="462"/>
      <c r="B4210" s="441"/>
      <c r="C4210" s="194">
        <v>9</v>
      </c>
      <c r="D4210" s="80"/>
      <c r="E4210" s="97"/>
      <c r="F4210" s="97"/>
      <c r="G4210" s="97"/>
      <c r="H4210" s="97"/>
      <c r="I4210" s="97"/>
      <c r="J4210" s="97"/>
      <c r="K4210" s="97"/>
      <c r="L4210" s="195"/>
    </row>
    <row r="4211" spans="1:12" x14ac:dyDescent="0.45">
      <c r="A4211" s="462"/>
      <c r="B4211" s="441"/>
      <c r="C4211" s="194">
        <v>10</v>
      </c>
      <c r="D4211" s="80"/>
      <c r="E4211" s="97"/>
      <c r="F4211" s="97"/>
      <c r="G4211" s="97"/>
      <c r="H4211" s="97"/>
      <c r="I4211" s="97"/>
      <c r="J4211" s="97"/>
      <c r="K4211" s="97"/>
      <c r="L4211" s="195"/>
    </row>
    <row r="4212" spans="1:12" x14ac:dyDescent="0.45">
      <c r="A4212" s="462"/>
      <c r="B4212" s="441"/>
      <c r="C4212" s="194">
        <v>11</v>
      </c>
      <c r="D4212" s="81"/>
      <c r="E4212" s="98"/>
      <c r="F4212" s="98"/>
      <c r="G4212" s="98"/>
      <c r="H4212" s="98"/>
      <c r="I4212" s="98"/>
      <c r="J4212" s="98"/>
      <c r="K4212" s="98"/>
      <c r="L4212" s="196"/>
    </row>
    <row r="4213" spans="1:12" ht="14.65" thickBot="1" x14ac:dyDescent="0.5">
      <c r="A4213" s="463"/>
      <c r="B4213" s="442"/>
      <c r="C4213" s="197">
        <v>12</v>
      </c>
      <c r="D4213" s="82"/>
      <c r="E4213" s="99"/>
      <c r="F4213" s="99"/>
      <c r="G4213" s="99"/>
      <c r="H4213" s="99"/>
      <c r="I4213" s="99"/>
      <c r="J4213" s="99"/>
      <c r="K4213" s="99"/>
      <c r="L4213" s="198"/>
    </row>
    <row r="4214" spans="1:12" x14ac:dyDescent="0.45">
      <c r="A4214" s="461">
        <v>3</v>
      </c>
      <c r="B4214" s="440">
        <v>9</v>
      </c>
      <c r="C4214" s="192">
        <v>1</v>
      </c>
      <c r="D4214" s="79"/>
      <c r="E4214" s="96"/>
      <c r="F4214" s="96"/>
      <c r="G4214" s="96"/>
      <c r="H4214" s="96"/>
      <c r="I4214" s="96"/>
      <c r="J4214" s="96"/>
      <c r="K4214" s="96"/>
      <c r="L4214" s="193"/>
    </row>
    <row r="4215" spans="1:12" x14ac:dyDescent="0.45">
      <c r="A4215" s="462"/>
      <c r="B4215" s="441"/>
      <c r="C4215" s="194">
        <v>2</v>
      </c>
      <c r="D4215" s="80"/>
      <c r="E4215" s="97"/>
      <c r="F4215" s="97"/>
      <c r="G4215" s="97"/>
      <c r="H4215" s="97"/>
      <c r="I4215" s="97"/>
      <c r="J4215" s="97"/>
      <c r="K4215" s="97"/>
      <c r="L4215" s="195"/>
    </row>
    <row r="4216" spans="1:12" x14ac:dyDescent="0.45">
      <c r="A4216" s="462"/>
      <c r="B4216" s="441"/>
      <c r="C4216" s="194">
        <v>3</v>
      </c>
      <c r="D4216" s="80"/>
      <c r="E4216" s="97"/>
      <c r="F4216" s="97"/>
      <c r="G4216" s="97"/>
      <c r="H4216" s="97"/>
      <c r="I4216" s="97"/>
      <c r="J4216" s="97"/>
      <c r="K4216" s="97"/>
      <c r="L4216" s="195"/>
    </row>
    <row r="4217" spans="1:12" x14ac:dyDescent="0.45">
      <c r="A4217" s="462"/>
      <c r="B4217" s="441"/>
      <c r="C4217" s="194">
        <v>4</v>
      </c>
      <c r="D4217" s="80"/>
      <c r="E4217" s="97"/>
      <c r="F4217" s="97"/>
      <c r="G4217" s="97"/>
      <c r="H4217" s="97"/>
      <c r="I4217" s="97"/>
      <c r="J4217" s="97"/>
      <c r="K4217" s="97"/>
      <c r="L4217" s="195"/>
    </row>
    <row r="4218" spans="1:12" x14ac:dyDescent="0.45">
      <c r="A4218" s="462"/>
      <c r="B4218" s="441"/>
      <c r="C4218" s="194">
        <v>5</v>
      </c>
      <c r="D4218" s="80"/>
      <c r="E4218" s="97"/>
      <c r="F4218" s="97"/>
      <c r="G4218" s="97"/>
      <c r="H4218" s="97"/>
      <c r="I4218" s="97"/>
      <c r="J4218" s="97"/>
      <c r="K4218" s="97"/>
      <c r="L4218" s="195"/>
    </row>
    <row r="4219" spans="1:12" x14ac:dyDescent="0.45">
      <c r="A4219" s="462"/>
      <c r="B4219" s="441"/>
      <c r="C4219" s="194">
        <v>6</v>
      </c>
      <c r="D4219" s="80"/>
      <c r="E4219" s="97"/>
      <c r="F4219" s="97"/>
      <c r="G4219" s="97"/>
      <c r="H4219" s="97"/>
      <c r="I4219" s="97"/>
      <c r="J4219" s="97"/>
      <c r="K4219" s="97"/>
      <c r="L4219" s="195"/>
    </row>
    <row r="4220" spans="1:12" x14ac:dyDescent="0.45">
      <c r="A4220" s="462"/>
      <c r="B4220" s="441"/>
      <c r="C4220" s="194">
        <v>7</v>
      </c>
      <c r="D4220" s="80"/>
      <c r="E4220" s="97"/>
      <c r="F4220" s="97"/>
      <c r="G4220" s="97"/>
      <c r="H4220" s="97"/>
      <c r="I4220" s="97"/>
      <c r="J4220" s="97"/>
      <c r="K4220" s="97"/>
      <c r="L4220" s="195"/>
    </row>
    <row r="4221" spans="1:12" x14ac:dyDescent="0.45">
      <c r="A4221" s="462"/>
      <c r="B4221" s="441"/>
      <c r="C4221" s="194">
        <v>8</v>
      </c>
      <c r="D4221" s="80"/>
      <c r="E4221" s="97"/>
      <c r="F4221" s="97"/>
      <c r="G4221" s="97"/>
      <c r="H4221" s="97"/>
      <c r="I4221" s="97"/>
      <c r="J4221" s="97"/>
      <c r="K4221" s="97"/>
      <c r="L4221" s="195"/>
    </row>
    <row r="4222" spans="1:12" x14ac:dyDescent="0.45">
      <c r="A4222" s="462"/>
      <c r="B4222" s="441"/>
      <c r="C4222" s="194">
        <v>9</v>
      </c>
      <c r="D4222" s="80"/>
      <c r="E4222" s="97"/>
      <c r="F4222" s="97"/>
      <c r="G4222" s="97"/>
      <c r="H4222" s="97"/>
      <c r="I4222" s="97"/>
      <c r="J4222" s="97"/>
      <c r="K4222" s="97"/>
      <c r="L4222" s="195"/>
    </row>
    <row r="4223" spans="1:12" x14ac:dyDescent="0.45">
      <c r="A4223" s="462"/>
      <c r="B4223" s="441"/>
      <c r="C4223" s="194">
        <v>10</v>
      </c>
      <c r="D4223" s="80"/>
      <c r="E4223" s="97"/>
      <c r="F4223" s="97"/>
      <c r="G4223" s="97"/>
      <c r="H4223" s="97"/>
      <c r="I4223" s="97"/>
      <c r="J4223" s="97"/>
      <c r="K4223" s="97"/>
      <c r="L4223" s="195"/>
    </row>
    <row r="4224" spans="1:12" x14ac:dyDescent="0.45">
      <c r="A4224" s="462"/>
      <c r="B4224" s="441"/>
      <c r="C4224" s="194">
        <v>11</v>
      </c>
      <c r="D4224" s="81"/>
      <c r="E4224" s="98"/>
      <c r="F4224" s="98"/>
      <c r="G4224" s="98"/>
      <c r="H4224" s="98"/>
      <c r="I4224" s="98"/>
      <c r="J4224" s="98"/>
      <c r="K4224" s="98"/>
      <c r="L4224" s="196"/>
    </row>
    <row r="4225" spans="1:12" ht="14.65" thickBot="1" x14ac:dyDescent="0.5">
      <c r="A4225" s="462"/>
      <c r="B4225" s="442"/>
      <c r="C4225" s="197">
        <v>12</v>
      </c>
      <c r="D4225" s="82"/>
      <c r="E4225" s="99"/>
      <c r="F4225" s="99"/>
      <c r="G4225" s="99"/>
      <c r="H4225" s="99"/>
      <c r="I4225" s="99"/>
      <c r="J4225" s="99"/>
      <c r="K4225" s="99"/>
      <c r="L4225" s="198"/>
    </row>
    <row r="4226" spans="1:12" x14ac:dyDescent="0.45">
      <c r="A4226" s="462"/>
      <c r="B4226" s="440">
        <v>10</v>
      </c>
      <c r="C4226" s="192">
        <v>1</v>
      </c>
      <c r="D4226" s="79"/>
      <c r="E4226" s="96"/>
      <c r="F4226" s="96"/>
      <c r="G4226" s="96"/>
      <c r="H4226" s="96"/>
      <c r="I4226" s="96"/>
      <c r="J4226" s="96"/>
      <c r="K4226" s="96"/>
      <c r="L4226" s="193"/>
    </row>
    <row r="4227" spans="1:12" x14ac:dyDescent="0.45">
      <c r="A4227" s="462"/>
      <c r="B4227" s="441"/>
      <c r="C4227" s="194">
        <v>2</v>
      </c>
      <c r="D4227" s="80"/>
      <c r="E4227" s="97"/>
      <c r="F4227" s="97"/>
      <c r="G4227" s="97"/>
      <c r="H4227" s="97"/>
      <c r="I4227" s="97"/>
      <c r="J4227" s="97"/>
      <c r="K4227" s="97"/>
      <c r="L4227" s="195"/>
    </row>
    <row r="4228" spans="1:12" x14ac:dyDescent="0.45">
      <c r="A4228" s="462"/>
      <c r="B4228" s="441"/>
      <c r="C4228" s="194">
        <v>3</v>
      </c>
      <c r="D4228" s="80"/>
      <c r="E4228" s="97"/>
      <c r="F4228" s="97"/>
      <c r="G4228" s="97"/>
      <c r="H4228" s="97"/>
      <c r="I4228" s="97"/>
      <c r="J4228" s="97"/>
      <c r="K4228" s="97"/>
      <c r="L4228" s="195"/>
    </row>
    <row r="4229" spans="1:12" x14ac:dyDescent="0.45">
      <c r="A4229" s="462"/>
      <c r="B4229" s="441"/>
      <c r="C4229" s="194">
        <v>4</v>
      </c>
      <c r="D4229" s="80"/>
      <c r="E4229" s="97"/>
      <c r="F4229" s="97"/>
      <c r="G4229" s="97"/>
      <c r="H4229" s="97"/>
      <c r="I4229" s="97"/>
      <c r="J4229" s="97"/>
      <c r="K4229" s="97"/>
      <c r="L4229" s="195"/>
    </row>
    <row r="4230" spans="1:12" x14ac:dyDescent="0.45">
      <c r="A4230" s="462"/>
      <c r="B4230" s="441"/>
      <c r="C4230" s="194">
        <v>5</v>
      </c>
      <c r="D4230" s="80"/>
      <c r="E4230" s="97"/>
      <c r="F4230" s="97"/>
      <c r="G4230" s="97"/>
      <c r="H4230" s="97"/>
      <c r="I4230" s="97"/>
      <c r="J4230" s="97"/>
      <c r="K4230" s="97"/>
      <c r="L4230" s="195"/>
    </row>
    <row r="4231" spans="1:12" x14ac:dyDescent="0.45">
      <c r="A4231" s="462"/>
      <c r="B4231" s="441"/>
      <c r="C4231" s="194">
        <v>6</v>
      </c>
      <c r="D4231" s="80"/>
      <c r="E4231" s="97"/>
      <c r="F4231" s="97"/>
      <c r="G4231" s="97"/>
      <c r="H4231" s="97"/>
      <c r="I4231" s="97"/>
      <c r="J4231" s="97"/>
      <c r="K4231" s="97"/>
      <c r="L4231" s="195"/>
    </row>
    <row r="4232" spans="1:12" x14ac:dyDescent="0.45">
      <c r="A4232" s="462"/>
      <c r="B4232" s="441"/>
      <c r="C4232" s="194">
        <v>7</v>
      </c>
      <c r="D4232" s="80"/>
      <c r="E4232" s="97"/>
      <c r="F4232" s="97"/>
      <c r="G4232" s="97"/>
      <c r="H4232" s="97"/>
      <c r="I4232" s="97"/>
      <c r="J4232" s="97"/>
      <c r="K4232" s="97"/>
      <c r="L4232" s="195"/>
    </row>
    <row r="4233" spans="1:12" x14ac:dyDescent="0.45">
      <c r="A4233" s="462"/>
      <c r="B4233" s="441"/>
      <c r="C4233" s="194">
        <v>8</v>
      </c>
      <c r="D4233" s="80"/>
      <c r="E4233" s="97"/>
      <c r="F4233" s="97"/>
      <c r="G4233" s="97"/>
      <c r="H4233" s="97"/>
      <c r="I4233" s="97"/>
      <c r="J4233" s="97"/>
      <c r="K4233" s="97"/>
      <c r="L4233" s="195"/>
    </row>
    <row r="4234" spans="1:12" x14ac:dyDescent="0.45">
      <c r="A4234" s="462"/>
      <c r="B4234" s="441"/>
      <c r="C4234" s="194">
        <v>9</v>
      </c>
      <c r="D4234" s="80"/>
      <c r="E4234" s="97"/>
      <c r="F4234" s="97"/>
      <c r="G4234" s="97"/>
      <c r="H4234" s="97"/>
      <c r="I4234" s="97"/>
      <c r="J4234" s="97"/>
      <c r="K4234" s="97"/>
      <c r="L4234" s="195"/>
    </row>
    <row r="4235" spans="1:12" x14ac:dyDescent="0.45">
      <c r="A4235" s="462"/>
      <c r="B4235" s="441"/>
      <c r="C4235" s="194">
        <v>10</v>
      </c>
      <c r="D4235" s="80"/>
      <c r="E4235" s="97"/>
      <c r="F4235" s="97"/>
      <c r="G4235" s="97"/>
      <c r="H4235" s="97"/>
      <c r="I4235" s="97"/>
      <c r="J4235" s="97"/>
      <c r="K4235" s="97"/>
      <c r="L4235" s="195"/>
    </row>
    <row r="4236" spans="1:12" x14ac:dyDescent="0.45">
      <c r="A4236" s="462"/>
      <c r="B4236" s="441"/>
      <c r="C4236" s="194">
        <v>11</v>
      </c>
      <c r="D4236" s="81"/>
      <c r="E4236" s="98"/>
      <c r="F4236" s="98"/>
      <c r="G4236" s="98"/>
      <c r="H4236" s="98"/>
      <c r="I4236" s="98"/>
      <c r="J4236" s="98"/>
      <c r="K4236" s="98"/>
      <c r="L4236" s="196"/>
    </row>
    <row r="4237" spans="1:12" ht="14.65" thickBot="1" x14ac:dyDescent="0.5">
      <c r="A4237" s="462"/>
      <c r="B4237" s="442"/>
      <c r="C4237" s="197">
        <v>12</v>
      </c>
      <c r="D4237" s="82"/>
      <c r="E4237" s="99"/>
      <c r="F4237" s="99"/>
      <c r="G4237" s="99"/>
      <c r="H4237" s="99"/>
      <c r="I4237" s="99"/>
      <c r="J4237" s="99"/>
      <c r="K4237" s="99"/>
      <c r="L4237" s="198"/>
    </row>
    <row r="4238" spans="1:12" x14ac:dyDescent="0.45">
      <c r="A4238" s="462"/>
      <c r="B4238" s="440">
        <v>11</v>
      </c>
      <c r="C4238" s="192">
        <v>1</v>
      </c>
      <c r="D4238" s="79"/>
      <c r="E4238" s="96"/>
      <c r="F4238" s="96"/>
      <c r="G4238" s="96"/>
      <c r="H4238" s="96"/>
      <c r="I4238" s="96"/>
      <c r="J4238" s="96"/>
      <c r="K4238" s="96"/>
      <c r="L4238" s="193"/>
    </row>
    <row r="4239" spans="1:12" x14ac:dyDescent="0.45">
      <c r="A4239" s="462"/>
      <c r="B4239" s="441"/>
      <c r="C4239" s="194">
        <v>2</v>
      </c>
      <c r="D4239" s="80"/>
      <c r="E4239" s="97"/>
      <c r="F4239" s="97"/>
      <c r="G4239" s="97"/>
      <c r="H4239" s="97"/>
      <c r="I4239" s="97"/>
      <c r="J4239" s="97"/>
      <c r="K4239" s="97"/>
      <c r="L4239" s="195"/>
    </row>
    <row r="4240" spans="1:12" x14ac:dyDescent="0.45">
      <c r="A4240" s="462"/>
      <c r="B4240" s="441"/>
      <c r="C4240" s="194">
        <v>3</v>
      </c>
      <c r="D4240" s="80"/>
      <c r="E4240" s="97"/>
      <c r="F4240" s="97"/>
      <c r="G4240" s="97"/>
      <c r="H4240" s="97"/>
      <c r="I4240" s="97"/>
      <c r="J4240" s="97"/>
      <c r="K4240" s="97"/>
      <c r="L4240" s="195"/>
    </row>
    <row r="4241" spans="1:12" x14ac:dyDescent="0.45">
      <c r="A4241" s="462"/>
      <c r="B4241" s="441"/>
      <c r="C4241" s="194">
        <v>4</v>
      </c>
      <c r="D4241" s="80"/>
      <c r="E4241" s="97"/>
      <c r="F4241" s="97"/>
      <c r="G4241" s="97"/>
      <c r="H4241" s="97"/>
      <c r="I4241" s="97"/>
      <c r="J4241" s="97"/>
      <c r="K4241" s="97"/>
      <c r="L4241" s="195"/>
    </row>
    <row r="4242" spans="1:12" x14ac:dyDescent="0.45">
      <c r="A4242" s="462"/>
      <c r="B4242" s="441"/>
      <c r="C4242" s="194">
        <v>5</v>
      </c>
      <c r="D4242" s="80"/>
      <c r="E4242" s="97"/>
      <c r="F4242" s="97"/>
      <c r="G4242" s="97"/>
      <c r="H4242" s="97"/>
      <c r="I4242" s="97"/>
      <c r="J4242" s="97"/>
      <c r="K4242" s="97"/>
      <c r="L4242" s="195"/>
    </row>
    <row r="4243" spans="1:12" x14ac:dyDescent="0.45">
      <c r="A4243" s="462"/>
      <c r="B4243" s="441"/>
      <c r="C4243" s="194">
        <v>6</v>
      </c>
      <c r="D4243" s="80"/>
      <c r="E4243" s="97"/>
      <c r="F4243" s="97"/>
      <c r="G4243" s="97"/>
      <c r="H4243" s="97"/>
      <c r="I4243" s="97"/>
      <c r="J4243" s="97"/>
      <c r="K4243" s="97"/>
      <c r="L4243" s="195"/>
    </row>
    <row r="4244" spans="1:12" x14ac:dyDescent="0.45">
      <c r="A4244" s="462"/>
      <c r="B4244" s="441"/>
      <c r="C4244" s="194">
        <v>7</v>
      </c>
      <c r="D4244" s="80"/>
      <c r="E4244" s="97"/>
      <c r="F4244" s="97"/>
      <c r="G4244" s="97"/>
      <c r="H4244" s="97"/>
      <c r="I4244" s="97"/>
      <c r="J4244" s="97"/>
      <c r="K4244" s="97"/>
      <c r="L4244" s="195"/>
    </row>
    <row r="4245" spans="1:12" x14ac:dyDescent="0.45">
      <c r="A4245" s="462"/>
      <c r="B4245" s="441"/>
      <c r="C4245" s="194">
        <v>8</v>
      </c>
      <c r="D4245" s="80"/>
      <c r="E4245" s="97"/>
      <c r="F4245" s="97"/>
      <c r="G4245" s="97"/>
      <c r="H4245" s="97"/>
      <c r="I4245" s="97"/>
      <c r="J4245" s="97"/>
      <c r="K4245" s="97"/>
      <c r="L4245" s="195"/>
    </row>
    <row r="4246" spans="1:12" x14ac:dyDescent="0.45">
      <c r="A4246" s="462"/>
      <c r="B4246" s="441"/>
      <c r="C4246" s="194">
        <v>9</v>
      </c>
      <c r="D4246" s="80"/>
      <c r="E4246" s="97"/>
      <c r="F4246" s="97"/>
      <c r="G4246" s="97"/>
      <c r="H4246" s="97"/>
      <c r="I4246" s="97"/>
      <c r="J4246" s="97"/>
      <c r="K4246" s="97"/>
      <c r="L4246" s="195"/>
    </row>
    <row r="4247" spans="1:12" x14ac:dyDescent="0.45">
      <c r="A4247" s="462"/>
      <c r="B4247" s="441"/>
      <c r="C4247" s="194">
        <v>10</v>
      </c>
      <c r="D4247" s="80"/>
      <c r="E4247" s="97"/>
      <c r="F4247" s="97"/>
      <c r="G4247" s="97"/>
      <c r="H4247" s="97"/>
      <c r="I4247" s="97"/>
      <c r="J4247" s="97"/>
      <c r="K4247" s="97"/>
      <c r="L4247" s="195"/>
    </row>
    <row r="4248" spans="1:12" x14ac:dyDescent="0.45">
      <c r="A4248" s="462"/>
      <c r="B4248" s="441"/>
      <c r="C4248" s="194">
        <v>11</v>
      </c>
      <c r="D4248" s="81"/>
      <c r="E4248" s="98"/>
      <c r="F4248" s="98"/>
      <c r="G4248" s="98"/>
      <c r="H4248" s="98"/>
      <c r="I4248" s="98"/>
      <c r="J4248" s="98"/>
      <c r="K4248" s="98"/>
      <c r="L4248" s="196"/>
    </row>
    <row r="4249" spans="1:12" ht="14.65" thickBot="1" x14ac:dyDescent="0.5">
      <c r="A4249" s="462"/>
      <c r="B4249" s="442"/>
      <c r="C4249" s="197">
        <v>12</v>
      </c>
      <c r="D4249" s="82"/>
      <c r="E4249" s="99"/>
      <c r="F4249" s="99"/>
      <c r="G4249" s="99"/>
      <c r="H4249" s="99"/>
      <c r="I4249" s="99"/>
      <c r="J4249" s="99"/>
      <c r="K4249" s="99"/>
      <c r="L4249" s="198"/>
    </row>
    <row r="4250" spans="1:12" x14ac:dyDescent="0.45">
      <c r="A4250" s="462"/>
      <c r="B4250" s="440">
        <v>12</v>
      </c>
      <c r="C4250" s="192">
        <v>1</v>
      </c>
      <c r="D4250" s="79"/>
      <c r="E4250" s="96"/>
      <c r="F4250" s="96"/>
      <c r="G4250" s="96"/>
      <c r="H4250" s="96"/>
      <c r="I4250" s="96"/>
      <c r="J4250" s="96"/>
      <c r="K4250" s="96"/>
      <c r="L4250" s="193"/>
    </row>
    <row r="4251" spans="1:12" x14ac:dyDescent="0.45">
      <c r="A4251" s="462"/>
      <c r="B4251" s="441"/>
      <c r="C4251" s="194">
        <v>2</v>
      </c>
      <c r="D4251" s="80"/>
      <c r="E4251" s="97"/>
      <c r="F4251" s="97"/>
      <c r="G4251" s="97"/>
      <c r="H4251" s="97"/>
      <c r="I4251" s="97"/>
      <c r="J4251" s="97"/>
      <c r="K4251" s="97"/>
      <c r="L4251" s="195"/>
    </row>
    <row r="4252" spans="1:12" x14ac:dyDescent="0.45">
      <c r="A4252" s="462"/>
      <c r="B4252" s="441"/>
      <c r="C4252" s="194">
        <v>3</v>
      </c>
      <c r="D4252" s="80"/>
      <c r="E4252" s="97"/>
      <c r="F4252" s="97"/>
      <c r="G4252" s="97"/>
      <c r="H4252" s="97"/>
      <c r="I4252" s="97"/>
      <c r="J4252" s="97"/>
      <c r="K4252" s="97"/>
      <c r="L4252" s="195"/>
    </row>
    <row r="4253" spans="1:12" x14ac:dyDescent="0.45">
      <c r="A4253" s="462"/>
      <c r="B4253" s="441"/>
      <c r="C4253" s="194">
        <v>4</v>
      </c>
      <c r="D4253" s="80"/>
      <c r="E4253" s="97"/>
      <c r="F4253" s="97"/>
      <c r="G4253" s="97"/>
      <c r="H4253" s="97"/>
      <c r="I4253" s="97"/>
      <c r="J4253" s="97"/>
      <c r="K4253" s="97"/>
      <c r="L4253" s="195"/>
    </row>
    <row r="4254" spans="1:12" x14ac:dyDescent="0.45">
      <c r="A4254" s="462"/>
      <c r="B4254" s="441"/>
      <c r="C4254" s="194">
        <v>5</v>
      </c>
      <c r="D4254" s="80"/>
      <c r="E4254" s="97"/>
      <c r="F4254" s="97"/>
      <c r="G4254" s="97"/>
      <c r="H4254" s="97"/>
      <c r="I4254" s="97"/>
      <c r="J4254" s="97"/>
      <c r="K4254" s="97"/>
      <c r="L4254" s="195"/>
    </row>
    <row r="4255" spans="1:12" x14ac:dyDescent="0.45">
      <c r="A4255" s="462"/>
      <c r="B4255" s="441"/>
      <c r="C4255" s="194">
        <v>6</v>
      </c>
      <c r="D4255" s="80"/>
      <c r="E4255" s="97"/>
      <c r="F4255" s="97"/>
      <c r="G4255" s="97"/>
      <c r="H4255" s="97"/>
      <c r="I4255" s="97"/>
      <c r="J4255" s="97"/>
      <c r="K4255" s="97"/>
      <c r="L4255" s="195"/>
    </row>
    <row r="4256" spans="1:12" x14ac:dyDescent="0.45">
      <c r="A4256" s="462"/>
      <c r="B4256" s="441"/>
      <c r="C4256" s="194">
        <v>7</v>
      </c>
      <c r="D4256" s="80"/>
      <c r="E4256" s="97"/>
      <c r="F4256" s="97"/>
      <c r="G4256" s="97"/>
      <c r="H4256" s="97"/>
      <c r="I4256" s="97"/>
      <c r="J4256" s="97"/>
      <c r="K4256" s="97"/>
      <c r="L4256" s="195"/>
    </row>
    <row r="4257" spans="1:14" x14ac:dyDescent="0.45">
      <c r="A4257" s="462"/>
      <c r="B4257" s="441"/>
      <c r="C4257" s="194">
        <v>8</v>
      </c>
      <c r="D4257" s="80"/>
      <c r="E4257" s="97"/>
      <c r="F4257" s="97"/>
      <c r="G4257" s="97"/>
      <c r="H4257" s="97"/>
      <c r="I4257" s="97"/>
      <c r="J4257" s="97"/>
      <c r="K4257" s="97"/>
      <c r="L4257" s="195"/>
    </row>
    <row r="4258" spans="1:14" x14ac:dyDescent="0.45">
      <c r="A4258" s="462"/>
      <c r="B4258" s="441"/>
      <c r="C4258" s="194">
        <v>9</v>
      </c>
      <c r="D4258" s="80"/>
      <c r="E4258" s="97"/>
      <c r="F4258" s="97"/>
      <c r="G4258" s="97"/>
      <c r="H4258" s="97"/>
      <c r="I4258" s="97"/>
      <c r="J4258" s="97"/>
      <c r="K4258" s="97"/>
      <c r="L4258" s="195"/>
    </row>
    <row r="4259" spans="1:14" x14ac:dyDescent="0.45">
      <c r="A4259" s="462"/>
      <c r="B4259" s="441"/>
      <c r="C4259" s="194">
        <v>10</v>
      </c>
      <c r="D4259" s="80"/>
      <c r="E4259" s="97"/>
      <c r="F4259" s="97"/>
      <c r="G4259" s="97"/>
      <c r="H4259" s="97"/>
      <c r="I4259" s="97"/>
      <c r="J4259" s="97"/>
      <c r="K4259" s="97"/>
      <c r="L4259" s="195"/>
    </row>
    <row r="4260" spans="1:14" x14ac:dyDescent="0.45">
      <c r="A4260" s="462"/>
      <c r="B4260" s="441"/>
      <c r="C4260" s="194">
        <v>11</v>
      </c>
      <c r="D4260" s="81"/>
      <c r="E4260" s="98"/>
      <c r="F4260" s="98"/>
      <c r="G4260" s="98"/>
      <c r="H4260" s="98"/>
      <c r="I4260" s="98"/>
      <c r="J4260" s="98"/>
      <c r="K4260" s="98"/>
      <c r="L4260" s="196"/>
    </row>
    <row r="4261" spans="1:14" ht="14.65" thickBot="1" x14ac:dyDescent="0.5">
      <c r="A4261" s="463"/>
      <c r="B4261" s="442"/>
      <c r="C4261" s="199">
        <v>12</v>
      </c>
      <c r="D4261" s="82"/>
      <c r="E4261" s="99"/>
      <c r="F4261" s="99"/>
      <c r="G4261" s="99"/>
      <c r="H4261" s="99"/>
      <c r="I4261" s="99"/>
      <c r="J4261" s="99"/>
      <c r="K4261" s="99"/>
      <c r="L4261" s="198"/>
    </row>
    <row r="4263" spans="1:14" s="91" customFormat="1" x14ac:dyDescent="0.45"/>
    <row r="4264" spans="1:14" ht="14.65" thickBot="1" x14ac:dyDescent="0.5"/>
    <row r="4265" spans="1:14" ht="28.9" thickBot="1" x14ac:dyDescent="0.5">
      <c r="A4265" s="187" t="s">
        <v>76</v>
      </c>
      <c r="B4265" s="186">
        <v>28</v>
      </c>
      <c r="C4265" s="109"/>
      <c r="D4265" s="109"/>
    </row>
    <row r="4266" spans="1:14" ht="14.45" customHeight="1" x14ac:dyDescent="0.45">
      <c r="A4266" s="443" t="s">
        <v>27</v>
      </c>
      <c r="B4266" s="448">
        <f>Name28</f>
        <v>0</v>
      </c>
      <c r="C4266" s="449"/>
      <c r="D4266" s="450"/>
      <c r="I4266" s="204"/>
      <c r="J4266" s="204"/>
      <c r="K4266" s="204"/>
      <c r="L4266" s="204"/>
      <c r="M4266" s="204"/>
      <c r="N4266" s="204"/>
    </row>
    <row r="4267" spans="1:14" x14ac:dyDescent="0.45">
      <c r="A4267" s="444"/>
      <c r="B4267" s="448"/>
      <c r="C4267" s="449"/>
      <c r="D4267" s="450"/>
      <c r="I4267" s="204"/>
      <c r="J4267" s="204"/>
      <c r="K4267" s="204"/>
      <c r="L4267" s="204"/>
      <c r="M4267" s="204"/>
      <c r="N4267" s="204"/>
    </row>
    <row r="4268" spans="1:14" x14ac:dyDescent="0.45">
      <c r="A4268" s="445"/>
      <c r="B4268" s="388"/>
      <c r="C4268" s="451"/>
      <c r="D4268" s="452"/>
      <c r="I4268" s="204"/>
      <c r="J4268" s="204"/>
      <c r="K4268" s="204"/>
      <c r="L4268" s="204"/>
      <c r="M4268" s="204"/>
      <c r="N4268" s="204"/>
    </row>
    <row r="4269" spans="1:14" ht="14.45" customHeight="1" x14ac:dyDescent="0.45">
      <c r="A4269" s="443" t="s">
        <v>155</v>
      </c>
      <c r="B4269" s="453">
        <f>GapA28</f>
        <v>0</v>
      </c>
      <c r="C4269" s="454"/>
      <c r="D4269" s="455"/>
      <c r="I4269" s="204"/>
      <c r="J4269" s="204"/>
      <c r="K4269" s="204"/>
      <c r="L4269" s="204"/>
      <c r="M4269" s="204"/>
      <c r="N4269" s="204"/>
    </row>
    <row r="4270" spans="1:14" x14ac:dyDescent="0.45">
      <c r="A4270" s="444"/>
      <c r="B4270" s="448"/>
      <c r="C4270" s="449"/>
      <c r="D4270" s="450"/>
      <c r="I4270" s="204"/>
      <c r="J4270" s="204"/>
      <c r="K4270" s="204"/>
      <c r="L4270" s="204"/>
      <c r="M4270" s="204"/>
      <c r="N4270" s="204"/>
    </row>
    <row r="4271" spans="1:14" x14ac:dyDescent="0.45">
      <c r="A4271" s="445"/>
      <c r="B4271" s="388"/>
      <c r="C4271" s="451"/>
      <c r="D4271" s="452"/>
      <c r="I4271" s="204"/>
      <c r="J4271" s="204"/>
      <c r="K4271" s="204"/>
      <c r="L4271" s="204"/>
      <c r="M4271" s="204"/>
      <c r="N4271" s="204"/>
    </row>
    <row r="4272" spans="1:14" ht="14.45" customHeight="1" x14ac:dyDescent="0.45">
      <c r="A4272" s="443" t="s">
        <v>159</v>
      </c>
      <c r="B4272" s="453">
        <f>Objective28</f>
        <v>0</v>
      </c>
      <c r="C4272" s="454"/>
      <c r="D4272" s="455"/>
      <c r="I4272" s="204"/>
      <c r="J4272" s="204"/>
      <c r="K4272" s="204"/>
      <c r="L4272" s="204"/>
      <c r="M4272" s="204"/>
      <c r="N4272" s="204"/>
    </row>
    <row r="4273" spans="1:14" x14ac:dyDescent="0.45">
      <c r="A4273" s="444"/>
      <c r="B4273" s="448"/>
      <c r="C4273" s="449"/>
      <c r="D4273" s="450"/>
      <c r="I4273" s="204"/>
      <c r="J4273" s="204"/>
      <c r="K4273" s="204"/>
      <c r="L4273" s="204"/>
      <c r="M4273" s="204"/>
      <c r="N4273" s="204"/>
    </row>
    <row r="4274" spans="1:14" x14ac:dyDescent="0.45">
      <c r="A4274" s="445"/>
      <c r="B4274" s="388"/>
      <c r="C4274" s="451"/>
      <c r="D4274" s="452"/>
      <c r="I4274" s="204"/>
      <c r="J4274" s="204"/>
      <c r="K4274" s="204"/>
      <c r="L4274" s="204"/>
      <c r="M4274" s="204"/>
      <c r="N4274" s="204"/>
    </row>
    <row r="4275" spans="1:14" ht="14.45" customHeight="1" x14ac:dyDescent="0.45">
      <c r="A4275" s="446" t="s">
        <v>166</v>
      </c>
      <c r="B4275" s="454">
        <f>Capacity28</f>
        <v>0</v>
      </c>
      <c r="C4275" s="454"/>
      <c r="D4275" s="455"/>
      <c r="I4275" s="204"/>
      <c r="J4275" s="204"/>
      <c r="K4275" s="204"/>
      <c r="L4275" s="204"/>
      <c r="M4275" s="204"/>
      <c r="N4275" s="204"/>
    </row>
    <row r="4276" spans="1:14" x14ac:dyDescent="0.45">
      <c r="A4276" s="447"/>
      <c r="B4276" s="449"/>
      <c r="C4276" s="449"/>
      <c r="D4276" s="450"/>
      <c r="I4276" s="204"/>
      <c r="J4276" s="204"/>
      <c r="K4276" s="204"/>
      <c r="L4276" s="204"/>
      <c r="M4276" s="204"/>
      <c r="N4276" s="204"/>
    </row>
    <row r="4277" spans="1:14" ht="14.65" thickBot="1" x14ac:dyDescent="0.5">
      <c r="A4277" s="464"/>
      <c r="B4277" s="456"/>
      <c r="C4277" s="456"/>
      <c r="D4277" s="457"/>
      <c r="I4277" s="204"/>
      <c r="J4277" s="204"/>
      <c r="K4277" s="204"/>
      <c r="L4277" s="204"/>
      <c r="M4277" s="204"/>
      <c r="N4277" s="204"/>
    </row>
    <row r="4279" spans="1:14" ht="14.65" thickBot="1" x14ac:dyDescent="0.5">
      <c r="A4279" s="90"/>
      <c r="B4279" s="90"/>
      <c r="C4279" s="90"/>
      <c r="D4279" s="90"/>
      <c r="E4279" s="90"/>
      <c r="F4279" s="90"/>
      <c r="G4279" s="90"/>
      <c r="H4279" s="90"/>
      <c r="I4279" s="90"/>
      <c r="J4279" s="90"/>
      <c r="K4279" s="90"/>
      <c r="L4279" s="90"/>
      <c r="M4279" s="90"/>
      <c r="N4279" s="90"/>
    </row>
    <row r="4280" spans="1:14" ht="21.75" customHeight="1" x14ac:dyDescent="0.45">
      <c r="A4280" s="458" t="s">
        <v>135</v>
      </c>
      <c r="B4280" s="459"/>
      <c r="C4280" s="459"/>
      <c r="D4280" s="459"/>
      <c r="E4280" s="459"/>
      <c r="F4280" s="459"/>
      <c r="G4280" s="459"/>
      <c r="H4280" s="459"/>
      <c r="I4280" s="459"/>
      <c r="J4280" s="459"/>
      <c r="K4280" s="459"/>
      <c r="L4280" s="460"/>
    </row>
    <row r="4281" spans="1:14" ht="29" customHeight="1" thickBot="1" x14ac:dyDescent="0.5">
      <c r="A4281" s="93" t="s">
        <v>74</v>
      </c>
      <c r="B4281" s="94" t="s">
        <v>28</v>
      </c>
      <c r="C4281" s="95" t="s">
        <v>320</v>
      </c>
      <c r="D4281" s="95" t="s">
        <v>127</v>
      </c>
      <c r="E4281" s="114" t="s">
        <v>90</v>
      </c>
      <c r="F4281" s="95" t="s">
        <v>175</v>
      </c>
      <c r="G4281" s="95" t="s">
        <v>176</v>
      </c>
      <c r="H4281" s="95" t="s">
        <v>156</v>
      </c>
      <c r="I4281" s="95" t="s">
        <v>157</v>
      </c>
      <c r="J4281" s="189" t="s">
        <v>321</v>
      </c>
      <c r="K4281" s="190" t="s">
        <v>29</v>
      </c>
      <c r="L4281" s="191" t="s">
        <v>322</v>
      </c>
    </row>
    <row r="4282" spans="1:14" x14ac:dyDescent="0.45">
      <c r="A4282" s="461">
        <v>1</v>
      </c>
      <c r="B4282" s="440">
        <v>1</v>
      </c>
      <c r="C4282" s="192">
        <v>1</v>
      </c>
      <c r="D4282" s="79"/>
      <c r="E4282" s="96"/>
      <c r="F4282" s="96"/>
      <c r="G4282" s="96"/>
      <c r="H4282" s="96"/>
      <c r="I4282" s="96"/>
      <c r="J4282" s="96"/>
      <c r="K4282" s="96"/>
      <c r="L4282" s="193"/>
    </row>
    <row r="4283" spans="1:14" x14ac:dyDescent="0.45">
      <c r="A4283" s="462"/>
      <c r="B4283" s="441"/>
      <c r="C4283" s="194">
        <v>2</v>
      </c>
      <c r="D4283" s="80"/>
      <c r="E4283" s="97"/>
      <c r="F4283" s="97"/>
      <c r="G4283" s="97"/>
      <c r="H4283" s="97"/>
      <c r="I4283" s="97"/>
      <c r="J4283" s="97"/>
      <c r="K4283" s="97"/>
      <c r="L4283" s="195"/>
    </row>
    <row r="4284" spans="1:14" x14ac:dyDescent="0.45">
      <c r="A4284" s="462"/>
      <c r="B4284" s="441"/>
      <c r="C4284" s="194">
        <v>3</v>
      </c>
      <c r="D4284" s="80"/>
      <c r="E4284" s="97"/>
      <c r="F4284" s="97"/>
      <c r="G4284" s="97"/>
      <c r="H4284" s="97"/>
      <c r="I4284" s="97"/>
      <c r="J4284" s="97"/>
      <c r="K4284" s="97"/>
      <c r="L4284" s="195"/>
    </row>
    <row r="4285" spans="1:14" x14ac:dyDescent="0.45">
      <c r="A4285" s="462"/>
      <c r="B4285" s="441"/>
      <c r="C4285" s="194">
        <v>4</v>
      </c>
      <c r="D4285" s="80"/>
      <c r="E4285" s="97"/>
      <c r="F4285" s="97"/>
      <c r="G4285" s="97"/>
      <c r="H4285" s="97"/>
      <c r="I4285" s="97"/>
      <c r="J4285" s="97"/>
      <c r="K4285" s="97"/>
      <c r="L4285" s="195"/>
    </row>
    <row r="4286" spans="1:14" x14ac:dyDescent="0.45">
      <c r="A4286" s="462"/>
      <c r="B4286" s="441"/>
      <c r="C4286" s="194">
        <v>5</v>
      </c>
      <c r="D4286" s="80"/>
      <c r="E4286" s="97"/>
      <c r="F4286" s="97"/>
      <c r="G4286" s="97"/>
      <c r="H4286" s="97"/>
      <c r="I4286" s="97"/>
      <c r="J4286" s="97"/>
      <c r="K4286" s="97"/>
      <c r="L4286" s="195"/>
    </row>
    <row r="4287" spans="1:14" x14ac:dyDescent="0.45">
      <c r="A4287" s="462"/>
      <c r="B4287" s="441"/>
      <c r="C4287" s="194">
        <v>6</v>
      </c>
      <c r="D4287" s="80"/>
      <c r="E4287" s="97"/>
      <c r="F4287" s="97"/>
      <c r="G4287" s="97"/>
      <c r="H4287" s="97"/>
      <c r="I4287" s="97"/>
      <c r="J4287" s="97"/>
      <c r="K4287" s="97"/>
      <c r="L4287" s="195"/>
    </row>
    <row r="4288" spans="1:14" x14ac:dyDescent="0.45">
      <c r="A4288" s="462"/>
      <c r="B4288" s="441"/>
      <c r="C4288" s="194">
        <v>7</v>
      </c>
      <c r="D4288" s="80"/>
      <c r="E4288" s="97"/>
      <c r="F4288" s="97"/>
      <c r="G4288" s="97"/>
      <c r="H4288" s="97"/>
      <c r="I4288" s="97"/>
      <c r="J4288" s="97"/>
      <c r="K4288" s="97"/>
      <c r="L4288" s="195"/>
    </row>
    <row r="4289" spans="1:14" x14ac:dyDescent="0.45">
      <c r="A4289" s="462"/>
      <c r="B4289" s="441"/>
      <c r="C4289" s="194">
        <v>8</v>
      </c>
      <c r="D4289" s="80"/>
      <c r="E4289" s="97"/>
      <c r="F4289" s="97"/>
      <c r="G4289" s="97"/>
      <c r="H4289" s="97"/>
      <c r="I4289" s="97"/>
      <c r="J4289" s="97"/>
      <c r="K4289" s="97"/>
      <c r="L4289" s="195"/>
    </row>
    <row r="4290" spans="1:14" x14ac:dyDescent="0.45">
      <c r="A4290" s="462"/>
      <c r="B4290" s="441"/>
      <c r="C4290" s="194">
        <v>9</v>
      </c>
      <c r="D4290" s="80"/>
      <c r="E4290" s="97"/>
      <c r="F4290" s="97"/>
      <c r="G4290" s="97"/>
      <c r="H4290" s="97"/>
      <c r="I4290" s="97"/>
      <c r="J4290" s="97"/>
      <c r="K4290" s="97"/>
      <c r="L4290" s="195"/>
    </row>
    <row r="4291" spans="1:14" x14ac:dyDescent="0.45">
      <c r="A4291" s="462"/>
      <c r="B4291" s="441"/>
      <c r="C4291" s="194">
        <v>10</v>
      </c>
      <c r="D4291" s="80"/>
      <c r="E4291" s="97"/>
      <c r="F4291" s="97"/>
      <c r="G4291" s="97"/>
      <c r="H4291" s="97"/>
      <c r="I4291" s="97"/>
      <c r="J4291" s="97"/>
      <c r="K4291" s="97"/>
      <c r="L4291" s="195"/>
    </row>
    <row r="4292" spans="1:14" x14ac:dyDescent="0.45">
      <c r="A4292" s="462"/>
      <c r="B4292" s="441"/>
      <c r="C4292" s="194">
        <v>11</v>
      </c>
      <c r="D4292" s="81"/>
      <c r="E4292" s="98"/>
      <c r="F4292" s="98"/>
      <c r="G4292" s="98"/>
      <c r="H4292" s="98"/>
      <c r="I4292" s="98"/>
      <c r="J4292" s="98"/>
      <c r="K4292" s="98"/>
      <c r="L4292" s="196"/>
    </row>
    <row r="4293" spans="1:14" s="90" customFormat="1" ht="14.65" thickBot="1" x14ac:dyDescent="0.5">
      <c r="A4293" s="462"/>
      <c r="B4293" s="442"/>
      <c r="C4293" s="197">
        <v>12</v>
      </c>
      <c r="D4293" s="82"/>
      <c r="E4293" s="99"/>
      <c r="F4293" s="99"/>
      <c r="G4293" s="99"/>
      <c r="H4293" s="99"/>
      <c r="I4293" s="99"/>
      <c r="J4293" s="99"/>
      <c r="K4293" s="99"/>
      <c r="L4293" s="198"/>
      <c r="M4293" s="61"/>
      <c r="N4293" s="61"/>
    </row>
    <row r="4294" spans="1:14" x14ac:dyDescent="0.45">
      <c r="A4294" s="462"/>
      <c r="B4294" s="440">
        <v>2</v>
      </c>
      <c r="C4294" s="192">
        <v>1</v>
      </c>
      <c r="D4294" s="79"/>
      <c r="E4294" s="96"/>
      <c r="F4294" s="96"/>
      <c r="G4294" s="96"/>
      <c r="H4294" s="96"/>
      <c r="I4294" s="96"/>
      <c r="J4294" s="96"/>
      <c r="K4294" s="96"/>
      <c r="L4294" s="193"/>
    </row>
    <row r="4295" spans="1:14" x14ac:dyDescent="0.45">
      <c r="A4295" s="462"/>
      <c r="B4295" s="441"/>
      <c r="C4295" s="194">
        <v>2</v>
      </c>
      <c r="D4295" s="80"/>
      <c r="E4295" s="97"/>
      <c r="F4295" s="97"/>
      <c r="G4295" s="97"/>
      <c r="H4295" s="97"/>
      <c r="I4295" s="97"/>
      <c r="J4295" s="97"/>
      <c r="K4295" s="97"/>
      <c r="L4295" s="195"/>
    </row>
    <row r="4296" spans="1:14" x14ac:dyDescent="0.45">
      <c r="A4296" s="462"/>
      <c r="B4296" s="441"/>
      <c r="C4296" s="194">
        <v>3</v>
      </c>
      <c r="D4296" s="80"/>
      <c r="E4296" s="97"/>
      <c r="F4296" s="97"/>
      <c r="G4296" s="97"/>
      <c r="H4296" s="97"/>
      <c r="I4296" s="97"/>
      <c r="J4296" s="97"/>
      <c r="K4296" s="97"/>
      <c r="L4296" s="195"/>
    </row>
    <row r="4297" spans="1:14" x14ac:dyDescent="0.45">
      <c r="A4297" s="462"/>
      <c r="B4297" s="441"/>
      <c r="C4297" s="194">
        <v>4</v>
      </c>
      <c r="D4297" s="80"/>
      <c r="E4297" s="97"/>
      <c r="F4297" s="97"/>
      <c r="G4297" s="97"/>
      <c r="H4297" s="97"/>
      <c r="I4297" s="97"/>
      <c r="J4297" s="97"/>
      <c r="K4297" s="97"/>
      <c r="L4297" s="195"/>
    </row>
    <row r="4298" spans="1:14" x14ac:dyDescent="0.45">
      <c r="A4298" s="462"/>
      <c r="B4298" s="441"/>
      <c r="C4298" s="194">
        <v>5</v>
      </c>
      <c r="D4298" s="80"/>
      <c r="E4298" s="97"/>
      <c r="F4298" s="97"/>
      <c r="G4298" s="97"/>
      <c r="H4298" s="97"/>
      <c r="I4298" s="97"/>
      <c r="J4298" s="97"/>
      <c r="K4298" s="97"/>
      <c r="L4298" s="195"/>
    </row>
    <row r="4299" spans="1:14" x14ac:dyDescent="0.45">
      <c r="A4299" s="462"/>
      <c r="B4299" s="441"/>
      <c r="C4299" s="194">
        <v>6</v>
      </c>
      <c r="D4299" s="80"/>
      <c r="E4299" s="97"/>
      <c r="F4299" s="97"/>
      <c r="G4299" s="97"/>
      <c r="H4299" s="97"/>
      <c r="I4299" s="97"/>
      <c r="J4299" s="97"/>
      <c r="K4299" s="97"/>
      <c r="L4299" s="195"/>
    </row>
    <row r="4300" spans="1:14" x14ac:dyDescent="0.45">
      <c r="A4300" s="462"/>
      <c r="B4300" s="441"/>
      <c r="C4300" s="194">
        <v>7</v>
      </c>
      <c r="D4300" s="80"/>
      <c r="E4300" s="97"/>
      <c r="F4300" s="97"/>
      <c r="G4300" s="97"/>
      <c r="H4300" s="97"/>
      <c r="I4300" s="97"/>
      <c r="J4300" s="97"/>
      <c r="K4300" s="97"/>
      <c r="L4300" s="195"/>
    </row>
    <row r="4301" spans="1:14" x14ac:dyDescent="0.45">
      <c r="A4301" s="462"/>
      <c r="B4301" s="441"/>
      <c r="C4301" s="194">
        <v>8</v>
      </c>
      <c r="D4301" s="80"/>
      <c r="E4301" s="97"/>
      <c r="F4301" s="97"/>
      <c r="G4301" s="97"/>
      <c r="H4301" s="97"/>
      <c r="I4301" s="97"/>
      <c r="J4301" s="97"/>
      <c r="K4301" s="97"/>
      <c r="L4301" s="195"/>
    </row>
    <row r="4302" spans="1:14" x14ac:dyDescent="0.45">
      <c r="A4302" s="462"/>
      <c r="B4302" s="441"/>
      <c r="C4302" s="194">
        <v>9</v>
      </c>
      <c r="D4302" s="80"/>
      <c r="E4302" s="97"/>
      <c r="F4302" s="97"/>
      <c r="G4302" s="97"/>
      <c r="H4302" s="97"/>
      <c r="I4302" s="97"/>
      <c r="J4302" s="97"/>
      <c r="K4302" s="97"/>
      <c r="L4302" s="195"/>
    </row>
    <row r="4303" spans="1:14" x14ac:dyDescent="0.45">
      <c r="A4303" s="462"/>
      <c r="B4303" s="441"/>
      <c r="C4303" s="194">
        <v>10</v>
      </c>
      <c r="D4303" s="80"/>
      <c r="E4303" s="97"/>
      <c r="F4303" s="97"/>
      <c r="G4303" s="97"/>
      <c r="H4303" s="97"/>
      <c r="I4303" s="97"/>
      <c r="J4303" s="97"/>
      <c r="K4303" s="97"/>
      <c r="L4303" s="195"/>
    </row>
    <row r="4304" spans="1:14" x14ac:dyDescent="0.45">
      <c r="A4304" s="462"/>
      <c r="B4304" s="441"/>
      <c r="C4304" s="194">
        <v>11</v>
      </c>
      <c r="D4304" s="81"/>
      <c r="E4304" s="98"/>
      <c r="F4304" s="98"/>
      <c r="G4304" s="98"/>
      <c r="H4304" s="98"/>
      <c r="I4304" s="98"/>
      <c r="J4304" s="98"/>
      <c r="K4304" s="98"/>
      <c r="L4304" s="196"/>
    </row>
    <row r="4305" spans="1:12" ht="14.65" thickBot="1" x14ac:dyDescent="0.5">
      <c r="A4305" s="462"/>
      <c r="B4305" s="442"/>
      <c r="C4305" s="197">
        <v>12</v>
      </c>
      <c r="D4305" s="82"/>
      <c r="E4305" s="99"/>
      <c r="F4305" s="99"/>
      <c r="G4305" s="99"/>
      <c r="H4305" s="99"/>
      <c r="I4305" s="99"/>
      <c r="J4305" s="99"/>
      <c r="K4305" s="99"/>
      <c r="L4305" s="198"/>
    </row>
    <row r="4306" spans="1:12" x14ac:dyDescent="0.45">
      <c r="A4306" s="462"/>
      <c r="B4306" s="440">
        <v>3</v>
      </c>
      <c r="C4306" s="192">
        <v>1</v>
      </c>
      <c r="D4306" s="79"/>
      <c r="E4306" s="96"/>
      <c r="F4306" s="96"/>
      <c r="G4306" s="96"/>
      <c r="H4306" s="96"/>
      <c r="I4306" s="96"/>
      <c r="J4306" s="96"/>
      <c r="K4306" s="96"/>
      <c r="L4306" s="193"/>
    </row>
    <row r="4307" spans="1:12" x14ac:dyDescent="0.45">
      <c r="A4307" s="462"/>
      <c r="B4307" s="441"/>
      <c r="C4307" s="194">
        <v>2</v>
      </c>
      <c r="D4307" s="80"/>
      <c r="E4307" s="97"/>
      <c r="F4307" s="97"/>
      <c r="G4307" s="97"/>
      <c r="H4307" s="97"/>
      <c r="I4307" s="97"/>
      <c r="J4307" s="97"/>
      <c r="K4307" s="97"/>
      <c r="L4307" s="195"/>
    </row>
    <row r="4308" spans="1:12" x14ac:dyDescent="0.45">
      <c r="A4308" s="462"/>
      <c r="B4308" s="441"/>
      <c r="C4308" s="194">
        <v>3</v>
      </c>
      <c r="D4308" s="80"/>
      <c r="E4308" s="97"/>
      <c r="F4308" s="97"/>
      <c r="G4308" s="97"/>
      <c r="H4308" s="97"/>
      <c r="I4308" s="97"/>
      <c r="J4308" s="97"/>
      <c r="K4308" s="97"/>
      <c r="L4308" s="195"/>
    </row>
    <row r="4309" spans="1:12" x14ac:dyDescent="0.45">
      <c r="A4309" s="462"/>
      <c r="B4309" s="441"/>
      <c r="C4309" s="194">
        <v>4</v>
      </c>
      <c r="D4309" s="80"/>
      <c r="E4309" s="97"/>
      <c r="F4309" s="97"/>
      <c r="G4309" s="97"/>
      <c r="H4309" s="97"/>
      <c r="I4309" s="97"/>
      <c r="J4309" s="97"/>
      <c r="K4309" s="97"/>
      <c r="L4309" s="195"/>
    </row>
    <row r="4310" spans="1:12" x14ac:dyDescent="0.45">
      <c r="A4310" s="462"/>
      <c r="B4310" s="441"/>
      <c r="C4310" s="194">
        <v>5</v>
      </c>
      <c r="D4310" s="80"/>
      <c r="E4310" s="97"/>
      <c r="F4310" s="97"/>
      <c r="G4310" s="97"/>
      <c r="H4310" s="97"/>
      <c r="I4310" s="97"/>
      <c r="J4310" s="97"/>
      <c r="K4310" s="97"/>
      <c r="L4310" s="195"/>
    </row>
    <row r="4311" spans="1:12" x14ac:dyDescent="0.45">
      <c r="A4311" s="462"/>
      <c r="B4311" s="441"/>
      <c r="C4311" s="194">
        <v>6</v>
      </c>
      <c r="D4311" s="80"/>
      <c r="E4311" s="97"/>
      <c r="F4311" s="97"/>
      <c r="G4311" s="97"/>
      <c r="H4311" s="97"/>
      <c r="I4311" s="97"/>
      <c r="J4311" s="97"/>
      <c r="K4311" s="97"/>
      <c r="L4311" s="195"/>
    </row>
    <row r="4312" spans="1:12" x14ac:dyDescent="0.45">
      <c r="A4312" s="462"/>
      <c r="B4312" s="441"/>
      <c r="C4312" s="194">
        <v>7</v>
      </c>
      <c r="D4312" s="80"/>
      <c r="E4312" s="97"/>
      <c r="F4312" s="97"/>
      <c r="G4312" s="97"/>
      <c r="H4312" s="97"/>
      <c r="I4312" s="97"/>
      <c r="J4312" s="97"/>
      <c r="K4312" s="97"/>
      <c r="L4312" s="195"/>
    </row>
    <row r="4313" spans="1:12" x14ac:dyDescent="0.45">
      <c r="A4313" s="462"/>
      <c r="B4313" s="441"/>
      <c r="C4313" s="194">
        <v>8</v>
      </c>
      <c r="D4313" s="80"/>
      <c r="E4313" s="97"/>
      <c r="F4313" s="97"/>
      <c r="G4313" s="97"/>
      <c r="H4313" s="97"/>
      <c r="I4313" s="97"/>
      <c r="J4313" s="97"/>
      <c r="K4313" s="97"/>
      <c r="L4313" s="195"/>
    </row>
    <row r="4314" spans="1:12" x14ac:dyDescent="0.45">
      <c r="A4314" s="462"/>
      <c r="B4314" s="441"/>
      <c r="C4314" s="194">
        <v>9</v>
      </c>
      <c r="D4314" s="80"/>
      <c r="E4314" s="97"/>
      <c r="F4314" s="97"/>
      <c r="G4314" s="97"/>
      <c r="H4314" s="97"/>
      <c r="I4314" s="97"/>
      <c r="J4314" s="97"/>
      <c r="K4314" s="97"/>
      <c r="L4314" s="195"/>
    </row>
    <row r="4315" spans="1:12" x14ac:dyDescent="0.45">
      <c r="A4315" s="462"/>
      <c r="B4315" s="441"/>
      <c r="C4315" s="194">
        <v>10</v>
      </c>
      <c r="D4315" s="80"/>
      <c r="E4315" s="97"/>
      <c r="F4315" s="97"/>
      <c r="G4315" s="97"/>
      <c r="H4315" s="97"/>
      <c r="I4315" s="97"/>
      <c r="J4315" s="97"/>
      <c r="K4315" s="97"/>
      <c r="L4315" s="195"/>
    </row>
    <row r="4316" spans="1:12" x14ac:dyDescent="0.45">
      <c r="A4316" s="462"/>
      <c r="B4316" s="441"/>
      <c r="C4316" s="194">
        <v>11</v>
      </c>
      <c r="D4316" s="81"/>
      <c r="E4316" s="98"/>
      <c r="F4316" s="98"/>
      <c r="G4316" s="98"/>
      <c r="H4316" s="98"/>
      <c r="I4316" s="98"/>
      <c r="J4316" s="98"/>
      <c r="K4316" s="98"/>
      <c r="L4316" s="196"/>
    </row>
    <row r="4317" spans="1:12" ht="14.65" thickBot="1" x14ac:dyDescent="0.5">
      <c r="A4317" s="462"/>
      <c r="B4317" s="442"/>
      <c r="C4317" s="197">
        <v>12</v>
      </c>
      <c r="D4317" s="82"/>
      <c r="E4317" s="99"/>
      <c r="F4317" s="99"/>
      <c r="G4317" s="99"/>
      <c r="H4317" s="99"/>
      <c r="I4317" s="99"/>
      <c r="J4317" s="99"/>
      <c r="K4317" s="99"/>
      <c r="L4317" s="198"/>
    </row>
    <row r="4318" spans="1:12" x14ac:dyDescent="0.45">
      <c r="A4318" s="462"/>
      <c r="B4318" s="440">
        <v>4</v>
      </c>
      <c r="C4318" s="192">
        <v>1</v>
      </c>
      <c r="D4318" s="79"/>
      <c r="E4318" s="96"/>
      <c r="F4318" s="96"/>
      <c r="G4318" s="96"/>
      <c r="H4318" s="96"/>
      <c r="I4318" s="96"/>
      <c r="J4318" s="96"/>
      <c r="K4318" s="96"/>
      <c r="L4318" s="193"/>
    </row>
    <row r="4319" spans="1:12" x14ac:dyDescent="0.45">
      <c r="A4319" s="462"/>
      <c r="B4319" s="441"/>
      <c r="C4319" s="194">
        <v>2</v>
      </c>
      <c r="D4319" s="80"/>
      <c r="E4319" s="97"/>
      <c r="F4319" s="97"/>
      <c r="G4319" s="97"/>
      <c r="H4319" s="97"/>
      <c r="I4319" s="97"/>
      <c r="J4319" s="97"/>
      <c r="K4319" s="97"/>
      <c r="L4319" s="195"/>
    </row>
    <row r="4320" spans="1:12" x14ac:dyDescent="0.45">
      <c r="A4320" s="462"/>
      <c r="B4320" s="441"/>
      <c r="C4320" s="194">
        <v>3</v>
      </c>
      <c r="D4320" s="80"/>
      <c r="E4320" s="97"/>
      <c r="F4320" s="97"/>
      <c r="G4320" s="97"/>
      <c r="H4320" s="97"/>
      <c r="I4320" s="97"/>
      <c r="J4320" s="97"/>
      <c r="K4320" s="97"/>
      <c r="L4320" s="195"/>
    </row>
    <row r="4321" spans="1:12" x14ac:dyDescent="0.45">
      <c r="A4321" s="462"/>
      <c r="B4321" s="441"/>
      <c r="C4321" s="194">
        <v>4</v>
      </c>
      <c r="D4321" s="80"/>
      <c r="E4321" s="97"/>
      <c r="F4321" s="97"/>
      <c r="G4321" s="97"/>
      <c r="H4321" s="97"/>
      <c r="I4321" s="97"/>
      <c r="J4321" s="97"/>
      <c r="K4321" s="97"/>
      <c r="L4321" s="195"/>
    </row>
    <row r="4322" spans="1:12" x14ac:dyDescent="0.45">
      <c r="A4322" s="462"/>
      <c r="B4322" s="441"/>
      <c r="C4322" s="194">
        <v>5</v>
      </c>
      <c r="D4322" s="80"/>
      <c r="E4322" s="97"/>
      <c r="F4322" s="97"/>
      <c r="G4322" s="97"/>
      <c r="H4322" s="97"/>
      <c r="I4322" s="97"/>
      <c r="J4322" s="97"/>
      <c r="K4322" s="97"/>
      <c r="L4322" s="195"/>
    </row>
    <row r="4323" spans="1:12" x14ac:dyDescent="0.45">
      <c r="A4323" s="462"/>
      <c r="B4323" s="441"/>
      <c r="C4323" s="194">
        <v>6</v>
      </c>
      <c r="D4323" s="80"/>
      <c r="E4323" s="97"/>
      <c r="F4323" s="97"/>
      <c r="G4323" s="97"/>
      <c r="H4323" s="97"/>
      <c r="I4323" s="97"/>
      <c r="J4323" s="97"/>
      <c r="K4323" s="97"/>
      <c r="L4323" s="195"/>
    </row>
    <row r="4324" spans="1:12" x14ac:dyDescent="0.45">
      <c r="A4324" s="462"/>
      <c r="B4324" s="441"/>
      <c r="C4324" s="194">
        <v>7</v>
      </c>
      <c r="D4324" s="80"/>
      <c r="E4324" s="97"/>
      <c r="F4324" s="97"/>
      <c r="G4324" s="97"/>
      <c r="H4324" s="97"/>
      <c r="I4324" s="97"/>
      <c r="J4324" s="97"/>
      <c r="K4324" s="97"/>
      <c r="L4324" s="195"/>
    </row>
    <row r="4325" spans="1:12" x14ac:dyDescent="0.45">
      <c r="A4325" s="462"/>
      <c r="B4325" s="441"/>
      <c r="C4325" s="194">
        <v>8</v>
      </c>
      <c r="D4325" s="80"/>
      <c r="E4325" s="97"/>
      <c r="F4325" s="97"/>
      <c r="G4325" s="97"/>
      <c r="H4325" s="97"/>
      <c r="I4325" s="97"/>
      <c r="J4325" s="97"/>
      <c r="K4325" s="97"/>
      <c r="L4325" s="195"/>
    </row>
    <row r="4326" spans="1:12" x14ac:dyDescent="0.45">
      <c r="A4326" s="462"/>
      <c r="B4326" s="441"/>
      <c r="C4326" s="194">
        <v>9</v>
      </c>
      <c r="D4326" s="80"/>
      <c r="E4326" s="97"/>
      <c r="F4326" s="97"/>
      <c r="G4326" s="97"/>
      <c r="H4326" s="97"/>
      <c r="I4326" s="97"/>
      <c r="J4326" s="97"/>
      <c r="K4326" s="97"/>
      <c r="L4326" s="195"/>
    </row>
    <row r="4327" spans="1:12" x14ac:dyDescent="0.45">
      <c r="A4327" s="462"/>
      <c r="B4327" s="441"/>
      <c r="C4327" s="194">
        <v>10</v>
      </c>
      <c r="D4327" s="80"/>
      <c r="E4327" s="97"/>
      <c r="F4327" s="97"/>
      <c r="G4327" s="97"/>
      <c r="H4327" s="97"/>
      <c r="I4327" s="97"/>
      <c r="J4327" s="97"/>
      <c r="K4327" s="97"/>
      <c r="L4327" s="195"/>
    </row>
    <row r="4328" spans="1:12" x14ac:dyDescent="0.45">
      <c r="A4328" s="462"/>
      <c r="B4328" s="441"/>
      <c r="C4328" s="194">
        <v>11</v>
      </c>
      <c r="D4328" s="81"/>
      <c r="E4328" s="98"/>
      <c r="F4328" s="98"/>
      <c r="G4328" s="98"/>
      <c r="H4328" s="98"/>
      <c r="I4328" s="98"/>
      <c r="J4328" s="98"/>
      <c r="K4328" s="98"/>
      <c r="L4328" s="196"/>
    </row>
    <row r="4329" spans="1:12" ht="14.65" thickBot="1" x14ac:dyDescent="0.5">
      <c r="A4329" s="463"/>
      <c r="B4329" s="442"/>
      <c r="C4329" s="197">
        <v>12</v>
      </c>
      <c r="D4329" s="82"/>
      <c r="E4329" s="99"/>
      <c r="F4329" s="99"/>
      <c r="G4329" s="99"/>
      <c r="H4329" s="99"/>
      <c r="I4329" s="99"/>
      <c r="J4329" s="99"/>
      <c r="K4329" s="99"/>
      <c r="L4329" s="198"/>
    </row>
    <row r="4330" spans="1:12" x14ac:dyDescent="0.45">
      <c r="A4330" s="461">
        <v>2</v>
      </c>
      <c r="B4330" s="440">
        <v>5</v>
      </c>
      <c r="C4330" s="192">
        <v>1</v>
      </c>
      <c r="D4330" s="79"/>
      <c r="E4330" s="96"/>
      <c r="F4330" s="96"/>
      <c r="G4330" s="96"/>
      <c r="H4330" s="96"/>
      <c r="I4330" s="96"/>
      <c r="J4330" s="96"/>
      <c r="K4330" s="96"/>
      <c r="L4330" s="193"/>
    </row>
    <row r="4331" spans="1:12" x14ac:dyDescent="0.45">
      <c r="A4331" s="462"/>
      <c r="B4331" s="441"/>
      <c r="C4331" s="194">
        <v>2</v>
      </c>
      <c r="D4331" s="80"/>
      <c r="E4331" s="97"/>
      <c r="F4331" s="97"/>
      <c r="G4331" s="97"/>
      <c r="H4331" s="97"/>
      <c r="I4331" s="97"/>
      <c r="J4331" s="97"/>
      <c r="K4331" s="97"/>
      <c r="L4331" s="195"/>
    </row>
    <row r="4332" spans="1:12" x14ac:dyDescent="0.45">
      <c r="A4332" s="462"/>
      <c r="B4332" s="441"/>
      <c r="C4332" s="194">
        <v>3</v>
      </c>
      <c r="D4332" s="80"/>
      <c r="E4332" s="97"/>
      <c r="F4332" s="97"/>
      <c r="G4332" s="97"/>
      <c r="H4332" s="97"/>
      <c r="I4332" s="97"/>
      <c r="J4332" s="97"/>
      <c r="K4332" s="97"/>
      <c r="L4332" s="195"/>
    </row>
    <row r="4333" spans="1:12" x14ac:dyDescent="0.45">
      <c r="A4333" s="462"/>
      <c r="B4333" s="441"/>
      <c r="C4333" s="194">
        <v>4</v>
      </c>
      <c r="D4333" s="80"/>
      <c r="E4333" s="97"/>
      <c r="F4333" s="97"/>
      <c r="G4333" s="97"/>
      <c r="H4333" s="97"/>
      <c r="I4333" s="97"/>
      <c r="J4333" s="97"/>
      <c r="K4333" s="97"/>
      <c r="L4333" s="195"/>
    </row>
    <row r="4334" spans="1:12" x14ac:dyDescent="0.45">
      <c r="A4334" s="462"/>
      <c r="B4334" s="441"/>
      <c r="C4334" s="194">
        <v>5</v>
      </c>
      <c r="D4334" s="80"/>
      <c r="E4334" s="97"/>
      <c r="F4334" s="97"/>
      <c r="G4334" s="97"/>
      <c r="H4334" s="97"/>
      <c r="I4334" s="97"/>
      <c r="J4334" s="97"/>
      <c r="K4334" s="97"/>
      <c r="L4334" s="195"/>
    </row>
    <row r="4335" spans="1:12" x14ac:dyDescent="0.45">
      <c r="A4335" s="462"/>
      <c r="B4335" s="441"/>
      <c r="C4335" s="194">
        <v>6</v>
      </c>
      <c r="D4335" s="80"/>
      <c r="E4335" s="97"/>
      <c r="F4335" s="97"/>
      <c r="G4335" s="97"/>
      <c r="H4335" s="97"/>
      <c r="I4335" s="97"/>
      <c r="J4335" s="97"/>
      <c r="K4335" s="97"/>
      <c r="L4335" s="195"/>
    </row>
    <row r="4336" spans="1:12" x14ac:dyDescent="0.45">
      <c r="A4336" s="462"/>
      <c r="B4336" s="441"/>
      <c r="C4336" s="194">
        <v>7</v>
      </c>
      <c r="D4336" s="80"/>
      <c r="E4336" s="97"/>
      <c r="F4336" s="97"/>
      <c r="G4336" s="97"/>
      <c r="H4336" s="97"/>
      <c r="I4336" s="97"/>
      <c r="J4336" s="97"/>
      <c r="K4336" s="97"/>
      <c r="L4336" s="195"/>
    </row>
    <row r="4337" spans="1:12" x14ac:dyDescent="0.45">
      <c r="A4337" s="462"/>
      <c r="B4337" s="441"/>
      <c r="C4337" s="194">
        <v>8</v>
      </c>
      <c r="D4337" s="80"/>
      <c r="E4337" s="97"/>
      <c r="F4337" s="97"/>
      <c r="G4337" s="97"/>
      <c r="H4337" s="97"/>
      <c r="I4337" s="97"/>
      <c r="J4337" s="97"/>
      <c r="K4337" s="97"/>
      <c r="L4337" s="195"/>
    </row>
    <row r="4338" spans="1:12" x14ac:dyDescent="0.45">
      <c r="A4338" s="462"/>
      <c r="B4338" s="441"/>
      <c r="C4338" s="194">
        <v>9</v>
      </c>
      <c r="D4338" s="80"/>
      <c r="E4338" s="97"/>
      <c r="F4338" s="97"/>
      <c r="G4338" s="97"/>
      <c r="H4338" s="97"/>
      <c r="I4338" s="97"/>
      <c r="J4338" s="97"/>
      <c r="K4338" s="97"/>
      <c r="L4338" s="195"/>
    </row>
    <row r="4339" spans="1:12" x14ac:dyDescent="0.45">
      <c r="A4339" s="462"/>
      <c r="B4339" s="441"/>
      <c r="C4339" s="194">
        <v>10</v>
      </c>
      <c r="D4339" s="80"/>
      <c r="E4339" s="97"/>
      <c r="F4339" s="97"/>
      <c r="G4339" s="97"/>
      <c r="H4339" s="97"/>
      <c r="I4339" s="97"/>
      <c r="J4339" s="97"/>
      <c r="K4339" s="97"/>
      <c r="L4339" s="195"/>
    </row>
    <row r="4340" spans="1:12" x14ac:dyDescent="0.45">
      <c r="A4340" s="462"/>
      <c r="B4340" s="441"/>
      <c r="C4340" s="194">
        <v>11</v>
      </c>
      <c r="D4340" s="81"/>
      <c r="E4340" s="98"/>
      <c r="F4340" s="98"/>
      <c r="G4340" s="98"/>
      <c r="H4340" s="98"/>
      <c r="I4340" s="98"/>
      <c r="J4340" s="98"/>
      <c r="K4340" s="98"/>
      <c r="L4340" s="196"/>
    </row>
    <row r="4341" spans="1:12" ht="14.65" thickBot="1" x14ac:dyDescent="0.5">
      <c r="A4341" s="462"/>
      <c r="B4341" s="442"/>
      <c r="C4341" s="197">
        <v>12</v>
      </c>
      <c r="D4341" s="82"/>
      <c r="E4341" s="99"/>
      <c r="F4341" s="99"/>
      <c r="G4341" s="99"/>
      <c r="H4341" s="99"/>
      <c r="I4341" s="99"/>
      <c r="J4341" s="99"/>
      <c r="K4341" s="99"/>
      <c r="L4341" s="198"/>
    </row>
    <row r="4342" spans="1:12" x14ac:dyDescent="0.45">
      <c r="A4342" s="462"/>
      <c r="B4342" s="440">
        <v>6</v>
      </c>
      <c r="C4342" s="192">
        <v>1</v>
      </c>
      <c r="D4342" s="79"/>
      <c r="E4342" s="96"/>
      <c r="F4342" s="96"/>
      <c r="G4342" s="96"/>
      <c r="H4342" s="96"/>
      <c r="I4342" s="96"/>
      <c r="J4342" s="96"/>
      <c r="K4342" s="96"/>
      <c r="L4342" s="193"/>
    </row>
    <row r="4343" spans="1:12" x14ac:dyDescent="0.45">
      <c r="A4343" s="462"/>
      <c r="B4343" s="441"/>
      <c r="C4343" s="194">
        <v>2</v>
      </c>
      <c r="D4343" s="80"/>
      <c r="E4343" s="97"/>
      <c r="F4343" s="97"/>
      <c r="G4343" s="97"/>
      <c r="H4343" s="97"/>
      <c r="I4343" s="97"/>
      <c r="J4343" s="97"/>
      <c r="K4343" s="97"/>
      <c r="L4343" s="195"/>
    </row>
    <row r="4344" spans="1:12" x14ac:dyDescent="0.45">
      <c r="A4344" s="462"/>
      <c r="B4344" s="441"/>
      <c r="C4344" s="194">
        <v>3</v>
      </c>
      <c r="D4344" s="80"/>
      <c r="E4344" s="97"/>
      <c r="F4344" s="97"/>
      <c r="G4344" s="97"/>
      <c r="H4344" s="97"/>
      <c r="I4344" s="97"/>
      <c r="J4344" s="97"/>
      <c r="K4344" s="97"/>
      <c r="L4344" s="195"/>
    </row>
    <row r="4345" spans="1:12" x14ac:dyDescent="0.45">
      <c r="A4345" s="462"/>
      <c r="B4345" s="441"/>
      <c r="C4345" s="194">
        <v>4</v>
      </c>
      <c r="D4345" s="80"/>
      <c r="E4345" s="97"/>
      <c r="F4345" s="97"/>
      <c r="G4345" s="97"/>
      <c r="H4345" s="97"/>
      <c r="I4345" s="97"/>
      <c r="J4345" s="97"/>
      <c r="K4345" s="97"/>
      <c r="L4345" s="195"/>
    </row>
    <row r="4346" spans="1:12" x14ac:dyDescent="0.45">
      <c r="A4346" s="462"/>
      <c r="B4346" s="441"/>
      <c r="C4346" s="194">
        <v>5</v>
      </c>
      <c r="D4346" s="80"/>
      <c r="E4346" s="97"/>
      <c r="F4346" s="97"/>
      <c r="G4346" s="97"/>
      <c r="H4346" s="97"/>
      <c r="I4346" s="97"/>
      <c r="J4346" s="97"/>
      <c r="K4346" s="97"/>
      <c r="L4346" s="195"/>
    </row>
    <row r="4347" spans="1:12" x14ac:dyDescent="0.45">
      <c r="A4347" s="462"/>
      <c r="B4347" s="441"/>
      <c r="C4347" s="194">
        <v>6</v>
      </c>
      <c r="D4347" s="80"/>
      <c r="E4347" s="97"/>
      <c r="F4347" s="97"/>
      <c r="G4347" s="97"/>
      <c r="H4347" s="97"/>
      <c r="I4347" s="97"/>
      <c r="J4347" s="97"/>
      <c r="K4347" s="97"/>
      <c r="L4347" s="195"/>
    </row>
    <row r="4348" spans="1:12" x14ac:dyDescent="0.45">
      <c r="A4348" s="462"/>
      <c r="B4348" s="441"/>
      <c r="C4348" s="194">
        <v>7</v>
      </c>
      <c r="D4348" s="80"/>
      <c r="E4348" s="97"/>
      <c r="F4348" s="97"/>
      <c r="G4348" s="97"/>
      <c r="H4348" s="97"/>
      <c r="I4348" s="97"/>
      <c r="J4348" s="97"/>
      <c r="K4348" s="97"/>
      <c r="L4348" s="195"/>
    </row>
    <row r="4349" spans="1:12" x14ac:dyDescent="0.45">
      <c r="A4349" s="462"/>
      <c r="B4349" s="441"/>
      <c r="C4349" s="194">
        <v>8</v>
      </c>
      <c r="D4349" s="80"/>
      <c r="E4349" s="97"/>
      <c r="F4349" s="97"/>
      <c r="G4349" s="97"/>
      <c r="H4349" s="97"/>
      <c r="I4349" s="97"/>
      <c r="J4349" s="97"/>
      <c r="K4349" s="97"/>
      <c r="L4349" s="195"/>
    </row>
    <row r="4350" spans="1:12" x14ac:dyDescent="0.45">
      <c r="A4350" s="462"/>
      <c r="B4350" s="441"/>
      <c r="C4350" s="194">
        <v>9</v>
      </c>
      <c r="D4350" s="80"/>
      <c r="E4350" s="97"/>
      <c r="F4350" s="97"/>
      <c r="G4350" s="97"/>
      <c r="H4350" s="97"/>
      <c r="I4350" s="97"/>
      <c r="J4350" s="97"/>
      <c r="K4350" s="97"/>
      <c r="L4350" s="195"/>
    </row>
    <row r="4351" spans="1:12" x14ac:dyDescent="0.45">
      <c r="A4351" s="462"/>
      <c r="B4351" s="441"/>
      <c r="C4351" s="194">
        <v>10</v>
      </c>
      <c r="D4351" s="80"/>
      <c r="E4351" s="97"/>
      <c r="F4351" s="97"/>
      <c r="G4351" s="97"/>
      <c r="H4351" s="97"/>
      <c r="I4351" s="97"/>
      <c r="J4351" s="97"/>
      <c r="K4351" s="97"/>
      <c r="L4351" s="195"/>
    </row>
    <row r="4352" spans="1:12" x14ac:dyDescent="0.45">
      <c r="A4352" s="462"/>
      <c r="B4352" s="441"/>
      <c r="C4352" s="194">
        <v>11</v>
      </c>
      <c r="D4352" s="81"/>
      <c r="E4352" s="98"/>
      <c r="F4352" s="98"/>
      <c r="G4352" s="98"/>
      <c r="H4352" s="98"/>
      <c r="I4352" s="98"/>
      <c r="J4352" s="98"/>
      <c r="K4352" s="98"/>
      <c r="L4352" s="196"/>
    </row>
    <row r="4353" spans="1:12" ht="14.65" thickBot="1" x14ac:dyDescent="0.5">
      <c r="A4353" s="462"/>
      <c r="B4353" s="442"/>
      <c r="C4353" s="197">
        <v>12</v>
      </c>
      <c r="D4353" s="82"/>
      <c r="E4353" s="99"/>
      <c r="F4353" s="99"/>
      <c r="G4353" s="99"/>
      <c r="H4353" s="99"/>
      <c r="I4353" s="99"/>
      <c r="J4353" s="99"/>
      <c r="K4353" s="99"/>
      <c r="L4353" s="198"/>
    </row>
    <row r="4354" spans="1:12" x14ac:dyDescent="0.45">
      <c r="A4354" s="462"/>
      <c r="B4354" s="440">
        <v>7</v>
      </c>
      <c r="C4354" s="192">
        <v>1</v>
      </c>
      <c r="D4354" s="79"/>
      <c r="E4354" s="96"/>
      <c r="F4354" s="96"/>
      <c r="G4354" s="96"/>
      <c r="H4354" s="96"/>
      <c r="I4354" s="96"/>
      <c r="J4354" s="96"/>
      <c r="K4354" s="96"/>
      <c r="L4354" s="193"/>
    </row>
    <row r="4355" spans="1:12" x14ac:dyDescent="0.45">
      <c r="A4355" s="462"/>
      <c r="B4355" s="441"/>
      <c r="C4355" s="194">
        <v>2</v>
      </c>
      <c r="D4355" s="80"/>
      <c r="E4355" s="97"/>
      <c r="F4355" s="97"/>
      <c r="G4355" s="97"/>
      <c r="H4355" s="97"/>
      <c r="I4355" s="97"/>
      <c r="J4355" s="97"/>
      <c r="K4355" s="97"/>
      <c r="L4355" s="195"/>
    </row>
    <row r="4356" spans="1:12" x14ac:dyDescent="0.45">
      <c r="A4356" s="462"/>
      <c r="B4356" s="441"/>
      <c r="C4356" s="194">
        <v>3</v>
      </c>
      <c r="D4356" s="80"/>
      <c r="E4356" s="97"/>
      <c r="F4356" s="97"/>
      <c r="G4356" s="97"/>
      <c r="H4356" s="97"/>
      <c r="I4356" s="97"/>
      <c r="J4356" s="97"/>
      <c r="K4356" s="97"/>
      <c r="L4356" s="195"/>
    </row>
    <row r="4357" spans="1:12" x14ac:dyDescent="0.45">
      <c r="A4357" s="462"/>
      <c r="B4357" s="441"/>
      <c r="C4357" s="194">
        <v>4</v>
      </c>
      <c r="D4357" s="80"/>
      <c r="E4357" s="97"/>
      <c r="F4357" s="97"/>
      <c r="G4357" s="97"/>
      <c r="H4357" s="97"/>
      <c r="I4357" s="97"/>
      <c r="J4357" s="97"/>
      <c r="K4357" s="97"/>
      <c r="L4357" s="195"/>
    </row>
    <row r="4358" spans="1:12" x14ac:dyDescent="0.45">
      <c r="A4358" s="462"/>
      <c r="B4358" s="441"/>
      <c r="C4358" s="194">
        <v>5</v>
      </c>
      <c r="D4358" s="80"/>
      <c r="E4358" s="97"/>
      <c r="F4358" s="97"/>
      <c r="G4358" s="97"/>
      <c r="H4358" s="97"/>
      <c r="I4358" s="97"/>
      <c r="J4358" s="97"/>
      <c r="K4358" s="97"/>
      <c r="L4358" s="195"/>
    </row>
    <row r="4359" spans="1:12" x14ac:dyDescent="0.45">
      <c r="A4359" s="462"/>
      <c r="B4359" s="441"/>
      <c r="C4359" s="194">
        <v>6</v>
      </c>
      <c r="D4359" s="80"/>
      <c r="E4359" s="97"/>
      <c r="F4359" s="97"/>
      <c r="G4359" s="97"/>
      <c r="H4359" s="97"/>
      <c r="I4359" s="97"/>
      <c r="J4359" s="97"/>
      <c r="K4359" s="97"/>
      <c r="L4359" s="195"/>
    </row>
    <row r="4360" spans="1:12" x14ac:dyDescent="0.45">
      <c r="A4360" s="462"/>
      <c r="B4360" s="441"/>
      <c r="C4360" s="194">
        <v>7</v>
      </c>
      <c r="D4360" s="80"/>
      <c r="E4360" s="97"/>
      <c r="F4360" s="97"/>
      <c r="G4360" s="97"/>
      <c r="H4360" s="97"/>
      <c r="I4360" s="97"/>
      <c r="J4360" s="97"/>
      <c r="K4360" s="97"/>
      <c r="L4360" s="195"/>
    </row>
    <row r="4361" spans="1:12" x14ac:dyDescent="0.45">
      <c r="A4361" s="462"/>
      <c r="B4361" s="441"/>
      <c r="C4361" s="194">
        <v>8</v>
      </c>
      <c r="D4361" s="80"/>
      <c r="E4361" s="97"/>
      <c r="F4361" s="97"/>
      <c r="G4361" s="97"/>
      <c r="H4361" s="97"/>
      <c r="I4361" s="97"/>
      <c r="J4361" s="97"/>
      <c r="K4361" s="97"/>
      <c r="L4361" s="195"/>
    </row>
    <row r="4362" spans="1:12" x14ac:dyDescent="0.45">
      <c r="A4362" s="462"/>
      <c r="B4362" s="441"/>
      <c r="C4362" s="194">
        <v>9</v>
      </c>
      <c r="D4362" s="80"/>
      <c r="E4362" s="97"/>
      <c r="F4362" s="97"/>
      <c r="G4362" s="97"/>
      <c r="H4362" s="97"/>
      <c r="I4362" s="97"/>
      <c r="J4362" s="97"/>
      <c r="K4362" s="97"/>
      <c r="L4362" s="195"/>
    </row>
    <row r="4363" spans="1:12" x14ac:dyDescent="0.45">
      <c r="A4363" s="462"/>
      <c r="B4363" s="441"/>
      <c r="C4363" s="194">
        <v>10</v>
      </c>
      <c r="D4363" s="80"/>
      <c r="E4363" s="97"/>
      <c r="F4363" s="97"/>
      <c r="G4363" s="97"/>
      <c r="H4363" s="97"/>
      <c r="I4363" s="97"/>
      <c r="J4363" s="97"/>
      <c r="K4363" s="97"/>
      <c r="L4363" s="195"/>
    </row>
    <row r="4364" spans="1:12" x14ac:dyDescent="0.45">
      <c r="A4364" s="462"/>
      <c r="B4364" s="441"/>
      <c r="C4364" s="194">
        <v>11</v>
      </c>
      <c r="D4364" s="81"/>
      <c r="E4364" s="98"/>
      <c r="F4364" s="98"/>
      <c r="G4364" s="98"/>
      <c r="H4364" s="98"/>
      <c r="I4364" s="98"/>
      <c r="J4364" s="98"/>
      <c r="K4364" s="98"/>
      <c r="L4364" s="196"/>
    </row>
    <row r="4365" spans="1:12" ht="14.65" thickBot="1" x14ac:dyDescent="0.5">
      <c r="A4365" s="462"/>
      <c r="B4365" s="442"/>
      <c r="C4365" s="197">
        <v>12</v>
      </c>
      <c r="D4365" s="82"/>
      <c r="E4365" s="99"/>
      <c r="F4365" s="99"/>
      <c r="G4365" s="99"/>
      <c r="H4365" s="99"/>
      <c r="I4365" s="99"/>
      <c r="J4365" s="99"/>
      <c r="K4365" s="99"/>
      <c r="L4365" s="198"/>
    </row>
    <row r="4366" spans="1:12" x14ac:dyDescent="0.45">
      <c r="A4366" s="462"/>
      <c r="B4366" s="440">
        <v>8</v>
      </c>
      <c r="C4366" s="192">
        <v>1</v>
      </c>
      <c r="D4366" s="79"/>
      <c r="E4366" s="96"/>
      <c r="F4366" s="96"/>
      <c r="G4366" s="96"/>
      <c r="H4366" s="96"/>
      <c r="I4366" s="96"/>
      <c r="J4366" s="96"/>
      <c r="K4366" s="96"/>
      <c r="L4366" s="193"/>
    </row>
    <row r="4367" spans="1:12" x14ac:dyDescent="0.45">
      <c r="A4367" s="462"/>
      <c r="B4367" s="441"/>
      <c r="C4367" s="194">
        <v>2</v>
      </c>
      <c r="D4367" s="80"/>
      <c r="E4367" s="97"/>
      <c r="F4367" s="97"/>
      <c r="G4367" s="97"/>
      <c r="H4367" s="97"/>
      <c r="I4367" s="97"/>
      <c r="J4367" s="97"/>
      <c r="K4367" s="97"/>
      <c r="L4367" s="195"/>
    </row>
    <row r="4368" spans="1:12" x14ac:dyDescent="0.45">
      <c r="A4368" s="462"/>
      <c r="B4368" s="441"/>
      <c r="C4368" s="194">
        <v>3</v>
      </c>
      <c r="D4368" s="80"/>
      <c r="E4368" s="97"/>
      <c r="F4368" s="97"/>
      <c r="G4368" s="97"/>
      <c r="H4368" s="97"/>
      <c r="I4368" s="97"/>
      <c r="J4368" s="97"/>
      <c r="K4368" s="97"/>
      <c r="L4368" s="195"/>
    </row>
    <row r="4369" spans="1:12" x14ac:dyDescent="0.45">
      <c r="A4369" s="462"/>
      <c r="B4369" s="441"/>
      <c r="C4369" s="194">
        <v>4</v>
      </c>
      <c r="D4369" s="80"/>
      <c r="E4369" s="97"/>
      <c r="F4369" s="97"/>
      <c r="G4369" s="97"/>
      <c r="H4369" s="97"/>
      <c r="I4369" s="97"/>
      <c r="J4369" s="97"/>
      <c r="K4369" s="97"/>
      <c r="L4369" s="195"/>
    </row>
    <row r="4370" spans="1:12" x14ac:dyDescent="0.45">
      <c r="A4370" s="462"/>
      <c r="B4370" s="441"/>
      <c r="C4370" s="194">
        <v>5</v>
      </c>
      <c r="D4370" s="80"/>
      <c r="E4370" s="97"/>
      <c r="F4370" s="97"/>
      <c r="G4370" s="97"/>
      <c r="H4370" s="97"/>
      <c r="I4370" s="97"/>
      <c r="J4370" s="97"/>
      <c r="K4370" s="97"/>
      <c r="L4370" s="195"/>
    </row>
    <row r="4371" spans="1:12" x14ac:dyDescent="0.45">
      <c r="A4371" s="462"/>
      <c r="B4371" s="441"/>
      <c r="C4371" s="194">
        <v>6</v>
      </c>
      <c r="D4371" s="80"/>
      <c r="E4371" s="97"/>
      <c r="F4371" s="97"/>
      <c r="G4371" s="97"/>
      <c r="H4371" s="97"/>
      <c r="I4371" s="97"/>
      <c r="J4371" s="97"/>
      <c r="K4371" s="97"/>
      <c r="L4371" s="195"/>
    </row>
    <row r="4372" spans="1:12" x14ac:dyDescent="0.45">
      <c r="A4372" s="462"/>
      <c r="B4372" s="441"/>
      <c r="C4372" s="194">
        <v>7</v>
      </c>
      <c r="D4372" s="80"/>
      <c r="E4372" s="97"/>
      <c r="F4372" s="97"/>
      <c r="G4372" s="97"/>
      <c r="H4372" s="97"/>
      <c r="I4372" s="97"/>
      <c r="J4372" s="97"/>
      <c r="K4372" s="97"/>
      <c r="L4372" s="195"/>
    </row>
    <row r="4373" spans="1:12" x14ac:dyDescent="0.45">
      <c r="A4373" s="462"/>
      <c r="B4373" s="441"/>
      <c r="C4373" s="194">
        <v>8</v>
      </c>
      <c r="D4373" s="80"/>
      <c r="E4373" s="97"/>
      <c r="F4373" s="97"/>
      <c r="G4373" s="97"/>
      <c r="H4373" s="97"/>
      <c r="I4373" s="97"/>
      <c r="J4373" s="97"/>
      <c r="K4373" s="97"/>
      <c r="L4373" s="195"/>
    </row>
    <row r="4374" spans="1:12" x14ac:dyDescent="0.45">
      <c r="A4374" s="462"/>
      <c r="B4374" s="441"/>
      <c r="C4374" s="194">
        <v>9</v>
      </c>
      <c r="D4374" s="80"/>
      <c r="E4374" s="97"/>
      <c r="F4374" s="97"/>
      <c r="G4374" s="97"/>
      <c r="H4374" s="97"/>
      <c r="I4374" s="97"/>
      <c r="J4374" s="97"/>
      <c r="K4374" s="97"/>
      <c r="L4374" s="195"/>
    </row>
    <row r="4375" spans="1:12" x14ac:dyDescent="0.45">
      <c r="A4375" s="462"/>
      <c r="B4375" s="441"/>
      <c r="C4375" s="194">
        <v>10</v>
      </c>
      <c r="D4375" s="80"/>
      <c r="E4375" s="97"/>
      <c r="F4375" s="97"/>
      <c r="G4375" s="97"/>
      <c r="H4375" s="97"/>
      <c r="I4375" s="97"/>
      <c r="J4375" s="97"/>
      <c r="K4375" s="97"/>
      <c r="L4375" s="195"/>
    </row>
    <row r="4376" spans="1:12" x14ac:dyDescent="0.45">
      <c r="A4376" s="462"/>
      <c r="B4376" s="441"/>
      <c r="C4376" s="194">
        <v>11</v>
      </c>
      <c r="D4376" s="81"/>
      <c r="E4376" s="98"/>
      <c r="F4376" s="98"/>
      <c r="G4376" s="98"/>
      <c r="H4376" s="98"/>
      <c r="I4376" s="98"/>
      <c r="J4376" s="98"/>
      <c r="K4376" s="98"/>
      <c r="L4376" s="196"/>
    </row>
    <row r="4377" spans="1:12" ht="14.65" thickBot="1" x14ac:dyDescent="0.5">
      <c r="A4377" s="463"/>
      <c r="B4377" s="442"/>
      <c r="C4377" s="197">
        <v>12</v>
      </c>
      <c r="D4377" s="82"/>
      <c r="E4377" s="99"/>
      <c r="F4377" s="99"/>
      <c r="G4377" s="99"/>
      <c r="H4377" s="99"/>
      <c r="I4377" s="99"/>
      <c r="J4377" s="99"/>
      <c r="K4377" s="99"/>
      <c r="L4377" s="198"/>
    </row>
    <row r="4378" spans="1:12" x14ac:dyDescent="0.45">
      <c r="A4378" s="461">
        <v>3</v>
      </c>
      <c r="B4378" s="440">
        <v>9</v>
      </c>
      <c r="C4378" s="192">
        <v>1</v>
      </c>
      <c r="D4378" s="79"/>
      <c r="E4378" s="96"/>
      <c r="F4378" s="96"/>
      <c r="G4378" s="96"/>
      <c r="H4378" s="96"/>
      <c r="I4378" s="96"/>
      <c r="J4378" s="96"/>
      <c r="K4378" s="96"/>
      <c r="L4378" s="193"/>
    </row>
    <row r="4379" spans="1:12" x14ac:dyDescent="0.45">
      <c r="A4379" s="462"/>
      <c r="B4379" s="441"/>
      <c r="C4379" s="194">
        <v>2</v>
      </c>
      <c r="D4379" s="80"/>
      <c r="E4379" s="97"/>
      <c r="F4379" s="97"/>
      <c r="G4379" s="97"/>
      <c r="H4379" s="97"/>
      <c r="I4379" s="97"/>
      <c r="J4379" s="97"/>
      <c r="K4379" s="97"/>
      <c r="L4379" s="195"/>
    </row>
    <row r="4380" spans="1:12" x14ac:dyDescent="0.45">
      <c r="A4380" s="462"/>
      <c r="B4380" s="441"/>
      <c r="C4380" s="194">
        <v>3</v>
      </c>
      <c r="D4380" s="80"/>
      <c r="E4380" s="97"/>
      <c r="F4380" s="97"/>
      <c r="G4380" s="97"/>
      <c r="H4380" s="97"/>
      <c r="I4380" s="97"/>
      <c r="J4380" s="97"/>
      <c r="K4380" s="97"/>
      <c r="L4380" s="195"/>
    </row>
    <row r="4381" spans="1:12" x14ac:dyDescent="0.45">
      <c r="A4381" s="462"/>
      <c r="B4381" s="441"/>
      <c r="C4381" s="194">
        <v>4</v>
      </c>
      <c r="D4381" s="80"/>
      <c r="E4381" s="97"/>
      <c r="F4381" s="97"/>
      <c r="G4381" s="97"/>
      <c r="H4381" s="97"/>
      <c r="I4381" s="97"/>
      <c r="J4381" s="97"/>
      <c r="K4381" s="97"/>
      <c r="L4381" s="195"/>
    </row>
    <row r="4382" spans="1:12" x14ac:dyDescent="0.45">
      <c r="A4382" s="462"/>
      <c r="B4382" s="441"/>
      <c r="C4382" s="194">
        <v>5</v>
      </c>
      <c r="D4382" s="80"/>
      <c r="E4382" s="97"/>
      <c r="F4382" s="97"/>
      <c r="G4382" s="97"/>
      <c r="H4382" s="97"/>
      <c r="I4382" s="97"/>
      <c r="J4382" s="97"/>
      <c r="K4382" s="97"/>
      <c r="L4382" s="195"/>
    </row>
    <row r="4383" spans="1:12" x14ac:dyDescent="0.45">
      <c r="A4383" s="462"/>
      <c r="B4383" s="441"/>
      <c r="C4383" s="194">
        <v>6</v>
      </c>
      <c r="D4383" s="80"/>
      <c r="E4383" s="97"/>
      <c r="F4383" s="97"/>
      <c r="G4383" s="97"/>
      <c r="H4383" s="97"/>
      <c r="I4383" s="97"/>
      <c r="J4383" s="97"/>
      <c r="K4383" s="97"/>
      <c r="L4383" s="195"/>
    </row>
    <row r="4384" spans="1:12" x14ac:dyDescent="0.45">
      <c r="A4384" s="462"/>
      <c r="B4384" s="441"/>
      <c r="C4384" s="194">
        <v>7</v>
      </c>
      <c r="D4384" s="80"/>
      <c r="E4384" s="97"/>
      <c r="F4384" s="97"/>
      <c r="G4384" s="97"/>
      <c r="H4384" s="97"/>
      <c r="I4384" s="97"/>
      <c r="J4384" s="97"/>
      <c r="K4384" s="97"/>
      <c r="L4384" s="195"/>
    </row>
    <row r="4385" spans="1:12" x14ac:dyDescent="0.45">
      <c r="A4385" s="462"/>
      <c r="B4385" s="441"/>
      <c r="C4385" s="194">
        <v>8</v>
      </c>
      <c r="D4385" s="80"/>
      <c r="E4385" s="97"/>
      <c r="F4385" s="97"/>
      <c r="G4385" s="97"/>
      <c r="H4385" s="97"/>
      <c r="I4385" s="97"/>
      <c r="J4385" s="97"/>
      <c r="K4385" s="97"/>
      <c r="L4385" s="195"/>
    </row>
    <row r="4386" spans="1:12" x14ac:dyDescent="0.45">
      <c r="A4386" s="462"/>
      <c r="B4386" s="441"/>
      <c r="C4386" s="194">
        <v>9</v>
      </c>
      <c r="D4386" s="80"/>
      <c r="E4386" s="97"/>
      <c r="F4386" s="97"/>
      <c r="G4386" s="97"/>
      <c r="H4386" s="97"/>
      <c r="I4386" s="97"/>
      <c r="J4386" s="97"/>
      <c r="K4386" s="97"/>
      <c r="L4386" s="195"/>
    </row>
    <row r="4387" spans="1:12" x14ac:dyDescent="0.45">
      <c r="A4387" s="462"/>
      <c r="B4387" s="441"/>
      <c r="C4387" s="194">
        <v>10</v>
      </c>
      <c r="D4387" s="80"/>
      <c r="E4387" s="97"/>
      <c r="F4387" s="97"/>
      <c r="G4387" s="97"/>
      <c r="H4387" s="97"/>
      <c r="I4387" s="97"/>
      <c r="J4387" s="97"/>
      <c r="K4387" s="97"/>
      <c r="L4387" s="195"/>
    </row>
    <row r="4388" spans="1:12" x14ac:dyDescent="0.45">
      <c r="A4388" s="462"/>
      <c r="B4388" s="441"/>
      <c r="C4388" s="194">
        <v>11</v>
      </c>
      <c r="D4388" s="81"/>
      <c r="E4388" s="98"/>
      <c r="F4388" s="98"/>
      <c r="G4388" s="98"/>
      <c r="H4388" s="98"/>
      <c r="I4388" s="98"/>
      <c r="J4388" s="98"/>
      <c r="K4388" s="98"/>
      <c r="L4388" s="196"/>
    </row>
    <row r="4389" spans="1:12" ht="14.65" thickBot="1" x14ac:dyDescent="0.5">
      <c r="A4389" s="462"/>
      <c r="B4389" s="442"/>
      <c r="C4389" s="197">
        <v>12</v>
      </c>
      <c r="D4389" s="82"/>
      <c r="E4389" s="99"/>
      <c r="F4389" s="99"/>
      <c r="G4389" s="99"/>
      <c r="H4389" s="99"/>
      <c r="I4389" s="99"/>
      <c r="J4389" s="99"/>
      <c r="K4389" s="99"/>
      <c r="L4389" s="198"/>
    </row>
    <row r="4390" spans="1:12" x14ac:dyDescent="0.45">
      <c r="A4390" s="462"/>
      <c r="B4390" s="440">
        <v>10</v>
      </c>
      <c r="C4390" s="192">
        <v>1</v>
      </c>
      <c r="D4390" s="79"/>
      <c r="E4390" s="96"/>
      <c r="F4390" s="96"/>
      <c r="G4390" s="96"/>
      <c r="H4390" s="96"/>
      <c r="I4390" s="96"/>
      <c r="J4390" s="96"/>
      <c r="K4390" s="96"/>
      <c r="L4390" s="193"/>
    </row>
    <row r="4391" spans="1:12" x14ac:dyDescent="0.45">
      <c r="A4391" s="462"/>
      <c r="B4391" s="441"/>
      <c r="C4391" s="194">
        <v>2</v>
      </c>
      <c r="D4391" s="80"/>
      <c r="E4391" s="97"/>
      <c r="F4391" s="97"/>
      <c r="G4391" s="97"/>
      <c r="H4391" s="97"/>
      <c r="I4391" s="97"/>
      <c r="J4391" s="97"/>
      <c r="K4391" s="97"/>
      <c r="L4391" s="195"/>
    </row>
    <row r="4392" spans="1:12" x14ac:dyDescent="0.45">
      <c r="A4392" s="462"/>
      <c r="B4392" s="441"/>
      <c r="C4392" s="194">
        <v>3</v>
      </c>
      <c r="D4392" s="80"/>
      <c r="E4392" s="97"/>
      <c r="F4392" s="97"/>
      <c r="G4392" s="97"/>
      <c r="H4392" s="97"/>
      <c r="I4392" s="97"/>
      <c r="J4392" s="97"/>
      <c r="K4392" s="97"/>
      <c r="L4392" s="195"/>
    </row>
    <row r="4393" spans="1:12" x14ac:dyDescent="0.45">
      <c r="A4393" s="462"/>
      <c r="B4393" s="441"/>
      <c r="C4393" s="194">
        <v>4</v>
      </c>
      <c r="D4393" s="80"/>
      <c r="E4393" s="97"/>
      <c r="F4393" s="97"/>
      <c r="G4393" s="97"/>
      <c r="H4393" s="97"/>
      <c r="I4393" s="97"/>
      <c r="J4393" s="97"/>
      <c r="K4393" s="97"/>
      <c r="L4393" s="195"/>
    </row>
    <row r="4394" spans="1:12" x14ac:dyDescent="0.45">
      <c r="A4394" s="462"/>
      <c r="B4394" s="441"/>
      <c r="C4394" s="194">
        <v>5</v>
      </c>
      <c r="D4394" s="80"/>
      <c r="E4394" s="97"/>
      <c r="F4394" s="97"/>
      <c r="G4394" s="97"/>
      <c r="H4394" s="97"/>
      <c r="I4394" s="97"/>
      <c r="J4394" s="97"/>
      <c r="K4394" s="97"/>
      <c r="L4394" s="195"/>
    </row>
    <row r="4395" spans="1:12" x14ac:dyDescent="0.45">
      <c r="A4395" s="462"/>
      <c r="B4395" s="441"/>
      <c r="C4395" s="194">
        <v>6</v>
      </c>
      <c r="D4395" s="80"/>
      <c r="E4395" s="97"/>
      <c r="F4395" s="97"/>
      <c r="G4395" s="97"/>
      <c r="H4395" s="97"/>
      <c r="I4395" s="97"/>
      <c r="J4395" s="97"/>
      <c r="K4395" s="97"/>
      <c r="L4395" s="195"/>
    </row>
    <row r="4396" spans="1:12" x14ac:dyDescent="0.45">
      <c r="A4396" s="462"/>
      <c r="B4396" s="441"/>
      <c r="C4396" s="194">
        <v>7</v>
      </c>
      <c r="D4396" s="80"/>
      <c r="E4396" s="97"/>
      <c r="F4396" s="97"/>
      <c r="G4396" s="97"/>
      <c r="H4396" s="97"/>
      <c r="I4396" s="97"/>
      <c r="J4396" s="97"/>
      <c r="K4396" s="97"/>
      <c r="L4396" s="195"/>
    </row>
    <row r="4397" spans="1:12" x14ac:dyDescent="0.45">
      <c r="A4397" s="462"/>
      <c r="B4397" s="441"/>
      <c r="C4397" s="194">
        <v>8</v>
      </c>
      <c r="D4397" s="80"/>
      <c r="E4397" s="97"/>
      <c r="F4397" s="97"/>
      <c r="G4397" s="97"/>
      <c r="H4397" s="97"/>
      <c r="I4397" s="97"/>
      <c r="J4397" s="97"/>
      <c r="K4397" s="97"/>
      <c r="L4397" s="195"/>
    </row>
    <row r="4398" spans="1:12" x14ac:dyDescent="0.45">
      <c r="A4398" s="462"/>
      <c r="B4398" s="441"/>
      <c r="C4398" s="194">
        <v>9</v>
      </c>
      <c r="D4398" s="80"/>
      <c r="E4398" s="97"/>
      <c r="F4398" s="97"/>
      <c r="G4398" s="97"/>
      <c r="H4398" s="97"/>
      <c r="I4398" s="97"/>
      <c r="J4398" s="97"/>
      <c r="K4398" s="97"/>
      <c r="L4398" s="195"/>
    </row>
    <row r="4399" spans="1:12" x14ac:dyDescent="0.45">
      <c r="A4399" s="462"/>
      <c r="B4399" s="441"/>
      <c r="C4399" s="194">
        <v>10</v>
      </c>
      <c r="D4399" s="80"/>
      <c r="E4399" s="97"/>
      <c r="F4399" s="97"/>
      <c r="G4399" s="97"/>
      <c r="H4399" s="97"/>
      <c r="I4399" s="97"/>
      <c r="J4399" s="97"/>
      <c r="K4399" s="97"/>
      <c r="L4399" s="195"/>
    </row>
    <row r="4400" spans="1:12" x14ac:dyDescent="0.45">
      <c r="A4400" s="462"/>
      <c r="B4400" s="441"/>
      <c r="C4400" s="194">
        <v>11</v>
      </c>
      <c r="D4400" s="81"/>
      <c r="E4400" s="98"/>
      <c r="F4400" s="98"/>
      <c r="G4400" s="98"/>
      <c r="H4400" s="98"/>
      <c r="I4400" s="98"/>
      <c r="J4400" s="98"/>
      <c r="K4400" s="98"/>
      <c r="L4400" s="196"/>
    </row>
    <row r="4401" spans="1:12" ht="14.65" thickBot="1" x14ac:dyDescent="0.5">
      <c r="A4401" s="462"/>
      <c r="B4401" s="442"/>
      <c r="C4401" s="197">
        <v>12</v>
      </c>
      <c r="D4401" s="82"/>
      <c r="E4401" s="99"/>
      <c r="F4401" s="99"/>
      <c r="G4401" s="99"/>
      <c r="H4401" s="99"/>
      <c r="I4401" s="99"/>
      <c r="J4401" s="99"/>
      <c r="K4401" s="99"/>
      <c r="L4401" s="198"/>
    </row>
    <row r="4402" spans="1:12" x14ac:dyDescent="0.45">
      <c r="A4402" s="462"/>
      <c r="B4402" s="440">
        <v>11</v>
      </c>
      <c r="C4402" s="192">
        <v>1</v>
      </c>
      <c r="D4402" s="79"/>
      <c r="E4402" s="96"/>
      <c r="F4402" s="96"/>
      <c r="G4402" s="96"/>
      <c r="H4402" s="96"/>
      <c r="I4402" s="96"/>
      <c r="J4402" s="96"/>
      <c r="K4402" s="96"/>
      <c r="L4402" s="193"/>
    </row>
    <row r="4403" spans="1:12" x14ac:dyDescent="0.45">
      <c r="A4403" s="462"/>
      <c r="B4403" s="441"/>
      <c r="C4403" s="194">
        <v>2</v>
      </c>
      <c r="D4403" s="80"/>
      <c r="E4403" s="97"/>
      <c r="F4403" s="97"/>
      <c r="G4403" s="97"/>
      <c r="H4403" s="97"/>
      <c r="I4403" s="97"/>
      <c r="J4403" s="97"/>
      <c r="K4403" s="97"/>
      <c r="L4403" s="195"/>
    </row>
    <row r="4404" spans="1:12" x14ac:dyDescent="0.45">
      <c r="A4404" s="462"/>
      <c r="B4404" s="441"/>
      <c r="C4404" s="194">
        <v>3</v>
      </c>
      <c r="D4404" s="80"/>
      <c r="E4404" s="97"/>
      <c r="F4404" s="97"/>
      <c r="G4404" s="97"/>
      <c r="H4404" s="97"/>
      <c r="I4404" s="97"/>
      <c r="J4404" s="97"/>
      <c r="K4404" s="97"/>
      <c r="L4404" s="195"/>
    </row>
    <row r="4405" spans="1:12" x14ac:dyDescent="0.45">
      <c r="A4405" s="462"/>
      <c r="B4405" s="441"/>
      <c r="C4405" s="194">
        <v>4</v>
      </c>
      <c r="D4405" s="80"/>
      <c r="E4405" s="97"/>
      <c r="F4405" s="97"/>
      <c r="G4405" s="97"/>
      <c r="H4405" s="97"/>
      <c r="I4405" s="97"/>
      <c r="J4405" s="97"/>
      <c r="K4405" s="97"/>
      <c r="L4405" s="195"/>
    </row>
    <row r="4406" spans="1:12" x14ac:dyDescent="0.45">
      <c r="A4406" s="462"/>
      <c r="B4406" s="441"/>
      <c r="C4406" s="194">
        <v>5</v>
      </c>
      <c r="D4406" s="80"/>
      <c r="E4406" s="97"/>
      <c r="F4406" s="97"/>
      <c r="G4406" s="97"/>
      <c r="H4406" s="97"/>
      <c r="I4406" s="97"/>
      <c r="J4406" s="97"/>
      <c r="K4406" s="97"/>
      <c r="L4406" s="195"/>
    </row>
    <row r="4407" spans="1:12" x14ac:dyDescent="0.45">
      <c r="A4407" s="462"/>
      <c r="B4407" s="441"/>
      <c r="C4407" s="194">
        <v>6</v>
      </c>
      <c r="D4407" s="80"/>
      <c r="E4407" s="97"/>
      <c r="F4407" s="97"/>
      <c r="G4407" s="97"/>
      <c r="H4407" s="97"/>
      <c r="I4407" s="97"/>
      <c r="J4407" s="97"/>
      <c r="K4407" s="97"/>
      <c r="L4407" s="195"/>
    </row>
    <row r="4408" spans="1:12" x14ac:dyDescent="0.45">
      <c r="A4408" s="462"/>
      <c r="B4408" s="441"/>
      <c r="C4408" s="194">
        <v>7</v>
      </c>
      <c r="D4408" s="80"/>
      <c r="E4408" s="97"/>
      <c r="F4408" s="97"/>
      <c r="G4408" s="97"/>
      <c r="H4408" s="97"/>
      <c r="I4408" s="97"/>
      <c r="J4408" s="97"/>
      <c r="K4408" s="97"/>
      <c r="L4408" s="195"/>
    </row>
    <row r="4409" spans="1:12" x14ac:dyDescent="0.45">
      <c r="A4409" s="462"/>
      <c r="B4409" s="441"/>
      <c r="C4409" s="194">
        <v>8</v>
      </c>
      <c r="D4409" s="80"/>
      <c r="E4409" s="97"/>
      <c r="F4409" s="97"/>
      <c r="G4409" s="97"/>
      <c r="H4409" s="97"/>
      <c r="I4409" s="97"/>
      <c r="J4409" s="97"/>
      <c r="K4409" s="97"/>
      <c r="L4409" s="195"/>
    </row>
    <row r="4410" spans="1:12" x14ac:dyDescent="0.45">
      <c r="A4410" s="462"/>
      <c r="B4410" s="441"/>
      <c r="C4410" s="194">
        <v>9</v>
      </c>
      <c r="D4410" s="80"/>
      <c r="E4410" s="97"/>
      <c r="F4410" s="97"/>
      <c r="G4410" s="97"/>
      <c r="H4410" s="97"/>
      <c r="I4410" s="97"/>
      <c r="J4410" s="97"/>
      <c r="K4410" s="97"/>
      <c r="L4410" s="195"/>
    </row>
    <row r="4411" spans="1:12" x14ac:dyDescent="0.45">
      <c r="A4411" s="462"/>
      <c r="B4411" s="441"/>
      <c r="C4411" s="194">
        <v>10</v>
      </c>
      <c r="D4411" s="80"/>
      <c r="E4411" s="97"/>
      <c r="F4411" s="97"/>
      <c r="G4411" s="97"/>
      <c r="H4411" s="97"/>
      <c r="I4411" s="97"/>
      <c r="J4411" s="97"/>
      <c r="K4411" s="97"/>
      <c r="L4411" s="195"/>
    </row>
    <row r="4412" spans="1:12" x14ac:dyDescent="0.45">
      <c r="A4412" s="462"/>
      <c r="B4412" s="441"/>
      <c r="C4412" s="194">
        <v>11</v>
      </c>
      <c r="D4412" s="81"/>
      <c r="E4412" s="98"/>
      <c r="F4412" s="98"/>
      <c r="G4412" s="98"/>
      <c r="H4412" s="98"/>
      <c r="I4412" s="98"/>
      <c r="J4412" s="98"/>
      <c r="K4412" s="98"/>
      <c r="L4412" s="196"/>
    </row>
    <row r="4413" spans="1:12" ht="14.65" thickBot="1" x14ac:dyDescent="0.5">
      <c r="A4413" s="462"/>
      <c r="B4413" s="442"/>
      <c r="C4413" s="197">
        <v>12</v>
      </c>
      <c r="D4413" s="82"/>
      <c r="E4413" s="99"/>
      <c r="F4413" s="99"/>
      <c r="G4413" s="99"/>
      <c r="H4413" s="99"/>
      <c r="I4413" s="99"/>
      <c r="J4413" s="99"/>
      <c r="K4413" s="99"/>
      <c r="L4413" s="198"/>
    </row>
    <row r="4414" spans="1:12" x14ac:dyDescent="0.45">
      <c r="A4414" s="462"/>
      <c r="B4414" s="440">
        <v>12</v>
      </c>
      <c r="C4414" s="192">
        <v>1</v>
      </c>
      <c r="D4414" s="79"/>
      <c r="E4414" s="96"/>
      <c r="F4414" s="96"/>
      <c r="G4414" s="96"/>
      <c r="H4414" s="96"/>
      <c r="I4414" s="96"/>
      <c r="J4414" s="96"/>
      <c r="K4414" s="96"/>
      <c r="L4414" s="193"/>
    </row>
    <row r="4415" spans="1:12" x14ac:dyDescent="0.45">
      <c r="A4415" s="462"/>
      <c r="B4415" s="441"/>
      <c r="C4415" s="194">
        <v>2</v>
      </c>
      <c r="D4415" s="80"/>
      <c r="E4415" s="97"/>
      <c r="F4415" s="97"/>
      <c r="G4415" s="97"/>
      <c r="H4415" s="97"/>
      <c r="I4415" s="97"/>
      <c r="J4415" s="97"/>
      <c r="K4415" s="97"/>
      <c r="L4415" s="195"/>
    </row>
    <row r="4416" spans="1:12" x14ac:dyDescent="0.45">
      <c r="A4416" s="462"/>
      <c r="B4416" s="441"/>
      <c r="C4416" s="194">
        <v>3</v>
      </c>
      <c r="D4416" s="80"/>
      <c r="E4416" s="97"/>
      <c r="F4416" s="97"/>
      <c r="G4416" s="97"/>
      <c r="H4416" s="97"/>
      <c r="I4416" s="97"/>
      <c r="J4416" s="97"/>
      <c r="K4416" s="97"/>
      <c r="L4416" s="195"/>
    </row>
    <row r="4417" spans="1:14" x14ac:dyDescent="0.45">
      <c r="A4417" s="462"/>
      <c r="B4417" s="441"/>
      <c r="C4417" s="194">
        <v>4</v>
      </c>
      <c r="D4417" s="80"/>
      <c r="E4417" s="97"/>
      <c r="F4417" s="97"/>
      <c r="G4417" s="97"/>
      <c r="H4417" s="97"/>
      <c r="I4417" s="97"/>
      <c r="J4417" s="97"/>
      <c r="K4417" s="97"/>
      <c r="L4417" s="195"/>
    </row>
    <row r="4418" spans="1:14" x14ac:dyDescent="0.45">
      <c r="A4418" s="462"/>
      <c r="B4418" s="441"/>
      <c r="C4418" s="194">
        <v>5</v>
      </c>
      <c r="D4418" s="80"/>
      <c r="E4418" s="97"/>
      <c r="F4418" s="97"/>
      <c r="G4418" s="97"/>
      <c r="H4418" s="97"/>
      <c r="I4418" s="97"/>
      <c r="J4418" s="97"/>
      <c r="K4418" s="97"/>
      <c r="L4418" s="195"/>
    </row>
    <row r="4419" spans="1:14" x14ac:dyDescent="0.45">
      <c r="A4419" s="462"/>
      <c r="B4419" s="441"/>
      <c r="C4419" s="194">
        <v>6</v>
      </c>
      <c r="D4419" s="80"/>
      <c r="E4419" s="97"/>
      <c r="F4419" s="97"/>
      <c r="G4419" s="97"/>
      <c r="H4419" s="97"/>
      <c r="I4419" s="97"/>
      <c r="J4419" s="97"/>
      <c r="K4419" s="97"/>
      <c r="L4419" s="195"/>
    </row>
    <row r="4420" spans="1:14" x14ac:dyDescent="0.45">
      <c r="A4420" s="462"/>
      <c r="B4420" s="441"/>
      <c r="C4420" s="194">
        <v>7</v>
      </c>
      <c r="D4420" s="80"/>
      <c r="E4420" s="97"/>
      <c r="F4420" s="97"/>
      <c r="G4420" s="97"/>
      <c r="H4420" s="97"/>
      <c r="I4420" s="97"/>
      <c r="J4420" s="97"/>
      <c r="K4420" s="97"/>
      <c r="L4420" s="195"/>
    </row>
    <row r="4421" spans="1:14" x14ac:dyDescent="0.45">
      <c r="A4421" s="462"/>
      <c r="B4421" s="441"/>
      <c r="C4421" s="194">
        <v>8</v>
      </c>
      <c r="D4421" s="80"/>
      <c r="E4421" s="97"/>
      <c r="F4421" s="97"/>
      <c r="G4421" s="97"/>
      <c r="H4421" s="97"/>
      <c r="I4421" s="97"/>
      <c r="J4421" s="97"/>
      <c r="K4421" s="97"/>
      <c r="L4421" s="195"/>
    </row>
    <row r="4422" spans="1:14" x14ac:dyDescent="0.45">
      <c r="A4422" s="462"/>
      <c r="B4422" s="441"/>
      <c r="C4422" s="194">
        <v>9</v>
      </c>
      <c r="D4422" s="80"/>
      <c r="E4422" s="97"/>
      <c r="F4422" s="97"/>
      <c r="G4422" s="97"/>
      <c r="H4422" s="97"/>
      <c r="I4422" s="97"/>
      <c r="J4422" s="97"/>
      <c r="K4422" s="97"/>
      <c r="L4422" s="195"/>
    </row>
    <row r="4423" spans="1:14" x14ac:dyDescent="0.45">
      <c r="A4423" s="462"/>
      <c r="B4423" s="441"/>
      <c r="C4423" s="194">
        <v>10</v>
      </c>
      <c r="D4423" s="80"/>
      <c r="E4423" s="97"/>
      <c r="F4423" s="97"/>
      <c r="G4423" s="97"/>
      <c r="H4423" s="97"/>
      <c r="I4423" s="97"/>
      <c r="J4423" s="97"/>
      <c r="K4423" s="97"/>
      <c r="L4423" s="195"/>
    </row>
    <row r="4424" spans="1:14" x14ac:dyDescent="0.45">
      <c r="A4424" s="462"/>
      <c r="B4424" s="441"/>
      <c r="C4424" s="194">
        <v>11</v>
      </c>
      <c r="D4424" s="81"/>
      <c r="E4424" s="98"/>
      <c r="F4424" s="98"/>
      <c r="G4424" s="98"/>
      <c r="H4424" s="98"/>
      <c r="I4424" s="98"/>
      <c r="J4424" s="98"/>
      <c r="K4424" s="98"/>
      <c r="L4424" s="196"/>
    </row>
    <row r="4425" spans="1:14" ht="14.65" thickBot="1" x14ac:dyDescent="0.5">
      <c r="A4425" s="463"/>
      <c r="B4425" s="442"/>
      <c r="C4425" s="199">
        <v>12</v>
      </c>
      <c r="D4425" s="82"/>
      <c r="E4425" s="99"/>
      <c r="F4425" s="99"/>
      <c r="G4425" s="99"/>
      <c r="H4425" s="99"/>
      <c r="I4425" s="99"/>
      <c r="J4425" s="99"/>
      <c r="K4425" s="99"/>
      <c r="L4425" s="198"/>
    </row>
    <row r="4427" spans="1:14" s="91" customFormat="1" x14ac:dyDescent="0.45"/>
    <row r="4428" spans="1:14" ht="14.65" thickBot="1" x14ac:dyDescent="0.5"/>
    <row r="4429" spans="1:14" ht="28.9" thickBot="1" x14ac:dyDescent="0.5">
      <c r="A4429" s="187" t="s">
        <v>76</v>
      </c>
      <c r="B4429" s="186">
        <v>29</v>
      </c>
      <c r="C4429" s="109"/>
      <c r="D4429" s="109"/>
    </row>
    <row r="4430" spans="1:14" x14ac:dyDescent="0.45">
      <c r="A4430" s="443" t="s">
        <v>27</v>
      </c>
      <c r="B4430" s="448">
        <f>Name29</f>
        <v>0</v>
      </c>
      <c r="C4430" s="449"/>
      <c r="D4430" s="450"/>
      <c r="I4430" s="204"/>
      <c r="J4430" s="204"/>
      <c r="K4430" s="204"/>
      <c r="L4430" s="204"/>
      <c r="M4430" s="204"/>
      <c r="N4430" s="204"/>
    </row>
    <row r="4431" spans="1:14" x14ac:dyDescent="0.45">
      <c r="A4431" s="444"/>
      <c r="B4431" s="448"/>
      <c r="C4431" s="449"/>
      <c r="D4431" s="450"/>
      <c r="I4431" s="204"/>
      <c r="J4431" s="204"/>
      <c r="K4431" s="204"/>
      <c r="L4431" s="204"/>
      <c r="M4431" s="204"/>
      <c r="N4431" s="204"/>
    </row>
    <row r="4432" spans="1:14" x14ac:dyDescent="0.45">
      <c r="A4432" s="445"/>
      <c r="B4432" s="388"/>
      <c r="C4432" s="451"/>
      <c r="D4432" s="452"/>
      <c r="I4432" s="204"/>
      <c r="J4432" s="204"/>
      <c r="K4432" s="204"/>
      <c r="L4432" s="204"/>
      <c r="M4432" s="204"/>
      <c r="N4432" s="204"/>
    </row>
    <row r="4433" spans="1:14" ht="14.45" customHeight="1" x14ac:dyDescent="0.45">
      <c r="A4433" s="444" t="s">
        <v>155</v>
      </c>
      <c r="B4433" s="453">
        <f>GapA29</f>
        <v>0</v>
      </c>
      <c r="C4433" s="454"/>
      <c r="D4433" s="455"/>
      <c r="I4433" s="204"/>
      <c r="J4433" s="204"/>
      <c r="K4433" s="204"/>
      <c r="L4433" s="204"/>
      <c r="M4433" s="204"/>
      <c r="N4433" s="204"/>
    </row>
    <row r="4434" spans="1:14" x14ac:dyDescent="0.45">
      <c r="A4434" s="444"/>
      <c r="B4434" s="448"/>
      <c r="C4434" s="449"/>
      <c r="D4434" s="450"/>
      <c r="I4434" s="204"/>
      <c r="J4434" s="204"/>
      <c r="K4434" s="204"/>
      <c r="L4434" s="204"/>
      <c r="M4434" s="204"/>
      <c r="N4434" s="204"/>
    </row>
    <row r="4435" spans="1:14" x14ac:dyDescent="0.45">
      <c r="A4435" s="445"/>
      <c r="B4435" s="388"/>
      <c r="C4435" s="451"/>
      <c r="D4435" s="452"/>
      <c r="I4435" s="204"/>
      <c r="J4435" s="204"/>
      <c r="K4435" s="204"/>
      <c r="L4435" s="204"/>
      <c r="M4435" s="204"/>
      <c r="N4435" s="204"/>
    </row>
    <row r="4436" spans="1:14" x14ac:dyDescent="0.45">
      <c r="A4436" s="444" t="s">
        <v>159</v>
      </c>
      <c r="B4436" s="453">
        <f>Objective29</f>
        <v>0</v>
      </c>
      <c r="C4436" s="454"/>
      <c r="D4436" s="455"/>
      <c r="I4436" s="204"/>
      <c r="J4436" s="204"/>
      <c r="K4436" s="204"/>
      <c r="L4436" s="204"/>
      <c r="M4436" s="204"/>
      <c r="N4436" s="204"/>
    </row>
    <row r="4437" spans="1:14" x14ac:dyDescent="0.45">
      <c r="A4437" s="444"/>
      <c r="B4437" s="448"/>
      <c r="C4437" s="449"/>
      <c r="D4437" s="450"/>
      <c r="I4437" s="204"/>
      <c r="J4437" s="204"/>
      <c r="K4437" s="204"/>
      <c r="L4437" s="204"/>
      <c r="M4437" s="204"/>
      <c r="N4437" s="204"/>
    </row>
    <row r="4438" spans="1:14" x14ac:dyDescent="0.45">
      <c r="A4438" s="445"/>
      <c r="B4438" s="388"/>
      <c r="C4438" s="451"/>
      <c r="D4438" s="452"/>
      <c r="I4438" s="204"/>
      <c r="J4438" s="204"/>
      <c r="K4438" s="204"/>
      <c r="L4438" s="204"/>
      <c r="M4438" s="204"/>
      <c r="N4438" s="204"/>
    </row>
    <row r="4439" spans="1:14" ht="14.45" customHeight="1" x14ac:dyDescent="0.45">
      <c r="A4439" s="446" t="s">
        <v>166</v>
      </c>
      <c r="B4439" s="454">
        <f>Capacity29</f>
        <v>0</v>
      </c>
      <c r="C4439" s="454"/>
      <c r="D4439" s="455"/>
      <c r="I4439" s="204"/>
      <c r="J4439" s="204"/>
      <c r="K4439" s="204"/>
      <c r="L4439" s="204"/>
      <c r="M4439" s="204"/>
      <c r="N4439" s="204"/>
    </row>
    <row r="4440" spans="1:14" x14ac:dyDescent="0.45">
      <c r="A4440" s="447"/>
      <c r="B4440" s="449"/>
      <c r="C4440" s="449"/>
      <c r="D4440" s="450"/>
      <c r="I4440" s="204"/>
      <c r="J4440" s="204"/>
      <c r="K4440" s="204"/>
      <c r="L4440" s="204"/>
      <c r="M4440" s="204"/>
      <c r="N4440" s="204"/>
    </row>
    <row r="4441" spans="1:14" ht="14.65" thickBot="1" x14ac:dyDescent="0.5">
      <c r="A4441" s="464"/>
      <c r="B4441" s="456"/>
      <c r="C4441" s="456"/>
      <c r="D4441" s="457"/>
      <c r="I4441" s="204"/>
      <c r="J4441" s="204"/>
      <c r="K4441" s="204"/>
      <c r="L4441" s="204"/>
      <c r="M4441" s="204"/>
      <c r="N4441" s="204"/>
    </row>
    <row r="4443" spans="1:14" ht="14.65" thickBot="1" x14ac:dyDescent="0.5">
      <c r="A4443" s="90"/>
      <c r="B4443" s="90"/>
      <c r="C4443" s="90"/>
      <c r="D4443" s="90"/>
      <c r="E4443" s="90"/>
      <c r="F4443" s="90"/>
      <c r="G4443" s="90"/>
      <c r="H4443" s="90"/>
      <c r="I4443" s="90"/>
      <c r="J4443" s="90"/>
      <c r="K4443" s="90"/>
      <c r="L4443" s="90"/>
      <c r="M4443" s="90"/>
      <c r="N4443" s="90"/>
    </row>
    <row r="4444" spans="1:14" ht="21.75" customHeight="1" x14ac:dyDescent="0.45">
      <c r="A4444" s="458" t="s">
        <v>135</v>
      </c>
      <c r="B4444" s="459"/>
      <c r="C4444" s="459"/>
      <c r="D4444" s="459"/>
      <c r="E4444" s="459"/>
      <c r="F4444" s="459"/>
      <c r="G4444" s="459"/>
      <c r="H4444" s="459"/>
      <c r="I4444" s="459"/>
      <c r="J4444" s="459"/>
      <c r="K4444" s="459"/>
      <c r="L4444" s="460"/>
    </row>
    <row r="4445" spans="1:14" ht="29" customHeight="1" thickBot="1" x14ac:dyDescent="0.5">
      <c r="A4445" s="93" t="s">
        <v>74</v>
      </c>
      <c r="B4445" s="94" t="s">
        <v>28</v>
      </c>
      <c r="C4445" s="95" t="s">
        <v>320</v>
      </c>
      <c r="D4445" s="95" t="s">
        <v>127</v>
      </c>
      <c r="E4445" s="114" t="s">
        <v>90</v>
      </c>
      <c r="F4445" s="95" t="s">
        <v>175</v>
      </c>
      <c r="G4445" s="95" t="s">
        <v>176</v>
      </c>
      <c r="H4445" s="95" t="s">
        <v>156</v>
      </c>
      <c r="I4445" s="95" t="s">
        <v>157</v>
      </c>
      <c r="J4445" s="189" t="s">
        <v>321</v>
      </c>
      <c r="K4445" s="190" t="s">
        <v>29</v>
      </c>
      <c r="L4445" s="191" t="s">
        <v>322</v>
      </c>
    </row>
    <row r="4446" spans="1:14" x14ac:dyDescent="0.45">
      <c r="A4446" s="461">
        <v>1</v>
      </c>
      <c r="B4446" s="440">
        <v>1</v>
      </c>
      <c r="C4446" s="192">
        <v>1</v>
      </c>
      <c r="D4446" s="79"/>
      <c r="E4446" s="96"/>
      <c r="F4446" s="96"/>
      <c r="G4446" s="96"/>
      <c r="H4446" s="96"/>
      <c r="I4446" s="96"/>
      <c r="J4446" s="96"/>
      <c r="K4446" s="96"/>
      <c r="L4446" s="193"/>
    </row>
    <row r="4447" spans="1:14" x14ac:dyDescent="0.45">
      <c r="A4447" s="462"/>
      <c r="B4447" s="441"/>
      <c r="C4447" s="194">
        <v>2</v>
      </c>
      <c r="D4447" s="80"/>
      <c r="E4447" s="97"/>
      <c r="F4447" s="97"/>
      <c r="G4447" s="97"/>
      <c r="H4447" s="97"/>
      <c r="I4447" s="97"/>
      <c r="J4447" s="97"/>
      <c r="K4447" s="97"/>
      <c r="L4447" s="195"/>
    </row>
    <row r="4448" spans="1:14" x14ac:dyDescent="0.45">
      <c r="A4448" s="462"/>
      <c r="B4448" s="441"/>
      <c r="C4448" s="194">
        <v>3</v>
      </c>
      <c r="D4448" s="80"/>
      <c r="E4448" s="97"/>
      <c r="F4448" s="97"/>
      <c r="G4448" s="97"/>
      <c r="H4448" s="97"/>
      <c r="I4448" s="97"/>
      <c r="J4448" s="97"/>
      <c r="K4448" s="97"/>
      <c r="L4448" s="195"/>
    </row>
    <row r="4449" spans="1:14" x14ac:dyDescent="0.45">
      <c r="A4449" s="462"/>
      <c r="B4449" s="441"/>
      <c r="C4449" s="194">
        <v>4</v>
      </c>
      <c r="D4449" s="80"/>
      <c r="E4449" s="97"/>
      <c r="F4449" s="97"/>
      <c r="G4449" s="97"/>
      <c r="H4449" s="97"/>
      <c r="I4449" s="97"/>
      <c r="J4449" s="97"/>
      <c r="K4449" s="97"/>
      <c r="L4449" s="195"/>
    </row>
    <row r="4450" spans="1:14" x14ac:dyDescent="0.45">
      <c r="A4450" s="462"/>
      <c r="B4450" s="441"/>
      <c r="C4450" s="194">
        <v>5</v>
      </c>
      <c r="D4450" s="80"/>
      <c r="E4450" s="97"/>
      <c r="F4450" s="97"/>
      <c r="G4450" s="97"/>
      <c r="H4450" s="97"/>
      <c r="I4450" s="97"/>
      <c r="J4450" s="97"/>
      <c r="K4450" s="97"/>
      <c r="L4450" s="195"/>
    </row>
    <row r="4451" spans="1:14" x14ac:dyDescent="0.45">
      <c r="A4451" s="462"/>
      <c r="B4451" s="441"/>
      <c r="C4451" s="194">
        <v>6</v>
      </c>
      <c r="D4451" s="80"/>
      <c r="E4451" s="97"/>
      <c r="F4451" s="97"/>
      <c r="G4451" s="97"/>
      <c r="H4451" s="97"/>
      <c r="I4451" s="97"/>
      <c r="J4451" s="97"/>
      <c r="K4451" s="97"/>
      <c r="L4451" s="195"/>
    </row>
    <row r="4452" spans="1:14" x14ac:dyDescent="0.45">
      <c r="A4452" s="462"/>
      <c r="B4452" s="441"/>
      <c r="C4452" s="194">
        <v>7</v>
      </c>
      <c r="D4452" s="80"/>
      <c r="E4452" s="97"/>
      <c r="F4452" s="97"/>
      <c r="G4452" s="97"/>
      <c r="H4452" s="97"/>
      <c r="I4452" s="97"/>
      <c r="J4452" s="97"/>
      <c r="K4452" s="97"/>
      <c r="L4452" s="195"/>
    </row>
    <row r="4453" spans="1:14" x14ac:dyDescent="0.45">
      <c r="A4453" s="462"/>
      <c r="B4453" s="441"/>
      <c r="C4453" s="194">
        <v>8</v>
      </c>
      <c r="D4453" s="80"/>
      <c r="E4453" s="97"/>
      <c r="F4453" s="97"/>
      <c r="G4453" s="97"/>
      <c r="H4453" s="97"/>
      <c r="I4453" s="97"/>
      <c r="J4453" s="97"/>
      <c r="K4453" s="97"/>
      <c r="L4453" s="195"/>
    </row>
    <row r="4454" spans="1:14" x14ac:dyDescent="0.45">
      <c r="A4454" s="462"/>
      <c r="B4454" s="441"/>
      <c r="C4454" s="194">
        <v>9</v>
      </c>
      <c r="D4454" s="80"/>
      <c r="E4454" s="97"/>
      <c r="F4454" s="97"/>
      <c r="G4454" s="97"/>
      <c r="H4454" s="97"/>
      <c r="I4454" s="97"/>
      <c r="J4454" s="97"/>
      <c r="K4454" s="97"/>
      <c r="L4454" s="195"/>
    </row>
    <row r="4455" spans="1:14" x14ac:dyDescent="0.45">
      <c r="A4455" s="462"/>
      <c r="B4455" s="441"/>
      <c r="C4455" s="194">
        <v>10</v>
      </c>
      <c r="D4455" s="80"/>
      <c r="E4455" s="97"/>
      <c r="F4455" s="97"/>
      <c r="G4455" s="97"/>
      <c r="H4455" s="97"/>
      <c r="I4455" s="97"/>
      <c r="J4455" s="97"/>
      <c r="K4455" s="97"/>
      <c r="L4455" s="195"/>
    </row>
    <row r="4456" spans="1:14" x14ac:dyDescent="0.45">
      <c r="A4456" s="462"/>
      <c r="B4456" s="441"/>
      <c r="C4456" s="194">
        <v>11</v>
      </c>
      <c r="D4456" s="81"/>
      <c r="E4456" s="98"/>
      <c r="F4456" s="98"/>
      <c r="G4456" s="98"/>
      <c r="H4456" s="98"/>
      <c r="I4456" s="98"/>
      <c r="J4456" s="98"/>
      <c r="K4456" s="98"/>
      <c r="L4456" s="196"/>
    </row>
    <row r="4457" spans="1:14" s="90" customFormat="1" ht="14.65" thickBot="1" x14ac:dyDescent="0.5">
      <c r="A4457" s="462"/>
      <c r="B4457" s="442"/>
      <c r="C4457" s="197">
        <v>12</v>
      </c>
      <c r="D4457" s="82"/>
      <c r="E4457" s="99"/>
      <c r="F4457" s="99"/>
      <c r="G4457" s="99"/>
      <c r="H4457" s="99"/>
      <c r="I4457" s="99"/>
      <c r="J4457" s="99"/>
      <c r="K4457" s="99"/>
      <c r="L4457" s="198"/>
      <c r="M4457" s="61"/>
      <c r="N4457" s="61"/>
    </row>
    <row r="4458" spans="1:14" x14ac:dyDescent="0.45">
      <c r="A4458" s="462"/>
      <c r="B4458" s="440">
        <v>2</v>
      </c>
      <c r="C4458" s="192">
        <v>1</v>
      </c>
      <c r="D4458" s="79"/>
      <c r="E4458" s="96"/>
      <c r="F4458" s="96"/>
      <c r="G4458" s="96"/>
      <c r="H4458" s="96"/>
      <c r="I4458" s="96"/>
      <c r="J4458" s="96"/>
      <c r="K4458" s="96"/>
      <c r="L4458" s="193"/>
    </row>
    <row r="4459" spans="1:14" x14ac:dyDescent="0.45">
      <c r="A4459" s="462"/>
      <c r="B4459" s="441"/>
      <c r="C4459" s="194">
        <v>2</v>
      </c>
      <c r="D4459" s="80"/>
      <c r="E4459" s="97"/>
      <c r="F4459" s="97"/>
      <c r="G4459" s="97"/>
      <c r="H4459" s="97"/>
      <c r="I4459" s="97"/>
      <c r="J4459" s="97"/>
      <c r="K4459" s="97"/>
      <c r="L4459" s="195"/>
    </row>
    <row r="4460" spans="1:14" x14ac:dyDescent="0.45">
      <c r="A4460" s="462"/>
      <c r="B4460" s="441"/>
      <c r="C4460" s="194">
        <v>3</v>
      </c>
      <c r="D4460" s="80"/>
      <c r="E4460" s="97"/>
      <c r="F4460" s="97"/>
      <c r="G4460" s="97"/>
      <c r="H4460" s="97"/>
      <c r="I4460" s="97"/>
      <c r="J4460" s="97"/>
      <c r="K4460" s="97"/>
      <c r="L4460" s="195"/>
    </row>
    <row r="4461" spans="1:14" x14ac:dyDescent="0.45">
      <c r="A4461" s="462"/>
      <c r="B4461" s="441"/>
      <c r="C4461" s="194">
        <v>4</v>
      </c>
      <c r="D4461" s="80"/>
      <c r="E4461" s="97"/>
      <c r="F4461" s="97"/>
      <c r="G4461" s="97"/>
      <c r="H4461" s="97"/>
      <c r="I4461" s="97"/>
      <c r="J4461" s="97"/>
      <c r="K4461" s="97"/>
      <c r="L4461" s="195"/>
    </row>
    <row r="4462" spans="1:14" x14ac:dyDescent="0.45">
      <c r="A4462" s="462"/>
      <c r="B4462" s="441"/>
      <c r="C4462" s="194">
        <v>5</v>
      </c>
      <c r="D4462" s="80"/>
      <c r="E4462" s="97"/>
      <c r="F4462" s="97"/>
      <c r="G4462" s="97"/>
      <c r="H4462" s="97"/>
      <c r="I4462" s="97"/>
      <c r="J4462" s="97"/>
      <c r="K4462" s="97"/>
      <c r="L4462" s="195"/>
    </row>
    <row r="4463" spans="1:14" x14ac:dyDescent="0.45">
      <c r="A4463" s="462"/>
      <c r="B4463" s="441"/>
      <c r="C4463" s="194">
        <v>6</v>
      </c>
      <c r="D4463" s="80"/>
      <c r="E4463" s="97"/>
      <c r="F4463" s="97"/>
      <c r="G4463" s="97"/>
      <c r="H4463" s="97"/>
      <c r="I4463" s="97"/>
      <c r="J4463" s="97"/>
      <c r="K4463" s="97"/>
      <c r="L4463" s="195"/>
    </row>
    <row r="4464" spans="1:14" x14ac:dyDescent="0.45">
      <c r="A4464" s="462"/>
      <c r="B4464" s="441"/>
      <c r="C4464" s="194">
        <v>7</v>
      </c>
      <c r="D4464" s="80"/>
      <c r="E4464" s="97"/>
      <c r="F4464" s="97"/>
      <c r="G4464" s="97"/>
      <c r="H4464" s="97"/>
      <c r="I4464" s="97"/>
      <c r="J4464" s="97"/>
      <c r="K4464" s="97"/>
      <c r="L4464" s="195"/>
    </row>
    <row r="4465" spans="1:12" x14ac:dyDescent="0.45">
      <c r="A4465" s="462"/>
      <c r="B4465" s="441"/>
      <c r="C4465" s="194">
        <v>8</v>
      </c>
      <c r="D4465" s="80"/>
      <c r="E4465" s="97"/>
      <c r="F4465" s="97"/>
      <c r="G4465" s="97"/>
      <c r="H4465" s="97"/>
      <c r="I4465" s="97"/>
      <c r="J4465" s="97"/>
      <c r="K4465" s="97"/>
      <c r="L4465" s="195"/>
    </row>
    <row r="4466" spans="1:12" x14ac:dyDescent="0.45">
      <c r="A4466" s="462"/>
      <c r="B4466" s="441"/>
      <c r="C4466" s="194">
        <v>9</v>
      </c>
      <c r="D4466" s="80"/>
      <c r="E4466" s="97"/>
      <c r="F4466" s="97"/>
      <c r="G4466" s="97"/>
      <c r="H4466" s="97"/>
      <c r="I4466" s="97"/>
      <c r="J4466" s="97"/>
      <c r="K4466" s="97"/>
      <c r="L4466" s="195"/>
    </row>
    <row r="4467" spans="1:12" x14ac:dyDescent="0.45">
      <c r="A4467" s="462"/>
      <c r="B4467" s="441"/>
      <c r="C4467" s="194">
        <v>10</v>
      </c>
      <c r="D4467" s="80"/>
      <c r="E4467" s="97"/>
      <c r="F4467" s="97"/>
      <c r="G4467" s="97"/>
      <c r="H4467" s="97"/>
      <c r="I4467" s="97"/>
      <c r="J4467" s="97"/>
      <c r="K4467" s="97"/>
      <c r="L4467" s="195"/>
    </row>
    <row r="4468" spans="1:12" x14ac:dyDescent="0.45">
      <c r="A4468" s="462"/>
      <c r="B4468" s="441"/>
      <c r="C4468" s="194">
        <v>11</v>
      </c>
      <c r="D4468" s="81"/>
      <c r="E4468" s="98"/>
      <c r="F4468" s="98"/>
      <c r="G4468" s="98"/>
      <c r="H4468" s="98"/>
      <c r="I4468" s="98"/>
      <c r="J4468" s="98"/>
      <c r="K4468" s="98"/>
      <c r="L4468" s="196"/>
    </row>
    <row r="4469" spans="1:12" ht="14.65" thickBot="1" x14ac:dyDescent="0.5">
      <c r="A4469" s="462"/>
      <c r="B4469" s="442"/>
      <c r="C4469" s="197">
        <v>12</v>
      </c>
      <c r="D4469" s="82"/>
      <c r="E4469" s="99"/>
      <c r="F4469" s="99"/>
      <c r="G4469" s="99"/>
      <c r="H4469" s="99"/>
      <c r="I4469" s="99"/>
      <c r="J4469" s="99"/>
      <c r="K4469" s="99"/>
      <c r="L4469" s="198"/>
    </row>
    <row r="4470" spans="1:12" x14ac:dyDescent="0.45">
      <c r="A4470" s="462"/>
      <c r="B4470" s="440">
        <v>3</v>
      </c>
      <c r="C4470" s="192">
        <v>1</v>
      </c>
      <c r="D4470" s="79"/>
      <c r="E4470" s="96"/>
      <c r="F4470" s="96"/>
      <c r="G4470" s="96"/>
      <c r="H4470" s="96"/>
      <c r="I4470" s="96"/>
      <c r="J4470" s="96"/>
      <c r="K4470" s="96"/>
      <c r="L4470" s="193"/>
    </row>
    <row r="4471" spans="1:12" x14ac:dyDescent="0.45">
      <c r="A4471" s="462"/>
      <c r="B4471" s="441"/>
      <c r="C4471" s="194">
        <v>2</v>
      </c>
      <c r="D4471" s="80"/>
      <c r="E4471" s="97"/>
      <c r="F4471" s="97"/>
      <c r="G4471" s="97"/>
      <c r="H4471" s="97"/>
      <c r="I4471" s="97"/>
      <c r="J4471" s="97"/>
      <c r="K4471" s="97"/>
      <c r="L4471" s="195"/>
    </row>
    <row r="4472" spans="1:12" x14ac:dyDescent="0.45">
      <c r="A4472" s="462"/>
      <c r="B4472" s="441"/>
      <c r="C4472" s="194">
        <v>3</v>
      </c>
      <c r="D4472" s="80"/>
      <c r="E4472" s="97"/>
      <c r="F4472" s="97"/>
      <c r="G4472" s="97"/>
      <c r="H4472" s="97"/>
      <c r="I4472" s="97"/>
      <c r="J4472" s="97"/>
      <c r="K4472" s="97"/>
      <c r="L4472" s="195"/>
    </row>
    <row r="4473" spans="1:12" x14ac:dyDescent="0.45">
      <c r="A4473" s="462"/>
      <c r="B4473" s="441"/>
      <c r="C4473" s="194">
        <v>4</v>
      </c>
      <c r="D4473" s="80"/>
      <c r="E4473" s="97"/>
      <c r="F4473" s="97"/>
      <c r="G4473" s="97"/>
      <c r="H4473" s="97"/>
      <c r="I4473" s="97"/>
      <c r="J4473" s="97"/>
      <c r="K4473" s="97"/>
      <c r="L4473" s="195"/>
    </row>
    <row r="4474" spans="1:12" x14ac:dyDescent="0.45">
      <c r="A4474" s="462"/>
      <c r="B4474" s="441"/>
      <c r="C4474" s="194">
        <v>5</v>
      </c>
      <c r="D4474" s="80"/>
      <c r="E4474" s="97"/>
      <c r="F4474" s="97"/>
      <c r="G4474" s="97"/>
      <c r="H4474" s="97"/>
      <c r="I4474" s="97"/>
      <c r="J4474" s="97"/>
      <c r="K4474" s="97"/>
      <c r="L4474" s="195"/>
    </row>
    <row r="4475" spans="1:12" x14ac:dyDescent="0.45">
      <c r="A4475" s="462"/>
      <c r="B4475" s="441"/>
      <c r="C4475" s="194">
        <v>6</v>
      </c>
      <c r="D4475" s="80"/>
      <c r="E4475" s="97"/>
      <c r="F4475" s="97"/>
      <c r="G4475" s="97"/>
      <c r="H4475" s="97"/>
      <c r="I4475" s="97"/>
      <c r="J4475" s="97"/>
      <c r="K4475" s="97"/>
      <c r="L4475" s="195"/>
    </row>
    <row r="4476" spans="1:12" x14ac:dyDescent="0.45">
      <c r="A4476" s="462"/>
      <c r="B4476" s="441"/>
      <c r="C4476" s="194">
        <v>7</v>
      </c>
      <c r="D4476" s="80"/>
      <c r="E4476" s="97"/>
      <c r="F4476" s="97"/>
      <c r="G4476" s="97"/>
      <c r="H4476" s="97"/>
      <c r="I4476" s="97"/>
      <c r="J4476" s="97"/>
      <c r="K4476" s="97"/>
      <c r="L4476" s="195"/>
    </row>
    <row r="4477" spans="1:12" x14ac:dyDescent="0.45">
      <c r="A4477" s="462"/>
      <c r="B4477" s="441"/>
      <c r="C4477" s="194">
        <v>8</v>
      </c>
      <c r="D4477" s="80"/>
      <c r="E4477" s="97"/>
      <c r="F4477" s="97"/>
      <c r="G4477" s="97"/>
      <c r="H4477" s="97"/>
      <c r="I4477" s="97"/>
      <c r="J4477" s="97"/>
      <c r="K4477" s="97"/>
      <c r="L4477" s="195"/>
    </row>
    <row r="4478" spans="1:12" x14ac:dyDescent="0.45">
      <c r="A4478" s="462"/>
      <c r="B4478" s="441"/>
      <c r="C4478" s="194">
        <v>9</v>
      </c>
      <c r="D4478" s="80"/>
      <c r="E4478" s="97"/>
      <c r="F4478" s="97"/>
      <c r="G4478" s="97"/>
      <c r="H4478" s="97"/>
      <c r="I4478" s="97"/>
      <c r="J4478" s="97"/>
      <c r="K4478" s="97"/>
      <c r="L4478" s="195"/>
    </row>
    <row r="4479" spans="1:12" x14ac:dyDescent="0.45">
      <c r="A4479" s="462"/>
      <c r="B4479" s="441"/>
      <c r="C4479" s="194">
        <v>10</v>
      </c>
      <c r="D4479" s="80"/>
      <c r="E4479" s="97"/>
      <c r="F4479" s="97"/>
      <c r="G4479" s="97"/>
      <c r="H4479" s="97"/>
      <c r="I4479" s="97"/>
      <c r="J4479" s="97"/>
      <c r="K4479" s="97"/>
      <c r="L4479" s="195"/>
    </row>
    <row r="4480" spans="1:12" x14ac:dyDescent="0.45">
      <c r="A4480" s="462"/>
      <c r="B4480" s="441"/>
      <c r="C4480" s="194">
        <v>11</v>
      </c>
      <c r="D4480" s="81"/>
      <c r="E4480" s="98"/>
      <c r="F4480" s="98"/>
      <c r="G4480" s="98"/>
      <c r="H4480" s="98"/>
      <c r="I4480" s="98"/>
      <c r="J4480" s="98"/>
      <c r="K4480" s="98"/>
      <c r="L4480" s="196"/>
    </row>
    <row r="4481" spans="1:12" ht="14.65" thickBot="1" x14ac:dyDescent="0.5">
      <c r="A4481" s="462"/>
      <c r="B4481" s="442"/>
      <c r="C4481" s="197">
        <v>12</v>
      </c>
      <c r="D4481" s="82"/>
      <c r="E4481" s="99"/>
      <c r="F4481" s="99"/>
      <c r="G4481" s="99"/>
      <c r="H4481" s="99"/>
      <c r="I4481" s="99"/>
      <c r="J4481" s="99"/>
      <c r="K4481" s="99"/>
      <c r="L4481" s="198"/>
    </row>
    <row r="4482" spans="1:12" x14ac:dyDescent="0.45">
      <c r="A4482" s="462"/>
      <c r="B4482" s="440">
        <v>4</v>
      </c>
      <c r="C4482" s="192">
        <v>1</v>
      </c>
      <c r="D4482" s="79"/>
      <c r="E4482" s="96"/>
      <c r="F4482" s="96"/>
      <c r="G4482" s="96"/>
      <c r="H4482" s="96"/>
      <c r="I4482" s="96"/>
      <c r="J4482" s="96"/>
      <c r="K4482" s="96"/>
      <c r="L4482" s="193"/>
    </row>
    <row r="4483" spans="1:12" x14ac:dyDescent="0.45">
      <c r="A4483" s="462"/>
      <c r="B4483" s="441"/>
      <c r="C4483" s="194">
        <v>2</v>
      </c>
      <c r="D4483" s="80"/>
      <c r="E4483" s="97"/>
      <c r="F4483" s="97"/>
      <c r="G4483" s="97"/>
      <c r="H4483" s="97"/>
      <c r="I4483" s="97"/>
      <c r="J4483" s="97"/>
      <c r="K4483" s="97"/>
      <c r="L4483" s="195"/>
    </row>
    <row r="4484" spans="1:12" x14ac:dyDescent="0.45">
      <c r="A4484" s="462"/>
      <c r="B4484" s="441"/>
      <c r="C4484" s="194">
        <v>3</v>
      </c>
      <c r="D4484" s="80"/>
      <c r="E4484" s="97"/>
      <c r="F4484" s="97"/>
      <c r="G4484" s="97"/>
      <c r="H4484" s="97"/>
      <c r="I4484" s="97"/>
      <c r="J4484" s="97"/>
      <c r="K4484" s="97"/>
      <c r="L4484" s="195"/>
    </row>
    <row r="4485" spans="1:12" x14ac:dyDescent="0.45">
      <c r="A4485" s="462"/>
      <c r="B4485" s="441"/>
      <c r="C4485" s="194">
        <v>4</v>
      </c>
      <c r="D4485" s="80"/>
      <c r="E4485" s="97"/>
      <c r="F4485" s="97"/>
      <c r="G4485" s="97"/>
      <c r="H4485" s="97"/>
      <c r="I4485" s="97"/>
      <c r="J4485" s="97"/>
      <c r="K4485" s="97"/>
      <c r="L4485" s="195"/>
    </row>
    <row r="4486" spans="1:12" x14ac:dyDescent="0.45">
      <c r="A4486" s="462"/>
      <c r="B4486" s="441"/>
      <c r="C4486" s="194">
        <v>5</v>
      </c>
      <c r="D4486" s="80"/>
      <c r="E4486" s="97"/>
      <c r="F4486" s="97"/>
      <c r="G4486" s="97"/>
      <c r="H4486" s="97"/>
      <c r="I4486" s="97"/>
      <c r="J4486" s="97"/>
      <c r="K4486" s="97"/>
      <c r="L4486" s="195"/>
    </row>
    <row r="4487" spans="1:12" x14ac:dyDescent="0.45">
      <c r="A4487" s="462"/>
      <c r="B4487" s="441"/>
      <c r="C4487" s="194">
        <v>6</v>
      </c>
      <c r="D4487" s="80"/>
      <c r="E4487" s="97"/>
      <c r="F4487" s="97"/>
      <c r="G4487" s="97"/>
      <c r="H4487" s="97"/>
      <c r="I4487" s="97"/>
      <c r="J4487" s="97"/>
      <c r="K4487" s="97"/>
      <c r="L4487" s="195"/>
    </row>
    <row r="4488" spans="1:12" x14ac:dyDescent="0.45">
      <c r="A4488" s="462"/>
      <c r="B4488" s="441"/>
      <c r="C4488" s="194">
        <v>7</v>
      </c>
      <c r="D4488" s="80"/>
      <c r="E4488" s="97"/>
      <c r="F4488" s="97"/>
      <c r="G4488" s="97"/>
      <c r="H4488" s="97"/>
      <c r="I4488" s="97"/>
      <c r="J4488" s="97"/>
      <c r="K4488" s="97"/>
      <c r="L4488" s="195"/>
    </row>
    <row r="4489" spans="1:12" x14ac:dyDescent="0.45">
      <c r="A4489" s="462"/>
      <c r="B4489" s="441"/>
      <c r="C4489" s="194">
        <v>8</v>
      </c>
      <c r="D4489" s="80"/>
      <c r="E4489" s="97"/>
      <c r="F4489" s="97"/>
      <c r="G4489" s="97"/>
      <c r="H4489" s="97"/>
      <c r="I4489" s="97"/>
      <c r="J4489" s="97"/>
      <c r="K4489" s="97"/>
      <c r="L4489" s="195"/>
    </row>
    <row r="4490" spans="1:12" x14ac:dyDescent="0.45">
      <c r="A4490" s="462"/>
      <c r="B4490" s="441"/>
      <c r="C4490" s="194">
        <v>9</v>
      </c>
      <c r="D4490" s="80"/>
      <c r="E4490" s="97"/>
      <c r="F4490" s="97"/>
      <c r="G4490" s="97"/>
      <c r="H4490" s="97"/>
      <c r="I4490" s="97"/>
      <c r="J4490" s="97"/>
      <c r="K4490" s="97"/>
      <c r="L4490" s="195"/>
    </row>
    <row r="4491" spans="1:12" x14ac:dyDescent="0.45">
      <c r="A4491" s="462"/>
      <c r="B4491" s="441"/>
      <c r="C4491" s="194">
        <v>10</v>
      </c>
      <c r="D4491" s="80"/>
      <c r="E4491" s="97"/>
      <c r="F4491" s="97"/>
      <c r="G4491" s="97"/>
      <c r="H4491" s="97"/>
      <c r="I4491" s="97"/>
      <c r="J4491" s="97"/>
      <c r="K4491" s="97"/>
      <c r="L4491" s="195"/>
    </row>
    <row r="4492" spans="1:12" x14ac:dyDescent="0.45">
      <c r="A4492" s="462"/>
      <c r="B4492" s="441"/>
      <c r="C4492" s="194">
        <v>11</v>
      </c>
      <c r="D4492" s="81"/>
      <c r="E4492" s="98"/>
      <c r="F4492" s="98"/>
      <c r="G4492" s="98"/>
      <c r="H4492" s="98"/>
      <c r="I4492" s="98"/>
      <c r="J4492" s="98"/>
      <c r="K4492" s="98"/>
      <c r="L4492" s="196"/>
    </row>
    <row r="4493" spans="1:12" ht="14.65" thickBot="1" x14ac:dyDescent="0.5">
      <c r="A4493" s="463"/>
      <c r="B4493" s="442"/>
      <c r="C4493" s="197">
        <v>12</v>
      </c>
      <c r="D4493" s="82"/>
      <c r="E4493" s="99"/>
      <c r="F4493" s="99"/>
      <c r="G4493" s="99"/>
      <c r="H4493" s="99"/>
      <c r="I4493" s="99"/>
      <c r="J4493" s="99"/>
      <c r="K4493" s="99"/>
      <c r="L4493" s="198"/>
    </row>
    <row r="4494" spans="1:12" x14ac:dyDescent="0.45">
      <c r="A4494" s="461">
        <v>2</v>
      </c>
      <c r="B4494" s="440">
        <v>5</v>
      </c>
      <c r="C4494" s="192">
        <v>1</v>
      </c>
      <c r="D4494" s="79"/>
      <c r="E4494" s="96"/>
      <c r="F4494" s="96"/>
      <c r="G4494" s="96"/>
      <c r="H4494" s="96"/>
      <c r="I4494" s="96"/>
      <c r="J4494" s="96"/>
      <c r="K4494" s="96"/>
      <c r="L4494" s="193"/>
    </row>
    <row r="4495" spans="1:12" x14ac:dyDescent="0.45">
      <c r="A4495" s="462"/>
      <c r="B4495" s="441"/>
      <c r="C4495" s="194">
        <v>2</v>
      </c>
      <c r="D4495" s="80"/>
      <c r="E4495" s="97"/>
      <c r="F4495" s="97"/>
      <c r="G4495" s="97"/>
      <c r="H4495" s="97"/>
      <c r="I4495" s="97"/>
      <c r="J4495" s="97"/>
      <c r="K4495" s="97"/>
      <c r="L4495" s="195"/>
    </row>
    <row r="4496" spans="1:12" x14ac:dyDescent="0.45">
      <c r="A4496" s="462"/>
      <c r="B4496" s="441"/>
      <c r="C4496" s="194">
        <v>3</v>
      </c>
      <c r="D4496" s="80"/>
      <c r="E4496" s="97"/>
      <c r="F4496" s="97"/>
      <c r="G4496" s="97"/>
      <c r="H4496" s="97"/>
      <c r="I4496" s="97"/>
      <c r="J4496" s="97"/>
      <c r="K4496" s="97"/>
      <c r="L4496" s="195"/>
    </row>
    <row r="4497" spans="1:12" x14ac:dyDescent="0.45">
      <c r="A4497" s="462"/>
      <c r="B4497" s="441"/>
      <c r="C4497" s="194">
        <v>4</v>
      </c>
      <c r="D4497" s="80"/>
      <c r="E4497" s="97"/>
      <c r="F4497" s="97"/>
      <c r="G4497" s="97"/>
      <c r="H4497" s="97"/>
      <c r="I4497" s="97"/>
      <c r="J4497" s="97"/>
      <c r="K4497" s="97"/>
      <c r="L4497" s="195"/>
    </row>
    <row r="4498" spans="1:12" x14ac:dyDescent="0.45">
      <c r="A4498" s="462"/>
      <c r="B4498" s="441"/>
      <c r="C4498" s="194">
        <v>5</v>
      </c>
      <c r="D4498" s="80"/>
      <c r="E4498" s="97"/>
      <c r="F4498" s="97"/>
      <c r="G4498" s="97"/>
      <c r="H4498" s="97"/>
      <c r="I4498" s="97"/>
      <c r="J4498" s="97"/>
      <c r="K4498" s="97"/>
      <c r="L4498" s="195"/>
    </row>
    <row r="4499" spans="1:12" x14ac:dyDescent="0.45">
      <c r="A4499" s="462"/>
      <c r="B4499" s="441"/>
      <c r="C4499" s="194">
        <v>6</v>
      </c>
      <c r="D4499" s="80"/>
      <c r="E4499" s="97"/>
      <c r="F4499" s="97"/>
      <c r="G4499" s="97"/>
      <c r="H4499" s="97"/>
      <c r="I4499" s="97"/>
      <c r="J4499" s="97"/>
      <c r="K4499" s="97"/>
      <c r="L4499" s="195"/>
    </row>
    <row r="4500" spans="1:12" x14ac:dyDescent="0.45">
      <c r="A4500" s="462"/>
      <c r="B4500" s="441"/>
      <c r="C4500" s="194">
        <v>7</v>
      </c>
      <c r="D4500" s="80"/>
      <c r="E4500" s="97"/>
      <c r="F4500" s="97"/>
      <c r="G4500" s="97"/>
      <c r="H4500" s="97"/>
      <c r="I4500" s="97"/>
      <c r="J4500" s="97"/>
      <c r="K4500" s="97"/>
      <c r="L4500" s="195"/>
    </row>
    <row r="4501" spans="1:12" x14ac:dyDescent="0.45">
      <c r="A4501" s="462"/>
      <c r="B4501" s="441"/>
      <c r="C4501" s="194">
        <v>8</v>
      </c>
      <c r="D4501" s="80"/>
      <c r="E4501" s="97"/>
      <c r="F4501" s="97"/>
      <c r="G4501" s="97"/>
      <c r="H4501" s="97"/>
      <c r="I4501" s="97"/>
      <c r="J4501" s="97"/>
      <c r="K4501" s="97"/>
      <c r="L4501" s="195"/>
    </row>
    <row r="4502" spans="1:12" x14ac:dyDescent="0.45">
      <c r="A4502" s="462"/>
      <c r="B4502" s="441"/>
      <c r="C4502" s="194">
        <v>9</v>
      </c>
      <c r="D4502" s="80"/>
      <c r="E4502" s="97"/>
      <c r="F4502" s="97"/>
      <c r="G4502" s="97"/>
      <c r="H4502" s="97"/>
      <c r="I4502" s="97"/>
      <c r="J4502" s="97"/>
      <c r="K4502" s="97"/>
      <c r="L4502" s="195"/>
    </row>
    <row r="4503" spans="1:12" x14ac:dyDescent="0.45">
      <c r="A4503" s="462"/>
      <c r="B4503" s="441"/>
      <c r="C4503" s="194">
        <v>10</v>
      </c>
      <c r="D4503" s="80"/>
      <c r="E4503" s="97"/>
      <c r="F4503" s="97"/>
      <c r="G4503" s="97"/>
      <c r="H4503" s="97"/>
      <c r="I4503" s="97"/>
      <c r="J4503" s="97"/>
      <c r="K4503" s="97"/>
      <c r="L4503" s="195"/>
    </row>
    <row r="4504" spans="1:12" x14ac:dyDescent="0.45">
      <c r="A4504" s="462"/>
      <c r="B4504" s="441"/>
      <c r="C4504" s="194">
        <v>11</v>
      </c>
      <c r="D4504" s="81"/>
      <c r="E4504" s="98"/>
      <c r="F4504" s="98"/>
      <c r="G4504" s="98"/>
      <c r="H4504" s="98"/>
      <c r="I4504" s="98"/>
      <c r="J4504" s="98"/>
      <c r="K4504" s="98"/>
      <c r="L4504" s="196"/>
    </row>
    <row r="4505" spans="1:12" ht="14.65" thickBot="1" x14ac:dyDescent="0.5">
      <c r="A4505" s="462"/>
      <c r="B4505" s="442"/>
      <c r="C4505" s="197">
        <v>12</v>
      </c>
      <c r="D4505" s="82"/>
      <c r="E4505" s="99"/>
      <c r="F4505" s="99"/>
      <c r="G4505" s="99"/>
      <c r="H4505" s="99"/>
      <c r="I4505" s="99"/>
      <c r="J4505" s="99"/>
      <c r="K4505" s="99"/>
      <c r="L4505" s="198"/>
    </row>
    <row r="4506" spans="1:12" x14ac:dyDescent="0.45">
      <c r="A4506" s="462"/>
      <c r="B4506" s="440">
        <v>6</v>
      </c>
      <c r="C4506" s="192">
        <v>1</v>
      </c>
      <c r="D4506" s="79"/>
      <c r="E4506" s="96"/>
      <c r="F4506" s="96"/>
      <c r="G4506" s="96"/>
      <c r="H4506" s="96"/>
      <c r="I4506" s="96"/>
      <c r="J4506" s="96"/>
      <c r="K4506" s="96"/>
      <c r="L4506" s="193"/>
    </row>
    <row r="4507" spans="1:12" x14ac:dyDescent="0.45">
      <c r="A4507" s="462"/>
      <c r="B4507" s="441"/>
      <c r="C4507" s="194">
        <v>2</v>
      </c>
      <c r="D4507" s="80"/>
      <c r="E4507" s="97"/>
      <c r="F4507" s="97"/>
      <c r="G4507" s="97"/>
      <c r="H4507" s="97"/>
      <c r="I4507" s="97"/>
      <c r="J4507" s="97"/>
      <c r="K4507" s="97"/>
      <c r="L4507" s="195"/>
    </row>
    <row r="4508" spans="1:12" x14ac:dyDescent="0.45">
      <c r="A4508" s="462"/>
      <c r="B4508" s="441"/>
      <c r="C4508" s="194">
        <v>3</v>
      </c>
      <c r="D4508" s="80"/>
      <c r="E4508" s="97"/>
      <c r="F4508" s="97"/>
      <c r="G4508" s="97"/>
      <c r="H4508" s="97"/>
      <c r="I4508" s="97"/>
      <c r="J4508" s="97"/>
      <c r="K4508" s="97"/>
      <c r="L4508" s="195"/>
    </row>
    <row r="4509" spans="1:12" x14ac:dyDescent="0.45">
      <c r="A4509" s="462"/>
      <c r="B4509" s="441"/>
      <c r="C4509" s="194">
        <v>4</v>
      </c>
      <c r="D4509" s="80"/>
      <c r="E4509" s="97"/>
      <c r="F4509" s="97"/>
      <c r="G4509" s="97"/>
      <c r="H4509" s="97"/>
      <c r="I4509" s="97"/>
      <c r="J4509" s="97"/>
      <c r="K4509" s="97"/>
      <c r="L4509" s="195"/>
    </row>
    <row r="4510" spans="1:12" x14ac:dyDescent="0.45">
      <c r="A4510" s="462"/>
      <c r="B4510" s="441"/>
      <c r="C4510" s="194">
        <v>5</v>
      </c>
      <c r="D4510" s="80"/>
      <c r="E4510" s="97"/>
      <c r="F4510" s="97"/>
      <c r="G4510" s="97"/>
      <c r="H4510" s="97"/>
      <c r="I4510" s="97"/>
      <c r="J4510" s="97"/>
      <c r="K4510" s="97"/>
      <c r="L4510" s="195"/>
    </row>
    <row r="4511" spans="1:12" x14ac:dyDescent="0.45">
      <c r="A4511" s="462"/>
      <c r="B4511" s="441"/>
      <c r="C4511" s="194">
        <v>6</v>
      </c>
      <c r="D4511" s="80"/>
      <c r="E4511" s="97"/>
      <c r="F4511" s="97"/>
      <c r="G4511" s="97"/>
      <c r="H4511" s="97"/>
      <c r="I4511" s="97"/>
      <c r="J4511" s="97"/>
      <c r="K4511" s="97"/>
      <c r="L4511" s="195"/>
    </row>
    <row r="4512" spans="1:12" x14ac:dyDescent="0.45">
      <c r="A4512" s="462"/>
      <c r="B4512" s="441"/>
      <c r="C4512" s="194">
        <v>7</v>
      </c>
      <c r="D4512" s="80"/>
      <c r="E4512" s="97"/>
      <c r="F4512" s="97"/>
      <c r="G4512" s="97"/>
      <c r="H4512" s="97"/>
      <c r="I4512" s="97"/>
      <c r="J4512" s="97"/>
      <c r="K4512" s="97"/>
      <c r="L4512" s="195"/>
    </row>
    <row r="4513" spans="1:12" x14ac:dyDescent="0.45">
      <c r="A4513" s="462"/>
      <c r="B4513" s="441"/>
      <c r="C4513" s="194">
        <v>8</v>
      </c>
      <c r="D4513" s="80"/>
      <c r="E4513" s="97"/>
      <c r="F4513" s="97"/>
      <c r="G4513" s="97"/>
      <c r="H4513" s="97"/>
      <c r="I4513" s="97"/>
      <c r="J4513" s="97"/>
      <c r="K4513" s="97"/>
      <c r="L4513" s="195"/>
    </row>
    <row r="4514" spans="1:12" x14ac:dyDescent="0.45">
      <c r="A4514" s="462"/>
      <c r="B4514" s="441"/>
      <c r="C4514" s="194">
        <v>9</v>
      </c>
      <c r="D4514" s="80"/>
      <c r="E4514" s="97"/>
      <c r="F4514" s="97"/>
      <c r="G4514" s="97"/>
      <c r="H4514" s="97"/>
      <c r="I4514" s="97"/>
      <c r="J4514" s="97"/>
      <c r="K4514" s="97"/>
      <c r="L4514" s="195"/>
    </row>
    <row r="4515" spans="1:12" x14ac:dyDescent="0.45">
      <c r="A4515" s="462"/>
      <c r="B4515" s="441"/>
      <c r="C4515" s="194">
        <v>10</v>
      </c>
      <c r="D4515" s="80"/>
      <c r="E4515" s="97"/>
      <c r="F4515" s="97"/>
      <c r="G4515" s="97"/>
      <c r="H4515" s="97"/>
      <c r="I4515" s="97"/>
      <c r="J4515" s="97"/>
      <c r="K4515" s="97"/>
      <c r="L4515" s="195"/>
    </row>
    <row r="4516" spans="1:12" x14ac:dyDescent="0.45">
      <c r="A4516" s="462"/>
      <c r="B4516" s="441"/>
      <c r="C4516" s="194">
        <v>11</v>
      </c>
      <c r="D4516" s="81"/>
      <c r="E4516" s="98"/>
      <c r="F4516" s="98"/>
      <c r="G4516" s="98"/>
      <c r="H4516" s="98"/>
      <c r="I4516" s="98"/>
      <c r="J4516" s="98"/>
      <c r="K4516" s="98"/>
      <c r="L4516" s="196"/>
    </row>
    <row r="4517" spans="1:12" ht="14.65" thickBot="1" x14ac:dyDescent="0.5">
      <c r="A4517" s="462"/>
      <c r="B4517" s="442"/>
      <c r="C4517" s="197">
        <v>12</v>
      </c>
      <c r="D4517" s="82"/>
      <c r="E4517" s="99"/>
      <c r="F4517" s="99"/>
      <c r="G4517" s="99"/>
      <c r="H4517" s="99"/>
      <c r="I4517" s="99"/>
      <c r="J4517" s="99"/>
      <c r="K4517" s="99"/>
      <c r="L4517" s="198"/>
    </row>
    <row r="4518" spans="1:12" x14ac:dyDescent="0.45">
      <c r="A4518" s="462"/>
      <c r="B4518" s="440">
        <v>7</v>
      </c>
      <c r="C4518" s="192">
        <v>1</v>
      </c>
      <c r="D4518" s="79"/>
      <c r="E4518" s="96"/>
      <c r="F4518" s="96"/>
      <c r="G4518" s="96"/>
      <c r="H4518" s="96"/>
      <c r="I4518" s="96"/>
      <c r="J4518" s="96"/>
      <c r="K4518" s="96"/>
      <c r="L4518" s="193"/>
    </row>
    <row r="4519" spans="1:12" x14ac:dyDescent="0.45">
      <c r="A4519" s="462"/>
      <c r="B4519" s="441"/>
      <c r="C4519" s="194">
        <v>2</v>
      </c>
      <c r="D4519" s="80"/>
      <c r="E4519" s="97"/>
      <c r="F4519" s="97"/>
      <c r="G4519" s="97"/>
      <c r="H4519" s="97"/>
      <c r="I4519" s="97"/>
      <c r="J4519" s="97"/>
      <c r="K4519" s="97"/>
      <c r="L4519" s="195"/>
    </row>
    <row r="4520" spans="1:12" x14ac:dyDescent="0.45">
      <c r="A4520" s="462"/>
      <c r="B4520" s="441"/>
      <c r="C4520" s="194">
        <v>3</v>
      </c>
      <c r="D4520" s="80"/>
      <c r="E4520" s="97"/>
      <c r="F4520" s="97"/>
      <c r="G4520" s="97"/>
      <c r="H4520" s="97"/>
      <c r="I4520" s="97"/>
      <c r="J4520" s="97"/>
      <c r="K4520" s="97"/>
      <c r="L4520" s="195"/>
    </row>
    <row r="4521" spans="1:12" x14ac:dyDescent="0.45">
      <c r="A4521" s="462"/>
      <c r="B4521" s="441"/>
      <c r="C4521" s="194">
        <v>4</v>
      </c>
      <c r="D4521" s="80"/>
      <c r="E4521" s="97"/>
      <c r="F4521" s="97"/>
      <c r="G4521" s="97"/>
      <c r="H4521" s="97"/>
      <c r="I4521" s="97"/>
      <c r="J4521" s="97"/>
      <c r="K4521" s="97"/>
      <c r="L4521" s="195"/>
    </row>
    <row r="4522" spans="1:12" x14ac:dyDescent="0.45">
      <c r="A4522" s="462"/>
      <c r="B4522" s="441"/>
      <c r="C4522" s="194">
        <v>5</v>
      </c>
      <c r="D4522" s="80"/>
      <c r="E4522" s="97"/>
      <c r="F4522" s="97"/>
      <c r="G4522" s="97"/>
      <c r="H4522" s="97"/>
      <c r="I4522" s="97"/>
      <c r="J4522" s="97"/>
      <c r="K4522" s="97"/>
      <c r="L4522" s="195"/>
    </row>
    <row r="4523" spans="1:12" x14ac:dyDescent="0.45">
      <c r="A4523" s="462"/>
      <c r="B4523" s="441"/>
      <c r="C4523" s="194">
        <v>6</v>
      </c>
      <c r="D4523" s="80"/>
      <c r="E4523" s="97"/>
      <c r="F4523" s="97"/>
      <c r="G4523" s="97"/>
      <c r="H4523" s="97"/>
      <c r="I4523" s="97"/>
      <c r="J4523" s="97"/>
      <c r="K4523" s="97"/>
      <c r="L4523" s="195"/>
    </row>
    <row r="4524" spans="1:12" x14ac:dyDescent="0.45">
      <c r="A4524" s="462"/>
      <c r="B4524" s="441"/>
      <c r="C4524" s="194">
        <v>7</v>
      </c>
      <c r="D4524" s="80"/>
      <c r="E4524" s="97"/>
      <c r="F4524" s="97"/>
      <c r="G4524" s="97"/>
      <c r="H4524" s="97"/>
      <c r="I4524" s="97"/>
      <c r="J4524" s="97"/>
      <c r="K4524" s="97"/>
      <c r="L4524" s="195"/>
    </row>
    <row r="4525" spans="1:12" x14ac:dyDescent="0.45">
      <c r="A4525" s="462"/>
      <c r="B4525" s="441"/>
      <c r="C4525" s="194">
        <v>8</v>
      </c>
      <c r="D4525" s="80"/>
      <c r="E4525" s="97"/>
      <c r="F4525" s="97"/>
      <c r="G4525" s="97"/>
      <c r="H4525" s="97"/>
      <c r="I4525" s="97"/>
      <c r="J4525" s="97"/>
      <c r="K4525" s="97"/>
      <c r="L4525" s="195"/>
    </row>
    <row r="4526" spans="1:12" x14ac:dyDescent="0.45">
      <c r="A4526" s="462"/>
      <c r="B4526" s="441"/>
      <c r="C4526" s="194">
        <v>9</v>
      </c>
      <c r="D4526" s="80"/>
      <c r="E4526" s="97"/>
      <c r="F4526" s="97"/>
      <c r="G4526" s="97"/>
      <c r="H4526" s="97"/>
      <c r="I4526" s="97"/>
      <c r="J4526" s="97"/>
      <c r="K4526" s="97"/>
      <c r="L4526" s="195"/>
    </row>
    <row r="4527" spans="1:12" x14ac:dyDescent="0.45">
      <c r="A4527" s="462"/>
      <c r="B4527" s="441"/>
      <c r="C4527" s="194">
        <v>10</v>
      </c>
      <c r="D4527" s="80"/>
      <c r="E4527" s="97"/>
      <c r="F4527" s="97"/>
      <c r="G4527" s="97"/>
      <c r="H4527" s="97"/>
      <c r="I4527" s="97"/>
      <c r="J4527" s="97"/>
      <c r="K4527" s="97"/>
      <c r="L4527" s="195"/>
    </row>
    <row r="4528" spans="1:12" x14ac:dyDescent="0.45">
      <c r="A4528" s="462"/>
      <c r="B4528" s="441"/>
      <c r="C4528" s="194">
        <v>11</v>
      </c>
      <c r="D4528" s="81"/>
      <c r="E4528" s="98"/>
      <c r="F4528" s="98"/>
      <c r="G4528" s="98"/>
      <c r="H4528" s="98"/>
      <c r="I4528" s="98"/>
      <c r="J4528" s="98"/>
      <c r="K4528" s="98"/>
      <c r="L4528" s="196"/>
    </row>
    <row r="4529" spans="1:12" ht="14.65" thickBot="1" x14ac:dyDescent="0.5">
      <c r="A4529" s="462"/>
      <c r="B4529" s="442"/>
      <c r="C4529" s="197">
        <v>12</v>
      </c>
      <c r="D4529" s="82"/>
      <c r="E4529" s="99"/>
      <c r="F4529" s="99"/>
      <c r="G4529" s="99"/>
      <c r="H4529" s="99"/>
      <c r="I4529" s="99"/>
      <c r="J4529" s="99"/>
      <c r="K4529" s="99"/>
      <c r="L4529" s="198"/>
    </row>
    <row r="4530" spans="1:12" x14ac:dyDescent="0.45">
      <c r="A4530" s="462"/>
      <c r="B4530" s="440">
        <v>8</v>
      </c>
      <c r="C4530" s="192">
        <v>1</v>
      </c>
      <c r="D4530" s="79"/>
      <c r="E4530" s="96"/>
      <c r="F4530" s="96"/>
      <c r="G4530" s="96"/>
      <c r="H4530" s="96"/>
      <c r="I4530" s="96"/>
      <c r="J4530" s="96"/>
      <c r="K4530" s="96"/>
      <c r="L4530" s="193"/>
    </row>
    <row r="4531" spans="1:12" x14ac:dyDescent="0.45">
      <c r="A4531" s="462"/>
      <c r="B4531" s="441"/>
      <c r="C4531" s="194">
        <v>2</v>
      </c>
      <c r="D4531" s="80"/>
      <c r="E4531" s="97"/>
      <c r="F4531" s="97"/>
      <c r="G4531" s="97"/>
      <c r="H4531" s="97"/>
      <c r="I4531" s="97"/>
      <c r="J4531" s="97"/>
      <c r="K4531" s="97"/>
      <c r="L4531" s="195"/>
    </row>
    <row r="4532" spans="1:12" x14ac:dyDescent="0.45">
      <c r="A4532" s="462"/>
      <c r="B4532" s="441"/>
      <c r="C4532" s="194">
        <v>3</v>
      </c>
      <c r="D4532" s="80"/>
      <c r="E4532" s="97"/>
      <c r="F4532" s="97"/>
      <c r="G4532" s="97"/>
      <c r="H4532" s="97"/>
      <c r="I4532" s="97"/>
      <c r="J4532" s="97"/>
      <c r="K4532" s="97"/>
      <c r="L4532" s="195"/>
    </row>
    <row r="4533" spans="1:12" x14ac:dyDescent="0.45">
      <c r="A4533" s="462"/>
      <c r="B4533" s="441"/>
      <c r="C4533" s="194">
        <v>4</v>
      </c>
      <c r="D4533" s="80"/>
      <c r="E4533" s="97"/>
      <c r="F4533" s="97"/>
      <c r="G4533" s="97"/>
      <c r="H4533" s="97"/>
      <c r="I4533" s="97"/>
      <c r="J4533" s="97"/>
      <c r="K4533" s="97"/>
      <c r="L4533" s="195"/>
    </row>
    <row r="4534" spans="1:12" x14ac:dyDescent="0.45">
      <c r="A4534" s="462"/>
      <c r="B4534" s="441"/>
      <c r="C4534" s="194">
        <v>5</v>
      </c>
      <c r="D4534" s="80"/>
      <c r="E4534" s="97"/>
      <c r="F4534" s="97"/>
      <c r="G4534" s="97"/>
      <c r="H4534" s="97"/>
      <c r="I4534" s="97"/>
      <c r="J4534" s="97"/>
      <c r="K4534" s="97"/>
      <c r="L4534" s="195"/>
    </row>
    <row r="4535" spans="1:12" x14ac:dyDescent="0.45">
      <c r="A4535" s="462"/>
      <c r="B4535" s="441"/>
      <c r="C4535" s="194">
        <v>6</v>
      </c>
      <c r="D4535" s="80"/>
      <c r="E4535" s="97"/>
      <c r="F4535" s="97"/>
      <c r="G4535" s="97"/>
      <c r="H4535" s="97"/>
      <c r="I4535" s="97"/>
      <c r="J4535" s="97"/>
      <c r="K4535" s="97"/>
      <c r="L4535" s="195"/>
    </row>
    <row r="4536" spans="1:12" x14ac:dyDescent="0.45">
      <c r="A4536" s="462"/>
      <c r="B4536" s="441"/>
      <c r="C4536" s="194">
        <v>7</v>
      </c>
      <c r="D4536" s="80"/>
      <c r="E4536" s="97"/>
      <c r="F4536" s="97"/>
      <c r="G4536" s="97"/>
      <c r="H4536" s="97"/>
      <c r="I4536" s="97"/>
      <c r="J4536" s="97"/>
      <c r="K4536" s="97"/>
      <c r="L4536" s="195"/>
    </row>
    <row r="4537" spans="1:12" x14ac:dyDescent="0.45">
      <c r="A4537" s="462"/>
      <c r="B4537" s="441"/>
      <c r="C4537" s="194">
        <v>8</v>
      </c>
      <c r="D4537" s="80"/>
      <c r="E4537" s="97"/>
      <c r="F4537" s="97"/>
      <c r="G4537" s="97"/>
      <c r="H4537" s="97"/>
      <c r="I4537" s="97"/>
      <c r="J4537" s="97"/>
      <c r="K4537" s="97"/>
      <c r="L4537" s="195"/>
    </row>
    <row r="4538" spans="1:12" x14ac:dyDescent="0.45">
      <c r="A4538" s="462"/>
      <c r="B4538" s="441"/>
      <c r="C4538" s="194">
        <v>9</v>
      </c>
      <c r="D4538" s="80"/>
      <c r="E4538" s="97"/>
      <c r="F4538" s="97"/>
      <c r="G4538" s="97"/>
      <c r="H4538" s="97"/>
      <c r="I4538" s="97"/>
      <c r="J4538" s="97"/>
      <c r="K4538" s="97"/>
      <c r="L4538" s="195"/>
    </row>
    <row r="4539" spans="1:12" x14ac:dyDescent="0.45">
      <c r="A4539" s="462"/>
      <c r="B4539" s="441"/>
      <c r="C4539" s="194">
        <v>10</v>
      </c>
      <c r="D4539" s="80"/>
      <c r="E4539" s="97"/>
      <c r="F4539" s="97"/>
      <c r="G4539" s="97"/>
      <c r="H4539" s="97"/>
      <c r="I4539" s="97"/>
      <c r="J4539" s="97"/>
      <c r="K4539" s="97"/>
      <c r="L4539" s="195"/>
    </row>
    <row r="4540" spans="1:12" x14ac:dyDescent="0.45">
      <c r="A4540" s="462"/>
      <c r="B4540" s="441"/>
      <c r="C4540" s="194">
        <v>11</v>
      </c>
      <c r="D4540" s="81"/>
      <c r="E4540" s="98"/>
      <c r="F4540" s="98"/>
      <c r="G4540" s="98"/>
      <c r="H4540" s="98"/>
      <c r="I4540" s="98"/>
      <c r="J4540" s="98"/>
      <c r="K4540" s="98"/>
      <c r="L4540" s="196"/>
    </row>
    <row r="4541" spans="1:12" ht="14.65" thickBot="1" x14ac:dyDescent="0.5">
      <c r="A4541" s="463"/>
      <c r="B4541" s="442"/>
      <c r="C4541" s="197">
        <v>12</v>
      </c>
      <c r="D4541" s="82"/>
      <c r="E4541" s="99"/>
      <c r="F4541" s="99"/>
      <c r="G4541" s="99"/>
      <c r="H4541" s="99"/>
      <c r="I4541" s="99"/>
      <c r="J4541" s="99"/>
      <c r="K4541" s="99"/>
      <c r="L4541" s="198"/>
    </row>
    <row r="4542" spans="1:12" x14ac:dyDescent="0.45">
      <c r="A4542" s="461">
        <v>3</v>
      </c>
      <c r="B4542" s="440">
        <v>9</v>
      </c>
      <c r="C4542" s="192">
        <v>1</v>
      </c>
      <c r="D4542" s="79"/>
      <c r="E4542" s="96"/>
      <c r="F4542" s="96"/>
      <c r="G4542" s="96"/>
      <c r="H4542" s="96"/>
      <c r="I4542" s="96"/>
      <c r="J4542" s="96"/>
      <c r="K4542" s="96"/>
      <c r="L4542" s="193"/>
    </row>
    <row r="4543" spans="1:12" x14ac:dyDescent="0.45">
      <c r="A4543" s="462"/>
      <c r="B4543" s="441"/>
      <c r="C4543" s="194">
        <v>2</v>
      </c>
      <c r="D4543" s="80"/>
      <c r="E4543" s="97"/>
      <c r="F4543" s="97"/>
      <c r="G4543" s="97"/>
      <c r="H4543" s="97"/>
      <c r="I4543" s="97"/>
      <c r="J4543" s="97"/>
      <c r="K4543" s="97"/>
      <c r="L4543" s="195"/>
    </row>
    <row r="4544" spans="1:12" x14ac:dyDescent="0.45">
      <c r="A4544" s="462"/>
      <c r="B4544" s="441"/>
      <c r="C4544" s="194">
        <v>3</v>
      </c>
      <c r="D4544" s="80"/>
      <c r="E4544" s="97"/>
      <c r="F4544" s="97"/>
      <c r="G4544" s="97"/>
      <c r="H4544" s="97"/>
      <c r="I4544" s="97"/>
      <c r="J4544" s="97"/>
      <c r="K4544" s="97"/>
      <c r="L4544" s="195"/>
    </row>
    <row r="4545" spans="1:12" x14ac:dyDescent="0.45">
      <c r="A4545" s="462"/>
      <c r="B4545" s="441"/>
      <c r="C4545" s="194">
        <v>4</v>
      </c>
      <c r="D4545" s="80"/>
      <c r="E4545" s="97"/>
      <c r="F4545" s="97"/>
      <c r="G4545" s="97"/>
      <c r="H4545" s="97"/>
      <c r="I4545" s="97"/>
      <c r="J4545" s="97"/>
      <c r="K4545" s="97"/>
      <c r="L4545" s="195"/>
    </row>
    <row r="4546" spans="1:12" x14ac:dyDescent="0.45">
      <c r="A4546" s="462"/>
      <c r="B4546" s="441"/>
      <c r="C4546" s="194">
        <v>5</v>
      </c>
      <c r="D4546" s="80"/>
      <c r="E4546" s="97"/>
      <c r="F4546" s="97"/>
      <c r="G4546" s="97"/>
      <c r="H4546" s="97"/>
      <c r="I4546" s="97"/>
      <c r="J4546" s="97"/>
      <c r="K4546" s="97"/>
      <c r="L4546" s="195"/>
    </row>
    <row r="4547" spans="1:12" x14ac:dyDescent="0.45">
      <c r="A4547" s="462"/>
      <c r="B4547" s="441"/>
      <c r="C4547" s="194">
        <v>6</v>
      </c>
      <c r="D4547" s="80"/>
      <c r="E4547" s="97"/>
      <c r="F4547" s="97"/>
      <c r="G4547" s="97"/>
      <c r="H4547" s="97"/>
      <c r="I4547" s="97"/>
      <c r="J4547" s="97"/>
      <c r="K4547" s="97"/>
      <c r="L4547" s="195"/>
    </row>
    <row r="4548" spans="1:12" x14ac:dyDescent="0.45">
      <c r="A4548" s="462"/>
      <c r="B4548" s="441"/>
      <c r="C4548" s="194">
        <v>7</v>
      </c>
      <c r="D4548" s="80"/>
      <c r="E4548" s="97"/>
      <c r="F4548" s="97"/>
      <c r="G4548" s="97"/>
      <c r="H4548" s="97"/>
      <c r="I4548" s="97"/>
      <c r="J4548" s="97"/>
      <c r="K4548" s="97"/>
      <c r="L4548" s="195"/>
    </row>
    <row r="4549" spans="1:12" x14ac:dyDescent="0.45">
      <c r="A4549" s="462"/>
      <c r="B4549" s="441"/>
      <c r="C4549" s="194">
        <v>8</v>
      </c>
      <c r="D4549" s="80"/>
      <c r="E4549" s="97"/>
      <c r="F4549" s="97"/>
      <c r="G4549" s="97"/>
      <c r="H4549" s="97"/>
      <c r="I4549" s="97"/>
      <c r="J4549" s="97"/>
      <c r="K4549" s="97"/>
      <c r="L4549" s="195"/>
    </row>
    <row r="4550" spans="1:12" x14ac:dyDescent="0.45">
      <c r="A4550" s="462"/>
      <c r="B4550" s="441"/>
      <c r="C4550" s="194">
        <v>9</v>
      </c>
      <c r="D4550" s="80"/>
      <c r="E4550" s="97"/>
      <c r="F4550" s="97"/>
      <c r="G4550" s="97"/>
      <c r="H4550" s="97"/>
      <c r="I4550" s="97"/>
      <c r="J4550" s="97"/>
      <c r="K4550" s="97"/>
      <c r="L4550" s="195"/>
    </row>
    <row r="4551" spans="1:12" x14ac:dyDescent="0.45">
      <c r="A4551" s="462"/>
      <c r="B4551" s="441"/>
      <c r="C4551" s="194">
        <v>10</v>
      </c>
      <c r="D4551" s="80"/>
      <c r="E4551" s="97"/>
      <c r="F4551" s="97"/>
      <c r="G4551" s="97"/>
      <c r="H4551" s="97"/>
      <c r="I4551" s="97"/>
      <c r="J4551" s="97"/>
      <c r="K4551" s="97"/>
      <c r="L4551" s="195"/>
    </row>
    <row r="4552" spans="1:12" x14ac:dyDescent="0.45">
      <c r="A4552" s="462"/>
      <c r="B4552" s="441"/>
      <c r="C4552" s="194">
        <v>11</v>
      </c>
      <c r="D4552" s="81"/>
      <c r="E4552" s="98"/>
      <c r="F4552" s="98"/>
      <c r="G4552" s="98"/>
      <c r="H4552" s="98"/>
      <c r="I4552" s="98"/>
      <c r="J4552" s="98"/>
      <c r="K4552" s="98"/>
      <c r="L4552" s="196"/>
    </row>
    <row r="4553" spans="1:12" ht="14.65" thickBot="1" x14ac:dyDescent="0.5">
      <c r="A4553" s="462"/>
      <c r="B4553" s="442"/>
      <c r="C4553" s="197">
        <v>12</v>
      </c>
      <c r="D4553" s="82"/>
      <c r="E4553" s="99"/>
      <c r="F4553" s="99"/>
      <c r="G4553" s="99"/>
      <c r="H4553" s="99"/>
      <c r="I4553" s="99"/>
      <c r="J4553" s="99"/>
      <c r="K4553" s="99"/>
      <c r="L4553" s="198"/>
    </row>
    <row r="4554" spans="1:12" x14ac:dyDescent="0.45">
      <c r="A4554" s="462"/>
      <c r="B4554" s="440">
        <v>10</v>
      </c>
      <c r="C4554" s="192">
        <v>1</v>
      </c>
      <c r="D4554" s="79"/>
      <c r="E4554" s="96"/>
      <c r="F4554" s="96"/>
      <c r="G4554" s="96"/>
      <c r="H4554" s="96"/>
      <c r="I4554" s="96"/>
      <c r="J4554" s="96"/>
      <c r="K4554" s="96"/>
      <c r="L4554" s="193"/>
    </row>
    <row r="4555" spans="1:12" x14ac:dyDescent="0.45">
      <c r="A4555" s="462"/>
      <c r="B4555" s="441"/>
      <c r="C4555" s="194">
        <v>2</v>
      </c>
      <c r="D4555" s="80"/>
      <c r="E4555" s="97"/>
      <c r="F4555" s="97"/>
      <c r="G4555" s="97"/>
      <c r="H4555" s="97"/>
      <c r="I4555" s="97"/>
      <c r="J4555" s="97"/>
      <c r="K4555" s="97"/>
      <c r="L4555" s="195"/>
    </row>
    <row r="4556" spans="1:12" x14ac:dyDescent="0.45">
      <c r="A4556" s="462"/>
      <c r="B4556" s="441"/>
      <c r="C4556" s="194">
        <v>3</v>
      </c>
      <c r="D4556" s="80"/>
      <c r="E4556" s="97"/>
      <c r="F4556" s="97"/>
      <c r="G4556" s="97"/>
      <c r="H4556" s="97"/>
      <c r="I4556" s="97"/>
      <c r="J4556" s="97"/>
      <c r="K4556" s="97"/>
      <c r="L4556" s="195"/>
    </row>
    <row r="4557" spans="1:12" x14ac:dyDescent="0.45">
      <c r="A4557" s="462"/>
      <c r="B4557" s="441"/>
      <c r="C4557" s="194">
        <v>4</v>
      </c>
      <c r="D4557" s="80"/>
      <c r="E4557" s="97"/>
      <c r="F4557" s="97"/>
      <c r="G4557" s="97"/>
      <c r="H4557" s="97"/>
      <c r="I4557" s="97"/>
      <c r="J4557" s="97"/>
      <c r="K4557" s="97"/>
      <c r="L4557" s="195"/>
    </row>
    <row r="4558" spans="1:12" x14ac:dyDescent="0.45">
      <c r="A4558" s="462"/>
      <c r="B4558" s="441"/>
      <c r="C4558" s="194">
        <v>5</v>
      </c>
      <c r="D4558" s="80"/>
      <c r="E4558" s="97"/>
      <c r="F4558" s="97"/>
      <c r="G4558" s="97"/>
      <c r="H4558" s="97"/>
      <c r="I4558" s="97"/>
      <c r="J4558" s="97"/>
      <c r="K4558" s="97"/>
      <c r="L4558" s="195"/>
    </row>
    <row r="4559" spans="1:12" x14ac:dyDescent="0.45">
      <c r="A4559" s="462"/>
      <c r="B4559" s="441"/>
      <c r="C4559" s="194">
        <v>6</v>
      </c>
      <c r="D4559" s="80"/>
      <c r="E4559" s="97"/>
      <c r="F4559" s="97"/>
      <c r="G4559" s="97"/>
      <c r="H4559" s="97"/>
      <c r="I4559" s="97"/>
      <c r="J4559" s="97"/>
      <c r="K4559" s="97"/>
      <c r="L4559" s="195"/>
    </row>
    <row r="4560" spans="1:12" x14ac:dyDescent="0.45">
      <c r="A4560" s="462"/>
      <c r="B4560" s="441"/>
      <c r="C4560" s="194">
        <v>7</v>
      </c>
      <c r="D4560" s="80"/>
      <c r="E4560" s="97"/>
      <c r="F4560" s="97"/>
      <c r="G4560" s="97"/>
      <c r="H4560" s="97"/>
      <c r="I4560" s="97"/>
      <c r="J4560" s="97"/>
      <c r="K4560" s="97"/>
      <c r="L4560" s="195"/>
    </row>
    <row r="4561" spans="1:12" x14ac:dyDescent="0.45">
      <c r="A4561" s="462"/>
      <c r="B4561" s="441"/>
      <c r="C4561" s="194">
        <v>8</v>
      </c>
      <c r="D4561" s="80"/>
      <c r="E4561" s="97"/>
      <c r="F4561" s="97"/>
      <c r="G4561" s="97"/>
      <c r="H4561" s="97"/>
      <c r="I4561" s="97"/>
      <c r="J4561" s="97"/>
      <c r="K4561" s="97"/>
      <c r="L4561" s="195"/>
    </row>
    <row r="4562" spans="1:12" x14ac:dyDescent="0.45">
      <c r="A4562" s="462"/>
      <c r="B4562" s="441"/>
      <c r="C4562" s="194">
        <v>9</v>
      </c>
      <c r="D4562" s="80"/>
      <c r="E4562" s="97"/>
      <c r="F4562" s="97"/>
      <c r="G4562" s="97"/>
      <c r="H4562" s="97"/>
      <c r="I4562" s="97"/>
      <c r="J4562" s="97"/>
      <c r="K4562" s="97"/>
      <c r="L4562" s="195"/>
    </row>
    <row r="4563" spans="1:12" x14ac:dyDescent="0.45">
      <c r="A4563" s="462"/>
      <c r="B4563" s="441"/>
      <c r="C4563" s="194">
        <v>10</v>
      </c>
      <c r="D4563" s="80"/>
      <c r="E4563" s="97"/>
      <c r="F4563" s="97"/>
      <c r="G4563" s="97"/>
      <c r="H4563" s="97"/>
      <c r="I4563" s="97"/>
      <c r="J4563" s="97"/>
      <c r="K4563" s="97"/>
      <c r="L4563" s="195"/>
    </row>
    <row r="4564" spans="1:12" x14ac:dyDescent="0.45">
      <c r="A4564" s="462"/>
      <c r="B4564" s="441"/>
      <c r="C4564" s="194">
        <v>11</v>
      </c>
      <c r="D4564" s="81"/>
      <c r="E4564" s="98"/>
      <c r="F4564" s="98"/>
      <c r="G4564" s="98"/>
      <c r="H4564" s="98"/>
      <c r="I4564" s="98"/>
      <c r="J4564" s="98"/>
      <c r="K4564" s="98"/>
      <c r="L4564" s="196"/>
    </row>
    <row r="4565" spans="1:12" ht="14.65" thickBot="1" x14ac:dyDescent="0.5">
      <c r="A4565" s="462"/>
      <c r="B4565" s="442"/>
      <c r="C4565" s="197">
        <v>12</v>
      </c>
      <c r="D4565" s="82"/>
      <c r="E4565" s="99"/>
      <c r="F4565" s="99"/>
      <c r="G4565" s="99"/>
      <c r="H4565" s="99"/>
      <c r="I4565" s="99"/>
      <c r="J4565" s="99"/>
      <c r="K4565" s="99"/>
      <c r="L4565" s="198"/>
    </row>
    <row r="4566" spans="1:12" x14ac:dyDescent="0.45">
      <c r="A4566" s="462"/>
      <c r="B4566" s="440">
        <v>11</v>
      </c>
      <c r="C4566" s="192">
        <v>1</v>
      </c>
      <c r="D4566" s="79"/>
      <c r="E4566" s="96"/>
      <c r="F4566" s="96"/>
      <c r="G4566" s="96"/>
      <c r="H4566" s="96"/>
      <c r="I4566" s="96"/>
      <c r="J4566" s="96"/>
      <c r="K4566" s="96"/>
      <c r="L4566" s="193"/>
    </row>
    <row r="4567" spans="1:12" x14ac:dyDescent="0.45">
      <c r="A4567" s="462"/>
      <c r="B4567" s="441"/>
      <c r="C4567" s="194">
        <v>2</v>
      </c>
      <c r="D4567" s="80"/>
      <c r="E4567" s="97"/>
      <c r="F4567" s="97"/>
      <c r="G4567" s="97"/>
      <c r="H4567" s="97"/>
      <c r="I4567" s="97"/>
      <c r="J4567" s="97"/>
      <c r="K4567" s="97"/>
      <c r="L4567" s="195"/>
    </row>
    <row r="4568" spans="1:12" x14ac:dyDescent="0.45">
      <c r="A4568" s="462"/>
      <c r="B4568" s="441"/>
      <c r="C4568" s="194">
        <v>3</v>
      </c>
      <c r="D4568" s="80"/>
      <c r="E4568" s="97"/>
      <c r="F4568" s="97"/>
      <c r="G4568" s="97"/>
      <c r="H4568" s="97"/>
      <c r="I4568" s="97"/>
      <c r="J4568" s="97"/>
      <c r="K4568" s="97"/>
      <c r="L4568" s="195"/>
    </row>
    <row r="4569" spans="1:12" x14ac:dyDescent="0.45">
      <c r="A4569" s="462"/>
      <c r="B4569" s="441"/>
      <c r="C4569" s="194">
        <v>4</v>
      </c>
      <c r="D4569" s="80"/>
      <c r="E4569" s="97"/>
      <c r="F4569" s="97"/>
      <c r="G4569" s="97"/>
      <c r="H4569" s="97"/>
      <c r="I4569" s="97"/>
      <c r="J4569" s="97"/>
      <c r="K4569" s="97"/>
      <c r="L4569" s="195"/>
    </row>
    <row r="4570" spans="1:12" x14ac:dyDescent="0.45">
      <c r="A4570" s="462"/>
      <c r="B4570" s="441"/>
      <c r="C4570" s="194">
        <v>5</v>
      </c>
      <c r="D4570" s="80"/>
      <c r="E4570" s="97"/>
      <c r="F4570" s="97"/>
      <c r="G4570" s="97"/>
      <c r="H4570" s="97"/>
      <c r="I4570" s="97"/>
      <c r="J4570" s="97"/>
      <c r="K4570" s="97"/>
      <c r="L4570" s="195"/>
    </row>
    <row r="4571" spans="1:12" x14ac:dyDescent="0.45">
      <c r="A4571" s="462"/>
      <c r="B4571" s="441"/>
      <c r="C4571" s="194">
        <v>6</v>
      </c>
      <c r="D4571" s="80"/>
      <c r="E4571" s="97"/>
      <c r="F4571" s="97"/>
      <c r="G4571" s="97"/>
      <c r="H4571" s="97"/>
      <c r="I4571" s="97"/>
      <c r="J4571" s="97"/>
      <c r="K4571" s="97"/>
      <c r="L4571" s="195"/>
    </row>
    <row r="4572" spans="1:12" x14ac:dyDescent="0.45">
      <c r="A4572" s="462"/>
      <c r="B4572" s="441"/>
      <c r="C4572" s="194">
        <v>7</v>
      </c>
      <c r="D4572" s="80"/>
      <c r="E4572" s="97"/>
      <c r="F4572" s="97"/>
      <c r="G4572" s="97"/>
      <c r="H4572" s="97"/>
      <c r="I4572" s="97"/>
      <c r="J4572" s="97"/>
      <c r="K4572" s="97"/>
      <c r="L4572" s="195"/>
    </row>
    <row r="4573" spans="1:12" x14ac:dyDescent="0.45">
      <c r="A4573" s="462"/>
      <c r="B4573" s="441"/>
      <c r="C4573" s="194">
        <v>8</v>
      </c>
      <c r="D4573" s="80"/>
      <c r="E4573" s="97"/>
      <c r="F4573" s="97"/>
      <c r="G4573" s="97"/>
      <c r="H4573" s="97"/>
      <c r="I4573" s="97"/>
      <c r="J4573" s="97"/>
      <c r="K4573" s="97"/>
      <c r="L4573" s="195"/>
    </row>
    <row r="4574" spans="1:12" x14ac:dyDescent="0.45">
      <c r="A4574" s="462"/>
      <c r="B4574" s="441"/>
      <c r="C4574" s="194">
        <v>9</v>
      </c>
      <c r="D4574" s="80"/>
      <c r="E4574" s="97"/>
      <c r="F4574" s="97"/>
      <c r="G4574" s="97"/>
      <c r="H4574" s="97"/>
      <c r="I4574" s="97"/>
      <c r="J4574" s="97"/>
      <c r="K4574" s="97"/>
      <c r="L4574" s="195"/>
    </row>
    <row r="4575" spans="1:12" x14ac:dyDescent="0.45">
      <c r="A4575" s="462"/>
      <c r="B4575" s="441"/>
      <c r="C4575" s="194">
        <v>10</v>
      </c>
      <c r="D4575" s="80"/>
      <c r="E4575" s="97"/>
      <c r="F4575" s="97"/>
      <c r="G4575" s="97"/>
      <c r="H4575" s="97"/>
      <c r="I4575" s="97"/>
      <c r="J4575" s="97"/>
      <c r="K4575" s="97"/>
      <c r="L4575" s="195"/>
    </row>
    <row r="4576" spans="1:12" x14ac:dyDescent="0.45">
      <c r="A4576" s="462"/>
      <c r="B4576" s="441"/>
      <c r="C4576" s="194">
        <v>11</v>
      </c>
      <c r="D4576" s="81"/>
      <c r="E4576" s="98"/>
      <c r="F4576" s="98"/>
      <c r="G4576" s="98"/>
      <c r="H4576" s="98"/>
      <c r="I4576" s="98"/>
      <c r="J4576" s="98"/>
      <c r="K4576" s="98"/>
      <c r="L4576" s="196"/>
    </row>
    <row r="4577" spans="1:12" ht="14.65" thickBot="1" x14ac:dyDescent="0.5">
      <c r="A4577" s="462"/>
      <c r="B4577" s="442"/>
      <c r="C4577" s="197">
        <v>12</v>
      </c>
      <c r="D4577" s="82"/>
      <c r="E4577" s="99"/>
      <c r="F4577" s="99"/>
      <c r="G4577" s="99"/>
      <c r="H4577" s="99"/>
      <c r="I4577" s="99"/>
      <c r="J4577" s="99"/>
      <c r="K4577" s="99"/>
      <c r="L4577" s="198"/>
    </row>
    <row r="4578" spans="1:12" x14ac:dyDescent="0.45">
      <c r="A4578" s="462"/>
      <c r="B4578" s="440">
        <v>12</v>
      </c>
      <c r="C4578" s="192">
        <v>1</v>
      </c>
      <c r="D4578" s="79"/>
      <c r="E4578" s="96"/>
      <c r="F4578" s="96"/>
      <c r="G4578" s="96"/>
      <c r="H4578" s="96"/>
      <c r="I4578" s="96"/>
      <c r="J4578" s="96"/>
      <c r="K4578" s="96"/>
      <c r="L4578" s="193"/>
    </row>
    <row r="4579" spans="1:12" x14ac:dyDescent="0.45">
      <c r="A4579" s="462"/>
      <c r="B4579" s="441"/>
      <c r="C4579" s="194">
        <v>2</v>
      </c>
      <c r="D4579" s="80"/>
      <c r="E4579" s="97"/>
      <c r="F4579" s="97"/>
      <c r="G4579" s="97"/>
      <c r="H4579" s="97"/>
      <c r="I4579" s="97"/>
      <c r="J4579" s="97"/>
      <c r="K4579" s="97"/>
      <c r="L4579" s="195"/>
    </row>
    <row r="4580" spans="1:12" x14ac:dyDescent="0.45">
      <c r="A4580" s="462"/>
      <c r="B4580" s="441"/>
      <c r="C4580" s="194">
        <v>3</v>
      </c>
      <c r="D4580" s="80"/>
      <c r="E4580" s="97"/>
      <c r="F4580" s="97"/>
      <c r="G4580" s="97"/>
      <c r="H4580" s="97"/>
      <c r="I4580" s="97"/>
      <c r="J4580" s="97"/>
      <c r="K4580" s="97"/>
      <c r="L4580" s="195"/>
    </row>
    <row r="4581" spans="1:12" x14ac:dyDescent="0.45">
      <c r="A4581" s="462"/>
      <c r="B4581" s="441"/>
      <c r="C4581" s="194">
        <v>4</v>
      </c>
      <c r="D4581" s="80"/>
      <c r="E4581" s="97"/>
      <c r="F4581" s="97"/>
      <c r="G4581" s="97"/>
      <c r="H4581" s="97"/>
      <c r="I4581" s="97"/>
      <c r="J4581" s="97"/>
      <c r="K4581" s="97"/>
      <c r="L4581" s="195"/>
    </row>
    <row r="4582" spans="1:12" x14ac:dyDescent="0.45">
      <c r="A4582" s="462"/>
      <c r="B4582" s="441"/>
      <c r="C4582" s="194">
        <v>5</v>
      </c>
      <c r="D4582" s="80"/>
      <c r="E4582" s="97"/>
      <c r="F4582" s="97"/>
      <c r="G4582" s="97"/>
      <c r="H4582" s="97"/>
      <c r="I4582" s="97"/>
      <c r="J4582" s="97"/>
      <c r="K4582" s="97"/>
      <c r="L4582" s="195"/>
    </row>
    <row r="4583" spans="1:12" x14ac:dyDescent="0.45">
      <c r="A4583" s="462"/>
      <c r="B4583" s="441"/>
      <c r="C4583" s="194">
        <v>6</v>
      </c>
      <c r="D4583" s="80"/>
      <c r="E4583" s="97"/>
      <c r="F4583" s="97"/>
      <c r="G4583" s="97"/>
      <c r="H4583" s="97"/>
      <c r="I4583" s="97"/>
      <c r="J4583" s="97"/>
      <c r="K4583" s="97"/>
      <c r="L4583" s="195"/>
    </row>
    <row r="4584" spans="1:12" x14ac:dyDescent="0.45">
      <c r="A4584" s="462"/>
      <c r="B4584" s="441"/>
      <c r="C4584" s="194">
        <v>7</v>
      </c>
      <c r="D4584" s="80"/>
      <c r="E4584" s="97"/>
      <c r="F4584" s="97"/>
      <c r="G4584" s="97"/>
      <c r="H4584" s="97"/>
      <c r="I4584" s="97"/>
      <c r="J4584" s="97"/>
      <c r="K4584" s="97"/>
      <c r="L4584" s="195"/>
    </row>
    <row r="4585" spans="1:12" x14ac:dyDescent="0.45">
      <c r="A4585" s="462"/>
      <c r="B4585" s="441"/>
      <c r="C4585" s="194">
        <v>8</v>
      </c>
      <c r="D4585" s="80"/>
      <c r="E4585" s="97"/>
      <c r="F4585" s="97"/>
      <c r="G4585" s="97"/>
      <c r="H4585" s="97"/>
      <c r="I4585" s="97"/>
      <c r="J4585" s="97"/>
      <c r="K4585" s="97"/>
      <c r="L4585" s="195"/>
    </row>
    <row r="4586" spans="1:12" x14ac:dyDescent="0.45">
      <c r="A4586" s="462"/>
      <c r="B4586" s="441"/>
      <c r="C4586" s="194">
        <v>9</v>
      </c>
      <c r="D4586" s="80"/>
      <c r="E4586" s="97"/>
      <c r="F4586" s="97"/>
      <c r="G4586" s="97"/>
      <c r="H4586" s="97"/>
      <c r="I4586" s="97"/>
      <c r="J4586" s="97"/>
      <c r="K4586" s="97"/>
      <c r="L4586" s="195"/>
    </row>
    <row r="4587" spans="1:12" x14ac:dyDescent="0.45">
      <c r="A4587" s="462"/>
      <c r="B4587" s="441"/>
      <c r="C4587" s="194">
        <v>10</v>
      </c>
      <c r="D4587" s="80"/>
      <c r="E4587" s="97"/>
      <c r="F4587" s="97"/>
      <c r="G4587" s="97"/>
      <c r="H4587" s="97"/>
      <c r="I4587" s="97"/>
      <c r="J4587" s="97"/>
      <c r="K4587" s="97"/>
      <c r="L4587" s="195"/>
    </row>
    <row r="4588" spans="1:12" x14ac:dyDescent="0.45">
      <c r="A4588" s="462"/>
      <c r="B4588" s="441"/>
      <c r="C4588" s="194">
        <v>11</v>
      </c>
      <c r="D4588" s="81"/>
      <c r="E4588" s="98"/>
      <c r="F4588" s="98"/>
      <c r="G4588" s="98"/>
      <c r="H4588" s="98"/>
      <c r="I4588" s="98"/>
      <c r="J4588" s="98"/>
      <c r="K4588" s="98"/>
      <c r="L4588" s="196"/>
    </row>
    <row r="4589" spans="1:12" ht="14.65" thickBot="1" x14ac:dyDescent="0.5">
      <c r="A4589" s="463"/>
      <c r="B4589" s="442"/>
      <c r="C4589" s="199">
        <v>12</v>
      </c>
      <c r="D4589" s="82"/>
      <c r="E4589" s="99"/>
      <c r="F4589" s="99"/>
      <c r="G4589" s="99"/>
      <c r="H4589" s="99"/>
      <c r="I4589" s="99"/>
      <c r="J4589" s="99"/>
      <c r="K4589" s="99"/>
      <c r="L4589" s="198"/>
    </row>
    <row r="4591" spans="1:12" s="91" customFormat="1" x14ac:dyDescent="0.45"/>
    <row r="4592" spans="1:12" ht="14.65" thickBot="1" x14ac:dyDescent="0.5"/>
    <row r="4593" spans="1:14" ht="28.9" thickBot="1" x14ac:dyDescent="0.5">
      <c r="A4593" s="187" t="s">
        <v>76</v>
      </c>
      <c r="B4593" s="186">
        <v>30</v>
      </c>
      <c r="C4593" s="109"/>
      <c r="D4593" s="109"/>
    </row>
    <row r="4594" spans="1:14" x14ac:dyDescent="0.45">
      <c r="A4594" s="443" t="s">
        <v>27</v>
      </c>
      <c r="B4594" s="448">
        <f>Name30</f>
        <v>0</v>
      </c>
      <c r="C4594" s="449"/>
      <c r="D4594" s="450"/>
      <c r="I4594" s="204"/>
      <c r="J4594" s="204"/>
      <c r="K4594" s="204"/>
      <c r="L4594" s="204"/>
    </row>
    <row r="4595" spans="1:14" x14ac:dyDescent="0.45">
      <c r="A4595" s="444"/>
      <c r="B4595" s="448"/>
      <c r="C4595" s="449"/>
      <c r="D4595" s="450"/>
      <c r="I4595" s="204"/>
      <c r="J4595" s="204"/>
      <c r="K4595" s="204"/>
      <c r="L4595" s="204"/>
    </row>
    <row r="4596" spans="1:14" x14ac:dyDescent="0.45">
      <c r="A4596" s="445"/>
      <c r="B4596" s="388"/>
      <c r="C4596" s="451"/>
      <c r="D4596" s="452"/>
      <c r="I4596" s="204"/>
      <c r="J4596" s="204"/>
      <c r="K4596" s="204"/>
      <c r="L4596" s="204"/>
    </row>
    <row r="4597" spans="1:14" ht="14.45" customHeight="1" x14ac:dyDescent="0.45">
      <c r="A4597" s="444" t="s">
        <v>155</v>
      </c>
      <c r="B4597" s="453">
        <f>GapA30</f>
        <v>0</v>
      </c>
      <c r="C4597" s="454"/>
      <c r="D4597" s="455"/>
      <c r="I4597" s="204"/>
      <c r="J4597" s="204"/>
      <c r="K4597" s="204"/>
      <c r="L4597" s="204"/>
    </row>
    <row r="4598" spans="1:14" x14ac:dyDescent="0.45">
      <c r="A4598" s="444"/>
      <c r="B4598" s="448"/>
      <c r="C4598" s="449"/>
      <c r="D4598" s="450"/>
      <c r="I4598" s="204"/>
      <c r="J4598" s="204"/>
      <c r="K4598" s="204"/>
      <c r="L4598" s="204"/>
    </row>
    <row r="4599" spans="1:14" x14ac:dyDescent="0.45">
      <c r="A4599" s="445"/>
      <c r="B4599" s="388"/>
      <c r="C4599" s="451"/>
      <c r="D4599" s="452"/>
      <c r="I4599" s="204"/>
      <c r="J4599" s="204"/>
      <c r="K4599" s="204"/>
      <c r="L4599" s="204"/>
    </row>
    <row r="4600" spans="1:14" x14ac:dyDescent="0.45">
      <c r="A4600" s="444" t="s">
        <v>159</v>
      </c>
      <c r="B4600" s="453">
        <f>Objective30</f>
        <v>0</v>
      </c>
      <c r="C4600" s="454"/>
      <c r="D4600" s="455"/>
      <c r="I4600" s="204"/>
      <c r="J4600" s="204"/>
      <c r="K4600" s="204"/>
      <c r="L4600" s="204"/>
    </row>
    <row r="4601" spans="1:14" x14ac:dyDescent="0.45">
      <c r="A4601" s="444"/>
      <c r="B4601" s="448"/>
      <c r="C4601" s="449"/>
      <c r="D4601" s="450"/>
      <c r="I4601" s="204"/>
      <c r="J4601" s="204"/>
      <c r="K4601" s="204"/>
      <c r="L4601" s="204"/>
    </row>
    <row r="4602" spans="1:14" x14ac:dyDescent="0.45">
      <c r="A4602" s="445"/>
      <c r="B4602" s="388"/>
      <c r="C4602" s="451"/>
      <c r="D4602" s="452"/>
      <c r="I4602" s="204"/>
      <c r="J4602" s="204"/>
      <c r="K4602" s="204"/>
      <c r="L4602" s="204"/>
    </row>
    <row r="4603" spans="1:14" ht="14.45" customHeight="1" x14ac:dyDescent="0.45">
      <c r="A4603" s="446" t="s">
        <v>166</v>
      </c>
      <c r="B4603" s="454">
        <f>Capacity30</f>
        <v>0</v>
      </c>
      <c r="C4603" s="454"/>
      <c r="D4603" s="455"/>
      <c r="I4603" s="204"/>
      <c r="J4603" s="204"/>
      <c r="K4603" s="204"/>
      <c r="L4603" s="204"/>
    </row>
    <row r="4604" spans="1:14" x14ac:dyDescent="0.45">
      <c r="A4604" s="447"/>
      <c r="B4604" s="449"/>
      <c r="C4604" s="449"/>
      <c r="D4604" s="450"/>
      <c r="I4604" s="204"/>
      <c r="J4604" s="204"/>
      <c r="K4604" s="204"/>
      <c r="L4604" s="204"/>
    </row>
    <row r="4605" spans="1:14" ht="14.65" thickBot="1" x14ac:dyDescent="0.5">
      <c r="A4605" s="464"/>
      <c r="B4605" s="456"/>
      <c r="C4605" s="456"/>
      <c r="D4605" s="457"/>
      <c r="I4605" s="204"/>
      <c r="J4605" s="204"/>
      <c r="K4605" s="204"/>
      <c r="L4605" s="204"/>
    </row>
    <row r="4607" spans="1:14" ht="14.65" thickBot="1" x14ac:dyDescent="0.5">
      <c r="A4607" s="90"/>
      <c r="B4607" s="90"/>
      <c r="C4607" s="90"/>
      <c r="D4607" s="90"/>
      <c r="E4607" s="90"/>
      <c r="F4607" s="90"/>
      <c r="G4607" s="90"/>
      <c r="H4607" s="90"/>
      <c r="I4607" s="90"/>
      <c r="J4607" s="90"/>
      <c r="K4607" s="90"/>
      <c r="L4607" s="90"/>
      <c r="M4607" s="204"/>
      <c r="N4607" s="204"/>
    </row>
    <row r="4608" spans="1:14" ht="21.75" customHeight="1" x14ac:dyDescent="0.45">
      <c r="A4608" s="458" t="s">
        <v>135</v>
      </c>
      <c r="B4608" s="459"/>
      <c r="C4608" s="459"/>
      <c r="D4608" s="459"/>
      <c r="E4608" s="459"/>
      <c r="F4608" s="459"/>
      <c r="G4608" s="459"/>
      <c r="H4608" s="459"/>
      <c r="I4608" s="459"/>
      <c r="J4608" s="459"/>
      <c r="K4608" s="459"/>
      <c r="L4608" s="460"/>
    </row>
    <row r="4609" spans="1:14" ht="29" customHeight="1" thickBot="1" x14ac:dyDescent="0.5">
      <c r="A4609" s="93" t="s">
        <v>74</v>
      </c>
      <c r="B4609" s="94" t="s">
        <v>28</v>
      </c>
      <c r="C4609" s="95" t="s">
        <v>320</v>
      </c>
      <c r="D4609" s="95" t="s">
        <v>127</v>
      </c>
      <c r="E4609" s="114" t="s">
        <v>90</v>
      </c>
      <c r="F4609" s="95" t="s">
        <v>175</v>
      </c>
      <c r="G4609" s="95" t="s">
        <v>176</v>
      </c>
      <c r="H4609" s="95" t="s">
        <v>156</v>
      </c>
      <c r="I4609" s="95" t="s">
        <v>157</v>
      </c>
      <c r="J4609" s="189" t="s">
        <v>321</v>
      </c>
      <c r="K4609" s="190" t="s">
        <v>29</v>
      </c>
      <c r="L4609" s="191" t="s">
        <v>322</v>
      </c>
    </row>
    <row r="4610" spans="1:14" x14ac:dyDescent="0.45">
      <c r="A4610" s="461">
        <v>1</v>
      </c>
      <c r="B4610" s="440">
        <v>1</v>
      </c>
      <c r="C4610" s="192">
        <v>1</v>
      </c>
      <c r="D4610" s="79"/>
      <c r="E4610" s="96"/>
      <c r="F4610" s="96"/>
      <c r="G4610" s="96"/>
      <c r="H4610" s="96"/>
      <c r="I4610" s="96"/>
      <c r="J4610" s="96"/>
      <c r="K4610" s="96"/>
      <c r="L4610" s="193"/>
    </row>
    <row r="4611" spans="1:14" x14ac:dyDescent="0.45">
      <c r="A4611" s="462"/>
      <c r="B4611" s="441"/>
      <c r="C4611" s="194">
        <v>2</v>
      </c>
      <c r="D4611" s="80"/>
      <c r="E4611" s="97"/>
      <c r="F4611" s="97"/>
      <c r="G4611" s="97"/>
      <c r="H4611" s="97"/>
      <c r="I4611" s="97"/>
      <c r="J4611" s="97"/>
      <c r="K4611" s="97"/>
      <c r="L4611" s="195"/>
    </row>
    <row r="4612" spans="1:14" x14ac:dyDescent="0.45">
      <c r="A4612" s="462"/>
      <c r="B4612" s="441"/>
      <c r="C4612" s="194">
        <v>3</v>
      </c>
      <c r="D4612" s="80"/>
      <c r="E4612" s="97"/>
      <c r="F4612" s="97"/>
      <c r="G4612" s="97"/>
      <c r="H4612" s="97"/>
      <c r="I4612" s="97"/>
      <c r="J4612" s="97"/>
      <c r="K4612" s="97"/>
      <c r="L4612" s="195"/>
    </row>
    <row r="4613" spans="1:14" x14ac:dyDescent="0.45">
      <c r="A4613" s="462"/>
      <c r="B4613" s="441"/>
      <c r="C4613" s="194">
        <v>4</v>
      </c>
      <c r="D4613" s="80"/>
      <c r="E4613" s="97"/>
      <c r="F4613" s="97"/>
      <c r="G4613" s="97"/>
      <c r="H4613" s="97"/>
      <c r="I4613" s="97"/>
      <c r="J4613" s="97"/>
      <c r="K4613" s="97"/>
      <c r="L4613" s="195"/>
    </row>
    <row r="4614" spans="1:14" x14ac:dyDescent="0.45">
      <c r="A4614" s="462"/>
      <c r="B4614" s="441"/>
      <c r="C4614" s="194">
        <v>5</v>
      </c>
      <c r="D4614" s="80"/>
      <c r="E4614" s="97"/>
      <c r="F4614" s="97"/>
      <c r="G4614" s="97"/>
      <c r="H4614" s="97"/>
      <c r="I4614" s="97"/>
      <c r="J4614" s="97"/>
      <c r="K4614" s="97"/>
      <c r="L4614" s="195"/>
    </row>
    <row r="4615" spans="1:14" x14ac:dyDescent="0.45">
      <c r="A4615" s="462"/>
      <c r="B4615" s="441"/>
      <c r="C4615" s="194">
        <v>6</v>
      </c>
      <c r="D4615" s="80"/>
      <c r="E4615" s="97"/>
      <c r="F4615" s="97"/>
      <c r="G4615" s="97"/>
      <c r="H4615" s="97"/>
      <c r="I4615" s="97"/>
      <c r="J4615" s="97"/>
      <c r="K4615" s="97"/>
      <c r="L4615" s="195"/>
    </row>
    <row r="4616" spans="1:14" x14ac:dyDescent="0.45">
      <c r="A4616" s="462"/>
      <c r="B4616" s="441"/>
      <c r="C4616" s="194">
        <v>7</v>
      </c>
      <c r="D4616" s="80"/>
      <c r="E4616" s="97"/>
      <c r="F4616" s="97"/>
      <c r="G4616" s="97"/>
      <c r="H4616" s="97"/>
      <c r="I4616" s="97"/>
      <c r="J4616" s="97"/>
      <c r="K4616" s="97"/>
      <c r="L4616" s="195"/>
    </row>
    <row r="4617" spans="1:14" x14ac:dyDescent="0.45">
      <c r="A4617" s="462"/>
      <c r="B4617" s="441"/>
      <c r="C4617" s="194">
        <v>8</v>
      </c>
      <c r="D4617" s="80"/>
      <c r="E4617" s="97"/>
      <c r="F4617" s="97"/>
      <c r="G4617" s="97"/>
      <c r="H4617" s="97"/>
      <c r="I4617" s="97"/>
      <c r="J4617" s="97"/>
      <c r="K4617" s="97"/>
      <c r="L4617" s="195"/>
    </row>
    <row r="4618" spans="1:14" x14ac:dyDescent="0.45">
      <c r="A4618" s="462"/>
      <c r="B4618" s="441"/>
      <c r="C4618" s="194">
        <v>9</v>
      </c>
      <c r="D4618" s="80"/>
      <c r="E4618" s="97"/>
      <c r="F4618" s="97"/>
      <c r="G4618" s="97"/>
      <c r="H4618" s="97"/>
      <c r="I4618" s="97"/>
      <c r="J4618" s="97"/>
      <c r="K4618" s="97"/>
      <c r="L4618" s="195"/>
    </row>
    <row r="4619" spans="1:14" x14ac:dyDescent="0.45">
      <c r="A4619" s="462"/>
      <c r="B4619" s="441"/>
      <c r="C4619" s="194">
        <v>10</v>
      </c>
      <c r="D4619" s="80"/>
      <c r="E4619" s="97"/>
      <c r="F4619" s="97"/>
      <c r="G4619" s="97"/>
      <c r="H4619" s="97"/>
      <c r="I4619" s="97"/>
      <c r="J4619" s="97"/>
      <c r="K4619" s="97"/>
      <c r="L4619" s="195"/>
    </row>
    <row r="4620" spans="1:14" x14ac:dyDescent="0.45">
      <c r="A4620" s="462"/>
      <c r="B4620" s="441"/>
      <c r="C4620" s="194">
        <v>11</v>
      </c>
      <c r="D4620" s="81"/>
      <c r="E4620" s="98"/>
      <c r="F4620" s="98"/>
      <c r="G4620" s="98"/>
      <c r="H4620" s="98"/>
      <c r="I4620" s="98"/>
      <c r="J4620" s="98"/>
      <c r="K4620" s="98"/>
      <c r="L4620" s="196"/>
    </row>
    <row r="4621" spans="1:14" s="90" customFormat="1" ht="14.65" thickBot="1" x14ac:dyDescent="0.5">
      <c r="A4621" s="462"/>
      <c r="B4621" s="442"/>
      <c r="C4621" s="197">
        <v>12</v>
      </c>
      <c r="D4621" s="82"/>
      <c r="E4621" s="99"/>
      <c r="F4621" s="99"/>
      <c r="G4621" s="99"/>
      <c r="H4621" s="99"/>
      <c r="I4621" s="99"/>
      <c r="J4621" s="99"/>
      <c r="K4621" s="99"/>
      <c r="L4621" s="198"/>
      <c r="M4621" s="61"/>
      <c r="N4621" s="61"/>
    </row>
    <row r="4622" spans="1:14" x14ac:dyDescent="0.45">
      <c r="A4622" s="462"/>
      <c r="B4622" s="440">
        <v>2</v>
      </c>
      <c r="C4622" s="192">
        <v>1</v>
      </c>
      <c r="D4622" s="79"/>
      <c r="E4622" s="96"/>
      <c r="F4622" s="96"/>
      <c r="G4622" s="96"/>
      <c r="H4622" s="96"/>
      <c r="I4622" s="96"/>
      <c r="J4622" s="96"/>
      <c r="K4622" s="96"/>
      <c r="L4622" s="193"/>
    </row>
    <row r="4623" spans="1:14" x14ac:dyDescent="0.45">
      <c r="A4623" s="462"/>
      <c r="B4623" s="441"/>
      <c r="C4623" s="194">
        <v>2</v>
      </c>
      <c r="D4623" s="80"/>
      <c r="E4623" s="97"/>
      <c r="F4623" s="97"/>
      <c r="G4623" s="97"/>
      <c r="H4623" s="97"/>
      <c r="I4623" s="97"/>
      <c r="J4623" s="97"/>
      <c r="K4623" s="97"/>
      <c r="L4623" s="195"/>
    </row>
    <row r="4624" spans="1:14" x14ac:dyDescent="0.45">
      <c r="A4624" s="462"/>
      <c r="B4624" s="441"/>
      <c r="C4624" s="194">
        <v>3</v>
      </c>
      <c r="D4624" s="80"/>
      <c r="E4624" s="97"/>
      <c r="F4624" s="97"/>
      <c r="G4624" s="97"/>
      <c r="H4624" s="97"/>
      <c r="I4624" s="97"/>
      <c r="J4624" s="97"/>
      <c r="K4624" s="97"/>
      <c r="L4624" s="195"/>
    </row>
    <row r="4625" spans="1:12" x14ac:dyDescent="0.45">
      <c r="A4625" s="462"/>
      <c r="B4625" s="441"/>
      <c r="C4625" s="194">
        <v>4</v>
      </c>
      <c r="D4625" s="80"/>
      <c r="E4625" s="97"/>
      <c r="F4625" s="97"/>
      <c r="G4625" s="97"/>
      <c r="H4625" s="97"/>
      <c r="I4625" s="97"/>
      <c r="J4625" s="97"/>
      <c r="K4625" s="97"/>
      <c r="L4625" s="195"/>
    </row>
    <row r="4626" spans="1:12" x14ac:dyDescent="0.45">
      <c r="A4626" s="462"/>
      <c r="B4626" s="441"/>
      <c r="C4626" s="194">
        <v>5</v>
      </c>
      <c r="D4626" s="80"/>
      <c r="E4626" s="97"/>
      <c r="F4626" s="97"/>
      <c r="G4626" s="97"/>
      <c r="H4626" s="97"/>
      <c r="I4626" s="97"/>
      <c r="J4626" s="97"/>
      <c r="K4626" s="97"/>
      <c r="L4626" s="195"/>
    </row>
    <row r="4627" spans="1:12" x14ac:dyDescent="0.45">
      <c r="A4627" s="462"/>
      <c r="B4627" s="441"/>
      <c r="C4627" s="194">
        <v>6</v>
      </c>
      <c r="D4627" s="80"/>
      <c r="E4627" s="97"/>
      <c r="F4627" s="97"/>
      <c r="G4627" s="97"/>
      <c r="H4627" s="97"/>
      <c r="I4627" s="97"/>
      <c r="J4627" s="97"/>
      <c r="K4627" s="97"/>
      <c r="L4627" s="195"/>
    </row>
    <row r="4628" spans="1:12" x14ac:dyDescent="0.45">
      <c r="A4628" s="462"/>
      <c r="B4628" s="441"/>
      <c r="C4628" s="194">
        <v>7</v>
      </c>
      <c r="D4628" s="80"/>
      <c r="E4628" s="97"/>
      <c r="F4628" s="97"/>
      <c r="G4628" s="97"/>
      <c r="H4628" s="97"/>
      <c r="I4628" s="97"/>
      <c r="J4628" s="97"/>
      <c r="K4628" s="97"/>
      <c r="L4628" s="195"/>
    </row>
    <row r="4629" spans="1:12" x14ac:dyDescent="0.45">
      <c r="A4629" s="462"/>
      <c r="B4629" s="441"/>
      <c r="C4629" s="194">
        <v>8</v>
      </c>
      <c r="D4629" s="80"/>
      <c r="E4629" s="97"/>
      <c r="F4629" s="97"/>
      <c r="G4629" s="97"/>
      <c r="H4629" s="97"/>
      <c r="I4629" s="97"/>
      <c r="J4629" s="97"/>
      <c r="K4629" s="97"/>
      <c r="L4629" s="195"/>
    </row>
    <row r="4630" spans="1:12" x14ac:dyDescent="0.45">
      <c r="A4630" s="462"/>
      <c r="B4630" s="441"/>
      <c r="C4630" s="194">
        <v>9</v>
      </c>
      <c r="D4630" s="80"/>
      <c r="E4630" s="97"/>
      <c r="F4630" s="97"/>
      <c r="G4630" s="97"/>
      <c r="H4630" s="97"/>
      <c r="I4630" s="97"/>
      <c r="J4630" s="97"/>
      <c r="K4630" s="97"/>
      <c r="L4630" s="195"/>
    </row>
    <row r="4631" spans="1:12" x14ac:dyDescent="0.45">
      <c r="A4631" s="462"/>
      <c r="B4631" s="441"/>
      <c r="C4631" s="194">
        <v>10</v>
      </c>
      <c r="D4631" s="80"/>
      <c r="E4631" s="97"/>
      <c r="F4631" s="97"/>
      <c r="G4631" s="97"/>
      <c r="H4631" s="97"/>
      <c r="I4631" s="97"/>
      <c r="J4631" s="97"/>
      <c r="K4631" s="97"/>
      <c r="L4631" s="195"/>
    </row>
    <row r="4632" spans="1:12" x14ac:dyDescent="0.45">
      <c r="A4632" s="462"/>
      <c r="B4632" s="441"/>
      <c r="C4632" s="194">
        <v>11</v>
      </c>
      <c r="D4632" s="81"/>
      <c r="E4632" s="98"/>
      <c r="F4632" s="98"/>
      <c r="G4632" s="98"/>
      <c r="H4632" s="98"/>
      <c r="I4632" s="98"/>
      <c r="J4632" s="98"/>
      <c r="K4632" s="98"/>
      <c r="L4632" s="196"/>
    </row>
    <row r="4633" spans="1:12" ht="14.65" thickBot="1" x14ac:dyDescent="0.5">
      <c r="A4633" s="462"/>
      <c r="B4633" s="442"/>
      <c r="C4633" s="197">
        <v>12</v>
      </c>
      <c r="D4633" s="82"/>
      <c r="E4633" s="99"/>
      <c r="F4633" s="99"/>
      <c r="G4633" s="99"/>
      <c r="H4633" s="99"/>
      <c r="I4633" s="99"/>
      <c r="J4633" s="99"/>
      <c r="K4633" s="99"/>
      <c r="L4633" s="198"/>
    </row>
    <row r="4634" spans="1:12" x14ac:dyDescent="0.45">
      <c r="A4634" s="462"/>
      <c r="B4634" s="440">
        <v>3</v>
      </c>
      <c r="C4634" s="192">
        <v>1</v>
      </c>
      <c r="D4634" s="79"/>
      <c r="E4634" s="96"/>
      <c r="F4634" s="96"/>
      <c r="G4634" s="96"/>
      <c r="H4634" s="96"/>
      <c r="I4634" s="96"/>
      <c r="J4634" s="96"/>
      <c r="K4634" s="96"/>
      <c r="L4634" s="193"/>
    </row>
    <row r="4635" spans="1:12" x14ac:dyDescent="0.45">
      <c r="A4635" s="462"/>
      <c r="B4635" s="441"/>
      <c r="C4635" s="194">
        <v>2</v>
      </c>
      <c r="D4635" s="80"/>
      <c r="E4635" s="97"/>
      <c r="F4635" s="97"/>
      <c r="G4635" s="97"/>
      <c r="H4635" s="97"/>
      <c r="I4635" s="97"/>
      <c r="J4635" s="97"/>
      <c r="K4635" s="97"/>
      <c r="L4635" s="195"/>
    </row>
    <row r="4636" spans="1:12" x14ac:dyDescent="0.45">
      <c r="A4636" s="462"/>
      <c r="B4636" s="441"/>
      <c r="C4636" s="194">
        <v>3</v>
      </c>
      <c r="D4636" s="80"/>
      <c r="E4636" s="97"/>
      <c r="F4636" s="97"/>
      <c r="G4636" s="97"/>
      <c r="H4636" s="97"/>
      <c r="I4636" s="97"/>
      <c r="J4636" s="97"/>
      <c r="K4636" s="97"/>
      <c r="L4636" s="195"/>
    </row>
    <row r="4637" spans="1:12" x14ac:dyDescent="0.45">
      <c r="A4637" s="462"/>
      <c r="B4637" s="441"/>
      <c r="C4637" s="194">
        <v>4</v>
      </c>
      <c r="D4637" s="80"/>
      <c r="E4637" s="97"/>
      <c r="F4637" s="97"/>
      <c r="G4637" s="97"/>
      <c r="H4637" s="97"/>
      <c r="I4637" s="97"/>
      <c r="J4637" s="97"/>
      <c r="K4637" s="97"/>
      <c r="L4637" s="195"/>
    </row>
    <row r="4638" spans="1:12" x14ac:dyDescent="0.45">
      <c r="A4638" s="462"/>
      <c r="B4638" s="441"/>
      <c r="C4638" s="194">
        <v>5</v>
      </c>
      <c r="D4638" s="80"/>
      <c r="E4638" s="97"/>
      <c r="F4638" s="97"/>
      <c r="G4638" s="97"/>
      <c r="H4638" s="97"/>
      <c r="I4638" s="97"/>
      <c r="J4638" s="97"/>
      <c r="K4638" s="97"/>
      <c r="L4638" s="195"/>
    </row>
    <row r="4639" spans="1:12" x14ac:dyDescent="0.45">
      <c r="A4639" s="462"/>
      <c r="B4639" s="441"/>
      <c r="C4639" s="194">
        <v>6</v>
      </c>
      <c r="D4639" s="80"/>
      <c r="E4639" s="97"/>
      <c r="F4639" s="97"/>
      <c r="G4639" s="97"/>
      <c r="H4639" s="97"/>
      <c r="I4639" s="97"/>
      <c r="J4639" s="97"/>
      <c r="K4639" s="97"/>
      <c r="L4639" s="195"/>
    </row>
    <row r="4640" spans="1:12" x14ac:dyDescent="0.45">
      <c r="A4640" s="462"/>
      <c r="B4640" s="441"/>
      <c r="C4640" s="194">
        <v>7</v>
      </c>
      <c r="D4640" s="80"/>
      <c r="E4640" s="97"/>
      <c r="F4640" s="97"/>
      <c r="G4640" s="97"/>
      <c r="H4640" s="97"/>
      <c r="I4640" s="97"/>
      <c r="J4640" s="97"/>
      <c r="K4640" s="97"/>
      <c r="L4640" s="195"/>
    </row>
    <row r="4641" spans="1:12" x14ac:dyDescent="0.45">
      <c r="A4641" s="462"/>
      <c r="B4641" s="441"/>
      <c r="C4641" s="194">
        <v>8</v>
      </c>
      <c r="D4641" s="80"/>
      <c r="E4641" s="97"/>
      <c r="F4641" s="97"/>
      <c r="G4641" s="97"/>
      <c r="H4641" s="97"/>
      <c r="I4641" s="97"/>
      <c r="J4641" s="97"/>
      <c r="K4641" s="97"/>
      <c r="L4641" s="195"/>
    </row>
    <row r="4642" spans="1:12" x14ac:dyDescent="0.45">
      <c r="A4642" s="462"/>
      <c r="B4642" s="441"/>
      <c r="C4642" s="194">
        <v>9</v>
      </c>
      <c r="D4642" s="80"/>
      <c r="E4642" s="97"/>
      <c r="F4642" s="97"/>
      <c r="G4642" s="97"/>
      <c r="H4642" s="97"/>
      <c r="I4642" s="97"/>
      <c r="J4642" s="97"/>
      <c r="K4642" s="97"/>
      <c r="L4642" s="195"/>
    </row>
    <row r="4643" spans="1:12" x14ac:dyDescent="0.45">
      <c r="A4643" s="462"/>
      <c r="B4643" s="441"/>
      <c r="C4643" s="194">
        <v>10</v>
      </c>
      <c r="D4643" s="80"/>
      <c r="E4643" s="97"/>
      <c r="F4643" s="97"/>
      <c r="G4643" s="97"/>
      <c r="H4643" s="97"/>
      <c r="I4643" s="97"/>
      <c r="J4643" s="97"/>
      <c r="K4643" s="97"/>
      <c r="L4643" s="195"/>
    </row>
    <row r="4644" spans="1:12" x14ac:dyDescent="0.45">
      <c r="A4644" s="462"/>
      <c r="B4644" s="441"/>
      <c r="C4644" s="194">
        <v>11</v>
      </c>
      <c r="D4644" s="81"/>
      <c r="E4644" s="98"/>
      <c r="F4644" s="98"/>
      <c r="G4644" s="98"/>
      <c r="H4644" s="98"/>
      <c r="I4644" s="98"/>
      <c r="J4644" s="98"/>
      <c r="K4644" s="98"/>
      <c r="L4644" s="196"/>
    </row>
    <row r="4645" spans="1:12" ht="14.65" thickBot="1" x14ac:dyDescent="0.5">
      <c r="A4645" s="462"/>
      <c r="B4645" s="442"/>
      <c r="C4645" s="197">
        <v>12</v>
      </c>
      <c r="D4645" s="82"/>
      <c r="E4645" s="99"/>
      <c r="F4645" s="99"/>
      <c r="G4645" s="99"/>
      <c r="H4645" s="99"/>
      <c r="I4645" s="99"/>
      <c r="J4645" s="99"/>
      <c r="K4645" s="99"/>
      <c r="L4645" s="198"/>
    </row>
    <row r="4646" spans="1:12" x14ac:dyDescent="0.45">
      <c r="A4646" s="462"/>
      <c r="B4646" s="440">
        <v>4</v>
      </c>
      <c r="C4646" s="192">
        <v>1</v>
      </c>
      <c r="D4646" s="79"/>
      <c r="E4646" s="96"/>
      <c r="F4646" s="96"/>
      <c r="G4646" s="96"/>
      <c r="H4646" s="96"/>
      <c r="I4646" s="96"/>
      <c r="J4646" s="96"/>
      <c r="K4646" s="96"/>
      <c r="L4646" s="193"/>
    </row>
    <row r="4647" spans="1:12" x14ac:dyDescent="0.45">
      <c r="A4647" s="462"/>
      <c r="B4647" s="441"/>
      <c r="C4647" s="194">
        <v>2</v>
      </c>
      <c r="D4647" s="80"/>
      <c r="E4647" s="97"/>
      <c r="F4647" s="97"/>
      <c r="G4647" s="97"/>
      <c r="H4647" s="97"/>
      <c r="I4647" s="97"/>
      <c r="J4647" s="97"/>
      <c r="K4647" s="97"/>
      <c r="L4647" s="195"/>
    </row>
    <row r="4648" spans="1:12" x14ac:dyDescent="0.45">
      <c r="A4648" s="462"/>
      <c r="B4648" s="441"/>
      <c r="C4648" s="194">
        <v>3</v>
      </c>
      <c r="D4648" s="80"/>
      <c r="E4648" s="97"/>
      <c r="F4648" s="97"/>
      <c r="G4648" s="97"/>
      <c r="H4648" s="97"/>
      <c r="I4648" s="97"/>
      <c r="J4648" s="97"/>
      <c r="K4648" s="97"/>
      <c r="L4648" s="195"/>
    </row>
    <row r="4649" spans="1:12" x14ac:dyDescent="0.45">
      <c r="A4649" s="462"/>
      <c r="B4649" s="441"/>
      <c r="C4649" s="194">
        <v>4</v>
      </c>
      <c r="D4649" s="80"/>
      <c r="E4649" s="97"/>
      <c r="F4649" s="97"/>
      <c r="G4649" s="97"/>
      <c r="H4649" s="97"/>
      <c r="I4649" s="97"/>
      <c r="J4649" s="97"/>
      <c r="K4649" s="97"/>
      <c r="L4649" s="195"/>
    </row>
    <row r="4650" spans="1:12" x14ac:dyDescent="0.45">
      <c r="A4650" s="462"/>
      <c r="B4650" s="441"/>
      <c r="C4650" s="194">
        <v>5</v>
      </c>
      <c r="D4650" s="80"/>
      <c r="E4650" s="97"/>
      <c r="F4650" s="97"/>
      <c r="G4650" s="97"/>
      <c r="H4650" s="97"/>
      <c r="I4650" s="97"/>
      <c r="J4650" s="97"/>
      <c r="K4650" s="97"/>
      <c r="L4650" s="195"/>
    </row>
    <row r="4651" spans="1:12" x14ac:dyDescent="0.45">
      <c r="A4651" s="462"/>
      <c r="B4651" s="441"/>
      <c r="C4651" s="194">
        <v>6</v>
      </c>
      <c r="D4651" s="80"/>
      <c r="E4651" s="97"/>
      <c r="F4651" s="97"/>
      <c r="G4651" s="97"/>
      <c r="H4651" s="97"/>
      <c r="I4651" s="97"/>
      <c r="J4651" s="97"/>
      <c r="K4651" s="97"/>
      <c r="L4651" s="195"/>
    </row>
    <row r="4652" spans="1:12" x14ac:dyDescent="0.45">
      <c r="A4652" s="462"/>
      <c r="B4652" s="441"/>
      <c r="C4652" s="194">
        <v>7</v>
      </c>
      <c r="D4652" s="80"/>
      <c r="E4652" s="97"/>
      <c r="F4652" s="97"/>
      <c r="G4652" s="97"/>
      <c r="H4652" s="97"/>
      <c r="I4652" s="97"/>
      <c r="J4652" s="97"/>
      <c r="K4652" s="97"/>
      <c r="L4652" s="195"/>
    </row>
    <row r="4653" spans="1:12" x14ac:dyDescent="0.45">
      <c r="A4653" s="462"/>
      <c r="B4653" s="441"/>
      <c r="C4653" s="194">
        <v>8</v>
      </c>
      <c r="D4653" s="80"/>
      <c r="E4653" s="97"/>
      <c r="F4653" s="97"/>
      <c r="G4653" s="97"/>
      <c r="H4653" s="97"/>
      <c r="I4653" s="97"/>
      <c r="J4653" s="97"/>
      <c r="K4653" s="97"/>
      <c r="L4653" s="195"/>
    </row>
    <row r="4654" spans="1:12" x14ac:dyDescent="0.45">
      <c r="A4654" s="462"/>
      <c r="B4654" s="441"/>
      <c r="C4654" s="194">
        <v>9</v>
      </c>
      <c r="D4654" s="80"/>
      <c r="E4654" s="97"/>
      <c r="F4654" s="97"/>
      <c r="G4654" s="97"/>
      <c r="H4654" s="97"/>
      <c r="I4654" s="97"/>
      <c r="J4654" s="97"/>
      <c r="K4654" s="97"/>
      <c r="L4654" s="195"/>
    </row>
    <row r="4655" spans="1:12" x14ac:dyDescent="0.45">
      <c r="A4655" s="462"/>
      <c r="B4655" s="441"/>
      <c r="C4655" s="194">
        <v>10</v>
      </c>
      <c r="D4655" s="80"/>
      <c r="E4655" s="97"/>
      <c r="F4655" s="97"/>
      <c r="G4655" s="97"/>
      <c r="H4655" s="97"/>
      <c r="I4655" s="97"/>
      <c r="J4655" s="97"/>
      <c r="K4655" s="97"/>
      <c r="L4655" s="195"/>
    </row>
    <row r="4656" spans="1:12" x14ac:dyDescent="0.45">
      <c r="A4656" s="462"/>
      <c r="B4656" s="441"/>
      <c r="C4656" s="194">
        <v>11</v>
      </c>
      <c r="D4656" s="81"/>
      <c r="E4656" s="98"/>
      <c r="F4656" s="98"/>
      <c r="G4656" s="98"/>
      <c r="H4656" s="98"/>
      <c r="I4656" s="98"/>
      <c r="J4656" s="98"/>
      <c r="K4656" s="98"/>
      <c r="L4656" s="196"/>
    </row>
    <row r="4657" spans="1:12" ht="14.65" thickBot="1" x14ac:dyDescent="0.5">
      <c r="A4657" s="463"/>
      <c r="B4657" s="442"/>
      <c r="C4657" s="197">
        <v>12</v>
      </c>
      <c r="D4657" s="82"/>
      <c r="E4657" s="99"/>
      <c r="F4657" s="99"/>
      <c r="G4657" s="99"/>
      <c r="H4657" s="99"/>
      <c r="I4657" s="99"/>
      <c r="J4657" s="99"/>
      <c r="K4657" s="99"/>
      <c r="L4657" s="198"/>
    </row>
    <row r="4658" spans="1:12" x14ac:dyDescent="0.45">
      <c r="A4658" s="461">
        <v>2</v>
      </c>
      <c r="B4658" s="440">
        <v>5</v>
      </c>
      <c r="C4658" s="192">
        <v>1</v>
      </c>
      <c r="D4658" s="79"/>
      <c r="E4658" s="96"/>
      <c r="F4658" s="96"/>
      <c r="G4658" s="96"/>
      <c r="H4658" s="96"/>
      <c r="I4658" s="96"/>
      <c r="J4658" s="96"/>
      <c r="K4658" s="96"/>
      <c r="L4658" s="193"/>
    </row>
    <row r="4659" spans="1:12" x14ac:dyDescent="0.45">
      <c r="A4659" s="462"/>
      <c r="B4659" s="441"/>
      <c r="C4659" s="194">
        <v>2</v>
      </c>
      <c r="D4659" s="80"/>
      <c r="E4659" s="97"/>
      <c r="F4659" s="97"/>
      <c r="G4659" s="97"/>
      <c r="H4659" s="97"/>
      <c r="I4659" s="97"/>
      <c r="J4659" s="97"/>
      <c r="K4659" s="97"/>
      <c r="L4659" s="195"/>
    </row>
    <row r="4660" spans="1:12" x14ac:dyDescent="0.45">
      <c r="A4660" s="462"/>
      <c r="B4660" s="441"/>
      <c r="C4660" s="194">
        <v>3</v>
      </c>
      <c r="D4660" s="80"/>
      <c r="E4660" s="97"/>
      <c r="F4660" s="97"/>
      <c r="G4660" s="97"/>
      <c r="H4660" s="97"/>
      <c r="I4660" s="97"/>
      <c r="J4660" s="97"/>
      <c r="K4660" s="97"/>
      <c r="L4660" s="195"/>
    </row>
    <row r="4661" spans="1:12" x14ac:dyDescent="0.45">
      <c r="A4661" s="462"/>
      <c r="B4661" s="441"/>
      <c r="C4661" s="194">
        <v>4</v>
      </c>
      <c r="D4661" s="80"/>
      <c r="E4661" s="97"/>
      <c r="F4661" s="97"/>
      <c r="G4661" s="97"/>
      <c r="H4661" s="97"/>
      <c r="I4661" s="97"/>
      <c r="J4661" s="97"/>
      <c r="K4661" s="97"/>
      <c r="L4661" s="195"/>
    </row>
    <row r="4662" spans="1:12" x14ac:dyDescent="0.45">
      <c r="A4662" s="462"/>
      <c r="B4662" s="441"/>
      <c r="C4662" s="194">
        <v>5</v>
      </c>
      <c r="D4662" s="80"/>
      <c r="E4662" s="97"/>
      <c r="F4662" s="97"/>
      <c r="G4662" s="97"/>
      <c r="H4662" s="97"/>
      <c r="I4662" s="97"/>
      <c r="J4662" s="97"/>
      <c r="K4662" s="97"/>
      <c r="L4662" s="195"/>
    </row>
    <row r="4663" spans="1:12" x14ac:dyDescent="0.45">
      <c r="A4663" s="462"/>
      <c r="B4663" s="441"/>
      <c r="C4663" s="194">
        <v>6</v>
      </c>
      <c r="D4663" s="80"/>
      <c r="E4663" s="97"/>
      <c r="F4663" s="97"/>
      <c r="G4663" s="97"/>
      <c r="H4663" s="97"/>
      <c r="I4663" s="97"/>
      <c r="J4663" s="97"/>
      <c r="K4663" s="97"/>
      <c r="L4663" s="195"/>
    </row>
    <row r="4664" spans="1:12" x14ac:dyDescent="0.45">
      <c r="A4664" s="462"/>
      <c r="B4664" s="441"/>
      <c r="C4664" s="194">
        <v>7</v>
      </c>
      <c r="D4664" s="80"/>
      <c r="E4664" s="97"/>
      <c r="F4664" s="97"/>
      <c r="G4664" s="97"/>
      <c r="H4664" s="97"/>
      <c r="I4664" s="97"/>
      <c r="J4664" s="97"/>
      <c r="K4664" s="97"/>
      <c r="L4664" s="195"/>
    </row>
    <row r="4665" spans="1:12" x14ac:dyDescent="0.45">
      <c r="A4665" s="462"/>
      <c r="B4665" s="441"/>
      <c r="C4665" s="194">
        <v>8</v>
      </c>
      <c r="D4665" s="80"/>
      <c r="E4665" s="97"/>
      <c r="F4665" s="97"/>
      <c r="G4665" s="97"/>
      <c r="H4665" s="97"/>
      <c r="I4665" s="97"/>
      <c r="J4665" s="97"/>
      <c r="K4665" s="97"/>
      <c r="L4665" s="195"/>
    </row>
    <row r="4666" spans="1:12" x14ac:dyDescent="0.45">
      <c r="A4666" s="462"/>
      <c r="B4666" s="441"/>
      <c r="C4666" s="194">
        <v>9</v>
      </c>
      <c r="D4666" s="80"/>
      <c r="E4666" s="97"/>
      <c r="F4666" s="97"/>
      <c r="G4666" s="97"/>
      <c r="H4666" s="97"/>
      <c r="I4666" s="97"/>
      <c r="J4666" s="97"/>
      <c r="K4666" s="97"/>
      <c r="L4666" s="195"/>
    </row>
    <row r="4667" spans="1:12" x14ac:dyDescent="0.45">
      <c r="A4667" s="462"/>
      <c r="B4667" s="441"/>
      <c r="C4667" s="194">
        <v>10</v>
      </c>
      <c r="D4667" s="80"/>
      <c r="E4667" s="97"/>
      <c r="F4667" s="97"/>
      <c r="G4667" s="97"/>
      <c r="H4667" s="97"/>
      <c r="I4667" s="97"/>
      <c r="J4667" s="97"/>
      <c r="K4667" s="97"/>
      <c r="L4667" s="195"/>
    </row>
    <row r="4668" spans="1:12" x14ac:dyDescent="0.45">
      <c r="A4668" s="462"/>
      <c r="B4668" s="441"/>
      <c r="C4668" s="194">
        <v>11</v>
      </c>
      <c r="D4668" s="81"/>
      <c r="E4668" s="98"/>
      <c r="F4668" s="98"/>
      <c r="G4668" s="98"/>
      <c r="H4668" s="98"/>
      <c r="I4668" s="98"/>
      <c r="J4668" s="98"/>
      <c r="K4668" s="98"/>
      <c r="L4668" s="196"/>
    </row>
    <row r="4669" spans="1:12" ht="14.65" thickBot="1" x14ac:dyDescent="0.5">
      <c r="A4669" s="462"/>
      <c r="B4669" s="442"/>
      <c r="C4669" s="197">
        <v>12</v>
      </c>
      <c r="D4669" s="82"/>
      <c r="E4669" s="99"/>
      <c r="F4669" s="99"/>
      <c r="G4669" s="99"/>
      <c r="H4669" s="99"/>
      <c r="I4669" s="99"/>
      <c r="J4669" s="99"/>
      <c r="K4669" s="99"/>
      <c r="L4669" s="198"/>
    </row>
    <row r="4670" spans="1:12" x14ac:dyDescent="0.45">
      <c r="A4670" s="462"/>
      <c r="B4670" s="440">
        <v>6</v>
      </c>
      <c r="C4670" s="192">
        <v>1</v>
      </c>
      <c r="D4670" s="79"/>
      <c r="E4670" s="96"/>
      <c r="F4670" s="96"/>
      <c r="G4670" s="96"/>
      <c r="H4670" s="96"/>
      <c r="I4670" s="96"/>
      <c r="J4670" s="96"/>
      <c r="K4670" s="96"/>
      <c r="L4670" s="193"/>
    </row>
    <row r="4671" spans="1:12" x14ac:dyDescent="0.45">
      <c r="A4671" s="462"/>
      <c r="B4671" s="441"/>
      <c r="C4671" s="194">
        <v>2</v>
      </c>
      <c r="D4671" s="80"/>
      <c r="E4671" s="97"/>
      <c r="F4671" s="97"/>
      <c r="G4671" s="97"/>
      <c r="H4671" s="97"/>
      <c r="I4671" s="97"/>
      <c r="J4671" s="97"/>
      <c r="K4671" s="97"/>
      <c r="L4671" s="195"/>
    </row>
    <row r="4672" spans="1:12" x14ac:dyDescent="0.45">
      <c r="A4672" s="462"/>
      <c r="B4672" s="441"/>
      <c r="C4672" s="194">
        <v>3</v>
      </c>
      <c r="D4672" s="80"/>
      <c r="E4672" s="97"/>
      <c r="F4672" s="97"/>
      <c r="G4672" s="97"/>
      <c r="H4672" s="97"/>
      <c r="I4672" s="97"/>
      <c r="J4672" s="97"/>
      <c r="K4672" s="97"/>
      <c r="L4672" s="195"/>
    </row>
    <row r="4673" spans="1:12" x14ac:dyDescent="0.45">
      <c r="A4673" s="462"/>
      <c r="B4673" s="441"/>
      <c r="C4673" s="194">
        <v>4</v>
      </c>
      <c r="D4673" s="80"/>
      <c r="E4673" s="97"/>
      <c r="F4673" s="97"/>
      <c r="G4673" s="97"/>
      <c r="H4673" s="97"/>
      <c r="I4673" s="97"/>
      <c r="J4673" s="97"/>
      <c r="K4673" s="97"/>
      <c r="L4673" s="195"/>
    </row>
    <row r="4674" spans="1:12" x14ac:dyDescent="0.45">
      <c r="A4674" s="462"/>
      <c r="B4674" s="441"/>
      <c r="C4674" s="194">
        <v>5</v>
      </c>
      <c r="D4674" s="80"/>
      <c r="E4674" s="97"/>
      <c r="F4674" s="97"/>
      <c r="G4674" s="97"/>
      <c r="H4674" s="97"/>
      <c r="I4674" s="97"/>
      <c r="J4674" s="97"/>
      <c r="K4674" s="97"/>
      <c r="L4674" s="195"/>
    </row>
    <row r="4675" spans="1:12" x14ac:dyDescent="0.45">
      <c r="A4675" s="462"/>
      <c r="B4675" s="441"/>
      <c r="C4675" s="194">
        <v>6</v>
      </c>
      <c r="D4675" s="80"/>
      <c r="E4675" s="97"/>
      <c r="F4675" s="97"/>
      <c r="G4675" s="97"/>
      <c r="H4675" s="97"/>
      <c r="I4675" s="97"/>
      <c r="J4675" s="97"/>
      <c r="K4675" s="97"/>
      <c r="L4675" s="195"/>
    </row>
    <row r="4676" spans="1:12" x14ac:dyDescent="0.45">
      <c r="A4676" s="462"/>
      <c r="B4676" s="441"/>
      <c r="C4676" s="194">
        <v>7</v>
      </c>
      <c r="D4676" s="80"/>
      <c r="E4676" s="97"/>
      <c r="F4676" s="97"/>
      <c r="G4676" s="97"/>
      <c r="H4676" s="97"/>
      <c r="I4676" s="97"/>
      <c r="J4676" s="97"/>
      <c r="K4676" s="97"/>
      <c r="L4676" s="195"/>
    </row>
    <row r="4677" spans="1:12" x14ac:dyDescent="0.45">
      <c r="A4677" s="462"/>
      <c r="B4677" s="441"/>
      <c r="C4677" s="194">
        <v>8</v>
      </c>
      <c r="D4677" s="80"/>
      <c r="E4677" s="97"/>
      <c r="F4677" s="97"/>
      <c r="G4677" s="97"/>
      <c r="H4677" s="97"/>
      <c r="I4677" s="97"/>
      <c r="J4677" s="97"/>
      <c r="K4677" s="97"/>
      <c r="L4677" s="195"/>
    </row>
    <row r="4678" spans="1:12" x14ac:dyDescent="0.45">
      <c r="A4678" s="462"/>
      <c r="B4678" s="441"/>
      <c r="C4678" s="194">
        <v>9</v>
      </c>
      <c r="D4678" s="80"/>
      <c r="E4678" s="97"/>
      <c r="F4678" s="97"/>
      <c r="G4678" s="97"/>
      <c r="H4678" s="97"/>
      <c r="I4678" s="97"/>
      <c r="J4678" s="97"/>
      <c r="K4678" s="97"/>
      <c r="L4678" s="195"/>
    </row>
    <row r="4679" spans="1:12" x14ac:dyDescent="0.45">
      <c r="A4679" s="462"/>
      <c r="B4679" s="441"/>
      <c r="C4679" s="194">
        <v>10</v>
      </c>
      <c r="D4679" s="80"/>
      <c r="E4679" s="97"/>
      <c r="F4679" s="97"/>
      <c r="G4679" s="97"/>
      <c r="H4679" s="97"/>
      <c r="I4679" s="97"/>
      <c r="J4679" s="97"/>
      <c r="K4679" s="97"/>
      <c r="L4679" s="195"/>
    </row>
    <row r="4680" spans="1:12" x14ac:dyDescent="0.45">
      <c r="A4680" s="462"/>
      <c r="B4680" s="441"/>
      <c r="C4680" s="194">
        <v>11</v>
      </c>
      <c r="D4680" s="81"/>
      <c r="E4680" s="98"/>
      <c r="F4680" s="98"/>
      <c r="G4680" s="98"/>
      <c r="H4680" s="98"/>
      <c r="I4680" s="98"/>
      <c r="J4680" s="98"/>
      <c r="K4680" s="98"/>
      <c r="L4680" s="196"/>
    </row>
    <row r="4681" spans="1:12" ht="14.65" thickBot="1" x14ac:dyDescent="0.5">
      <c r="A4681" s="462"/>
      <c r="B4681" s="442"/>
      <c r="C4681" s="197">
        <v>12</v>
      </c>
      <c r="D4681" s="82"/>
      <c r="E4681" s="99"/>
      <c r="F4681" s="99"/>
      <c r="G4681" s="99"/>
      <c r="H4681" s="99"/>
      <c r="I4681" s="99"/>
      <c r="J4681" s="99"/>
      <c r="K4681" s="99"/>
      <c r="L4681" s="198"/>
    </row>
    <row r="4682" spans="1:12" x14ac:dyDescent="0.45">
      <c r="A4682" s="462"/>
      <c r="B4682" s="440">
        <v>7</v>
      </c>
      <c r="C4682" s="192">
        <v>1</v>
      </c>
      <c r="D4682" s="79"/>
      <c r="E4682" s="96"/>
      <c r="F4682" s="96"/>
      <c r="G4682" s="96"/>
      <c r="H4682" s="96"/>
      <c r="I4682" s="96"/>
      <c r="J4682" s="96"/>
      <c r="K4682" s="96"/>
      <c r="L4682" s="193"/>
    </row>
    <row r="4683" spans="1:12" x14ac:dyDescent="0.45">
      <c r="A4683" s="462"/>
      <c r="B4683" s="441"/>
      <c r="C4683" s="194">
        <v>2</v>
      </c>
      <c r="D4683" s="80"/>
      <c r="E4683" s="97"/>
      <c r="F4683" s="97"/>
      <c r="G4683" s="97"/>
      <c r="H4683" s="97"/>
      <c r="I4683" s="97"/>
      <c r="J4683" s="97"/>
      <c r="K4683" s="97"/>
      <c r="L4683" s="195"/>
    </row>
    <row r="4684" spans="1:12" x14ac:dyDescent="0.45">
      <c r="A4684" s="462"/>
      <c r="B4684" s="441"/>
      <c r="C4684" s="194">
        <v>3</v>
      </c>
      <c r="D4684" s="80"/>
      <c r="E4684" s="97"/>
      <c r="F4684" s="97"/>
      <c r="G4684" s="97"/>
      <c r="H4684" s="97"/>
      <c r="I4684" s="97"/>
      <c r="J4684" s="97"/>
      <c r="K4684" s="97"/>
      <c r="L4684" s="195"/>
    </row>
    <row r="4685" spans="1:12" x14ac:dyDescent="0.45">
      <c r="A4685" s="462"/>
      <c r="B4685" s="441"/>
      <c r="C4685" s="194">
        <v>4</v>
      </c>
      <c r="D4685" s="80"/>
      <c r="E4685" s="97"/>
      <c r="F4685" s="97"/>
      <c r="G4685" s="97"/>
      <c r="H4685" s="97"/>
      <c r="I4685" s="97"/>
      <c r="J4685" s="97"/>
      <c r="K4685" s="97"/>
      <c r="L4685" s="195"/>
    </row>
    <row r="4686" spans="1:12" x14ac:dyDescent="0.45">
      <c r="A4686" s="462"/>
      <c r="B4686" s="441"/>
      <c r="C4686" s="194">
        <v>5</v>
      </c>
      <c r="D4686" s="80"/>
      <c r="E4686" s="97"/>
      <c r="F4686" s="97"/>
      <c r="G4686" s="97"/>
      <c r="H4686" s="97"/>
      <c r="I4686" s="97"/>
      <c r="J4686" s="97"/>
      <c r="K4686" s="97"/>
      <c r="L4686" s="195"/>
    </row>
    <row r="4687" spans="1:12" x14ac:dyDescent="0.45">
      <c r="A4687" s="462"/>
      <c r="B4687" s="441"/>
      <c r="C4687" s="194">
        <v>6</v>
      </c>
      <c r="D4687" s="80"/>
      <c r="E4687" s="97"/>
      <c r="F4687" s="97"/>
      <c r="G4687" s="97"/>
      <c r="H4687" s="97"/>
      <c r="I4687" s="97"/>
      <c r="J4687" s="97"/>
      <c r="K4687" s="97"/>
      <c r="L4687" s="195"/>
    </row>
    <row r="4688" spans="1:12" x14ac:dyDescent="0.45">
      <c r="A4688" s="462"/>
      <c r="B4688" s="441"/>
      <c r="C4688" s="194">
        <v>7</v>
      </c>
      <c r="D4688" s="80"/>
      <c r="E4688" s="97"/>
      <c r="F4688" s="97"/>
      <c r="G4688" s="97"/>
      <c r="H4688" s="97"/>
      <c r="I4688" s="97"/>
      <c r="J4688" s="97"/>
      <c r="K4688" s="97"/>
      <c r="L4688" s="195"/>
    </row>
    <row r="4689" spans="1:12" x14ac:dyDescent="0.45">
      <c r="A4689" s="462"/>
      <c r="B4689" s="441"/>
      <c r="C4689" s="194">
        <v>8</v>
      </c>
      <c r="D4689" s="80"/>
      <c r="E4689" s="97"/>
      <c r="F4689" s="97"/>
      <c r="G4689" s="97"/>
      <c r="H4689" s="97"/>
      <c r="I4689" s="97"/>
      <c r="J4689" s="97"/>
      <c r="K4689" s="97"/>
      <c r="L4689" s="195"/>
    </row>
    <row r="4690" spans="1:12" x14ac:dyDescent="0.45">
      <c r="A4690" s="462"/>
      <c r="B4690" s="441"/>
      <c r="C4690" s="194">
        <v>9</v>
      </c>
      <c r="D4690" s="80"/>
      <c r="E4690" s="97"/>
      <c r="F4690" s="97"/>
      <c r="G4690" s="97"/>
      <c r="H4690" s="97"/>
      <c r="I4690" s="97"/>
      <c r="J4690" s="97"/>
      <c r="K4690" s="97"/>
      <c r="L4690" s="195"/>
    </row>
    <row r="4691" spans="1:12" x14ac:dyDescent="0.45">
      <c r="A4691" s="462"/>
      <c r="B4691" s="441"/>
      <c r="C4691" s="194">
        <v>10</v>
      </c>
      <c r="D4691" s="80"/>
      <c r="E4691" s="97"/>
      <c r="F4691" s="97"/>
      <c r="G4691" s="97"/>
      <c r="H4691" s="97"/>
      <c r="I4691" s="97"/>
      <c r="J4691" s="97"/>
      <c r="K4691" s="97"/>
      <c r="L4691" s="195"/>
    </row>
    <row r="4692" spans="1:12" x14ac:dyDescent="0.45">
      <c r="A4692" s="462"/>
      <c r="B4692" s="441"/>
      <c r="C4692" s="194">
        <v>11</v>
      </c>
      <c r="D4692" s="81"/>
      <c r="E4692" s="98"/>
      <c r="F4692" s="98"/>
      <c r="G4692" s="98"/>
      <c r="H4692" s="98"/>
      <c r="I4692" s="98"/>
      <c r="J4692" s="98"/>
      <c r="K4692" s="98"/>
      <c r="L4692" s="196"/>
    </row>
    <row r="4693" spans="1:12" ht="14.65" thickBot="1" x14ac:dyDescent="0.5">
      <c r="A4693" s="462"/>
      <c r="B4693" s="442"/>
      <c r="C4693" s="197">
        <v>12</v>
      </c>
      <c r="D4693" s="82"/>
      <c r="E4693" s="99"/>
      <c r="F4693" s="99"/>
      <c r="G4693" s="99"/>
      <c r="H4693" s="99"/>
      <c r="I4693" s="99"/>
      <c r="J4693" s="99"/>
      <c r="K4693" s="99"/>
      <c r="L4693" s="198"/>
    </row>
    <row r="4694" spans="1:12" x14ac:dyDescent="0.45">
      <c r="A4694" s="462"/>
      <c r="B4694" s="440">
        <v>8</v>
      </c>
      <c r="C4694" s="192">
        <v>1</v>
      </c>
      <c r="D4694" s="79"/>
      <c r="E4694" s="96"/>
      <c r="F4694" s="96"/>
      <c r="G4694" s="96"/>
      <c r="H4694" s="96"/>
      <c r="I4694" s="96"/>
      <c r="J4694" s="96"/>
      <c r="K4694" s="96"/>
      <c r="L4694" s="193"/>
    </row>
    <row r="4695" spans="1:12" x14ac:dyDescent="0.45">
      <c r="A4695" s="462"/>
      <c r="B4695" s="441"/>
      <c r="C4695" s="194">
        <v>2</v>
      </c>
      <c r="D4695" s="80"/>
      <c r="E4695" s="97"/>
      <c r="F4695" s="97"/>
      <c r="G4695" s="97"/>
      <c r="H4695" s="97"/>
      <c r="I4695" s="97"/>
      <c r="J4695" s="97"/>
      <c r="K4695" s="97"/>
      <c r="L4695" s="195"/>
    </row>
    <row r="4696" spans="1:12" x14ac:dyDescent="0.45">
      <c r="A4696" s="462"/>
      <c r="B4696" s="441"/>
      <c r="C4696" s="194">
        <v>3</v>
      </c>
      <c r="D4696" s="80"/>
      <c r="E4696" s="97"/>
      <c r="F4696" s="97"/>
      <c r="G4696" s="97"/>
      <c r="H4696" s="97"/>
      <c r="I4696" s="97"/>
      <c r="J4696" s="97"/>
      <c r="K4696" s="97"/>
      <c r="L4696" s="195"/>
    </row>
    <row r="4697" spans="1:12" x14ac:dyDescent="0.45">
      <c r="A4697" s="462"/>
      <c r="B4697" s="441"/>
      <c r="C4697" s="194">
        <v>4</v>
      </c>
      <c r="D4697" s="80"/>
      <c r="E4697" s="97"/>
      <c r="F4697" s="97"/>
      <c r="G4697" s="97"/>
      <c r="H4697" s="97"/>
      <c r="I4697" s="97"/>
      <c r="J4697" s="97"/>
      <c r="K4697" s="97"/>
      <c r="L4697" s="195"/>
    </row>
    <row r="4698" spans="1:12" x14ac:dyDescent="0.45">
      <c r="A4698" s="462"/>
      <c r="B4698" s="441"/>
      <c r="C4698" s="194">
        <v>5</v>
      </c>
      <c r="D4698" s="80"/>
      <c r="E4698" s="97"/>
      <c r="F4698" s="97"/>
      <c r="G4698" s="97"/>
      <c r="H4698" s="97"/>
      <c r="I4698" s="97"/>
      <c r="J4698" s="97"/>
      <c r="K4698" s="97"/>
      <c r="L4698" s="195"/>
    </row>
    <row r="4699" spans="1:12" x14ac:dyDescent="0.45">
      <c r="A4699" s="462"/>
      <c r="B4699" s="441"/>
      <c r="C4699" s="194">
        <v>6</v>
      </c>
      <c r="D4699" s="80"/>
      <c r="E4699" s="97"/>
      <c r="F4699" s="97"/>
      <c r="G4699" s="97"/>
      <c r="H4699" s="97"/>
      <c r="I4699" s="97"/>
      <c r="J4699" s="97"/>
      <c r="K4699" s="97"/>
      <c r="L4699" s="195"/>
    </row>
    <row r="4700" spans="1:12" x14ac:dyDescent="0.45">
      <c r="A4700" s="462"/>
      <c r="B4700" s="441"/>
      <c r="C4700" s="194">
        <v>7</v>
      </c>
      <c r="D4700" s="80"/>
      <c r="E4700" s="97"/>
      <c r="F4700" s="97"/>
      <c r="G4700" s="97"/>
      <c r="H4700" s="97"/>
      <c r="I4700" s="97"/>
      <c r="J4700" s="97"/>
      <c r="K4700" s="97"/>
      <c r="L4700" s="195"/>
    </row>
    <row r="4701" spans="1:12" x14ac:dyDescent="0.45">
      <c r="A4701" s="462"/>
      <c r="B4701" s="441"/>
      <c r="C4701" s="194">
        <v>8</v>
      </c>
      <c r="D4701" s="80"/>
      <c r="E4701" s="97"/>
      <c r="F4701" s="97"/>
      <c r="G4701" s="97"/>
      <c r="H4701" s="97"/>
      <c r="I4701" s="97"/>
      <c r="J4701" s="97"/>
      <c r="K4701" s="97"/>
      <c r="L4701" s="195"/>
    </row>
    <row r="4702" spans="1:12" x14ac:dyDescent="0.45">
      <c r="A4702" s="462"/>
      <c r="B4702" s="441"/>
      <c r="C4702" s="194">
        <v>9</v>
      </c>
      <c r="D4702" s="80"/>
      <c r="E4702" s="97"/>
      <c r="F4702" s="97"/>
      <c r="G4702" s="97"/>
      <c r="H4702" s="97"/>
      <c r="I4702" s="97"/>
      <c r="J4702" s="97"/>
      <c r="K4702" s="97"/>
      <c r="L4702" s="195"/>
    </row>
    <row r="4703" spans="1:12" x14ac:dyDescent="0.45">
      <c r="A4703" s="462"/>
      <c r="B4703" s="441"/>
      <c r="C4703" s="194">
        <v>10</v>
      </c>
      <c r="D4703" s="80"/>
      <c r="E4703" s="97"/>
      <c r="F4703" s="97"/>
      <c r="G4703" s="97"/>
      <c r="H4703" s="97"/>
      <c r="I4703" s="97"/>
      <c r="J4703" s="97"/>
      <c r="K4703" s="97"/>
      <c r="L4703" s="195"/>
    </row>
    <row r="4704" spans="1:12" x14ac:dyDescent="0.45">
      <c r="A4704" s="462"/>
      <c r="B4704" s="441"/>
      <c r="C4704" s="194">
        <v>11</v>
      </c>
      <c r="D4704" s="81"/>
      <c r="E4704" s="98"/>
      <c r="F4704" s="98"/>
      <c r="G4704" s="98"/>
      <c r="H4704" s="98"/>
      <c r="I4704" s="98"/>
      <c r="J4704" s="98"/>
      <c r="K4704" s="98"/>
      <c r="L4704" s="196"/>
    </row>
    <row r="4705" spans="1:12" ht="14.65" thickBot="1" x14ac:dyDescent="0.5">
      <c r="A4705" s="463"/>
      <c r="B4705" s="442"/>
      <c r="C4705" s="197">
        <v>12</v>
      </c>
      <c r="D4705" s="82"/>
      <c r="E4705" s="99"/>
      <c r="F4705" s="99"/>
      <c r="G4705" s="99"/>
      <c r="H4705" s="99"/>
      <c r="I4705" s="99"/>
      <c r="J4705" s="99"/>
      <c r="K4705" s="99"/>
      <c r="L4705" s="198"/>
    </row>
    <row r="4706" spans="1:12" x14ac:dyDescent="0.45">
      <c r="A4706" s="461">
        <v>3</v>
      </c>
      <c r="B4706" s="440">
        <v>9</v>
      </c>
      <c r="C4706" s="192">
        <v>1</v>
      </c>
      <c r="D4706" s="79"/>
      <c r="E4706" s="96"/>
      <c r="F4706" s="96"/>
      <c r="G4706" s="96"/>
      <c r="H4706" s="96"/>
      <c r="I4706" s="96"/>
      <c r="J4706" s="96"/>
      <c r="K4706" s="96"/>
      <c r="L4706" s="193"/>
    </row>
    <row r="4707" spans="1:12" x14ac:dyDescent="0.45">
      <c r="A4707" s="462"/>
      <c r="B4707" s="441"/>
      <c r="C4707" s="194">
        <v>2</v>
      </c>
      <c r="D4707" s="80"/>
      <c r="E4707" s="97"/>
      <c r="F4707" s="97"/>
      <c r="G4707" s="97"/>
      <c r="H4707" s="97"/>
      <c r="I4707" s="97"/>
      <c r="J4707" s="97"/>
      <c r="K4707" s="97"/>
      <c r="L4707" s="195"/>
    </row>
    <row r="4708" spans="1:12" x14ac:dyDescent="0.45">
      <c r="A4708" s="462"/>
      <c r="B4708" s="441"/>
      <c r="C4708" s="194">
        <v>3</v>
      </c>
      <c r="D4708" s="80"/>
      <c r="E4708" s="97"/>
      <c r="F4708" s="97"/>
      <c r="G4708" s="97"/>
      <c r="H4708" s="97"/>
      <c r="I4708" s="97"/>
      <c r="J4708" s="97"/>
      <c r="K4708" s="97"/>
      <c r="L4708" s="195"/>
    </row>
    <row r="4709" spans="1:12" x14ac:dyDescent="0.45">
      <c r="A4709" s="462"/>
      <c r="B4709" s="441"/>
      <c r="C4709" s="194">
        <v>4</v>
      </c>
      <c r="D4709" s="80"/>
      <c r="E4709" s="97"/>
      <c r="F4709" s="97"/>
      <c r="G4709" s="97"/>
      <c r="H4709" s="97"/>
      <c r="I4709" s="97"/>
      <c r="J4709" s="97"/>
      <c r="K4709" s="97"/>
      <c r="L4709" s="195"/>
    </row>
    <row r="4710" spans="1:12" x14ac:dyDescent="0.45">
      <c r="A4710" s="462"/>
      <c r="B4710" s="441"/>
      <c r="C4710" s="194">
        <v>5</v>
      </c>
      <c r="D4710" s="80"/>
      <c r="E4710" s="97"/>
      <c r="F4710" s="97"/>
      <c r="G4710" s="97"/>
      <c r="H4710" s="97"/>
      <c r="I4710" s="97"/>
      <c r="J4710" s="97"/>
      <c r="K4710" s="97"/>
      <c r="L4710" s="195"/>
    </row>
    <row r="4711" spans="1:12" x14ac:dyDescent="0.45">
      <c r="A4711" s="462"/>
      <c r="B4711" s="441"/>
      <c r="C4711" s="194">
        <v>6</v>
      </c>
      <c r="D4711" s="80"/>
      <c r="E4711" s="97"/>
      <c r="F4711" s="97"/>
      <c r="G4711" s="97"/>
      <c r="H4711" s="97"/>
      <c r="I4711" s="97"/>
      <c r="J4711" s="97"/>
      <c r="K4711" s="97"/>
      <c r="L4711" s="195"/>
    </row>
    <row r="4712" spans="1:12" x14ac:dyDescent="0.45">
      <c r="A4712" s="462"/>
      <c r="B4712" s="441"/>
      <c r="C4712" s="194">
        <v>7</v>
      </c>
      <c r="D4712" s="80"/>
      <c r="E4712" s="97"/>
      <c r="F4712" s="97"/>
      <c r="G4712" s="97"/>
      <c r="H4712" s="97"/>
      <c r="I4712" s="97"/>
      <c r="J4712" s="97"/>
      <c r="K4712" s="97"/>
      <c r="L4712" s="195"/>
    </row>
    <row r="4713" spans="1:12" x14ac:dyDescent="0.45">
      <c r="A4713" s="462"/>
      <c r="B4713" s="441"/>
      <c r="C4713" s="194">
        <v>8</v>
      </c>
      <c r="D4713" s="80"/>
      <c r="E4713" s="97"/>
      <c r="F4713" s="97"/>
      <c r="G4713" s="97"/>
      <c r="H4713" s="97"/>
      <c r="I4713" s="97"/>
      <c r="J4713" s="97"/>
      <c r="K4713" s="97"/>
      <c r="L4713" s="195"/>
    </row>
    <row r="4714" spans="1:12" x14ac:dyDescent="0.45">
      <c r="A4714" s="462"/>
      <c r="B4714" s="441"/>
      <c r="C4714" s="194">
        <v>9</v>
      </c>
      <c r="D4714" s="80"/>
      <c r="E4714" s="97"/>
      <c r="F4714" s="97"/>
      <c r="G4714" s="97"/>
      <c r="H4714" s="97"/>
      <c r="I4714" s="97"/>
      <c r="J4714" s="97"/>
      <c r="K4714" s="97"/>
      <c r="L4714" s="195"/>
    </row>
    <row r="4715" spans="1:12" x14ac:dyDescent="0.45">
      <c r="A4715" s="462"/>
      <c r="B4715" s="441"/>
      <c r="C4715" s="194">
        <v>10</v>
      </c>
      <c r="D4715" s="80"/>
      <c r="E4715" s="97"/>
      <c r="F4715" s="97"/>
      <c r="G4715" s="97"/>
      <c r="H4715" s="97"/>
      <c r="I4715" s="97"/>
      <c r="J4715" s="97"/>
      <c r="K4715" s="97"/>
      <c r="L4715" s="195"/>
    </row>
    <row r="4716" spans="1:12" x14ac:dyDescent="0.45">
      <c r="A4716" s="462"/>
      <c r="B4716" s="441"/>
      <c r="C4716" s="194">
        <v>11</v>
      </c>
      <c r="D4716" s="81"/>
      <c r="E4716" s="98"/>
      <c r="F4716" s="98"/>
      <c r="G4716" s="98"/>
      <c r="H4716" s="98"/>
      <c r="I4716" s="98"/>
      <c r="J4716" s="98"/>
      <c r="K4716" s="98"/>
      <c r="L4716" s="196"/>
    </row>
    <row r="4717" spans="1:12" ht="14.65" thickBot="1" x14ac:dyDescent="0.5">
      <c r="A4717" s="462"/>
      <c r="B4717" s="442"/>
      <c r="C4717" s="197">
        <v>12</v>
      </c>
      <c r="D4717" s="82"/>
      <c r="E4717" s="99"/>
      <c r="F4717" s="99"/>
      <c r="G4717" s="99"/>
      <c r="H4717" s="99"/>
      <c r="I4717" s="99"/>
      <c r="J4717" s="99"/>
      <c r="K4717" s="99"/>
      <c r="L4717" s="198"/>
    </row>
    <row r="4718" spans="1:12" x14ac:dyDescent="0.45">
      <c r="A4718" s="462"/>
      <c r="B4718" s="440">
        <v>10</v>
      </c>
      <c r="C4718" s="192">
        <v>1</v>
      </c>
      <c r="D4718" s="79"/>
      <c r="E4718" s="96"/>
      <c r="F4718" s="96"/>
      <c r="G4718" s="96"/>
      <c r="H4718" s="96"/>
      <c r="I4718" s="96"/>
      <c r="J4718" s="96"/>
      <c r="K4718" s="96"/>
      <c r="L4718" s="193"/>
    </row>
    <row r="4719" spans="1:12" x14ac:dyDescent="0.45">
      <c r="A4719" s="462"/>
      <c r="B4719" s="441"/>
      <c r="C4719" s="194">
        <v>2</v>
      </c>
      <c r="D4719" s="80"/>
      <c r="E4719" s="97"/>
      <c r="F4719" s="97"/>
      <c r="G4719" s="97"/>
      <c r="H4719" s="97"/>
      <c r="I4719" s="97"/>
      <c r="J4719" s="97"/>
      <c r="K4719" s="97"/>
      <c r="L4719" s="195"/>
    </row>
    <row r="4720" spans="1:12" x14ac:dyDescent="0.45">
      <c r="A4720" s="462"/>
      <c r="B4720" s="441"/>
      <c r="C4720" s="194">
        <v>3</v>
      </c>
      <c r="D4720" s="80"/>
      <c r="E4720" s="97"/>
      <c r="F4720" s="97"/>
      <c r="G4720" s="97"/>
      <c r="H4720" s="97"/>
      <c r="I4720" s="97"/>
      <c r="J4720" s="97"/>
      <c r="K4720" s="97"/>
      <c r="L4720" s="195"/>
    </row>
    <row r="4721" spans="1:12" x14ac:dyDescent="0.45">
      <c r="A4721" s="462"/>
      <c r="B4721" s="441"/>
      <c r="C4721" s="194">
        <v>4</v>
      </c>
      <c r="D4721" s="80"/>
      <c r="E4721" s="97"/>
      <c r="F4721" s="97"/>
      <c r="G4721" s="97"/>
      <c r="H4721" s="97"/>
      <c r="I4721" s="97"/>
      <c r="J4721" s="97"/>
      <c r="K4721" s="97"/>
      <c r="L4721" s="195"/>
    </row>
    <row r="4722" spans="1:12" x14ac:dyDescent="0.45">
      <c r="A4722" s="462"/>
      <c r="B4722" s="441"/>
      <c r="C4722" s="194">
        <v>5</v>
      </c>
      <c r="D4722" s="80"/>
      <c r="E4722" s="97"/>
      <c r="F4722" s="97"/>
      <c r="G4722" s="97"/>
      <c r="H4722" s="97"/>
      <c r="I4722" s="97"/>
      <c r="J4722" s="97"/>
      <c r="K4722" s="97"/>
      <c r="L4722" s="195"/>
    </row>
    <row r="4723" spans="1:12" x14ac:dyDescent="0.45">
      <c r="A4723" s="462"/>
      <c r="B4723" s="441"/>
      <c r="C4723" s="194">
        <v>6</v>
      </c>
      <c r="D4723" s="80"/>
      <c r="E4723" s="97"/>
      <c r="F4723" s="97"/>
      <c r="G4723" s="97"/>
      <c r="H4723" s="97"/>
      <c r="I4723" s="97"/>
      <c r="J4723" s="97"/>
      <c r="K4723" s="97"/>
      <c r="L4723" s="195"/>
    </row>
    <row r="4724" spans="1:12" x14ac:dyDescent="0.45">
      <c r="A4724" s="462"/>
      <c r="B4724" s="441"/>
      <c r="C4724" s="194">
        <v>7</v>
      </c>
      <c r="D4724" s="80"/>
      <c r="E4724" s="97"/>
      <c r="F4724" s="97"/>
      <c r="G4724" s="97"/>
      <c r="H4724" s="97"/>
      <c r="I4724" s="97"/>
      <c r="J4724" s="97"/>
      <c r="K4724" s="97"/>
      <c r="L4724" s="195"/>
    </row>
    <row r="4725" spans="1:12" x14ac:dyDescent="0.45">
      <c r="A4725" s="462"/>
      <c r="B4725" s="441"/>
      <c r="C4725" s="194">
        <v>8</v>
      </c>
      <c r="D4725" s="80"/>
      <c r="E4725" s="97"/>
      <c r="F4725" s="97"/>
      <c r="G4725" s="97"/>
      <c r="H4725" s="97"/>
      <c r="I4725" s="97"/>
      <c r="J4725" s="97"/>
      <c r="K4725" s="97"/>
      <c r="L4725" s="195"/>
    </row>
    <row r="4726" spans="1:12" x14ac:dyDescent="0.45">
      <c r="A4726" s="462"/>
      <c r="B4726" s="441"/>
      <c r="C4726" s="194">
        <v>9</v>
      </c>
      <c r="D4726" s="80"/>
      <c r="E4726" s="97"/>
      <c r="F4726" s="97"/>
      <c r="G4726" s="97"/>
      <c r="H4726" s="97"/>
      <c r="I4726" s="97"/>
      <c r="J4726" s="97"/>
      <c r="K4726" s="97"/>
      <c r="L4726" s="195"/>
    </row>
    <row r="4727" spans="1:12" x14ac:dyDescent="0.45">
      <c r="A4727" s="462"/>
      <c r="B4727" s="441"/>
      <c r="C4727" s="194">
        <v>10</v>
      </c>
      <c r="D4727" s="80"/>
      <c r="E4727" s="97"/>
      <c r="F4727" s="97"/>
      <c r="G4727" s="97"/>
      <c r="H4727" s="97"/>
      <c r="I4727" s="97"/>
      <c r="J4727" s="97"/>
      <c r="K4727" s="97"/>
      <c r="L4727" s="195"/>
    </row>
    <row r="4728" spans="1:12" x14ac:dyDescent="0.45">
      <c r="A4728" s="462"/>
      <c r="B4728" s="441"/>
      <c r="C4728" s="194">
        <v>11</v>
      </c>
      <c r="D4728" s="81"/>
      <c r="E4728" s="98"/>
      <c r="F4728" s="98"/>
      <c r="G4728" s="98"/>
      <c r="H4728" s="98"/>
      <c r="I4728" s="98"/>
      <c r="J4728" s="98"/>
      <c r="K4728" s="98"/>
      <c r="L4728" s="196"/>
    </row>
    <row r="4729" spans="1:12" ht="14.65" thickBot="1" x14ac:dyDescent="0.5">
      <c r="A4729" s="462"/>
      <c r="B4729" s="442"/>
      <c r="C4729" s="197">
        <v>12</v>
      </c>
      <c r="D4729" s="82"/>
      <c r="E4729" s="99"/>
      <c r="F4729" s="99"/>
      <c r="G4729" s="99"/>
      <c r="H4729" s="99"/>
      <c r="I4729" s="99"/>
      <c r="J4729" s="99"/>
      <c r="K4729" s="99"/>
      <c r="L4729" s="198"/>
    </row>
    <row r="4730" spans="1:12" x14ac:dyDescent="0.45">
      <c r="A4730" s="462"/>
      <c r="B4730" s="440">
        <v>11</v>
      </c>
      <c r="C4730" s="192">
        <v>1</v>
      </c>
      <c r="D4730" s="79"/>
      <c r="E4730" s="96"/>
      <c r="F4730" s="96"/>
      <c r="G4730" s="96"/>
      <c r="H4730" s="96"/>
      <c r="I4730" s="96"/>
      <c r="J4730" s="96"/>
      <c r="K4730" s="96"/>
      <c r="L4730" s="193"/>
    </row>
    <row r="4731" spans="1:12" x14ac:dyDescent="0.45">
      <c r="A4731" s="462"/>
      <c r="B4731" s="441"/>
      <c r="C4731" s="194">
        <v>2</v>
      </c>
      <c r="D4731" s="80"/>
      <c r="E4731" s="97"/>
      <c r="F4731" s="97"/>
      <c r="G4731" s="97"/>
      <c r="H4731" s="97"/>
      <c r="I4731" s="97"/>
      <c r="J4731" s="97"/>
      <c r="K4731" s="97"/>
      <c r="L4731" s="195"/>
    </row>
    <row r="4732" spans="1:12" x14ac:dyDescent="0.45">
      <c r="A4732" s="462"/>
      <c r="B4732" s="441"/>
      <c r="C4732" s="194">
        <v>3</v>
      </c>
      <c r="D4732" s="80"/>
      <c r="E4732" s="97"/>
      <c r="F4732" s="97"/>
      <c r="G4732" s="97"/>
      <c r="H4732" s="97"/>
      <c r="I4732" s="97"/>
      <c r="J4732" s="97"/>
      <c r="K4732" s="97"/>
      <c r="L4732" s="195"/>
    </row>
    <row r="4733" spans="1:12" x14ac:dyDescent="0.45">
      <c r="A4733" s="462"/>
      <c r="B4733" s="441"/>
      <c r="C4733" s="194">
        <v>4</v>
      </c>
      <c r="D4733" s="80"/>
      <c r="E4733" s="97"/>
      <c r="F4733" s="97"/>
      <c r="G4733" s="97"/>
      <c r="H4733" s="97"/>
      <c r="I4733" s="97"/>
      <c r="J4733" s="97"/>
      <c r="K4733" s="97"/>
      <c r="L4733" s="195"/>
    </row>
    <row r="4734" spans="1:12" x14ac:dyDescent="0.45">
      <c r="A4734" s="462"/>
      <c r="B4734" s="441"/>
      <c r="C4734" s="194">
        <v>5</v>
      </c>
      <c r="D4734" s="80"/>
      <c r="E4734" s="97"/>
      <c r="F4734" s="97"/>
      <c r="G4734" s="97"/>
      <c r="H4734" s="97"/>
      <c r="I4734" s="97"/>
      <c r="J4734" s="97"/>
      <c r="K4734" s="97"/>
      <c r="L4734" s="195"/>
    </row>
    <row r="4735" spans="1:12" x14ac:dyDescent="0.45">
      <c r="A4735" s="462"/>
      <c r="B4735" s="441"/>
      <c r="C4735" s="194">
        <v>6</v>
      </c>
      <c r="D4735" s="80"/>
      <c r="E4735" s="97"/>
      <c r="F4735" s="97"/>
      <c r="G4735" s="97"/>
      <c r="H4735" s="97"/>
      <c r="I4735" s="97"/>
      <c r="J4735" s="97"/>
      <c r="K4735" s="97"/>
      <c r="L4735" s="195"/>
    </row>
    <row r="4736" spans="1:12" x14ac:dyDescent="0.45">
      <c r="A4736" s="462"/>
      <c r="B4736" s="441"/>
      <c r="C4736" s="194">
        <v>7</v>
      </c>
      <c r="D4736" s="80"/>
      <c r="E4736" s="97"/>
      <c r="F4736" s="97"/>
      <c r="G4736" s="97"/>
      <c r="H4736" s="97"/>
      <c r="I4736" s="97"/>
      <c r="J4736" s="97"/>
      <c r="K4736" s="97"/>
      <c r="L4736" s="195"/>
    </row>
    <row r="4737" spans="1:12" x14ac:dyDescent="0.45">
      <c r="A4737" s="462"/>
      <c r="B4737" s="441"/>
      <c r="C4737" s="194">
        <v>8</v>
      </c>
      <c r="D4737" s="80"/>
      <c r="E4737" s="97"/>
      <c r="F4737" s="97"/>
      <c r="G4737" s="97"/>
      <c r="H4737" s="97"/>
      <c r="I4737" s="97"/>
      <c r="J4737" s="97"/>
      <c r="K4737" s="97"/>
      <c r="L4737" s="195"/>
    </row>
    <row r="4738" spans="1:12" x14ac:dyDescent="0.45">
      <c r="A4738" s="462"/>
      <c r="B4738" s="441"/>
      <c r="C4738" s="194">
        <v>9</v>
      </c>
      <c r="D4738" s="80"/>
      <c r="E4738" s="97"/>
      <c r="F4738" s="97"/>
      <c r="G4738" s="97"/>
      <c r="H4738" s="97"/>
      <c r="I4738" s="97"/>
      <c r="J4738" s="97"/>
      <c r="K4738" s="97"/>
      <c r="L4738" s="195"/>
    </row>
    <row r="4739" spans="1:12" x14ac:dyDescent="0.45">
      <c r="A4739" s="462"/>
      <c r="B4739" s="441"/>
      <c r="C4739" s="194">
        <v>10</v>
      </c>
      <c r="D4739" s="80"/>
      <c r="E4739" s="97"/>
      <c r="F4739" s="97"/>
      <c r="G4739" s="97"/>
      <c r="H4739" s="97"/>
      <c r="I4739" s="97"/>
      <c r="J4739" s="97"/>
      <c r="K4739" s="97"/>
      <c r="L4739" s="195"/>
    </row>
    <row r="4740" spans="1:12" x14ac:dyDescent="0.45">
      <c r="A4740" s="462"/>
      <c r="B4740" s="441"/>
      <c r="C4740" s="194">
        <v>11</v>
      </c>
      <c r="D4740" s="81"/>
      <c r="E4740" s="98"/>
      <c r="F4740" s="98"/>
      <c r="G4740" s="98"/>
      <c r="H4740" s="98"/>
      <c r="I4740" s="98"/>
      <c r="J4740" s="98"/>
      <c r="K4740" s="98"/>
      <c r="L4740" s="196"/>
    </row>
    <row r="4741" spans="1:12" ht="14.65" thickBot="1" x14ac:dyDescent="0.5">
      <c r="A4741" s="462"/>
      <c r="B4741" s="442"/>
      <c r="C4741" s="197">
        <v>12</v>
      </c>
      <c r="D4741" s="82"/>
      <c r="E4741" s="99"/>
      <c r="F4741" s="99"/>
      <c r="G4741" s="99"/>
      <c r="H4741" s="99"/>
      <c r="I4741" s="99"/>
      <c r="J4741" s="99"/>
      <c r="K4741" s="99"/>
      <c r="L4741" s="198"/>
    </row>
    <row r="4742" spans="1:12" x14ac:dyDescent="0.45">
      <c r="A4742" s="462"/>
      <c r="B4742" s="440">
        <v>12</v>
      </c>
      <c r="C4742" s="192">
        <v>1</v>
      </c>
      <c r="D4742" s="79"/>
      <c r="E4742" s="96"/>
      <c r="F4742" s="96"/>
      <c r="G4742" s="96"/>
      <c r="H4742" s="96"/>
      <c r="I4742" s="96"/>
      <c r="J4742" s="96"/>
      <c r="K4742" s="96"/>
      <c r="L4742" s="193"/>
    </row>
    <row r="4743" spans="1:12" x14ac:dyDescent="0.45">
      <c r="A4743" s="462"/>
      <c r="B4743" s="441"/>
      <c r="C4743" s="194">
        <v>2</v>
      </c>
      <c r="D4743" s="80"/>
      <c r="E4743" s="97"/>
      <c r="F4743" s="97"/>
      <c r="G4743" s="97"/>
      <c r="H4743" s="97"/>
      <c r="I4743" s="97"/>
      <c r="J4743" s="97"/>
      <c r="K4743" s="97"/>
      <c r="L4743" s="195"/>
    </row>
    <row r="4744" spans="1:12" x14ac:dyDescent="0.45">
      <c r="A4744" s="462"/>
      <c r="B4744" s="441"/>
      <c r="C4744" s="194">
        <v>3</v>
      </c>
      <c r="D4744" s="80"/>
      <c r="E4744" s="97"/>
      <c r="F4744" s="97"/>
      <c r="G4744" s="97"/>
      <c r="H4744" s="97"/>
      <c r="I4744" s="97"/>
      <c r="J4744" s="97"/>
      <c r="K4744" s="97"/>
      <c r="L4744" s="195"/>
    </row>
    <row r="4745" spans="1:12" x14ac:dyDescent="0.45">
      <c r="A4745" s="462"/>
      <c r="B4745" s="441"/>
      <c r="C4745" s="194">
        <v>4</v>
      </c>
      <c r="D4745" s="80"/>
      <c r="E4745" s="97"/>
      <c r="F4745" s="97"/>
      <c r="G4745" s="97"/>
      <c r="H4745" s="97"/>
      <c r="I4745" s="97"/>
      <c r="J4745" s="97"/>
      <c r="K4745" s="97"/>
      <c r="L4745" s="195"/>
    </row>
    <row r="4746" spans="1:12" x14ac:dyDescent="0.45">
      <c r="A4746" s="462"/>
      <c r="B4746" s="441"/>
      <c r="C4746" s="194">
        <v>5</v>
      </c>
      <c r="D4746" s="80"/>
      <c r="E4746" s="97"/>
      <c r="F4746" s="97"/>
      <c r="G4746" s="97"/>
      <c r="H4746" s="97"/>
      <c r="I4746" s="97"/>
      <c r="J4746" s="97"/>
      <c r="K4746" s="97"/>
      <c r="L4746" s="195"/>
    </row>
    <row r="4747" spans="1:12" x14ac:dyDescent="0.45">
      <c r="A4747" s="462"/>
      <c r="B4747" s="441"/>
      <c r="C4747" s="194">
        <v>6</v>
      </c>
      <c r="D4747" s="80"/>
      <c r="E4747" s="97"/>
      <c r="F4747" s="97"/>
      <c r="G4747" s="97"/>
      <c r="H4747" s="97"/>
      <c r="I4747" s="97"/>
      <c r="J4747" s="97"/>
      <c r="K4747" s="97"/>
      <c r="L4747" s="195"/>
    </row>
    <row r="4748" spans="1:12" x14ac:dyDescent="0.45">
      <c r="A4748" s="462"/>
      <c r="B4748" s="441"/>
      <c r="C4748" s="194">
        <v>7</v>
      </c>
      <c r="D4748" s="80"/>
      <c r="E4748" s="97"/>
      <c r="F4748" s="97"/>
      <c r="G4748" s="97"/>
      <c r="H4748" s="97"/>
      <c r="I4748" s="97"/>
      <c r="J4748" s="97"/>
      <c r="K4748" s="97"/>
      <c r="L4748" s="195"/>
    </row>
    <row r="4749" spans="1:12" x14ac:dyDescent="0.45">
      <c r="A4749" s="462"/>
      <c r="B4749" s="441"/>
      <c r="C4749" s="194">
        <v>8</v>
      </c>
      <c r="D4749" s="80"/>
      <c r="E4749" s="97"/>
      <c r="F4749" s="97"/>
      <c r="G4749" s="97"/>
      <c r="H4749" s="97"/>
      <c r="I4749" s="97"/>
      <c r="J4749" s="97"/>
      <c r="K4749" s="97"/>
      <c r="L4749" s="195"/>
    </row>
    <row r="4750" spans="1:12" x14ac:dyDescent="0.45">
      <c r="A4750" s="462"/>
      <c r="B4750" s="441"/>
      <c r="C4750" s="194">
        <v>9</v>
      </c>
      <c r="D4750" s="80"/>
      <c r="E4750" s="97"/>
      <c r="F4750" s="97"/>
      <c r="G4750" s="97"/>
      <c r="H4750" s="97"/>
      <c r="I4750" s="97"/>
      <c r="J4750" s="97"/>
      <c r="K4750" s="97"/>
      <c r="L4750" s="195"/>
    </row>
    <row r="4751" spans="1:12" x14ac:dyDescent="0.45">
      <c r="A4751" s="462"/>
      <c r="B4751" s="441"/>
      <c r="C4751" s="194">
        <v>10</v>
      </c>
      <c r="D4751" s="80"/>
      <c r="E4751" s="97"/>
      <c r="F4751" s="97"/>
      <c r="G4751" s="97"/>
      <c r="H4751" s="97"/>
      <c r="I4751" s="97"/>
      <c r="J4751" s="97"/>
      <c r="K4751" s="97"/>
      <c r="L4751" s="195"/>
    </row>
    <row r="4752" spans="1:12" x14ac:dyDescent="0.45">
      <c r="A4752" s="462"/>
      <c r="B4752" s="441"/>
      <c r="C4752" s="194">
        <v>11</v>
      </c>
      <c r="D4752" s="81"/>
      <c r="E4752" s="98"/>
      <c r="F4752" s="98"/>
      <c r="G4752" s="98"/>
      <c r="H4752" s="98"/>
      <c r="I4752" s="98"/>
      <c r="J4752" s="98"/>
      <c r="K4752" s="98"/>
      <c r="L4752" s="196"/>
    </row>
    <row r="4753" spans="1:12" ht="14.65" thickBot="1" x14ac:dyDescent="0.5">
      <c r="A4753" s="463"/>
      <c r="B4753" s="442"/>
      <c r="C4753" s="199">
        <v>12</v>
      </c>
      <c r="D4753" s="82"/>
      <c r="E4753" s="99"/>
      <c r="F4753" s="99"/>
      <c r="G4753" s="99"/>
      <c r="H4753" s="99"/>
      <c r="I4753" s="99"/>
      <c r="J4753" s="99"/>
      <c r="K4753" s="99"/>
      <c r="L4753" s="198"/>
    </row>
    <row r="4755" spans="1:12" s="91" customFormat="1" x14ac:dyDescent="0.45"/>
    <row r="4756" spans="1:12" ht="14.65" thickBot="1" x14ac:dyDescent="0.5"/>
    <row r="4757" spans="1:12" ht="28.9" thickBot="1" x14ac:dyDescent="0.5">
      <c r="A4757" s="187" t="s">
        <v>76</v>
      </c>
      <c r="B4757" s="186">
        <v>31</v>
      </c>
      <c r="C4757" s="109"/>
      <c r="D4757" s="109"/>
    </row>
    <row r="4758" spans="1:12" x14ac:dyDescent="0.45">
      <c r="A4758" s="443" t="s">
        <v>27</v>
      </c>
      <c r="B4758" s="448">
        <f>Name31</f>
        <v>0</v>
      </c>
      <c r="C4758" s="449"/>
      <c r="D4758" s="450"/>
      <c r="I4758" s="204"/>
      <c r="J4758" s="204"/>
      <c r="K4758" s="204"/>
      <c r="L4758" s="204"/>
    </row>
    <row r="4759" spans="1:12" x14ac:dyDescent="0.45">
      <c r="A4759" s="444"/>
      <c r="B4759" s="448"/>
      <c r="C4759" s="449"/>
      <c r="D4759" s="450"/>
      <c r="I4759" s="204"/>
      <c r="J4759" s="204"/>
      <c r="K4759" s="204"/>
      <c r="L4759" s="204"/>
    </row>
    <row r="4760" spans="1:12" x14ac:dyDescent="0.45">
      <c r="A4760" s="445"/>
      <c r="B4760" s="388"/>
      <c r="C4760" s="451"/>
      <c r="D4760" s="452"/>
      <c r="I4760" s="204"/>
      <c r="J4760" s="204"/>
      <c r="K4760" s="204"/>
      <c r="L4760" s="204"/>
    </row>
    <row r="4761" spans="1:12" ht="14.45" customHeight="1" x14ac:dyDescent="0.45">
      <c r="A4761" s="444" t="s">
        <v>155</v>
      </c>
      <c r="B4761" s="453">
        <f>GapA31</f>
        <v>0</v>
      </c>
      <c r="C4761" s="454"/>
      <c r="D4761" s="455"/>
      <c r="I4761" s="204"/>
      <c r="J4761" s="204"/>
      <c r="K4761" s="204"/>
      <c r="L4761" s="204"/>
    </row>
    <row r="4762" spans="1:12" x14ac:dyDescent="0.45">
      <c r="A4762" s="444"/>
      <c r="B4762" s="448"/>
      <c r="C4762" s="449"/>
      <c r="D4762" s="450"/>
      <c r="I4762" s="204"/>
      <c r="J4762" s="204"/>
      <c r="K4762" s="204"/>
      <c r="L4762" s="204"/>
    </row>
    <row r="4763" spans="1:12" x14ac:dyDescent="0.45">
      <c r="A4763" s="445"/>
      <c r="B4763" s="388"/>
      <c r="C4763" s="451"/>
      <c r="D4763" s="452"/>
      <c r="I4763" s="204"/>
      <c r="J4763" s="204"/>
      <c r="K4763" s="204"/>
      <c r="L4763" s="204"/>
    </row>
    <row r="4764" spans="1:12" x14ac:dyDescent="0.45">
      <c r="A4764" s="444" t="s">
        <v>159</v>
      </c>
      <c r="B4764" s="453">
        <f>Objective31</f>
        <v>0</v>
      </c>
      <c r="C4764" s="454"/>
      <c r="D4764" s="455"/>
      <c r="I4764" s="204"/>
      <c r="J4764" s="204"/>
      <c r="K4764" s="204"/>
      <c r="L4764" s="204"/>
    </row>
    <row r="4765" spans="1:12" x14ac:dyDescent="0.45">
      <c r="A4765" s="444"/>
      <c r="B4765" s="448"/>
      <c r="C4765" s="449"/>
      <c r="D4765" s="450"/>
      <c r="I4765" s="204"/>
      <c r="J4765" s="204"/>
      <c r="K4765" s="204"/>
      <c r="L4765" s="204"/>
    </row>
    <row r="4766" spans="1:12" x14ac:dyDescent="0.45">
      <c r="A4766" s="445"/>
      <c r="B4766" s="388"/>
      <c r="C4766" s="451"/>
      <c r="D4766" s="452"/>
      <c r="I4766" s="204"/>
      <c r="J4766" s="204"/>
      <c r="K4766" s="204"/>
      <c r="L4766" s="204"/>
    </row>
    <row r="4767" spans="1:12" ht="14.45" customHeight="1" x14ac:dyDescent="0.45">
      <c r="A4767" s="446" t="s">
        <v>166</v>
      </c>
      <c r="B4767" s="454">
        <f>Capacity31</f>
        <v>0</v>
      </c>
      <c r="C4767" s="454"/>
      <c r="D4767" s="455"/>
      <c r="I4767" s="204"/>
      <c r="J4767" s="204"/>
      <c r="K4767" s="204"/>
      <c r="L4767" s="204"/>
    </row>
    <row r="4768" spans="1:12" x14ac:dyDescent="0.45">
      <c r="A4768" s="447"/>
      <c r="B4768" s="449"/>
      <c r="C4768" s="449"/>
      <c r="D4768" s="450"/>
      <c r="I4768" s="204"/>
      <c r="J4768" s="204"/>
      <c r="K4768" s="204"/>
      <c r="L4768" s="204"/>
    </row>
    <row r="4769" spans="1:14" ht="14.65" thickBot="1" x14ac:dyDescent="0.5">
      <c r="A4769" s="447"/>
      <c r="B4769" s="456"/>
      <c r="C4769" s="456"/>
      <c r="D4769" s="457"/>
      <c r="I4769" s="204"/>
      <c r="J4769" s="204"/>
      <c r="K4769" s="204"/>
      <c r="L4769" s="204"/>
    </row>
    <row r="4770" spans="1:14" x14ac:dyDescent="0.45">
      <c r="A4770" s="188"/>
    </row>
    <row r="4771" spans="1:14" ht="14.65" thickBot="1" x14ac:dyDescent="0.5">
      <c r="A4771" s="90"/>
      <c r="B4771" s="90"/>
      <c r="C4771" s="90"/>
      <c r="D4771" s="90"/>
      <c r="E4771" s="90"/>
      <c r="F4771" s="90"/>
      <c r="G4771" s="90"/>
      <c r="H4771" s="90"/>
      <c r="I4771" s="90"/>
      <c r="J4771" s="90"/>
      <c r="K4771" s="90"/>
      <c r="L4771" s="90"/>
      <c r="M4771" s="204"/>
      <c r="N4771" s="204"/>
    </row>
    <row r="4772" spans="1:14" ht="21.75" customHeight="1" x14ac:dyDescent="0.45">
      <c r="A4772" s="458" t="s">
        <v>135</v>
      </c>
      <c r="B4772" s="459"/>
      <c r="C4772" s="459"/>
      <c r="D4772" s="459"/>
      <c r="E4772" s="459"/>
      <c r="F4772" s="459"/>
      <c r="G4772" s="459"/>
      <c r="H4772" s="459"/>
      <c r="I4772" s="459"/>
      <c r="J4772" s="459"/>
      <c r="K4772" s="459"/>
      <c r="L4772" s="460"/>
    </row>
    <row r="4773" spans="1:14" ht="29" customHeight="1" thickBot="1" x14ac:dyDescent="0.5">
      <c r="A4773" s="93" t="s">
        <v>74</v>
      </c>
      <c r="B4773" s="94" t="s">
        <v>28</v>
      </c>
      <c r="C4773" s="95" t="s">
        <v>320</v>
      </c>
      <c r="D4773" s="95" t="s">
        <v>127</v>
      </c>
      <c r="E4773" s="114" t="s">
        <v>90</v>
      </c>
      <c r="F4773" s="95" t="s">
        <v>175</v>
      </c>
      <c r="G4773" s="95" t="s">
        <v>176</v>
      </c>
      <c r="H4773" s="95" t="s">
        <v>156</v>
      </c>
      <c r="I4773" s="95" t="s">
        <v>157</v>
      </c>
      <c r="J4773" s="189" t="s">
        <v>321</v>
      </c>
      <c r="K4773" s="190" t="s">
        <v>29</v>
      </c>
      <c r="L4773" s="191" t="s">
        <v>322</v>
      </c>
    </row>
    <row r="4774" spans="1:14" x14ac:dyDescent="0.45">
      <c r="A4774" s="461">
        <v>1</v>
      </c>
      <c r="B4774" s="440">
        <v>1</v>
      </c>
      <c r="C4774" s="192">
        <v>1</v>
      </c>
      <c r="D4774" s="79"/>
      <c r="E4774" s="96"/>
      <c r="F4774" s="96"/>
      <c r="G4774" s="96"/>
      <c r="H4774" s="96"/>
      <c r="I4774" s="96"/>
      <c r="J4774" s="96"/>
      <c r="K4774" s="96"/>
      <c r="L4774" s="193"/>
    </row>
    <row r="4775" spans="1:14" x14ac:dyDescent="0.45">
      <c r="A4775" s="462"/>
      <c r="B4775" s="441"/>
      <c r="C4775" s="194">
        <v>2</v>
      </c>
      <c r="D4775" s="80"/>
      <c r="E4775" s="97"/>
      <c r="F4775" s="97"/>
      <c r="G4775" s="97"/>
      <c r="H4775" s="97"/>
      <c r="I4775" s="97"/>
      <c r="J4775" s="97"/>
      <c r="K4775" s="97"/>
      <c r="L4775" s="195"/>
    </row>
    <row r="4776" spans="1:14" x14ac:dyDescent="0.45">
      <c r="A4776" s="462"/>
      <c r="B4776" s="441"/>
      <c r="C4776" s="194">
        <v>3</v>
      </c>
      <c r="D4776" s="80"/>
      <c r="E4776" s="97"/>
      <c r="F4776" s="97"/>
      <c r="G4776" s="97"/>
      <c r="H4776" s="97"/>
      <c r="I4776" s="97"/>
      <c r="J4776" s="97"/>
      <c r="K4776" s="97"/>
      <c r="L4776" s="195"/>
    </row>
    <row r="4777" spans="1:14" x14ac:dyDescent="0.45">
      <c r="A4777" s="462"/>
      <c r="B4777" s="441"/>
      <c r="C4777" s="194">
        <v>4</v>
      </c>
      <c r="D4777" s="80"/>
      <c r="E4777" s="97"/>
      <c r="F4777" s="97"/>
      <c r="G4777" s="97"/>
      <c r="H4777" s="97"/>
      <c r="I4777" s="97"/>
      <c r="J4777" s="97"/>
      <c r="K4777" s="97"/>
      <c r="L4777" s="195"/>
    </row>
    <row r="4778" spans="1:14" x14ac:dyDescent="0.45">
      <c r="A4778" s="462"/>
      <c r="B4778" s="441"/>
      <c r="C4778" s="194">
        <v>5</v>
      </c>
      <c r="D4778" s="80"/>
      <c r="E4778" s="97"/>
      <c r="F4778" s="97"/>
      <c r="G4778" s="97"/>
      <c r="H4778" s="97"/>
      <c r="I4778" s="97"/>
      <c r="J4778" s="97"/>
      <c r="K4778" s="97"/>
      <c r="L4778" s="195"/>
    </row>
    <row r="4779" spans="1:14" x14ac:dyDescent="0.45">
      <c r="A4779" s="462"/>
      <c r="B4779" s="441"/>
      <c r="C4779" s="194">
        <v>6</v>
      </c>
      <c r="D4779" s="80"/>
      <c r="E4779" s="97"/>
      <c r="F4779" s="97"/>
      <c r="G4779" s="97"/>
      <c r="H4779" s="97"/>
      <c r="I4779" s="97"/>
      <c r="J4779" s="97"/>
      <c r="K4779" s="97"/>
      <c r="L4779" s="195"/>
    </row>
    <row r="4780" spans="1:14" x14ac:dyDescent="0.45">
      <c r="A4780" s="462"/>
      <c r="B4780" s="441"/>
      <c r="C4780" s="194">
        <v>7</v>
      </c>
      <c r="D4780" s="80"/>
      <c r="E4780" s="97"/>
      <c r="F4780" s="97"/>
      <c r="G4780" s="97"/>
      <c r="H4780" s="97"/>
      <c r="I4780" s="97"/>
      <c r="J4780" s="97"/>
      <c r="K4780" s="97"/>
      <c r="L4780" s="195"/>
    </row>
    <row r="4781" spans="1:14" x14ac:dyDescent="0.45">
      <c r="A4781" s="462"/>
      <c r="B4781" s="441"/>
      <c r="C4781" s="194">
        <v>8</v>
      </c>
      <c r="D4781" s="80"/>
      <c r="E4781" s="97"/>
      <c r="F4781" s="97"/>
      <c r="G4781" s="97"/>
      <c r="H4781" s="97"/>
      <c r="I4781" s="97"/>
      <c r="J4781" s="97"/>
      <c r="K4781" s="97"/>
      <c r="L4781" s="195"/>
    </row>
    <row r="4782" spans="1:14" x14ac:dyDescent="0.45">
      <c r="A4782" s="462"/>
      <c r="B4782" s="441"/>
      <c r="C4782" s="194">
        <v>9</v>
      </c>
      <c r="D4782" s="80"/>
      <c r="E4782" s="97"/>
      <c r="F4782" s="97"/>
      <c r="G4782" s="97"/>
      <c r="H4782" s="97"/>
      <c r="I4782" s="97"/>
      <c r="J4782" s="97"/>
      <c r="K4782" s="97"/>
      <c r="L4782" s="195"/>
    </row>
    <row r="4783" spans="1:14" x14ac:dyDescent="0.45">
      <c r="A4783" s="462"/>
      <c r="B4783" s="441"/>
      <c r="C4783" s="194">
        <v>10</v>
      </c>
      <c r="D4783" s="80"/>
      <c r="E4783" s="97"/>
      <c r="F4783" s="97"/>
      <c r="G4783" s="97"/>
      <c r="H4783" s="97"/>
      <c r="I4783" s="97"/>
      <c r="J4783" s="97"/>
      <c r="K4783" s="97"/>
      <c r="L4783" s="195"/>
    </row>
    <row r="4784" spans="1:14" x14ac:dyDescent="0.45">
      <c r="A4784" s="462"/>
      <c r="B4784" s="441"/>
      <c r="C4784" s="194">
        <v>11</v>
      </c>
      <c r="D4784" s="81"/>
      <c r="E4784" s="98"/>
      <c r="F4784" s="98"/>
      <c r="G4784" s="98"/>
      <c r="H4784" s="98"/>
      <c r="I4784" s="98"/>
      <c r="J4784" s="98"/>
      <c r="K4784" s="98"/>
      <c r="L4784" s="196"/>
    </row>
    <row r="4785" spans="1:14" s="90" customFormat="1" ht="14.65" thickBot="1" x14ac:dyDescent="0.5">
      <c r="A4785" s="462"/>
      <c r="B4785" s="442"/>
      <c r="C4785" s="197">
        <v>12</v>
      </c>
      <c r="D4785" s="82"/>
      <c r="E4785" s="99"/>
      <c r="F4785" s="99"/>
      <c r="G4785" s="99"/>
      <c r="H4785" s="99"/>
      <c r="I4785" s="99"/>
      <c r="J4785" s="99"/>
      <c r="K4785" s="99"/>
      <c r="L4785" s="198"/>
      <c r="M4785" s="61"/>
      <c r="N4785" s="61"/>
    </row>
    <row r="4786" spans="1:14" x14ac:dyDescent="0.45">
      <c r="A4786" s="462"/>
      <c r="B4786" s="440">
        <v>2</v>
      </c>
      <c r="C4786" s="192">
        <v>1</v>
      </c>
      <c r="D4786" s="79"/>
      <c r="E4786" s="96"/>
      <c r="F4786" s="96"/>
      <c r="G4786" s="96"/>
      <c r="H4786" s="96"/>
      <c r="I4786" s="96"/>
      <c r="J4786" s="96"/>
      <c r="K4786" s="96"/>
      <c r="L4786" s="193"/>
    </row>
    <row r="4787" spans="1:14" x14ac:dyDescent="0.45">
      <c r="A4787" s="462"/>
      <c r="B4787" s="441"/>
      <c r="C4787" s="194">
        <v>2</v>
      </c>
      <c r="D4787" s="80"/>
      <c r="E4787" s="97"/>
      <c r="F4787" s="97"/>
      <c r="G4787" s="97"/>
      <c r="H4787" s="97"/>
      <c r="I4787" s="97"/>
      <c r="J4787" s="97"/>
      <c r="K4787" s="97"/>
      <c r="L4787" s="195"/>
    </row>
    <row r="4788" spans="1:14" x14ac:dyDescent="0.45">
      <c r="A4788" s="462"/>
      <c r="B4788" s="441"/>
      <c r="C4788" s="194">
        <v>3</v>
      </c>
      <c r="D4788" s="80"/>
      <c r="E4788" s="97"/>
      <c r="F4788" s="97"/>
      <c r="G4788" s="97"/>
      <c r="H4788" s="97"/>
      <c r="I4788" s="97"/>
      <c r="J4788" s="97"/>
      <c r="K4788" s="97"/>
      <c r="L4788" s="195"/>
    </row>
    <row r="4789" spans="1:14" x14ac:dyDescent="0.45">
      <c r="A4789" s="462"/>
      <c r="B4789" s="441"/>
      <c r="C4789" s="194">
        <v>4</v>
      </c>
      <c r="D4789" s="80"/>
      <c r="E4789" s="97"/>
      <c r="F4789" s="97"/>
      <c r="G4789" s="97"/>
      <c r="H4789" s="97"/>
      <c r="I4789" s="97"/>
      <c r="J4789" s="97"/>
      <c r="K4789" s="97"/>
      <c r="L4789" s="195"/>
    </row>
    <row r="4790" spans="1:14" x14ac:dyDescent="0.45">
      <c r="A4790" s="462"/>
      <c r="B4790" s="441"/>
      <c r="C4790" s="194">
        <v>5</v>
      </c>
      <c r="D4790" s="80"/>
      <c r="E4790" s="97"/>
      <c r="F4790" s="97"/>
      <c r="G4790" s="97"/>
      <c r="H4790" s="97"/>
      <c r="I4790" s="97"/>
      <c r="J4790" s="97"/>
      <c r="K4790" s="97"/>
      <c r="L4790" s="195"/>
    </row>
    <row r="4791" spans="1:14" x14ac:dyDescent="0.45">
      <c r="A4791" s="462"/>
      <c r="B4791" s="441"/>
      <c r="C4791" s="194">
        <v>6</v>
      </c>
      <c r="D4791" s="80"/>
      <c r="E4791" s="97"/>
      <c r="F4791" s="97"/>
      <c r="G4791" s="97"/>
      <c r="H4791" s="97"/>
      <c r="I4791" s="97"/>
      <c r="J4791" s="97"/>
      <c r="K4791" s="97"/>
      <c r="L4791" s="195"/>
    </row>
    <row r="4792" spans="1:14" x14ac:dyDescent="0.45">
      <c r="A4792" s="462"/>
      <c r="B4792" s="441"/>
      <c r="C4792" s="194">
        <v>7</v>
      </c>
      <c r="D4792" s="80"/>
      <c r="E4792" s="97"/>
      <c r="F4792" s="97"/>
      <c r="G4792" s="97"/>
      <c r="H4792" s="97"/>
      <c r="I4792" s="97"/>
      <c r="J4792" s="97"/>
      <c r="K4792" s="97"/>
      <c r="L4792" s="195"/>
    </row>
    <row r="4793" spans="1:14" x14ac:dyDescent="0.45">
      <c r="A4793" s="462"/>
      <c r="B4793" s="441"/>
      <c r="C4793" s="194">
        <v>8</v>
      </c>
      <c r="D4793" s="80"/>
      <c r="E4793" s="97"/>
      <c r="F4793" s="97"/>
      <c r="G4793" s="97"/>
      <c r="H4793" s="97"/>
      <c r="I4793" s="97"/>
      <c r="J4793" s="97"/>
      <c r="K4793" s="97"/>
      <c r="L4793" s="195"/>
    </row>
    <row r="4794" spans="1:14" x14ac:dyDescent="0.45">
      <c r="A4794" s="462"/>
      <c r="B4794" s="441"/>
      <c r="C4794" s="194">
        <v>9</v>
      </c>
      <c r="D4794" s="80"/>
      <c r="E4794" s="97"/>
      <c r="F4794" s="97"/>
      <c r="G4794" s="97"/>
      <c r="H4794" s="97"/>
      <c r="I4794" s="97"/>
      <c r="J4794" s="97"/>
      <c r="K4794" s="97"/>
      <c r="L4794" s="195"/>
    </row>
    <row r="4795" spans="1:14" x14ac:dyDescent="0.45">
      <c r="A4795" s="462"/>
      <c r="B4795" s="441"/>
      <c r="C4795" s="194">
        <v>10</v>
      </c>
      <c r="D4795" s="80"/>
      <c r="E4795" s="97"/>
      <c r="F4795" s="97"/>
      <c r="G4795" s="97"/>
      <c r="H4795" s="97"/>
      <c r="I4795" s="97"/>
      <c r="J4795" s="97"/>
      <c r="K4795" s="97"/>
      <c r="L4795" s="195"/>
    </row>
    <row r="4796" spans="1:14" x14ac:dyDescent="0.45">
      <c r="A4796" s="462"/>
      <c r="B4796" s="441"/>
      <c r="C4796" s="194">
        <v>11</v>
      </c>
      <c r="D4796" s="81"/>
      <c r="E4796" s="98"/>
      <c r="F4796" s="98"/>
      <c r="G4796" s="98"/>
      <c r="H4796" s="98"/>
      <c r="I4796" s="98"/>
      <c r="J4796" s="98"/>
      <c r="K4796" s="98"/>
      <c r="L4796" s="196"/>
    </row>
    <row r="4797" spans="1:14" ht="14.65" thickBot="1" x14ac:dyDescent="0.5">
      <c r="A4797" s="462"/>
      <c r="B4797" s="442"/>
      <c r="C4797" s="197">
        <v>12</v>
      </c>
      <c r="D4797" s="82"/>
      <c r="E4797" s="99"/>
      <c r="F4797" s="99"/>
      <c r="G4797" s="99"/>
      <c r="H4797" s="99"/>
      <c r="I4797" s="99"/>
      <c r="J4797" s="99"/>
      <c r="K4797" s="99"/>
      <c r="L4797" s="198"/>
    </row>
    <row r="4798" spans="1:14" x14ac:dyDescent="0.45">
      <c r="A4798" s="462"/>
      <c r="B4798" s="440">
        <v>3</v>
      </c>
      <c r="C4798" s="192">
        <v>1</v>
      </c>
      <c r="D4798" s="79"/>
      <c r="E4798" s="96"/>
      <c r="F4798" s="96"/>
      <c r="G4798" s="96"/>
      <c r="H4798" s="96"/>
      <c r="I4798" s="96"/>
      <c r="J4798" s="96"/>
      <c r="K4798" s="96"/>
      <c r="L4798" s="193"/>
    </row>
    <row r="4799" spans="1:14" x14ac:dyDescent="0.45">
      <c r="A4799" s="462"/>
      <c r="B4799" s="441"/>
      <c r="C4799" s="194">
        <v>2</v>
      </c>
      <c r="D4799" s="80"/>
      <c r="E4799" s="97"/>
      <c r="F4799" s="97"/>
      <c r="G4799" s="97"/>
      <c r="H4799" s="97"/>
      <c r="I4799" s="97"/>
      <c r="J4799" s="97"/>
      <c r="K4799" s="97"/>
      <c r="L4799" s="195"/>
    </row>
    <row r="4800" spans="1:14" x14ac:dyDescent="0.45">
      <c r="A4800" s="462"/>
      <c r="B4800" s="441"/>
      <c r="C4800" s="194">
        <v>3</v>
      </c>
      <c r="D4800" s="80"/>
      <c r="E4800" s="97"/>
      <c r="F4800" s="97"/>
      <c r="G4800" s="97"/>
      <c r="H4800" s="97"/>
      <c r="I4800" s="97"/>
      <c r="J4800" s="97"/>
      <c r="K4800" s="97"/>
      <c r="L4800" s="195"/>
    </row>
    <row r="4801" spans="1:12" x14ac:dyDescent="0.45">
      <c r="A4801" s="462"/>
      <c r="B4801" s="441"/>
      <c r="C4801" s="194">
        <v>4</v>
      </c>
      <c r="D4801" s="80"/>
      <c r="E4801" s="97"/>
      <c r="F4801" s="97"/>
      <c r="G4801" s="97"/>
      <c r="H4801" s="97"/>
      <c r="I4801" s="97"/>
      <c r="J4801" s="97"/>
      <c r="K4801" s="97"/>
      <c r="L4801" s="195"/>
    </row>
    <row r="4802" spans="1:12" x14ac:dyDescent="0.45">
      <c r="A4802" s="462"/>
      <c r="B4802" s="441"/>
      <c r="C4802" s="194">
        <v>5</v>
      </c>
      <c r="D4802" s="80"/>
      <c r="E4802" s="97"/>
      <c r="F4802" s="97"/>
      <c r="G4802" s="97"/>
      <c r="H4802" s="97"/>
      <c r="I4802" s="97"/>
      <c r="J4802" s="97"/>
      <c r="K4802" s="97"/>
      <c r="L4802" s="195"/>
    </row>
    <row r="4803" spans="1:12" x14ac:dyDescent="0.45">
      <c r="A4803" s="462"/>
      <c r="B4803" s="441"/>
      <c r="C4803" s="194">
        <v>6</v>
      </c>
      <c r="D4803" s="80"/>
      <c r="E4803" s="97"/>
      <c r="F4803" s="97"/>
      <c r="G4803" s="97"/>
      <c r="H4803" s="97"/>
      <c r="I4803" s="97"/>
      <c r="J4803" s="97"/>
      <c r="K4803" s="97"/>
      <c r="L4803" s="195"/>
    </row>
    <row r="4804" spans="1:12" x14ac:dyDescent="0.45">
      <c r="A4804" s="462"/>
      <c r="B4804" s="441"/>
      <c r="C4804" s="194">
        <v>7</v>
      </c>
      <c r="D4804" s="80"/>
      <c r="E4804" s="97"/>
      <c r="F4804" s="97"/>
      <c r="G4804" s="97"/>
      <c r="H4804" s="97"/>
      <c r="I4804" s="97"/>
      <c r="J4804" s="97"/>
      <c r="K4804" s="97"/>
      <c r="L4804" s="195"/>
    </row>
    <row r="4805" spans="1:12" x14ac:dyDescent="0.45">
      <c r="A4805" s="462"/>
      <c r="B4805" s="441"/>
      <c r="C4805" s="194">
        <v>8</v>
      </c>
      <c r="D4805" s="80"/>
      <c r="E4805" s="97"/>
      <c r="F4805" s="97"/>
      <c r="G4805" s="97"/>
      <c r="H4805" s="97"/>
      <c r="I4805" s="97"/>
      <c r="J4805" s="97"/>
      <c r="K4805" s="97"/>
      <c r="L4805" s="195"/>
    </row>
    <row r="4806" spans="1:12" x14ac:dyDescent="0.45">
      <c r="A4806" s="462"/>
      <c r="B4806" s="441"/>
      <c r="C4806" s="194">
        <v>9</v>
      </c>
      <c r="D4806" s="80"/>
      <c r="E4806" s="97"/>
      <c r="F4806" s="97"/>
      <c r="G4806" s="97"/>
      <c r="H4806" s="97"/>
      <c r="I4806" s="97"/>
      <c r="J4806" s="97"/>
      <c r="K4806" s="97"/>
      <c r="L4806" s="195"/>
    </row>
    <row r="4807" spans="1:12" x14ac:dyDescent="0.45">
      <c r="A4807" s="462"/>
      <c r="B4807" s="441"/>
      <c r="C4807" s="194">
        <v>10</v>
      </c>
      <c r="D4807" s="80"/>
      <c r="E4807" s="97"/>
      <c r="F4807" s="97"/>
      <c r="G4807" s="97"/>
      <c r="H4807" s="97"/>
      <c r="I4807" s="97"/>
      <c r="J4807" s="97"/>
      <c r="K4807" s="97"/>
      <c r="L4807" s="195"/>
    </row>
    <row r="4808" spans="1:12" x14ac:dyDescent="0.45">
      <c r="A4808" s="462"/>
      <c r="B4808" s="441"/>
      <c r="C4808" s="194">
        <v>11</v>
      </c>
      <c r="D4808" s="81"/>
      <c r="E4808" s="98"/>
      <c r="F4808" s="98"/>
      <c r="G4808" s="98"/>
      <c r="H4808" s="98"/>
      <c r="I4808" s="98"/>
      <c r="J4808" s="98"/>
      <c r="K4808" s="98"/>
      <c r="L4808" s="196"/>
    </row>
    <row r="4809" spans="1:12" ht="14.65" thickBot="1" x14ac:dyDescent="0.5">
      <c r="A4809" s="462"/>
      <c r="B4809" s="442"/>
      <c r="C4809" s="197">
        <v>12</v>
      </c>
      <c r="D4809" s="82"/>
      <c r="E4809" s="99"/>
      <c r="F4809" s="99"/>
      <c r="G4809" s="99"/>
      <c r="H4809" s="99"/>
      <c r="I4809" s="99"/>
      <c r="J4809" s="99"/>
      <c r="K4809" s="99"/>
      <c r="L4809" s="198"/>
    </row>
    <row r="4810" spans="1:12" x14ac:dyDescent="0.45">
      <c r="A4810" s="462"/>
      <c r="B4810" s="440">
        <v>4</v>
      </c>
      <c r="C4810" s="192">
        <v>1</v>
      </c>
      <c r="D4810" s="79"/>
      <c r="E4810" s="96"/>
      <c r="F4810" s="96"/>
      <c r="G4810" s="96"/>
      <c r="H4810" s="96"/>
      <c r="I4810" s="96"/>
      <c r="J4810" s="96"/>
      <c r="K4810" s="96"/>
      <c r="L4810" s="193"/>
    </row>
    <row r="4811" spans="1:12" x14ac:dyDescent="0.45">
      <c r="A4811" s="462"/>
      <c r="B4811" s="441"/>
      <c r="C4811" s="194">
        <v>2</v>
      </c>
      <c r="D4811" s="80"/>
      <c r="E4811" s="97"/>
      <c r="F4811" s="97"/>
      <c r="G4811" s="97"/>
      <c r="H4811" s="97"/>
      <c r="I4811" s="97"/>
      <c r="J4811" s="97"/>
      <c r="K4811" s="97"/>
      <c r="L4811" s="195"/>
    </row>
    <row r="4812" spans="1:12" x14ac:dyDescent="0.45">
      <c r="A4812" s="462"/>
      <c r="B4812" s="441"/>
      <c r="C4812" s="194">
        <v>3</v>
      </c>
      <c r="D4812" s="80"/>
      <c r="E4812" s="97"/>
      <c r="F4812" s="97"/>
      <c r="G4812" s="97"/>
      <c r="H4812" s="97"/>
      <c r="I4812" s="97"/>
      <c r="J4812" s="97"/>
      <c r="K4812" s="97"/>
      <c r="L4812" s="195"/>
    </row>
    <row r="4813" spans="1:12" x14ac:dyDescent="0.45">
      <c r="A4813" s="462"/>
      <c r="B4813" s="441"/>
      <c r="C4813" s="194">
        <v>4</v>
      </c>
      <c r="D4813" s="80"/>
      <c r="E4813" s="97"/>
      <c r="F4813" s="97"/>
      <c r="G4813" s="97"/>
      <c r="H4813" s="97"/>
      <c r="I4813" s="97"/>
      <c r="J4813" s="97"/>
      <c r="K4813" s="97"/>
      <c r="L4813" s="195"/>
    </row>
    <row r="4814" spans="1:12" x14ac:dyDescent="0.45">
      <c r="A4814" s="462"/>
      <c r="B4814" s="441"/>
      <c r="C4814" s="194">
        <v>5</v>
      </c>
      <c r="D4814" s="80"/>
      <c r="E4814" s="97"/>
      <c r="F4814" s="97"/>
      <c r="G4814" s="97"/>
      <c r="H4814" s="97"/>
      <c r="I4814" s="97"/>
      <c r="J4814" s="97"/>
      <c r="K4814" s="97"/>
      <c r="L4814" s="195"/>
    </row>
    <row r="4815" spans="1:12" x14ac:dyDescent="0.45">
      <c r="A4815" s="462"/>
      <c r="B4815" s="441"/>
      <c r="C4815" s="194">
        <v>6</v>
      </c>
      <c r="D4815" s="80"/>
      <c r="E4815" s="97"/>
      <c r="F4815" s="97"/>
      <c r="G4815" s="97"/>
      <c r="H4815" s="97"/>
      <c r="I4815" s="97"/>
      <c r="J4815" s="97"/>
      <c r="K4815" s="97"/>
      <c r="L4815" s="195"/>
    </row>
    <row r="4816" spans="1:12" x14ac:dyDescent="0.45">
      <c r="A4816" s="462"/>
      <c r="B4816" s="441"/>
      <c r="C4816" s="194">
        <v>7</v>
      </c>
      <c r="D4816" s="80"/>
      <c r="E4816" s="97"/>
      <c r="F4816" s="97"/>
      <c r="G4816" s="97"/>
      <c r="H4816" s="97"/>
      <c r="I4816" s="97"/>
      <c r="J4816" s="97"/>
      <c r="K4816" s="97"/>
      <c r="L4816" s="195"/>
    </row>
    <row r="4817" spans="1:12" x14ac:dyDescent="0.45">
      <c r="A4817" s="462"/>
      <c r="B4817" s="441"/>
      <c r="C4817" s="194">
        <v>8</v>
      </c>
      <c r="D4817" s="80"/>
      <c r="E4817" s="97"/>
      <c r="F4817" s="97"/>
      <c r="G4817" s="97"/>
      <c r="H4817" s="97"/>
      <c r="I4817" s="97"/>
      <c r="J4817" s="97"/>
      <c r="K4817" s="97"/>
      <c r="L4817" s="195"/>
    </row>
    <row r="4818" spans="1:12" x14ac:dyDescent="0.45">
      <c r="A4818" s="462"/>
      <c r="B4818" s="441"/>
      <c r="C4818" s="194">
        <v>9</v>
      </c>
      <c r="D4818" s="80"/>
      <c r="E4818" s="97"/>
      <c r="F4818" s="97"/>
      <c r="G4818" s="97"/>
      <c r="H4818" s="97"/>
      <c r="I4818" s="97"/>
      <c r="J4818" s="97"/>
      <c r="K4818" s="97"/>
      <c r="L4818" s="195"/>
    </row>
    <row r="4819" spans="1:12" x14ac:dyDescent="0.45">
      <c r="A4819" s="462"/>
      <c r="B4819" s="441"/>
      <c r="C4819" s="194">
        <v>10</v>
      </c>
      <c r="D4819" s="80"/>
      <c r="E4819" s="97"/>
      <c r="F4819" s="97"/>
      <c r="G4819" s="97"/>
      <c r="H4819" s="97"/>
      <c r="I4819" s="97"/>
      <c r="J4819" s="97"/>
      <c r="K4819" s="97"/>
      <c r="L4819" s="195"/>
    </row>
    <row r="4820" spans="1:12" x14ac:dyDescent="0.45">
      <c r="A4820" s="462"/>
      <c r="B4820" s="441"/>
      <c r="C4820" s="194">
        <v>11</v>
      </c>
      <c r="D4820" s="81"/>
      <c r="E4820" s="98"/>
      <c r="F4820" s="98"/>
      <c r="G4820" s="98"/>
      <c r="H4820" s="98"/>
      <c r="I4820" s="98"/>
      <c r="J4820" s="98"/>
      <c r="K4820" s="98"/>
      <c r="L4820" s="196"/>
    </row>
    <row r="4821" spans="1:12" ht="14.65" thickBot="1" x14ac:dyDescent="0.5">
      <c r="A4821" s="463"/>
      <c r="B4821" s="442"/>
      <c r="C4821" s="197">
        <v>12</v>
      </c>
      <c r="D4821" s="82"/>
      <c r="E4821" s="99"/>
      <c r="F4821" s="99"/>
      <c r="G4821" s="99"/>
      <c r="H4821" s="99"/>
      <c r="I4821" s="99"/>
      <c r="J4821" s="99"/>
      <c r="K4821" s="99"/>
      <c r="L4821" s="198"/>
    </row>
    <row r="4822" spans="1:12" x14ac:dyDescent="0.45">
      <c r="A4822" s="461">
        <v>2</v>
      </c>
      <c r="B4822" s="440">
        <v>5</v>
      </c>
      <c r="C4822" s="192">
        <v>1</v>
      </c>
      <c r="D4822" s="79"/>
      <c r="E4822" s="96"/>
      <c r="F4822" s="96"/>
      <c r="G4822" s="96"/>
      <c r="H4822" s="96"/>
      <c r="I4822" s="96"/>
      <c r="J4822" s="96"/>
      <c r="K4822" s="96"/>
      <c r="L4822" s="193"/>
    </row>
    <row r="4823" spans="1:12" x14ac:dyDescent="0.45">
      <c r="A4823" s="462"/>
      <c r="B4823" s="441"/>
      <c r="C4823" s="194">
        <v>2</v>
      </c>
      <c r="D4823" s="80"/>
      <c r="E4823" s="97"/>
      <c r="F4823" s="97"/>
      <c r="G4823" s="97"/>
      <c r="H4823" s="97"/>
      <c r="I4823" s="97"/>
      <c r="J4823" s="97"/>
      <c r="K4823" s="97"/>
      <c r="L4823" s="195"/>
    </row>
    <row r="4824" spans="1:12" x14ac:dyDescent="0.45">
      <c r="A4824" s="462"/>
      <c r="B4824" s="441"/>
      <c r="C4824" s="194">
        <v>3</v>
      </c>
      <c r="D4824" s="80"/>
      <c r="E4824" s="97"/>
      <c r="F4824" s="97"/>
      <c r="G4824" s="97"/>
      <c r="H4824" s="97"/>
      <c r="I4824" s="97"/>
      <c r="J4824" s="97"/>
      <c r="K4824" s="97"/>
      <c r="L4824" s="195"/>
    </row>
    <row r="4825" spans="1:12" x14ac:dyDescent="0.45">
      <c r="A4825" s="462"/>
      <c r="B4825" s="441"/>
      <c r="C4825" s="194">
        <v>4</v>
      </c>
      <c r="D4825" s="80"/>
      <c r="E4825" s="97"/>
      <c r="F4825" s="97"/>
      <c r="G4825" s="97"/>
      <c r="H4825" s="97"/>
      <c r="I4825" s="97"/>
      <c r="J4825" s="97"/>
      <c r="K4825" s="97"/>
      <c r="L4825" s="195"/>
    </row>
    <row r="4826" spans="1:12" x14ac:dyDescent="0.45">
      <c r="A4826" s="462"/>
      <c r="B4826" s="441"/>
      <c r="C4826" s="194">
        <v>5</v>
      </c>
      <c r="D4826" s="80"/>
      <c r="E4826" s="97"/>
      <c r="F4826" s="97"/>
      <c r="G4826" s="97"/>
      <c r="H4826" s="97"/>
      <c r="I4826" s="97"/>
      <c r="J4826" s="97"/>
      <c r="K4826" s="97"/>
      <c r="L4826" s="195"/>
    </row>
    <row r="4827" spans="1:12" x14ac:dyDescent="0.45">
      <c r="A4827" s="462"/>
      <c r="B4827" s="441"/>
      <c r="C4827" s="194">
        <v>6</v>
      </c>
      <c r="D4827" s="80"/>
      <c r="E4827" s="97"/>
      <c r="F4827" s="97"/>
      <c r="G4827" s="97"/>
      <c r="H4827" s="97"/>
      <c r="I4827" s="97"/>
      <c r="J4827" s="97"/>
      <c r="K4827" s="97"/>
      <c r="L4827" s="195"/>
    </row>
    <row r="4828" spans="1:12" x14ac:dyDescent="0.45">
      <c r="A4828" s="462"/>
      <c r="B4828" s="441"/>
      <c r="C4828" s="194">
        <v>7</v>
      </c>
      <c r="D4828" s="80"/>
      <c r="E4828" s="97"/>
      <c r="F4828" s="97"/>
      <c r="G4828" s="97"/>
      <c r="H4828" s="97"/>
      <c r="I4828" s="97"/>
      <c r="J4828" s="97"/>
      <c r="K4828" s="97"/>
      <c r="L4828" s="195"/>
    </row>
    <row r="4829" spans="1:12" x14ac:dyDescent="0.45">
      <c r="A4829" s="462"/>
      <c r="B4829" s="441"/>
      <c r="C4829" s="194">
        <v>8</v>
      </c>
      <c r="D4829" s="80"/>
      <c r="E4829" s="97"/>
      <c r="F4829" s="97"/>
      <c r="G4829" s="97"/>
      <c r="H4829" s="97"/>
      <c r="I4829" s="97"/>
      <c r="J4829" s="97"/>
      <c r="K4829" s="97"/>
      <c r="L4829" s="195"/>
    </row>
    <row r="4830" spans="1:12" x14ac:dyDescent="0.45">
      <c r="A4830" s="462"/>
      <c r="B4830" s="441"/>
      <c r="C4830" s="194">
        <v>9</v>
      </c>
      <c r="D4830" s="80"/>
      <c r="E4830" s="97"/>
      <c r="F4830" s="97"/>
      <c r="G4830" s="97"/>
      <c r="H4830" s="97"/>
      <c r="I4830" s="97"/>
      <c r="J4830" s="97"/>
      <c r="K4830" s="97"/>
      <c r="L4830" s="195"/>
    </row>
    <row r="4831" spans="1:12" x14ac:dyDescent="0.45">
      <c r="A4831" s="462"/>
      <c r="B4831" s="441"/>
      <c r="C4831" s="194">
        <v>10</v>
      </c>
      <c r="D4831" s="80"/>
      <c r="E4831" s="97"/>
      <c r="F4831" s="97"/>
      <c r="G4831" s="97"/>
      <c r="H4831" s="97"/>
      <c r="I4831" s="97"/>
      <c r="J4831" s="97"/>
      <c r="K4831" s="97"/>
      <c r="L4831" s="195"/>
    </row>
    <row r="4832" spans="1:12" x14ac:dyDescent="0.45">
      <c r="A4832" s="462"/>
      <c r="B4832" s="441"/>
      <c r="C4832" s="194">
        <v>11</v>
      </c>
      <c r="D4832" s="81"/>
      <c r="E4832" s="98"/>
      <c r="F4832" s="98"/>
      <c r="G4832" s="98"/>
      <c r="H4832" s="98"/>
      <c r="I4832" s="98"/>
      <c r="J4832" s="98"/>
      <c r="K4832" s="98"/>
      <c r="L4832" s="196"/>
    </row>
    <row r="4833" spans="1:12" ht="14.65" thickBot="1" x14ac:dyDescent="0.5">
      <c r="A4833" s="462"/>
      <c r="B4833" s="442"/>
      <c r="C4833" s="197">
        <v>12</v>
      </c>
      <c r="D4833" s="82"/>
      <c r="E4833" s="99"/>
      <c r="F4833" s="99"/>
      <c r="G4833" s="99"/>
      <c r="H4833" s="99"/>
      <c r="I4833" s="99"/>
      <c r="J4833" s="99"/>
      <c r="K4833" s="99"/>
      <c r="L4833" s="198"/>
    </row>
    <row r="4834" spans="1:12" x14ac:dyDescent="0.45">
      <c r="A4834" s="462"/>
      <c r="B4834" s="440">
        <v>6</v>
      </c>
      <c r="C4834" s="192">
        <v>1</v>
      </c>
      <c r="D4834" s="79"/>
      <c r="E4834" s="96"/>
      <c r="F4834" s="96"/>
      <c r="G4834" s="96"/>
      <c r="H4834" s="96"/>
      <c r="I4834" s="96"/>
      <c r="J4834" s="96"/>
      <c r="K4834" s="96"/>
      <c r="L4834" s="193"/>
    </row>
    <row r="4835" spans="1:12" x14ac:dyDescent="0.45">
      <c r="A4835" s="462"/>
      <c r="B4835" s="441"/>
      <c r="C4835" s="194">
        <v>2</v>
      </c>
      <c r="D4835" s="80"/>
      <c r="E4835" s="97"/>
      <c r="F4835" s="97"/>
      <c r="G4835" s="97"/>
      <c r="H4835" s="97"/>
      <c r="I4835" s="97"/>
      <c r="J4835" s="97"/>
      <c r="K4835" s="97"/>
      <c r="L4835" s="195"/>
    </row>
    <row r="4836" spans="1:12" x14ac:dyDescent="0.45">
      <c r="A4836" s="462"/>
      <c r="B4836" s="441"/>
      <c r="C4836" s="194">
        <v>3</v>
      </c>
      <c r="D4836" s="80"/>
      <c r="E4836" s="97"/>
      <c r="F4836" s="97"/>
      <c r="G4836" s="97"/>
      <c r="H4836" s="97"/>
      <c r="I4836" s="97"/>
      <c r="J4836" s="97"/>
      <c r="K4836" s="97"/>
      <c r="L4836" s="195"/>
    </row>
    <row r="4837" spans="1:12" x14ac:dyDescent="0.45">
      <c r="A4837" s="462"/>
      <c r="B4837" s="441"/>
      <c r="C4837" s="194">
        <v>4</v>
      </c>
      <c r="D4837" s="80"/>
      <c r="E4837" s="97"/>
      <c r="F4837" s="97"/>
      <c r="G4837" s="97"/>
      <c r="H4837" s="97"/>
      <c r="I4837" s="97"/>
      <c r="J4837" s="97"/>
      <c r="K4837" s="97"/>
      <c r="L4837" s="195"/>
    </row>
    <row r="4838" spans="1:12" x14ac:dyDescent="0.45">
      <c r="A4838" s="462"/>
      <c r="B4838" s="441"/>
      <c r="C4838" s="194">
        <v>5</v>
      </c>
      <c r="D4838" s="80"/>
      <c r="E4838" s="97"/>
      <c r="F4838" s="97"/>
      <c r="G4838" s="97"/>
      <c r="H4838" s="97"/>
      <c r="I4838" s="97"/>
      <c r="J4838" s="97"/>
      <c r="K4838" s="97"/>
      <c r="L4838" s="195"/>
    </row>
    <row r="4839" spans="1:12" x14ac:dyDescent="0.45">
      <c r="A4839" s="462"/>
      <c r="B4839" s="441"/>
      <c r="C4839" s="194">
        <v>6</v>
      </c>
      <c r="D4839" s="80"/>
      <c r="E4839" s="97"/>
      <c r="F4839" s="97"/>
      <c r="G4839" s="97"/>
      <c r="H4839" s="97"/>
      <c r="I4839" s="97"/>
      <c r="J4839" s="97"/>
      <c r="K4839" s="97"/>
      <c r="L4839" s="195"/>
    </row>
    <row r="4840" spans="1:12" x14ac:dyDescent="0.45">
      <c r="A4840" s="462"/>
      <c r="B4840" s="441"/>
      <c r="C4840" s="194">
        <v>7</v>
      </c>
      <c r="D4840" s="80"/>
      <c r="E4840" s="97"/>
      <c r="F4840" s="97"/>
      <c r="G4840" s="97"/>
      <c r="H4840" s="97"/>
      <c r="I4840" s="97"/>
      <c r="J4840" s="97"/>
      <c r="K4840" s="97"/>
      <c r="L4840" s="195"/>
    </row>
    <row r="4841" spans="1:12" x14ac:dyDescent="0.45">
      <c r="A4841" s="462"/>
      <c r="B4841" s="441"/>
      <c r="C4841" s="194">
        <v>8</v>
      </c>
      <c r="D4841" s="80"/>
      <c r="E4841" s="97"/>
      <c r="F4841" s="97"/>
      <c r="G4841" s="97"/>
      <c r="H4841" s="97"/>
      <c r="I4841" s="97"/>
      <c r="J4841" s="97"/>
      <c r="K4841" s="97"/>
      <c r="L4841" s="195"/>
    </row>
    <row r="4842" spans="1:12" x14ac:dyDescent="0.45">
      <c r="A4842" s="462"/>
      <c r="B4842" s="441"/>
      <c r="C4842" s="194">
        <v>9</v>
      </c>
      <c r="D4842" s="80"/>
      <c r="E4842" s="97"/>
      <c r="F4842" s="97"/>
      <c r="G4842" s="97"/>
      <c r="H4842" s="97"/>
      <c r="I4842" s="97"/>
      <c r="J4842" s="97"/>
      <c r="K4842" s="97"/>
      <c r="L4842" s="195"/>
    </row>
    <row r="4843" spans="1:12" x14ac:dyDescent="0.45">
      <c r="A4843" s="462"/>
      <c r="B4843" s="441"/>
      <c r="C4843" s="194">
        <v>10</v>
      </c>
      <c r="D4843" s="80"/>
      <c r="E4843" s="97"/>
      <c r="F4843" s="97"/>
      <c r="G4843" s="97"/>
      <c r="H4843" s="97"/>
      <c r="I4843" s="97"/>
      <c r="J4843" s="97"/>
      <c r="K4843" s="97"/>
      <c r="L4843" s="195"/>
    </row>
    <row r="4844" spans="1:12" x14ac:dyDescent="0.45">
      <c r="A4844" s="462"/>
      <c r="B4844" s="441"/>
      <c r="C4844" s="194">
        <v>11</v>
      </c>
      <c r="D4844" s="81"/>
      <c r="E4844" s="98"/>
      <c r="F4844" s="98"/>
      <c r="G4844" s="98"/>
      <c r="H4844" s="98"/>
      <c r="I4844" s="98"/>
      <c r="J4844" s="98"/>
      <c r="K4844" s="98"/>
      <c r="L4844" s="196"/>
    </row>
    <row r="4845" spans="1:12" ht="14.65" thickBot="1" x14ac:dyDescent="0.5">
      <c r="A4845" s="462"/>
      <c r="B4845" s="442"/>
      <c r="C4845" s="197">
        <v>12</v>
      </c>
      <c r="D4845" s="82"/>
      <c r="E4845" s="99"/>
      <c r="F4845" s="99"/>
      <c r="G4845" s="99"/>
      <c r="H4845" s="99"/>
      <c r="I4845" s="99"/>
      <c r="J4845" s="99"/>
      <c r="K4845" s="99"/>
      <c r="L4845" s="198"/>
    </row>
    <row r="4846" spans="1:12" x14ac:dyDescent="0.45">
      <c r="A4846" s="462"/>
      <c r="B4846" s="440">
        <v>7</v>
      </c>
      <c r="C4846" s="192">
        <v>1</v>
      </c>
      <c r="D4846" s="79"/>
      <c r="E4846" s="96"/>
      <c r="F4846" s="96"/>
      <c r="G4846" s="96"/>
      <c r="H4846" s="96"/>
      <c r="I4846" s="96"/>
      <c r="J4846" s="96"/>
      <c r="K4846" s="96"/>
      <c r="L4846" s="193"/>
    </row>
    <row r="4847" spans="1:12" x14ac:dyDescent="0.45">
      <c r="A4847" s="462"/>
      <c r="B4847" s="441"/>
      <c r="C4847" s="194">
        <v>2</v>
      </c>
      <c r="D4847" s="80"/>
      <c r="E4847" s="97"/>
      <c r="F4847" s="97"/>
      <c r="G4847" s="97"/>
      <c r="H4847" s="97"/>
      <c r="I4847" s="97"/>
      <c r="J4847" s="97"/>
      <c r="K4847" s="97"/>
      <c r="L4847" s="195"/>
    </row>
    <row r="4848" spans="1:12" x14ac:dyDescent="0.45">
      <c r="A4848" s="462"/>
      <c r="B4848" s="441"/>
      <c r="C4848" s="194">
        <v>3</v>
      </c>
      <c r="D4848" s="80"/>
      <c r="E4848" s="97"/>
      <c r="F4848" s="97"/>
      <c r="G4848" s="97"/>
      <c r="H4848" s="97"/>
      <c r="I4848" s="97"/>
      <c r="J4848" s="97"/>
      <c r="K4848" s="97"/>
      <c r="L4848" s="195"/>
    </row>
    <row r="4849" spans="1:12" x14ac:dyDescent="0.45">
      <c r="A4849" s="462"/>
      <c r="B4849" s="441"/>
      <c r="C4849" s="194">
        <v>4</v>
      </c>
      <c r="D4849" s="80"/>
      <c r="E4849" s="97"/>
      <c r="F4849" s="97"/>
      <c r="G4849" s="97"/>
      <c r="H4849" s="97"/>
      <c r="I4849" s="97"/>
      <c r="J4849" s="97"/>
      <c r="K4849" s="97"/>
      <c r="L4849" s="195"/>
    </row>
    <row r="4850" spans="1:12" x14ac:dyDescent="0.45">
      <c r="A4850" s="462"/>
      <c r="B4850" s="441"/>
      <c r="C4850" s="194">
        <v>5</v>
      </c>
      <c r="D4850" s="80"/>
      <c r="E4850" s="97"/>
      <c r="F4850" s="97"/>
      <c r="G4850" s="97"/>
      <c r="H4850" s="97"/>
      <c r="I4850" s="97"/>
      <c r="J4850" s="97"/>
      <c r="K4850" s="97"/>
      <c r="L4850" s="195"/>
    </row>
    <row r="4851" spans="1:12" x14ac:dyDescent="0.45">
      <c r="A4851" s="462"/>
      <c r="B4851" s="441"/>
      <c r="C4851" s="194">
        <v>6</v>
      </c>
      <c r="D4851" s="80"/>
      <c r="E4851" s="97"/>
      <c r="F4851" s="97"/>
      <c r="G4851" s="97"/>
      <c r="H4851" s="97"/>
      <c r="I4851" s="97"/>
      <c r="J4851" s="97"/>
      <c r="K4851" s="97"/>
      <c r="L4851" s="195"/>
    </row>
    <row r="4852" spans="1:12" x14ac:dyDescent="0.45">
      <c r="A4852" s="462"/>
      <c r="B4852" s="441"/>
      <c r="C4852" s="194">
        <v>7</v>
      </c>
      <c r="D4852" s="80"/>
      <c r="E4852" s="97"/>
      <c r="F4852" s="97"/>
      <c r="G4852" s="97"/>
      <c r="H4852" s="97"/>
      <c r="I4852" s="97"/>
      <c r="J4852" s="97"/>
      <c r="K4852" s="97"/>
      <c r="L4852" s="195"/>
    </row>
    <row r="4853" spans="1:12" x14ac:dyDescent="0.45">
      <c r="A4853" s="462"/>
      <c r="B4853" s="441"/>
      <c r="C4853" s="194">
        <v>8</v>
      </c>
      <c r="D4853" s="80"/>
      <c r="E4853" s="97"/>
      <c r="F4853" s="97"/>
      <c r="G4853" s="97"/>
      <c r="H4853" s="97"/>
      <c r="I4853" s="97"/>
      <c r="J4853" s="97"/>
      <c r="K4853" s="97"/>
      <c r="L4853" s="195"/>
    </row>
    <row r="4854" spans="1:12" x14ac:dyDescent="0.45">
      <c r="A4854" s="462"/>
      <c r="B4854" s="441"/>
      <c r="C4854" s="194">
        <v>9</v>
      </c>
      <c r="D4854" s="80"/>
      <c r="E4854" s="97"/>
      <c r="F4854" s="97"/>
      <c r="G4854" s="97"/>
      <c r="H4854" s="97"/>
      <c r="I4854" s="97"/>
      <c r="J4854" s="97"/>
      <c r="K4854" s="97"/>
      <c r="L4854" s="195"/>
    </row>
    <row r="4855" spans="1:12" x14ac:dyDescent="0.45">
      <c r="A4855" s="462"/>
      <c r="B4855" s="441"/>
      <c r="C4855" s="194">
        <v>10</v>
      </c>
      <c r="D4855" s="80"/>
      <c r="E4855" s="97"/>
      <c r="F4855" s="97"/>
      <c r="G4855" s="97"/>
      <c r="H4855" s="97"/>
      <c r="I4855" s="97"/>
      <c r="J4855" s="97"/>
      <c r="K4855" s="97"/>
      <c r="L4855" s="195"/>
    </row>
    <row r="4856" spans="1:12" x14ac:dyDescent="0.45">
      <c r="A4856" s="462"/>
      <c r="B4856" s="441"/>
      <c r="C4856" s="194">
        <v>11</v>
      </c>
      <c r="D4856" s="81"/>
      <c r="E4856" s="98"/>
      <c r="F4856" s="98"/>
      <c r="G4856" s="98"/>
      <c r="H4856" s="98"/>
      <c r="I4856" s="98"/>
      <c r="J4856" s="98"/>
      <c r="K4856" s="98"/>
      <c r="L4856" s="196"/>
    </row>
    <row r="4857" spans="1:12" ht="14.65" thickBot="1" x14ac:dyDescent="0.5">
      <c r="A4857" s="462"/>
      <c r="B4857" s="442"/>
      <c r="C4857" s="197">
        <v>12</v>
      </c>
      <c r="D4857" s="82"/>
      <c r="E4857" s="99"/>
      <c r="F4857" s="99"/>
      <c r="G4857" s="99"/>
      <c r="H4857" s="99"/>
      <c r="I4857" s="99"/>
      <c r="J4857" s="99"/>
      <c r="K4857" s="99"/>
      <c r="L4857" s="198"/>
    </row>
    <row r="4858" spans="1:12" x14ac:dyDescent="0.45">
      <c r="A4858" s="462"/>
      <c r="B4858" s="440">
        <v>8</v>
      </c>
      <c r="C4858" s="192">
        <v>1</v>
      </c>
      <c r="D4858" s="79"/>
      <c r="E4858" s="96"/>
      <c r="F4858" s="96"/>
      <c r="G4858" s="96"/>
      <c r="H4858" s="96"/>
      <c r="I4858" s="96"/>
      <c r="J4858" s="96"/>
      <c r="K4858" s="96"/>
      <c r="L4858" s="193"/>
    </row>
    <row r="4859" spans="1:12" x14ac:dyDescent="0.45">
      <c r="A4859" s="462"/>
      <c r="B4859" s="441"/>
      <c r="C4859" s="194">
        <v>2</v>
      </c>
      <c r="D4859" s="80"/>
      <c r="E4859" s="97"/>
      <c r="F4859" s="97"/>
      <c r="G4859" s="97"/>
      <c r="H4859" s="97"/>
      <c r="I4859" s="97"/>
      <c r="J4859" s="97"/>
      <c r="K4859" s="97"/>
      <c r="L4859" s="195"/>
    </row>
    <row r="4860" spans="1:12" x14ac:dyDescent="0.45">
      <c r="A4860" s="462"/>
      <c r="B4860" s="441"/>
      <c r="C4860" s="194">
        <v>3</v>
      </c>
      <c r="D4860" s="80"/>
      <c r="E4860" s="97"/>
      <c r="F4860" s="97"/>
      <c r="G4860" s="97"/>
      <c r="H4860" s="97"/>
      <c r="I4860" s="97"/>
      <c r="J4860" s="97"/>
      <c r="K4860" s="97"/>
      <c r="L4860" s="195"/>
    </row>
    <row r="4861" spans="1:12" x14ac:dyDescent="0.45">
      <c r="A4861" s="462"/>
      <c r="B4861" s="441"/>
      <c r="C4861" s="194">
        <v>4</v>
      </c>
      <c r="D4861" s="80"/>
      <c r="E4861" s="97"/>
      <c r="F4861" s="97"/>
      <c r="G4861" s="97"/>
      <c r="H4861" s="97"/>
      <c r="I4861" s="97"/>
      <c r="J4861" s="97"/>
      <c r="K4861" s="97"/>
      <c r="L4861" s="195"/>
    </row>
    <row r="4862" spans="1:12" x14ac:dyDescent="0.45">
      <c r="A4862" s="462"/>
      <c r="B4862" s="441"/>
      <c r="C4862" s="194">
        <v>5</v>
      </c>
      <c r="D4862" s="80"/>
      <c r="E4862" s="97"/>
      <c r="F4862" s="97"/>
      <c r="G4862" s="97"/>
      <c r="H4862" s="97"/>
      <c r="I4862" s="97"/>
      <c r="J4862" s="97"/>
      <c r="K4862" s="97"/>
      <c r="L4862" s="195"/>
    </row>
    <row r="4863" spans="1:12" x14ac:dyDescent="0.45">
      <c r="A4863" s="462"/>
      <c r="B4863" s="441"/>
      <c r="C4863" s="194">
        <v>6</v>
      </c>
      <c r="D4863" s="80"/>
      <c r="E4863" s="97"/>
      <c r="F4863" s="97"/>
      <c r="G4863" s="97"/>
      <c r="H4863" s="97"/>
      <c r="I4863" s="97"/>
      <c r="J4863" s="97"/>
      <c r="K4863" s="97"/>
      <c r="L4863" s="195"/>
    </row>
    <row r="4864" spans="1:12" x14ac:dyDescent="0.45">
      <c r="A4864" s="462"/>
      <c r="B4864" s="441"/>
      <c r="C4864" s="194">
        <v>7</v>
      </c>
      <c r="D4864" s="80"/>
      <c r="E4864" s="97"/>
      <c r="F4864" s="97"/>
      <c r="G4864" s="97"/>
      <c r="H4864" s="97"/>
      <c r="I4864" s="97"/>
      <c r="J4864" s="97"/>
      <c r="K4864" s="97"/>
      <c r="L4864" s="195"/>
    </row>
    <row r="4865" spans="1:12" x14ac:dyDescent="0.45">
      <c r="A4865" s="462"/>
      <c r="B4865" s="441"/>
      <c r="C4865" s="194">
        <v>8</v>
      </c>
      <c r="D4865" s="80"/>
      <c r="E4865" s="97"/>
      <c r="F4865" s="97"/>
      <c r="G4865" s="97"/>
      <c r="H4865" s="97"/>
      <c r="I4865" s="97"/>
      <c r="J4865" s="97"/>
      <c r="K4865" s="97"/>
      <c r="L4865" s="195"/>
    </row>
    <row r="4866" spans="1:12" x14ac:dyDescent="0.45">
      <c r="A4866" s="462"/>
      <c r="B4866" s="441"/>
      <c r="C4866" s="194">
        <v>9</v>
      </c>
      <c r="D4866" s="80"/>
      <c r="E4866" s="97"/>
      <c r="F4866" s="97"/>
      <c r="G4866" s="97"/>
      <c r="H4866" s="97"/>
      <c r="I4866" s="97"/>
      <c r="J4866" s="97"/>
      <c r="K4866" s="97"/>
      <c r="L4866" s="195"/>
    </row>
    <row r="4867" spans="1:12" x14ac:dyDescent="0.45">
      <c r="A4867" s="462"/>
      <c r="B4867" s="441"/>
      <c r="C4867" s="194">
        <v>10</v>
      </c>
      <c r="D4867" s="80"/>
      <c r="E4867" s="97"/>
      <c r="F4867" s="97"/>
      <c r="G4867" s="97"/>
      <c r="H4867" s="97"/>
      <c r="I4867" s="97"/>
      <c r="J4867" s="97"/>
      <c r="K4867" s="97"/>
      <c r="L4867" s="195"/>
    </row>
    <row r="4868" spans="1:12" x14ac:dyDescent="0.45">
      <c r="A4868" s="462"/>
      <c r="B4868" s="441"/>
      <c r="C4868" s="194">
        <v>11</v>
      </c>
      <c r="D4868" s="81"/>
      <c r="E4868" s="98"/>
      <c r="F4868" s="98"/>
      <c r="G4868" s="98"/>
      <c r="H4868" s="98"/>
      <c r="I4868" s="98"/>
      <c r="J4868" s="98"/>
      <c r="K4868" s="98"/>
      <c r="L4868" s="196"/>
    </row>
    <row r="4869" spans="1:12" ht="14.65" thickBot="1" x14ac:dyDescent="0.5">
      <c r="A4869" s="463"/>
      <c r="B4869" s="442"/>
      <c r="C4869" s="197">
        <v>12</v>
      </c>
      <c r="D4869" s="82"/>
      <c r="E4869" s="99"/>
      <c r="F4869" s="99"/>
      <c r="G4869" s="99"/>
      <c r="H4869" s="99"/>
      <c r="I4869" s="99"/>
      <c r="J4869" s="99"/>
      <c r="K4869" s="99"/>
      <c r="L4869" s="198"/>
    </row>
    <row r="4870" spans="1:12" x14ac:dyDescent="0.45">
      <c r="A4870" s="461">
        <v>3</v>
      </c>
      <c r="B4870" s="440">
        <v>9</v>
      </c>
      <c r="C4870" s="192">
        <v>1</v>
      </c>
      <c r="D4870" s="79"/>
      <c r="E4870" s="96"/>
      <c r="F4870" s="96"/>
      <c r="G4870" s="96"/>
      <c r="H4870" s="96"/>
      <c r="I4870" s="96"/>
      <c r="J4870" s="96"/>
      <c r="K4870" s="96"/>
      <c r="L4870" s="193"/>
    </row>
    <row r="4871" spans="1:12" x14ac:dyDescent="0.45">
      <c r="A4871" s="462"/>
      <c r="B4871" s="441"/>
      <c r="C4871" s="194">
        <v>2</v>
      </c>
      <c r="D4871" s="80"/>
      <c r="E4871" s="97"/>
      <c r="F4871" s="97"/>
      <c r="G4871" s="97"/>
      <c r="H4871" s="97"/>
      <c r="I4871" s="97"/>
      <c r="J4871" s="97"/>
      <c r="K4871" s="97"/>
      <c r="L4871" s="195"/>
    </row>
    <row r="4872" spans="1:12" x14ac:dyDescent="0.45">
      <c r="A4872" s="462"/>
      <c r="B4872" s="441"/>
      <c r="C4872" s="194">
        <v>3</v>
      </c>
      <c r="D4872" s="80"/>
      <c r="E4872" s="97"/>
      <c r="F4872" s="97"/>
      <c r="G4872" s="97"/>
      <c r="H4872" s="97"/>
      <c r="I4872" s="97"/>
      <c r="J4872" s="97"/>
      <c r="K4872" s="97"/>
      <c r="L4872" s="195"/>
    </row>
    <row r="4873" spans="1:12" x14ac:dyDescent="0.45">
      <c r="A4873" s="462"/>
      <c r="B4873" s="441"/>
      <c r="C4873" s="194">
        <v>4</v>
      </c>
      <c r="D4873" s="80"/>
      <c r="E4873" s="97"/>
      <c r="F4873" s="97"/>
      <c r="G4873" s="97"/>
      <c r="H4873" s="97"/>
      <c r="I4873" s="97"/>
      <c r="J4873" s="97"/>
      <c r="K4873" s="97"/>
      <c r="L4873" s="195"/>
    </row>
    <row r="4874" spans="1:12" x14ac:dyDescent="0.45">
      <c r="A4874" s="462"/>
      <c r="B4874" s="441"/>
      <c r="C4874" s="194">
        <v>5</v>
      </c>
      <c r="D4874" s="80"/>
      <c r="E4874" s="97"/>
      <c r="F4874" s="97"/>
      <c r="G4874" s="97"/>
      <c r="H4874" s="97"/>
      <c r="I4874" s="97"/>
      <c r="J4874" s="97"/>
      <c r="K4874" s="97"/>
      <c r="L4874" s="195"/>
    </row>
    <row r="4875" spans="1:12" x14ac:dyDescent="0.45">
      <c r="A4875" s="462"/>
      <c r="B4875" s="441"/>
      <c r="C4875" s="194">
        <v>6</v>
      </c>
      <c r="D4875" s="80"/>
      <c r="E4875" s="97"/>
      <c r="F4875" s="97"/>
      <c r="G4875" s="97"/>
      <c r="H4875" s="97"/>
      <c r="I4875" s="97"/>
      <c r="J4875" s="97"/>
      <c r="K4875" s="97"/>
      <c r="L4875" s="195"/>
    </row>
    <row r="4876" spans="1:12" x14ac:dyDescent="0.45">
      <c r="A4876" s="462"/>
      <c r="B4876" s="441"/>
      <c r="C4876" s="194">
        <v>7</v>
      </c>
      <c r="D4876" s="80"/>
      <c r="E4876" s="97"/>
      <c r="F4876" s="97"/>
      <c r="G4876" s="97"/>
      <c r="H4876" s="97"/>
      <c r="I4876" s="97"/>
      <c r="J4876" s="97"/>
      <c r="K4876" s="97"/>
      <c r="L4876" s="195"/>
    </row>
    <row r="4877" spans="1:12" x14ac:dyDescent="0.45">
      <c r="A4877" s="462"/>
      <c r="B4877" s="441"/>
      <c r="C4877" s="194">
        <v>8</v>
      </c>
      <c r="D4877" s="80"/>
      <c r="E4877" s="97"/>
      <c r="F4877" s="97"/>
      <c r="G4877" s="97"/>
      <c r="H4877" s="97"/>
      <c r="I4877" s="97"/>
      <c r="J4877" s="97"/>
      <c r="K4877" s="97"/>
      <c r="L4877" s="195"/>
    </row>
    <row r="4878" spans="1:12" x14ac:dyDescent="0.45">
      <c r="A4878" s="462"/>
      <c r="B4878" s="441"/>
      <c r="C4878" s="194">
        <v>9</v>
      </c>
      <c r="D4878" s="80"/>
      <c r="E4878" s="97"/>
      <c r="F4878" s="97"/>
      <c r="G4878" s="97"/>
      <c r="H4878" s="97"/>
      <c r="I4878" s="97"/>
      <c r="J4878" s="97"/>
      <c r="K4878" s="97"/>
      <c r="L4878" s="195"/>
    </row>
    <row r="4879" spans="1:12" x14ac:dyDescent="0.45">
      <c r="A4879" s="462"/>
      <c r="B4879" s="441"/>
      <c r="C4879" s="194">
        <v>10</v>
      </c>
      <c r="D4879" s="80"/>
      <c r="E4879" s="97"/>
      <c r="F4879" s="97"/>
      <c r="G4879" s="97"/>
      <c r="H4879" s="97"/>
      <c r="I4879" s="97"/>
      <c r="J4879" s="97"/>
      <c r="K4879" s="97"/>
      <c r="L4879" s="195"/>
    </row>
    <row r="4880" spans="1:12" x14ac:dyDescent="0.45">
      <c r="A4880" s="462"/>
      <c r="B4880" s="441"/>
      <c r="C4880" s="194">
        <v>11</v>
      </c>
      <c r="D4880" s="81"/>
      <c r="E4880" s="98"/>
      <c r="F4880" s="98"/>
      <c r="G4880" s="98"/>
      <c r="H4880" s="98"/>
      <c r="I4880" s="98"/>
      <c r="J4880" s="98"/>
      <c r="K4880" s="98"/>
      <c r="L4880" s="196"/>
    </row>
    <row r="4881" spans="1:12" ht="14.65" thickBot="1" x14ac:dyDescent="0.5">
      <c r="A4881" s="462"/>
      <c r="B4881" s="442"/>
      <c r="C4881" s="197">
        <v>12</v>
      </c>
      <c r="D4881" s="82"/>
      <c r="E4881" s="99"/>
      <c r="F4881" s="99"/>
      <c r="G4881" s="99"/>
      <c r="H4881" s="99"/>
      <c r="I4881" s="99"/>
      <c r="J4881" s="99"/>
      <c r="K4881" s="99"/>
      <c r="L4881" s="198"/>
    </row>
    <row r="4882" spans="1:12" x14ac:dyDescent="0.45">
      <c r="A4882" s="462"/>
      <c r="B4882" s="440">
        <v>10</v>
      </c>
      <c r="C4882" s="192">
        <v>1</v>
      </c>
      <c r="D4882" s="79"/>
      <c r="E4882" s="96"/>
      <c r="F4882" s="96"/>
      <c r="G4882" s="96"/>
      <c r="H4882" s="96"/>
      <c r="I4882" s="96"/>
      <c r="J4882" s="96"/>
      <c r="K4882" s="96"/>
      <c r="L4882" s="193"/>
    </row>
    <row r="4883" spans="1:12" x14ac:dyDescent="0.45">
      <c r="A4883" s="462"/>
      <c r="B4883" s="441"/>
      <c r="C4883" s="194">
        <v>2</v>
      </c>
      <c r="D4883" s="80"/>
      <c r="E4883" s="97"/>
      <c r="F4883" s="97"/>
      <c r="G4883" s="97"/>
      <c r="H4883" s="97"/>
      <c r="I4883" s="97"/>
      <c r="J4883" s="97"/>
      <c r="K4883" s="97"/>
      <c r="L4883" s="195"/>
    </row>
    <row r="4884" spans="1:12" x14ac:dyDescent="0.45">
      <c r="A4884" s="462"/>
      <c r="B4884" s="441"/>
      <c r="C4884" s="194">
        <v>3</v>
      </c>
      <c r="D4884" s="80"/>
      <c r="E4884" s="97"/>
      <c r="F4884" s="97"/>
      <c r="G4884" s="97"/>
      <c r="H4884" s="97"/>
      <c r="I4884" s="97"/>
      <c r="J4884" s="97"/>
      <c r="K4884" s="97"/>
      <c r="L4884" s="195"/>
    </row>
    <row r="4885" spans="1:12" x14ac:dyDescent="0.45">
      <c r="A4885" s="462"/>
      <c r="B4885" s="441"/>
      <c r="C4885" s="194">
        <v>4</v>
      </c>
      <c r="D4885" s="80"/>
      <c r="E4885" s="97"/>
      <c r="F4885" s="97"/>
      <c r="G4885" s="97"/>
      <c r="H4885" s="97"/>
      <c r="I4885" s="97"/>
      <c r="J4885" s="97"/>
      <c r="K4885" s="97"/>
      <c r="L4885" s="195"/>
    </row>
    <row r="4886" spans="1:12" x14ac:dyDescent="0.45">
      <c r="A4886" s="462"/>
      <c r="B4886" s="441"/>
      <c r="C4886" s="194">
        <v>5</v>
      </c>
      <c r="D4886" s="80"/>
      <c r="E4886" s="97"/>
      <c r="F4886" s="97"/>
      <c r="G4886" s="97"/>
      <c r="H4886" s="97"/>
      <c r="I4886" s="97"/>
      <c r="J4886" s="97"/>
      <c r="K4886" s="97"/>
      <c r="L4886" s="195"/>
    </row>
    <row r="4887" spans="1:12" x14ac:dyDescent="0.45">
      <c r="A4887" s="462"/>
      <c r="B4887" s="441"/>
      <c r="C4887" s="194">
        <v>6</v>
      </c>
      <c r="D4887" s="80"/>
      <c r="E4887" s="97"/>
      <c r="F4887" s="97"/>
      <c r="G4887" s="97"/>
      <c r="H4887" s="97"/>
      <c r="I4887" s="97"/>
      <c r="J4887" s="97"/>
      <c r="K4887" s="97"/>
      <c r="L4887" s="195"/>
    </row>
    <row r="4888" spans="1:12" x14ac:dyDescent="0.45">
      <c r="A4888" s="462"/>
      <c r="B4888" s="441"/>
      <c r="C4888" s="194">
        <v>7</v>
      </c>
      <c r="D4888" s="80"/>
      <c r="E4888" s="97"/>
      <c r="F4888" s="97"/>
      <c r="G4888" s="97"/>
      <c r="H4888" s="97"/>
      <c r="I4888" s="97"/>
      <c r="J4888" s="97"/>
      <c r="K4888" s="97"/>
      <c r="L4888" s="195"/>
    </row>
    <row r="4889" spans="1:12" x14ac:dyDescent="0.45">
      <c r="A4889" s="462"/>
      <c r="B4889" s="441"/>
      <c r="C4889" s="194">
        <v>8</v>
      </c>
      <c r="D4889" s="80"/>
      <c r="E4889" s="97"/>
      <c r="F4889" s="97"/>
      <c r="G4889" s="97"/>
      <c r="H4889" s="97"/>
      <c r="I4889" s="97"/>
      <c r="J4889" s="97"/>
      <c r="K4889" s="97"/>
      <c r="L4889" s="195"/>
    </row>
    <row r="4890" spans="1:12" x14ac:dyDescent="0.45">
      <c r="A4890" s="462"/>
      <c r="B4890" s="441"/>
      <c r="C4890" s="194">
        <v>9</v>
      </c>
      <c r="D4890" s="80"/>
      <c r="E4890" s="97"/>
      <c r="F4890" s="97"/>
      <c r="G4890" s="97"/>
      <c r="H4890" s="97"/>
      <c r="I4890" s="97"/>
      <c r="J4890" s="97"/>
      <c r="K4890" s="97"/>
      <c r="L4890" s="195"/>
    </row>
    <row r="4891" spans="1:12" x14ac:dyDescent="0.45">
      <c r="A4891" s="462"/>
      <c r="B4891" s="441"/>
      <c r="C4891" s="194">
        <v>10</v>
      </c>
      <c r="D4891" s="80"/>
      <c r="E4891" s="97"/>
      <c r="F4891" s="97"/>
      <c r="G4891" s="97"/>
      <c r="H4891" s="97"/>
      <c r="I4891" s="97"/>
      <c r="J4891" s="97"/>
      <c r="K4891" s="97"/>
      <c r="L4891" s="195"/>
    </row>
    <row r="4892" spans="1:12" x14ac:dyDescent="0.45">
      <c r="A4892" s="462"/>
      <c r="B4892" s="441"/>
      <c r="C4892" s="194">
        <v>11</v>
      </c>
      <c r="D4892" s="81"/>
      <c r="E4892" s="98"/>
      <c r="F4892" s="98"/>
      <c r="G4892" s="98"/>
      <c r="H4892" s="98"/>
      <c r="I4892" s="98"/>
      <c r="J4892" s="98"/>
      <c r="K4892" s="98"/>
      <c r="L4892" s="196"/>
    </row>
    <row r="4893" spans="1:12" ht="14.65" thickBot="1" x14ac:dyDescent="0.5">
      <c r="A4893" s="462"/>
      <c r="B4893" s="442"/>
      <c r="C4893" s="197">
        <v>12</v>
      </c>
      <c r="D4893" s="82"/>
      <c r="E4893" s="99"/>
      <c r="F4893" s="99"/>
      <c r="G4893" s="99"/>
      <c r="H4893" s="99"/>
      <c r="I4893" s="99"/>
      <c r="J4893" s="99"/>
      <c r="K4893" s="99"/>
      <c r="L4893" s="198"/>
    </row>
    <row r="4894" spans="1:12" x14ac:dyDescent="0.45">
      <c r="A4894" s="462"/>
      <c r="B4894" s="440">
        <v>11</v>
      </c>
      <c r="C4894" s="192">
        <v>1</v>
      </c>
      <c r="D4894" s="79"/>
      <c r="E4894" s="96"/>
      <c r="F4894" s="96"/>
      <c r="G4894" s="96"/>
      <c r="H4894" s="96"/>
      <c r="I4894" s="96"/>
      <c r="J4894" s="96"/>
      <c r="K4894" s="96"/>
      <c r="L4894" s="193"/>
    </row>
    <row r="4895" spans="1:12" x14ac:dyDescent="0.45">
      <c r="A4895" s="462"/>
      <c r="B4895" s="441"/>
      <c r="C4895" s="194">
        <v>2</v>
      </c>
      <c r="D4895" s="80"/>
      <c r="E4895" s="97"/>
      <c r="F4895" s="97"/>
      <c r="G4895" s="97"/>
      <c r="H4895" s="97"/>
      <c r="I4895" s="97"/>
      <c r="J4895" s="97"/>
      <c r="K4895" s="97"/>
      <c r="L4895" s="195"/>
    </row>
    <row r="4896" spans="1:12" x14ac:dyDescent="0.45">
      <c r="A4896" s="462"/>
      <c r="B4896" s="441"/>
      <c r="C4896" s="194">
        <v>3</v>
      </c>
      <c r="D4896" s="80"/>
      <c r="E4896" s="97"/>
      <c r="F4896" s="97"/>
      <c r="G4896" s="97"/>
      <c r="H4896" s="97"/>
      <c r="I4896" s="97"/>
      <c r="J4896" s="97"/>
      <c r="K4896" s="97"/>
      <c r="L4896" s="195"/>
    </row>
    <row r="4897" spans="1:12" x14ac:dyDescent="0.45">
      <c r="A4897" s="462"/>
      <c r="B4897" s="441"/>
      <c r="C4897" s="194">
        <v>4</v>
      </c>
      <c r="D4897" s="80"/>
      <c r="E4897" s="97"/>
      <c r="F4897" s="97"/>
      <c r="G4897" s="97"/>
      <c r="H4897" s="97"/>
      <c r="I4897" s="97"/>
      <c r="J4897" s="97"/>
      <c r="K4897" s="97"/>
      <c r="L4897" s="195"/>
    </row>
    <row r="4898" spans="1:12" x14ac:dyDescent="0.45">
      <c r="A4898" s="462"/>
      <c r="B4898" s="441"/>
      <c r="C4898" s="194">
        <v>5</v>
      </c>
      <c r="D4898" s="80"/>
      <c r="E4898" s="97"/>
      <c r="F4898" s="97"/>
      <c r="G4898" s="97"/>
      <c r="H4898" s="97"/>
      <c r="I4898" s="97"/>
      <c r="J4898" s="97"/>
      <c r="K4898" s="97"/>
      <c r="L4898" s="195"/>
    </row>
    <row r="4899" spans="1:12" x14ac:dyDescent="0.45">
      <c r="A4899" s="462"/>
      <c r="B4899" s="441"/>
      <c r="C4899" s="194">
        <v>6</v>
      </c>
      <c r="D4899" s="80"/>
      <c r="E4899" s="97"/>
      <c r="F4899" s="97"/>
      <c r="G4899" s="97"/>
      <c r="H4899" s="97"/>
      <c r="I4899" s="97"/>
      <c r="J4899" s="97"/>
      <c r="K4899" s="97"/>
      <c r="L4899" s="195"/>
    </row>
    <row r="4900" spans="1:12" x14ac:dyDescent="0.45">
      <c r="A4900" s="462"/>
      <c r="B4900" s="441"/>
      <c r="C4900" s="194">
        <v>7</v>
      </c>
      <c r="D4900" s="80"/>
      <c r="E4900" s="97"/>
      <c r="F4900" s="97"/>
      <c r="G4900" s="97"/>
      <c r="H4900" s="97"/>
      <c r="I4900" s="97"/>
      <c r="J4900" s="97"/>
      <c r="K4900" s="97"/>
      <c r="L4900" s="195"/>
    </row>
    <row r="4901" spans="1:12" x14ac:dyDescent="0.45">
      <c r="A4901" s="462"/>
      <c r="B4901" s="441"/>
      <c r="C4901" s="194">
        <v>8</v>
      </c>
      <c r="D4901" s="80"/>
      <c r="E4901" s="97"/>
      <c r="F4901" s="97"/>
      <c r="G4901" s="97"/>
      <c r="H4901" s="97"/>
      <c r="I4901" s="97"/>
      <c r="J4901" s="97"/>
      <c r="K4901" s="97"/>
      <c r="L4901" s="195"/>
    </row>
    <row r="4902" spans="1:12" x14ac:dyDescent="0.45">
      <c r="A4902" s="462"/>
      <c r="B4902" s="441"/>
      <c r="C4902" s="194">
        <v>9</v>
      </c>
      <c r="D4902" s="80"/>
      <c r="E4902" s="97"/>
      <c r="F4902" s="97"/>
      <c r="G4902" s="97"/>
      <c r="H4902" s="97"/>
      <c r="I4902" s="97"/>
      <c r="J4902" s="97"/>
      <c r="K4902" s="97"/>
      <c r="L4902" s="195"/>
    </row>
    <row r="4903" spans="1:12" x14ac:dyDescent="0.45">
      <c r="A4903" s="462"/>
      <c r="B4903" s="441"/>
      <c r="C4903" s="194">
        <v>10</v>
      </c>
      <c r="D4903" s="80"/>
      <c r="E4903" s="97"/>
      <c r="F4903" s="97"/>
      <c r="G4903" s="97"/>
      <c r="H4903" s="97"/>
      <c r="I4903" s="97"/>
      <c r="J4903" s="97"/>
      <c r="K4903" s="97"/>
      <c r="L4903" s="195"/>
    </row>
    <row r="4904" spans="1:12" x14ac:dyDescent="0.45">
      <c r="A4904" s="462"/>
      <c r="B4904" s="441"/>
      <c r="C4904" s="194">
        <v>11</v>
      </c>
      <c r="D4904" s="81"/>
      <c r="E4904" s="98"/>
      <c r="F4904" s="98"/>
      <c r="G4904" s="98"/>
      <c r="H4904" s="98"/>
      <c r="I4904" s="98"/>
      <c r="J4904" s="98"/>
      <c r="K4904" s="98"/>
      <c r="L4904" s="196"/>
    </row>
    <row r="4905" spans="1:12" ht="14.65" thickBot="1" x14ac:dyDescent="0.5">
      <c r="A4905" s="462"/>
      <c r="B4905" s="442"/>
      <c r="C4905" s="197">
        <v>12</v>
      </c>
      <c r="D4905" s="82"/>
      <c r="E4905" s="99"/>
      <c r="F4905" s="99"/>
      <c r="G4905" s="99"/>
      <c r="H4905" s="99"/>
      <c r="I4905" s="99"/>
      <c r="J4905" s="99"/>
      <c r="K4905" s="99"/>
      <c r="L4905" s="198"/>
    </row>
    <row r="4906" spans="1:12" x14ac:dyDescent="0.45">
      <c r="A4906" s="462"/>
      <c r="B4906" s="440">
        <v>12</v>
      </c>
      <c r="C4906" s="192">
        <v>1</v>
      </c>
      <c r="D4906" s="79"/>
      <c r="E4906" s="96"/>
      <c r="F4906" s="96"/>
      <c r="G4906" s="96"/>
      <c r="H4906" s="96"/>
      <c r="I4906" s="96"/>
      <c r="J4906" s="96"/>
      <c r="K4906" s="96"/>
      <c r="L4906" s="193"/>
    </row>
    <row r="4907" spans="1:12" x14ac:dyDescent="0.45">
      <c r="A4907" s="462"/>
      <c r="B4907" s="441"/>
      <c r="C4907" s="194">
        <v>2</v>
      </c>
      <c r="D4907" s="80"/>
      <c r="E4907" s="97"/>
      <c r="F4907" s="97"/>
      <c r="G4907" s="97"/>
      <c r="H4907" s="97"/>
      <c r="I4907" s="97"/>
      <c r="J4907" s="97"/>
      <c r="K4907" s="97"/>
      <c r="L4907" s="195"/>
    </row>
    <row r="4908" spans="1:12" x14ac:dyDescent="0.45">
      <c r="A4908" s="462"/>
      <c r="B4908" s="441"/>
      <c r="C4908" s="194">
        <v>3</v>
      </c>
      <c r="D4908" s="80"/>
      <c r="E4908" s="97"/>
      <c r="F4908" s="97"/>
      <c r="G4908" s="97"/>
      <c r="H4908" s="97"/>
      <c r="I4908" s="97"/>
      <c r="J4908" s="97"/>
      <c r="K4908" s="97"/>
      <c r="L4908" s="195"/>
    </row>
    <row r="4909" spans="1:12" x14ac:dyDescent="0.45">
      <c r="A4909" s="462"/>
      <c r="B4909" s="441"/>
      <c r="C4909" s="194">
        <v>4</v>
      </c>
      <c r="D4909" s="80"/>
      <c r="E4909" s="97"/>
      <c r="F4909" s="97"/>
      <c r="G4909" s="97"/>
      <c r="H4909" s="97"/>
      <c r="I4909" s="97"/>
      <c r="J4909" s="97"/>
      <c r="K4909" s="97"/>
      <c r="L4909" s="195"/>
    </row>
    <row r="4910" spans="1:12" x14ac:dyDescent="0.45">
      <c r="A4910" s="462"/>
      <c r="B4910" s="441"/>
      <c r="C4910" s="194">
        <v>5</v>
      </c>
      <c r="D4910" s="80"/>
      <c r="E4910" s="97"/>
      <c r="F4910" s="97"/>
      <c r="G4910" s="97"/>
      <c r="H4910" s="97"/>
      <c r="I4910" s="97"/>
      <c r="J4910" s="97"/>
      <c r="K4910" s="97"/>
      <c r="L4910" s="195"/>
    </row>
    <row r="4911" spans="1:12" x14ac:dyDescent="0.45">
      <c r="A4911" s="462"/>
      <c r="B4911" s="441"/>
      <c r="C4911" s="194">
        <v>6</v>
      </c>
      <c r="D4911" s="80"/>
      <c r="E4911" s="97"/>
      <c r="F4911" s="97"/>
      <c r="G4911" s="97"/>
      <c r="H4911" s="97"/>
      <c r="I4911" s="97"/>
      <c r="J4911" s="97"/>
      <c r="K4911" s="97"/>
      <c r="L4911" s="195"/>
    </row>
    <row r="4912" spans="1:12" x14ac:dyDescent="0.45">
      <c r="A4912" s="462"/>
      <c r="B4912" s="441"/>
      <c r="C4912" s="194">
        <v>7</v>
      </c>
      <c r="D4912" s="80"/>
      <c r="E4912" s="97"/>
      <c r="F4912" s="97"/>
      <c r="G4912" s="97"/>
      <c r="H4912" s="97"/>
      <c r="I4912" s="97"/>
      <c r="J4912" s="97"/>
      <c r="K4912" s="97"/>
      <c r="L4912" s="195"/>
    </row>
    <row r="4913" spans="1:12" x14ac:dyDescent="0.45">
      <c r="A4913" s="462"/>
      <c r="B4913" s="441"/>
      <c r="C4913" s="194">
        <v>8</v>
      </c>
      <c r="D4913" s="80"/>
      <c r="E4913" s="97"/>
      <c r="F4913" s="97"/>
      <c r="G4913" s="97"/>
      <c r="H4913" s="97"/>
      <c r="I4913" s="97"/>
      <c r="J4913" s="97"/>
      <c r="K4913" s="97"/>
      <c r="L4913" s="195"/>
    </row>
    <row r="4914" spans="1:12" x14ac:dyDescent="0.45">
      <c r="A4914" s="462"/>
      <c r="B4914" s="441"/>
      <c r="C4914" s="194">
        <v>9</v>
      </c>
      <c r="D4914" s="80"/>
      <c r="E4914" s="97"/>
      <c r="F4914" s="97"/>
      <c r="G4914" s="97"/>
      <c r="H4914" s="97"/>
      <c r="I4914" s="97"/>
      <c r="J4914" s="97"/>
      <c r="K4914" s="97"/>
      <c r="L4914" s="195"/>
    </row>
    <row r="4915" spans="1:12" x14ac:dyDescent="0.45">
      <c r="A4915" s="462"/>
      <c r="B4915" s="441"/>
      <c r="C4915" s="194">
        <v>10</v>
      </c>
      <c r="D4915" s="80"/>
      <c r="E4915" s="97"/>
      <c r="F4915" s="97"/>
      <c r="G4915" s="97"/>
      <c r="H4915" s="97"/>
      <c r="I4915" s="97"/>
      <c r="J4915" s="97"/>
      <c r="K4915" s="97"/>
      <c r="L4915" s="195"/>
    </row>
    <row r="4916" spans="1:12" x14ac:dyDescent="0.45">
      <c r="A4916" s="462"/>
      <c r="B4916" s="441"/>
      <c r="C4916" s="194">
        <v>11</v>
      </c>
      <c r="D4916" s="81"/>
      <c r="E4916" s="98"/>
      <c r="F4916" s="98"/>
      <c r="G4916" s="98"/>
      <c r="H4916" s="98"/>
      <c r="I4916" s="98"/>
      <c r="J4916" s="98"/>
      <c r="K4916" s="98"/>
      <c r="L4916" s="196"/>
    </row>
    <row r="4917" spans="1:12" ht="14.65" thickBot="1" x14ac:dyDescent="0.5">
      <c r="A4917" s="463"/>
      <c r="B4917" s="442"/>
      <c r="C4917" s="199">
        <v>12</v>
      </c>
      <c r="D4917" s="82"/>
      <c r="E4917" s="99"/>
      <c r="F4917" s="99"/>
      <c r="G4917" s="99"/>
      <c r="H4917" s="99"/>
      <c r="I4917" s="99"/>
      <c r="J4917" s="99"/>
      <c r="K4917" s="99"/>
      <c r="L4917" s="198"/>
    </row>
    <row r="4919" spans="1:12" s="91" customFormat="1" x14ac:dyDescent="0.45"/>
    <row r="4920" spans="1:12" ht="14.65" thickBot="1" x14ac:dyDescent="0.5"/>
    <row r="4921" spans="1:12" ht="28.9" thickBot="1" x14ac:dyDescent="0.5">
      <c r="A4921" s="187" t="s">
        <v>76</v>
      </c>
      <c r="B4921" s="186">
        <v>32</v>
      </c>
      <c r="C4921" s="109"/>
      <c r="D4921" s="109"/>
    </row>
    <row r="4922" spans="1:12" x14ac:dyDescent="0.45">
      <c r="A4922" s="443" t="s">
        <v>27</v>
      </c>
      <c r="B4922" s="448">
        <f>Name32</f>
        <v>0</v>
      </c>
      <c r="C4922" s="449"/>
      <c r="D4922" s="450"/>
      <c r="I4922" s="204"/>
      <c r="J4922" s="204"/>
      <c r="K4922" s="204"/>
      <c r="L4922" s="204"/>
    </row>
    <row r="4923" spans="1:12" x14ac:dyDescent="0.45">
      <c r="A4923" s="444"/>
      <c r="B4923" s="448"/>
      <c r="C4923" s="449"/>
      <c r="D4923" s="450"/>
      <c r="I4923" s="204"/>
      <c r="J4923" s="204"/>
      <c r="K4923" s="204"/>
      <c r="L4923" s="204"/>
    </row>
    <row r="4924" spans="1:12" x14ac:dyDescent="0.45">
      <c r="A4924" s="445"/>
      <c r="B4924" s="388"/>
      <c r="C4924" s="451"/>
      <c r="D4924" s="452"/>
      <c r="I4924" s="204"/>
      <c r="J4924" s="204"/>
      <c r="K4924" s="204"/>
      <c r="L4924" s="204"/>
    </row>
    <row r="4925" spans="1:12" ht="14.45" customHeight="1" x14ac:dyDescent="0.45">
      <c r="A4925" s="444" t="s">
        <v>155</v>
      </c>
      <c r="B4925" s="453">
        <f>GapA32</f>
        <v>0</v>
      </c>
      <c r="C4925" s="454"/>
      <c r="D4925" s="455"/>
      <c r="I4925" s="204"/>
      <c r="J4925" s="204"/>
      <c r="K4925" s="204"/>
      <c r="L4925" s="204"/>
    </row>
    <row r="4926" spans="1:12" x14ac:dyDescent="0.45">
      <c r="A4926" s="444"/>
      <c r="B4926" s="448"/>
      <c r="C4926" s="449"/>
      <c r="D4926" s="450"/>
      <c r="I4926" s="204"/>
      <c r="J4926" s="204"/>
      <c r="K4926" s="204"/>
      <c r="L4926" s="204"/>
    </row>
    <row r="4927" spans="1:12" x14ac:dyDescent="0.45">
      <c r="A4927" s="445"/>
      <c r="B4927" s="388"/>
      <c r="C4927" s="451"/>
      <c r="D4927" s="452"/>
      <c r="I4927" s="204"/>
      <c r="J4927" s="204"/>
      <c r="K4927" s="204"/>
      <c r="L4927" s="204"/>
    </row>
    <row r="4928" spans="1:12" x14ac:dyDescent="0.45">
      <c r="A4928" s="444" t="s">
        <v>159</v>
      </c>
      <c r="B4928" s="453">
        <f>Objective32</f>
        <v>0</v>
      </c>
      <c r="C4928" s="454"/>
      <c r="D4928" s="455"/>
      <c r="I4928" s="204"/>
      <c r="J4928" s="204"/>
      <c r="K4928" s="204"/>
      <c r="L4928" s="204"/>
    </row>
    <row r="4929" spans="1:14" x14ac:dyDescent="0.45">
      <c r="A4929" s="444"/>
      <c r="B4929" s="448"/>
      <c r="C4929" s="449"/>
      <c r="D4929" s="450"/>
      <c r="I4929" s="204"/>
      <c r="J4929" s="204"/>
      <c r="K4929" s="204"/>
      <c r="L4929" s="204"/>
    </row>
    <row r="4930" spans="1:14" x14ac:dyDescent="0.45">
      <c r="A4930" s="445"/>
      <c r="B4930" s="388"/>
      <c r="C4930" s="451"/>
      <c r="D4930" s="452"/>
      <c r="I4930" s="204"/>
      <c r="J4930" s="204"/>
      <c r="K4930" s="204"/>
      <c r="L4930" s="204"/>
    </row>
    <row r="4931" spans="1:14" ht="14.45" customHeight="1" x14ac:dyDescent="0.45">
      <c r="A4931" s="446" t="s">
        <v>166</v>
      </c>
      <c r="B4931" s="454">
        <f>Capacity32</f>
        <v>0</v>
      </c>
      <c r="C4931" s="454"/>
      <c r="D4931" s="455"/>
      <c r="I4931" s="204"/>
      <c r="J4931" s="204"/>
      <c r="K4931" s="204"/>
      <c r="L4931" s="204"/>
    </row>
    <row r="4932" spans="1:14" x14ac:dyDescent="0.45">
      <c r="A4932" s="447"/>
      <c r="B4932" s="449"/>
      <c r="C4932" s="449"/>
      <c r="D4932" s="450"/>
      <c r="I4932" s="204"/>
      <c r="J4932" s="204"/>
      <c r="K4932" s="204"/>
      <c r="L4932" s="204"/>
    </row>
    <row r="4933" spans="1:14" ht="14.65" thickBot="1" x14ac:dyDescent="0.5">
      <c r="A4933" s="464"/>
      <c r="B4933" s="456"/>
      <c r="C4933" s="456"/>
      <c r="D4933" s="457"/>
      <c r="I4933" s="204"/>
      <c r="J4933" s="204"/>
      <c r="K4933" s="204"/>
      <c r="L4933" s="204"/>
    </row>
    <row r="4935" spans="1:14" ht="14.65" thickBot="1" x14ac:dyDescent="0.5">
      <c r="A4935" s="90"/>
      <c r="B4935" s="90"/>
      <c r="C4935" s="90"/>
      <c r="D4935" s="90"/>
      <c r="E4935" s="90"/>
      <c r="F4935" s="90"/>
      <c r="G4935" s="90"/>
      <c r="H4935" s="90"/>
      <c r="I4935" s="90"/>
      <c r="J4935" s="90"/>
      <c r="K4935" s="90"/>
      <c r="L4935" s="90"/>
      <c r="M4935" s="204"/>
      <c r="N4935" s="204"/>
    </row>
    <row r="4936" spans="1:14" ht="21.75" customHeight="1" x14ac:dyDescent="0.45">
      <c r="A4936" s="458" t="s">
        <v>135</v>
      </c>
      <c r="B4936" s="459"/>
      <c r="C4936" s="459"/>
      <c r="D4936" s="459"/>
      <c r="E4936" s="459"/>
      <c r="F4936" s="459"/>
      <c r="G4936" s="459"/>
      <c r="H4936" s="459"/>
      <c r="I4936" s="459"/>
      <c r="J4936" s="459"/>
      <c r="K4936" s="459"/>
      <c r="L4936" s="460"/>
    </row>
    <row r="4937" spans="1:14" ht="29" customHeight="1" thickBot="1" x14ac:dyDescent="0.5">
      <c r="A4937" s="93" t="s">
        <v>74</v>
      </c>
      <c r="B4937" s="94" t="s">
        <v>28</v>
      </c>
      <c r="C4937" s="95" t="s">
        <v>320</v>
      </c>
      <c r="D4937" s="95" t="s">
        <v>127</v>
      </c>
      <c r="E4937" s="114" t="s">
        <v>90</v>
      </c>
      <c r="F4937" s="95" t="s">
        <v>175</v>
      </c>
      <c r="G4937" s="95" t="s">
        <v>176</v>
      </c>
      <c r="H4937" s="95" t="s">
        <v>156</v>
      </c>
      <c r="I4937" s="95" t="s">
        <v>157</v>
      </c>
      <c r="J4937" s="189" t="s">
        <v>321</v>
      </c>
      <c r="K4937" s="190" t="s">
        <v>29</v>
      </c>
      <c r="L4937" s="191" t="s">
        <v>322</v>
      </c>
    </row>
    <row r="4938" spans="1:14" x14ac:dyDescent="0.45">
      <c r="A4938" s="461">
        <v>1</v>
      </c>
      <c r="B4938" s="440">
        <v>1</v>
      </c>
      <c r="C4938" s="192">
        <v>1</v>
      </c>
      <c r="D4938" s="79"/>
      <c r="E4938" s="96"/>
      <c r="F4938" s="96"/>
      <c r="G4938" s="96"/>
      <c r="H4938" s="96"/>
      <c r="I4938" s="96"/>
      <c r="J4938" s="96"/>
      <c r="K4938" s="96"/>
      <c r="L4938" s="193"/>
    </row>
    <row r="4939" spans="1:14" x14ac:dyDescent="0.45">
      <c r="A4939" s="462"/>
      <c r="B4939" s="441"/>
      <c r="C4939" s="194">
        <v>2</v>
      </c>
      <c r="D4939" s="80"/>
      <c r="E4939" s="97"/>
      <c r="F4939" s="97"/>
      <c r="G4939" s="97"/>
      <c r="H4939" s="97"/>
      <c r="I4939" s="97"/>
      <c r="J4939" s="97"/>
      <c r="K4939" s="97"/>
      <c r="L4939" s="195"/>
    </row>
    <row r="4940" spans="1:14" x14ac:dyDescent="0.45">
      <c r="A4940" s="462"/>
      <c r="B4940" s="441"/>
      <c r="C4940" s="194">
        <v>3</v>
      </c>
      <c r="D4940" s="80"/>
      <c r="E4940" s="97"/>
      <c r="F4940" s="97"/>
      <c r="G4940" s="97"/>
      <c r="H4940" s="97"/>
      <c r="I4940" s="97"/>
      <c r="J4940" s="97"/>
      <c r="K4940" s="97"/>
      <c r="L4940" s="195"/>
    </row>
    <row r="4941" spans="1:14" x14ac:dyDescent="0.45">
      <c r="A4941" s="462"/>
      <c r="B4941" s="441"/>
      <c r="C4941" s="194">
        <v>4</v>
      </c>
      <c r="D4941" s="80"/>
      <c r="E4941" s="97"/>
      <c r="F4941" s="97"/>
      <c r="G4941" s="97"/>
      <c r="H4941" s="97"/>
      <c r="I4941" s="97"/>
      <c r="J4941" s="97"/>
      <c r="K4941" s="97"/>
      <c r="L4941" s="195"/>
    </row>
    <row r="4942" spans="1:14" x14ac:dyDescent="0.45">
      <c r="A4942" s="462"/>
      <c r="B4942" s="441"/>
      <c r="C4942" s="194">
        <v>5</v>
      </c>
      <c r="D4942" s="80"/>
      <c r="E4942" s="97"/>
      <c r="F4942" s="97"/>
      <c r="G4942" s="97"/>
      <c r="H4942" s="97"/>
      <c r="I4942" s="97"/>
      <c r="J4942" s="97"/>
      <c r="K4942" s="97"/>
      <c r="L4942" s="195"/>
    </row>
    <row r="4943" spans="1:14" x14ac:dyDescent="0.45">
      <c r="A4943" s="462"/>
      <c r="B4943" s="441"/>
      <c r="C4943" s="194">
        <v>6</v>
      </c>
      <c r="D4943" s="80"/>
      <c r="E4943" s="97"/>
      <c r="F4943" s="97"/>
      <c r="G4943" s="97"/>
      <c r="H4943" s="97"/>
      <c r="I4943" s="97"/>
      <c r="J4943" s="97"/>
      <c r="K4943" s="97"/>
      <c r="L4943" s="195"/>
    </row>
    <row r="4944" spans="1:14" x14ac:dyDescent="0.45">
      <c r="A4944" s="462"/>
      <c r="B4944" s="441"/>
      <c r="C4944" s="194">
        <v>7</v>
      </c>
      <c r="D4944" s="80"/>
      <c r="E4944" s="97"/>
      <c r="F4944" s="97"/>
      <c r="G4944" s="97"/>
      <c r="H4944" s="97"/>
      <c r="I4944" s="97"/>
      <c r="J4944" s="97"/>
      <c r="K4944" s="97"/>
      <c r="L4944" s="195"/>
    </row>
    <row r="4945" spans="1:14" x14ac:dyDescent="0.45">
      <c r="A4945" s="462"/>
      <c r="B4945" s="441"/>
      <c r="C4945" s="194">
        <v>8</v>
      </c>
      <c r="D4945" s="80"/>
      <c r="E4945" s="97"/>
      <c r="F4945" s="97"/>
      <c r="G4945" s="97"/>
      <c r="H4945" s="97"/>
      <c r="I4945" s="97"/>
      <c r="J4945" s="97"/>
      <c r="K4945" s="97"/>
      <c r="L4945" s="195"/>
    </row>
    <row r="4946" spans="1:14" x14ac:dyDescent="0.45">
      <c r="A4946" s="462"/>
      <c r="B4946" s="441"/>
      <c r="C4946" s="194">
        <v>9</v>
      </c>
      <c r="D4946" s="80"/>
      <c r="E4946" s="97"/>
      <c r="F4946" s="97"/>
      <c r="G4946" s="97"/>
      <c r="H4946" s="97"/>
      <c r="I4946" s="97"/>
      <c r="J4946" s="97"/>
      <c r="K4946" s="97"/>
      <c r="L4946" s="195"/>
    </row>
    <row r="4947" spans="1:14" x14ac:dyDescent="0.45">
      <c r="A4947" s="462"/>
      <c r="B4947" s="441"/>
      <c r="C4947" s="194">
        <v>10</v>
      </c>
      <c r="D4947" s="80"/>
      <c r="E4947" s="97"/>
      <c r="F4947" s="97"/>
      <c r="G4947" s="97"/>
      <c r="H4947" s="97"/>
      <c r="I4947" s="97"/>
      <c r="J4947" s="97"/>
      <c r="K4947" s="97"/>
      <c r="L4947" s="195"/>
    </row>
    <row r="4948" spans="1:14" x14ac:dyDescent="0.45">
      <c r="A4948" s="462"/>
      <c r="B4948" s="441"/>
      <c r="C4948" s="194">
        <v>11</v>
      </c>
      <c r="D4948" s="81"/>
      <c r="E4948" s="98"/>
      <c r="F4948" s="98"/>
      <c r="G4948" s="98"/>
      <c r="H4948" s="98"/>
      <c r="I4948" s="98"/>
      <c r="J4948" s="98"/>
      <c r="K4948" s="98"/>
      <c r="L4948" s="196"/>
    </row>
    <row r="4949" spans="1:14" s="90" customFormat="1" ht="14.65" thickBot="1" x14ac:dyDescent="0.5">
      <c r="A4949" s="462"/>
      <c r="B4949" s="442"/>
      <c r="C4949" s="197">
        <v>12</v>
      </c>
      <c r="D4949" s="82"/>
      <c r="E4949" s="99"/>
      <c r="F4949" s="99"/>
      <c r="G4949" s="99"/>
      <c r="H4949" s="99"/>
      <c r="I4949" s="99"/>
      <c r="J4949" s="99"/>
      <c r="K4949" s="99"/>
      <c r="L4949" s="198"/>
      <c r="M4949" s="61"/>
      <c r="N4949" s="61"/>
    </row>
    <row r="4950" spans="1:14" x14ac:dyDescent="0.45">
      <c r="A4950" s="462"/>
      <c r="B4950" s="440">
        <v>2</v>
      </c>
      <c r="C4950" s="192">
        <v>1</v>
      </c>
      <c r="D4950" s="79"/>
      <c r="E4950" s="96"/>
      <c r="F4950" s="96"/>
      <c r="G4950" s="96"/>
      <c r="H4950" s="96"/>
      <c r="I4950" s="96"/>
      <c r="J4950" s="96"/>
      <c r="K4950" s="96"/>
      <c r="L4950" s="193"/>
    </row>
    <row r="4951" spans="1:14" x14ac:dyDescent="0.45">
      <c r="A4951" s="462"/>
      <c r="B4951" s="441"/>
      <c r="C4951" s="194">
        <v>2</v>
      </c>
      <c r="D4951" s="80"/>
      <c r="E4951" s="97"/>
      <c r="F4951" s="97"/>
      <c r="G4951" s="97"/>
      <c r="H4951" s="97"/>
      <c r="I4951" s="97"/>
      <c r="J4951" s="97"/>
      <c r="K4951" s="97"/>
      <c r="L4951" s="195"/>
    </row>
    <row r="4952" spans="1:14" x14ac:dyDescent="0.45">
      <c r="A4952" s="462"/>
      <c r="B4952" s="441"/>
      <c r="C4952" s="194">
        <v>3</v>
      </c>
      <c r="D4952" s="80"/>
      <c r="E4952" s="97"/>
      <c r="F4952" s="97"/>
      <c r="G4952" s="97"/>
      <c r="H4952" s="97"/>
      <c r="I4952" s="97"/>
      <c r="J4952" s="97"/>
      <c r="K4952" s="97"/>
      <c r="L4952" s="195"/>
    </row>
    <row r="4953" spans="1:14" x14ac:dyDescent="0.45">
      <c r="A4953" s="462"/>
      <c r="B4953" s="441"/>
      <c r="C4953" s="194">
        <v>4</v>
      </c>
      <c r="D4953" s="80"/>
      <c r="E4953" s="97"/>
      <c r="F4953" s="97"/>
      <c r="G4953" s="97"/>
      <c r="H4953" s="97"/>
      <c r="I4953" s="97"/>
      <c r="J4953" s="97"/>
      <c r="K4953" s="97"/>
      <c r="L4953" s="195"/>
    </row>
    <row r="4954" spans="1:14" x14ac:dyDescent="0.45">
      <c r="A4954" s="462"/>
      <c r="B4954" s="441"/>
      <c r="C4954" s="194">
        <v>5</v>
      </c>
      <c r="D4954" s="80"/>
      <c r="E4954" s="97"/>
      <c r="F4954" s="97"/>
      <c r="G4954" s="97"/>
      <c r="H4954" s="97"/>
      <c r="I4954" s="97"/>
      <c r="J4954" s="97"/>
      <c r="K4954" s="97"/>
      <c r="L4954" s="195"/>
    </row>
    <row r="4955" spans="1:14" x14ac:dyDescent="0.45">
      <c r="A4955" s="462"/>
      <c r="B4955" s="441"/>
      <c r="C4955" s="194">
        <v>6</v>
      </c>
      <c r="D4955" s="80"/>
      <c r="E4955" s="97"/>
      <c r="F4955" s="97"/>
      <c r="G4955" s="97"/>
      <c r="H4955" s="97"/>
      <c r="I4955" s="97"/>
      <c r="J4955" s="97"/>
      <c r="K4955" s="97"/>
      <c r="L4955" s="195"/>
    </row>
    <row r="4956" spans="1:14" x14ac:dyDescent="0.45">
      <c r="A4956" s="462"/>
      <c r="B4956" s="441"/>
      <c r="C4956" s="194">
        <v>7</v>
      </c>
      <c r="D4956" s="80"/>
      <c r="E4956" s="97"/>
      <c r="F4956" s="97"/>
      <c r="G4956" s="97"/>
      <c r="H4956" s="97"/>
      <c r="I4956" s="97"/>
      <c r="J4956" s="97"/>
      <c r="K4956" s="97"/>
      <c r="L4956" s="195"/>
    </row>
    <row r="4957" spans="1:14" x14ac:dyDescent="0.45">
      <c r="A4957" s="462"/>
      <c r="B4957" s="441"/>
      <c r="C4957" s="194">
        <v>8</v>
      </c>
      <c r="D4957" s="80"/>
      <c r="E4957" s="97"/>
      <c r="F4957" s="97"/>
      <c r="G4957" s="97"/>
      <c r="H4957" s="97"/>
      <c r="I4957" s="97"/>
      <c r="J4957" s="97"/>
      <c r="K4957" s="97"/>
      <c r="L4957" s="195"/>
    </row>
    <row r="4958" spans="1:14" x14ac:dyDescent="0.45">
      <c r="A4958" s="462"/>
      <c r="B4958" s="441"/>
      <c r="C4958" s="194">
        <v>9</v>
      </c>
      <c r="D4958" s="80"/>
      <c r="E4958" s="97"/>
      <c r="F4958" s="97"/>
      <c r="G4958" s="97"/>
      <c r="H4958" s="97"/>
      <c r="I4958" s="97"/>
      <c r="J4958" s="97"/>
      <c r="K4958" s="97"/>
      <c r="L4958" s="195"/>
    </row>
    <row r="4959" spans="1:14" x14ac:dyDescent="0.45">
      <c r="A4959" s="462"/>
      <c r="B4959" s="441"/>
      <c r="C4959" s="194">
        <v>10</v>
      </c>
      <c r="D4959" s="80"/>
      <c r="E4959" s="97"/>
      <c r="F4959" s="97"/>
      <c r="G4959" s="97"/>
      <c r="H4959" s="97"/>
      <c r="I4959" s="97"/>
      <c r="J4959" s="97"/>
      <c r="K4959" s="97"/>
      <c r="L4959" s="195"/>
    </row>
    <row r="4960" spans="1:14" x14ac:dyDescent="0.45">
      <c r="A4960" s="462"/>
      <c r="B4960" s="441"/>
      <c r="C4960" s="194">
        <v>11</v>
      </c>
      <c r="D4960" s="81"/>
      <c r="E4960" s="98"/>
      <c r="F4960" s="98"/>
      <c r="G4960" s="98"/>
      <c r="H4960" s="98"/>
      <c r="I4960" s="98"/>
      <c r="J4960" s="98"/>
      <c r="K4960" s="98"/>
      <c r="L4960" s="196"/>
    </row>
    <row r="4961" spans="1:12" ht="14.65" thickBot="1" x14ac:dyDescent="0.5">
      <c r="A4961" s="462"/>
      <c r="B4961" s="442"/>
      <c r="C4961" s="197">
        <v>12</v>
      </c>
      <c r="D4961" s="82"/>
      <c r="E4961" s="99"/>
      <c r="F4961" s="99"/>
      <c r="G4961" s="99"/>
      <c r="H4961" s="99"/>
      <c r="I4961" s="99"/>
      <c r="J4961" s="99"/>
      <c r="K4961" s="99"/>
      <c r="L4961" s="198"/>
    </row>
    <row r="4962" spans="1:12" x14ac:dyDescent="0.45">
      <c r="A4962" s="462"/>
      <c r="B4962" s="440">
        <v>3</v>
      </c>
      <c r="C4962" s="192">
        <v>1</v>
      </c>
      <c r="D4962" s="79"/>
      <c r="E4962" s="96"/>
      <c r="F4962" s="96"/>
      <c r="G4962" s="96"/>
      <c r="H4962" s="96"/>
      <c r="I4962" s="96"/>
      <c r="J4962" s="96"/>
      <c r="K4962" s="96"/>
      <c r="L4962" s="193"/>
    </row>
    <row r="4963" spans="1:12" x14ac:dyDescent="0.45">
      <c r="A4963" s="462"/>
      <c r="B4963" s="441"/>
      <c r="C4963" s="194">
        <v>2</v>
      </c>
      <c r="D4963" s="80"/>
      <c r="E4963" s="97"/>
      <c r="F4963" s="97"/>
      <c r="G4963" s="97"/>
      <c r="H4963" s="97"/>
      <c r="I4963" s="97"/>
      <c r="J4963" s="97"/>
      <c r="K4963" s="97"/>
      <c r="L4963" s="195"/>
    </row>
    <row r="4964" spans="1:12" x14ac:dyDescent="0.45">
      <c r="A4964" s="462"/>
      <c r="B4964" s="441"/>
      <c r="C4964" s="194">
        <v>3</v>
      </c>
      <c r="D4964" s="80"/>
      <c r="E4964" s="97"/>
      <c r="F4964" s="97"/>
      <c r="G4964" s="97"/>
      <c r="H4964" s="97"/>
      <c r="I4964" s="97"/>
      <c r="J4964" s="97"/>
      <c r="K4964" s="97"/>
      <c r="L4964" s="195"/>
    </row>
    <row r="4965" spans="1:12" x14ac:dyDescent="0.45">
      <c r="A4965" s="462"/>
      <c r="B4965" s="441"/>
      <c r="C4965" s="194">
        <v>4</v>
      </c>
      <c r="D4965" s="80"/>
      <c r="E4965" s="97"/>
      <c r="F4965" s="97"/>
      <c r="G4965" s="97"/>
      <c r="H4965" s="97"/>
      <c r="I4965" s="97"/>
      <c r="J4965" s="97"/>
      <c r="K4965" s="97"/>
      <c r="L4965" s="195"/>
    </row>
    <row r="4966" spans="1:12" x14ac:dyDescent="0.45">
      <c r="A4966" s="462"/>
      <c r="B4966" s="441"/>
      <c r="C4966" s="194">
        <v>5</v>
      </c>
      <c r="D4966" s="80"/>
      <c r="E4966" s="97"/>
      <c r="F4966" s="97"/>
      <c r="G4966" s="97"/>
      <c r="H4966" s="97"/>
      <c r="I4966" s="97"/>
      <c r="J4966" s="97"/>
      <c r="K4966" s="97"/>
      <c r="L4966" s="195"/>
    </row>
    <row r="4967" spans="1:12" x14ac:dyDescent="0.45">
      <c r="A4967" s="462"/>
      <c r="B4967" s="441"/>
      <c r="C4967" s="194">
        <v>6</v>
      </c>
      <c r="D4967" s="80"/>
      <c r="E4967" s="97"/>
      <c r="F4967" s="97"/>
      <c r="G4967" s="97"/>
      <c r="H4967" s="97"/>
      <c r="I4967" s="97"/>
      <c r="J4967" s="97"/>
      <c r="K4967" s="97"/>
      <c r="L4967" s="195"/>
    </row>
    <row r="4968" spans="1:12" x14ac:dyDescent="0.45">
      <c r="A4968" s="462"/>
      <c r="B4968" s="441"/>
      <c r="C4968" s="194">
        <v>7</v>
      </c>
      <c r="D4968" s="80"/>
      <c r="E4968" s="97"/>
      <c r="F4968" s="97"/>
      <c r="G4968" s="97"/>
      <c r="H4968" s="97"/>
      <c r="I4968" s="97"/>
      <c r="J4968" s="97"/>
      <c r="K4968" s="97"/>
      <c r="L4968" s="195"/>
    </row>
    <row r="4969" spans="1:12" x14ac:dyDescent="0.45">
      <c r="A4969" s="462"/>
      <c r="B4969" s="441"/>
      <c r="C4969" s="194">
        <v>8</v>
      </c>
      <c r="D4969" s="80"/>
      <c r="E4969" s="97"/>
      <c r="F4969" s="97"/>
      <c r="G4969" s="97"/>
      <c r="H4969" s="97"/>
      <c r="I4969" s="97"/>
      <c r="J4969" s="97"/>
      <c r="K4969" s="97"/>
      <c r="L4969" s="195"/>
    </row>
    <row r="4970" spans="1:12" x14ac:dyDescent="0.45">
      <c r="A4970" s="462"/>
      <c r="B4970" s="441"/>
      <c r="C4970" s="194">
        <v>9</v>
      </c>
      <c r="D4970" s="80"/>
      <c r="E4970" s="97"/>
      <c r="F4970" s="97"/>
      <c r="G4970" s="97"/>
      <c r="H4970" s="97"/>
      <c r="I4970" s="97"/>
      <c r="J4970" s="97"/>
      <c r="K4970" s="97"/>
      <c r="L4970" s="195"/>
    </row>
    <row r="4971" spans="1:12" x14ac:dyDescent="0.45">
      <c r="A4971" s="462"/>
      <c r="B4971" s="441"/>
      <c r="C4971" s="194">
        <v>10</v>
      </c>
      <c r="D4971" s="80"/>
      <c r="E4971" s="97"/>
      <c r="F4971" s="97"/>
      <c r="G4971" s="97"/>
      <c r="H4971" s="97"/>
      <c r="I4971" s="97"/>
      <c r="J4971" s="97"/>
      <c r="K4971" s="97"/>
      <c r="L4971" s="195"/>
    </row>
    <row r="4972" spans="1:12" x14ac:dyDescent="0.45">
      <c r="A4972" s="462"/>
      <c r="B4972" s="441"/>
      <c r="C4972" s="194">
        <v>11</v>
      </c>
      <c r="D4972" s="81"/>
      <c r="E4972" s="98"/>
      <c r="F4972" s="98"/>
      <c r="G4972" s="98"/>
      <c r="H4972" s="98"/>
      <c r="I4972" s="98"/>
      <c r="J4972" s="98"/>
      <c r="K4972" s="98"/>
      <c r="L4972" s="196"/>
    </row>
    <row r="4973" spans="1:12" ht="14.65" thickBot="1" x14ac:dyDescent="0.5">
      <c r="A4973" s="462"/>
      <c r="B4973" s="442"/>
      <c r="C4973" s="197">
        <v>12</v>
      </c>
      <c r="D4973" s="82"/>
      <c r="E4973" s="99"/>
      <c r="F4973" s="99"/>
      <c r="G4973" s="99"/>
      <c r="H4973" s="99"/>
      <c r="I4973" s="99"/>
      <c r="J4973" s="99"/>
      <c r="K4973" s="99"/>
      <c r="L4973" s="198"/>
    </row>
    <row r="4974" spans="1:12" x14ac:dyDescent="0.45">
      <c r="A4974" s="462"/>
      <c r="B4974" s="440">
        <v>4</v>
      </c>
      <c r="C4974" s="192">
        <v>1</v>
      </c>
      <c r="D4974" s="79"/>
      <c r="E4974" s="96"/>
      <c r="F4974" s="96"/>
      <c r="G4974" s="96"/>
      <c r="H4974" s="96"/>
      <c r="I4974" s="96"/>
      <c r="J4974" s="96"/>
      <c r="K4974" s="96"/>
      <c r="L4974" s="193"/>
    </row>
    <row r="4975" spans="1:12" x14ac:dyDescent="0.45">
      <c r="A4975" s="462"/>
      <c r="B4975" s="441"/>
      <c r="C4975" s="194">
        <v>2</v>
      </c>
      <c r="D4975" s="80"/>
      <c r="E4975" s="97"/>
      <c r="F4975" s="97"/>
      <c r="G4975" s="97"/>
      <c r="H4975" s="97"/>
      <c r="I4975" s="97"/>
      <c r="J4975" s="97"/>
      <c r="K4975" s="97"/>
      <c r="L4975" s="195"/>
    </row>
    <row r="4976" spans="1:12" x14ac:dyDescent="0.45">
      <c r="A4976" s="462"/>
      <c r="B4976" s="441"/>
      <c r="C4976" s="194">
        <v>3</v>
      </c>
      <c r="D4976" s="80"/>
      <c r="E4976" s="97"/>
      <c r="F4976" s="97"/>
      <c r="G4976" s="97"/>
      <c r="H4976" s="97"/>
      <c r="I4976" s="97"/>
      <c r="J4976" s="97"/>
      <c r="K4976" s="97"/>
      <c r="L4976" s="195"/>
    </row>
    <row r="4977" spans="1:12" x14ac:dyDescent="0.45">
      <c r="A4977" s="462"/>
      <c r="B4977" s="441"/>
      <c r="C4977" s="194">
        <v>4</v>
      </c>
      <c r="D4977" s="80"/>
      <c r="E4977" s="97"/>
      <c r="F4977" s="97"/>
      <c r="G4977" s="97"/>
      <c r="H4977" s="97"/>
      <c r="I4977" s="97"/>
      <c r="J4977" s="97"/>
      <c r="K4977" s="97"/>
      <c r="L4977" s="195"/>
    </row>
    <row r="4978" spans="1:12" x14ac:dyDescent="0.45">
      <c r="A4978" s="462"/>
      <c r="B4978" s="441"/>
      <c r="C4978" s="194">
        <v>5</v>
      </c>
      <c r="D4978" s="80"/>
      <c r="E4978" s="97"/>
      <c r="F4978" s="97"/>
      <c r="G4978" s="97"/>
      <c r="H4978" s="97"/>
      <c r="I4978" s="97"/>
      <c r="J4978" s="97"/>
      <c r="K4978" s="97"/>
      <c r="L4978" s="195"/>
    </row>
    <row r="4979" spans="1:12" x14ac:dyDescent="0.45">
      <c r="A4979" s="462"/>
      <c r="B4979" s="441"/>
      <c r="C4979" s="194">
        <v>6</v>
      </c>
      <c r="D4979" s="80"/>
      <c r="E4979" s="97"/>
      <c r="F4979" s="97"/>
      <c r="G4979" s="97"/>
      <c r="H4979" s="97"/>
      <c r="I4979" s="97"/>
      <c r="J4979" s="97"/>
      <c r="K4979" s="97"/>
      <c r="L4979" s="195"/>
    </row>
    <row r="4980" spans="1:12" x14ac:dyDescent="0.45">
      <c r="A4980" s="462"/>
      <c r="B4980" s="441"/>
      <c r="C4980" s="194">
        <v>7</v>
      </c>
      <c r="D4980" s="80"/>
      <c r="E4980" s="97"/>
      <c r="F4980" s="97"/>
      <c r="G4980" s="97"/>
      <c r="H4980" s="97"/>
      <c r="I4980" s="97"/>
      <c r="J4980" s="97"/>
      <c r="K4980" s="97"/>
      <c r="L4980" s="195"/>
    </row>
    <row r="4981" spans="1:12" x14ac:dyDescent="0.45">
      <c r="A4981" s="462"/>
      <c r="B4981" s="441"/>
      <c r="C4981" s="194">
        <v>8</v>
      </c>
      <c r="D4981" s="80"/>
      <c r="E4981" s="97"/>
      <c r="F4981" s="97"/>
      <c r="G4981" s="97"/>
      <c r="H4981" s="97"/>
      <c r="I4981" s="97"/>
      <c r="J4981" s="97"/>
      <c r="K4981" s="97"/>
      <c r="L4981" s="195"/>
    </row>
    <row r="4982" spans="1:12" x14ac:dyDescent="0.45">
      <c r="A4982" s="462"/>
      <c r="B4982" s="441"/>
      <c r="C4982" s="194">
        <v>9</v>
      </c>
      <c r="D4982" s="80"/>
      <c r="E4982" s="97"/>
      <c r="F4982" s="97"/>
      <c r="G4982" s="97"/>
      <c r="H4982" s="97"/>
      <c r="I4982" s="97"/>
      <c r="J4982" s="97"/>
      <c r="K4982" s="97"/>
      <c r="L4982" s="195"/>
    </row>
    <row r="4983" spans="1:12" x14ac:dyDescent="0.45">
      <c r="A4983" s="462"/>
      <c r="B4983" s="441"/>
      <c r="C4983" s="194">
        <v>10</v>
      </c>
      <c r="D4983" s="80"/>
      <c r="E4983" s="97"/>
      <c r="F4983" s="97"/>
      <c r="G4983" s="97"/>
      <c r="H4983" s="97"/>
      <c r="I4983" s="97"/>
      <c r="J4983" s="97"/>
      <c r="K4983" s="97"/>
      <c r="L4983" s="195"/>
    </row>
    <row r="4984" spans="1:12" x14ac:dyDescent="0.45">
      <c r="A4984" s="462"/>
      <c r="B4984" s="441"/>
      <c r="C4984" s="194">
        <v>11</v>
      </c>
      <c r="D4984" s="81"/>
      <c r="E4984" s="98"/>
      <c r="F4984" s="98"/>
      <c r="G4984" s="98"/>
      <c r="H4984" s="98"/>
      <c r="I4984" s="98"/>
      <c r="J4984" s="98"/>
      <c r="K4984" s="98"/>
      <c r="L4984" s="196"/>
    </row>
    <row r="4985" spans="1:12" ht="14.65" thickBot="1" x14ac:dyDescent="0.5">
      <c r="A4985" s="463"/>
      <c r="B4985" s="442"/>
      <c r="C4985" s="197">
        <v>12</v>
      </c>
      <c r="D4985" s="82"/>
      <c r="E4985" s="99"/>
      <c r="F4985" s="99"/>
      <c r="G4985" s="99"/>
      <c r="H4985" s="99"/>
      <c r="I4985" s="99"/>
      <c r="J4985" s="99"/>
      <c r="K4985" s="99"/>
      <c r="L4985" s="198"/>
    </row>
    <row r="4986" spans="1:12" x14ac:dyDescent="0.45">
      <c r="A4986" s="461">
        <v>2</v>
      </c>
      <c r="B4986" s="440">
        <v>5</v>
      </c>
      <c r="C4986" s="192">
        <v>1</v>
      </c>
      <c r="D4986" s="79"/>
      <c r="E4986" s="96"/>
      <c r="F4986" s="96"/>
      <c r="G4986" s="96"/>
      <c r="H4986" s="96"/>
      <c r="I4986" s="96"/>
      <c r="J4986" s="96"/>
      <c r="K4986" s="96"/>
      <c r="L4986" s="193"/>
    </row>
    <row r="4987" spans="1:12" x14ac:dyDescent="0.45">
      <c r="A4987" s="462"/>
      <c r="B4987" s="441"/>
      <c r="C4987" s="194">
        <v>2</v>
      </c>
      <c r="D4987" s="80"/>
      <c r="E4987" s="97"/>
      <c r="F4987" s="97"/>
      <c r="G4987" s="97"/>
      <c r="H4987" s="97"/>
      <c r="I4987" s="97"/>
      <c r="J4987" s="97"/>
      <c r="K4987" s="97"/>
      <c r="L4987" s="195"/>
    </row>
    <row r="4988" spans="1:12" x14ac:dyDescent="0.45">
      <c r="A4988" s="462"/>
      <c r="B4988" s="441"/>
      <c r="C4988" s="194">
        <v>3</v>
      </c>
      <c r="D4988" s="80"/>
      <c r="E4988" s="97"/>
      <c r="F4988" s="97"/>
      <c r="G4988" s="97"/>
      <c r="H4988" s="97"/>
      <c r="I4988" s="97"/>
      <c r="J4988" s="97"/>
      <c r="K4988" s="97"/>
      <c r="L4988" s="195"/>
    </row>
    <row r="4989" spans="1:12" x14ac:dyDescent="0.45">
      <c r="A4989" s="462"/>
      <c r="B4989" s="441"/>
      <c r="C4989" s="194">
        <v>4</v>
      </c>
      <c r="D4989" s="80"/>
      <c r="E4989" s="97"/>
      <c r="F4989" s="97"/>
      <c r="G4989" s="97"/>
      <c r="H4989" s="97"/>
      <c r="I4989" s="97"/>
      <c r="J4989" s="97"/>
      <c r="K4989" s="97"/>
      <c r="L4989" s="195"/>
    </row>
    <row r="4990" spans="1:12" x14ac:dyDescent="0.45">
      <c r="A4990" s="462"/>
      <c r="B4990" s="441"/>
      <c r="C4990" s="194">
        <v>5</v>
      </c>
      <c r="D4990" s="80"/>
      <c r="E4990" s="97"/>
      <c r="F4990" s="97"/>
      <c r="G4990" s="97"/>
      <c r="H4990" s="97"/>
      <c r="I4990" s="97"/>
      <c r="J4990" s="97"/>
      <c r="K4990" s="97"/>
      <c r="L4990" s="195"/>
    </row>
    <row r="4991" spans="1:12" x14ac:dyDescent="0.45">
      <c r="A4991" s="462"/>
      <c r="B4991" s="441"/>
      <c r="C4991" s="194">
        <v>6</v>
      </c>
      <c r="D4991" s="80"/>
      <c r="E4991" s="97"/>
      <c r="F4991" s="97"/>
      <c r="G4991" s="97"/>
      <c r="H4991" s="97"/>
      <c r="I4991" s="97"/>
      <c r="J4991" s="97"/>
      <c r="K4991" s="97"/>
      <c r="L4991" s="195"/>
    </row>
    <row r="4992" spans="1:12" x14ac:dyDescent="0.45">
      <c r="A4992" s="462"/>
      <c r="B4992" s="441"/>
      <c r="C4992" s="194">
        <v>7</v>
      </c>
      <c r="D4992" s="80"/>
      <c r="E4992" s="97"/>
      <c r="F4992" s="97"/>
      <c r="G4992" s="97"/>
      <c r="H4992" s="97"/>
      <c r="I4992" s="97"/>
      <c r="J4992" s="97"/>
      <c r="K4992" s="97"/>
      <c r="L4992" s="195"/>
    </row>
    <row r="4993" spans="1:12" x14ac:dyDescent="0.45">
      <c r="A4993" s="462"/>
      <c r="B4993" s="441"/>
      <c r="C4993" s="194">
        <v>8</v>
      </c>
      <c r="D4993" s="80"/>
      <c r="E4993" s="97"/>
      <c r="F4993" s="97"/>
      <c r="G4993" s="97"/>
      <c r="H4993" s="97"/>
      <c r="I4993" s="97"/>
      <c r="J4993" s="97"/>
      <c r="K4993" s="97"/>
      <c r="L4993" s="195"/>
    </row>
    <row r="4994" spans="1:12" x14ac:dyDescent="0.45">
      <c r="A4994" s="462"/>
      <c r="B4994" s="441"/>
      <c r="C4994" s="194">
        <v>9</v>
      </c>
      <c r="D4994" s="80"/>
      <c r="E4994" s="97"/>
      <c r="F4994" s="97"/>
      <c r="G4994" s="97"/>
      <c r="H4994" s="97"/>
      <c r="I4994" s="97"/>
      <c r="J4994" s="97"/>
      <c r="K4994" s="97"/>
      <c r="L4994" s="195"/>
    </row>
    <row r="4995" spans="1:12" x14ac:dyDescent="0.45">
      <c r="A4995" s="462"/>
      <c r="B4995" s="441"/>
      <c r="C4995" s="194">
        <v>10</v>
      </c>
      <c r="D4995" s="80"/>
      <c r="E4995" s="97"/>
      <c r="F4995" s="97"/>
      <c r="G4995" s="97"/>
      <c r="H4995" s="97"/>
      <c r="I4995" s="97"/>
      <c r="J4995" s="97"/>
      <c r="K4995" s="97"/>
      <c r="L4995" s="195"/>
    </row>
    <row r="4996" spans="1:12" x14ac:dyDescent="0.45">
      <c r="A4996" s="462"/>
      <c r="B4996" s="441"/>
      <c r="C4996" s="194">
        <v>11</v>
      </c>
      <c r="D4996" s="81"/>
      <c r="E4996" s="98"/>
      <c r="F4996" s="98"/>
      <c r="G4996" s="98"/>
      <c r="H4996" s="98"/>
      <c r="I4996" s="98"/>
      <c r="J4996" s="98"/>
      <c r="K4996" s="98"/>
      <c r="L4996" s="196"/>
    </row>
    <row r="4997" spans="1:12" ht="14.65" thickBot="1" x14ac:dyDescent="0.5">
      <c r="A4997" s="462"/>
      <c r="B4997" s="442"/>
      <c r="C4997" s="197">
        <v>12</v>
      </c>
      <c r="D4997" s="82"/>
      <c r="E4997" s="99"/>
      <c r="F4997" s="99"/>
      <c r="G4997" s="99"/>
      <c r="H4997" s="99"/>
      <c r="I4997" s="99"/>
      <c r="J4997" s="99"/>
      <c r="K4997" s="99"/>
      <c r="L4997" s="198"/>
    </row>
    <row r="4998" spans="1:12" x14ac:dyDescent="0.45">
      <c r="A4998" s="462"/>
      <c r="B4998" s="440">
        <v>6</v>
      </c>
      <c r="C4998" s="192">
        <v>1</v>
      </c>
      <c r="D4998" s="79"/>
      <c r="E4998" s="96"/>
      <c r="F4998" s="96"/>
      <c r="G4998" s="96"/>
      <c r="H4998" s="96"/>
      <c r="I4998" s="96"/>
      <c r="J4998" s="96"/>
      <c r="K4998" s="96"/>
      <c r="L4998" s="193"/>
    </row>
    <row r="4999" spans="1:12" x14ac:dyDescent="0.45">
      <c r="A4999" s="462"/>
      <c r="B4999" s="441"/>
      <c r="C4999" s="194">
        <v>2</v>
      </c>
      <c r="D4999" s="80"/>
      <c r="E4999" s="97"/>
      <c r="F4999" s="97"/>
      <c r="G4999" s="97"/>
      <c r="H4999" s="97"/>
      <c r="I4999" s="97"/>
      <c r="J4999" s="97"/>
      <c r="K4999" s="97"/>
      <c r="L4999" s="195"/>
    </row>
    <row r="5000" spans="1:12" x14ac:dyDescent="0.45">
      <c r="A5000" s="462"/>
      <c r="B5000" s="441"/>
      <c r="C5000" s="194">
        <v>3</v>
      </c>
      <c r="D5000" s="80"/>
      <c r="E5000" s="97"/>
      <c r="F5000" s="97"/>
      <c r="G5000" s="97"/>
      <c r="H5000" s="97"/>
      <c r="I5000" s="97"/>
      <c r="J5000" s="97"/>
      <c r="K5000" s="97"/>
      <c r="L5000" s="195"/>
    </row>
    <row r="5001" spans="1:12" x14ac:dyDescent="0.45">
      <c r="A5001" s="462"/>
      <c r="B5001" s="441"/>
      <c r="C5001" s="194">
        <v>4</v>
      </c>
      <c r="D5001" s="80"/>
      <c r="E5001" s="97"/>
      <c r="F5001" s="97"/>
      <c r="G5001" s="97"/>
      <c r="H5001" s="97"/>
      <c r="I5001" s="97"/>
      <c r="J5001" s="97"/>
      <c r="K5001" s="97"/>
      <c r="L5001" s="195"/>
    </row>
    <row r="5002" spans="1:12" x14ac:dyDescent="0.45">
      <c r="A5002" s="462"/>
      <c r="B5002" s="441"/>
      <c r="C5002" s="194">
        <v>5</v>
      </c>
      <c r="D5002" s="80"/>
      <c r="E5002" s="97"/>
      <c r="F5002" s="97"/>
      <c r="G5002" s="97"/>
      <c r="H5002" s="97"/>
      <c r="I5002" s="97"/>
      <c r="J5002" s="97"/>
      <c r="K5002" s="97"/>
      <c r="L5002" s="195"/>
    </row>
    <row r="5003" spans="1:12" x14ac:dyDescent="0.45">
      <c r="A5003" s="462"/>
      <c r="B5003" s="441"/>
      <c r="C5003" s="194">
        <v>6</v>
      </c>
      <c r="D5003" s="80"/>
      <c r="E5003" s="97"/>
      <c r="F5003" s="97"/>
      <c r="G5003" s="97"/>
      <c r="H5003" s="97"/>
      <c r="I5003" s="97"/>
      <c r="J5003" s="97"/>
      <c r="K5003" s="97"/>
      <c r="L5003" s="195"/>
    </row>
    <row r="5004" spans="1:12" x14ac:dyDescent="0.45">
      <c r="A5004" s="462"/>
      <c r="B5004" s="441"/>
      <c r="C5004" s="194">
        <v>7</v>
      </c>
      <c r="D5004" s="80"/>
      <c r="E5004" s="97"/>
      <c r="F5004" s="97"/>
      <c r="G5004" s="97"/>
      <c r="H5004" s="97"/>
      <c r="I5004" s="97"/>
      <c r="J5004" s="97"/>
      <c r="K5004" s="97"/>
      <c r="L5004" s="195"/>
    </row>
    <row r="5005" spans="1:12" x14ac:dyDescent="0.45">
      <c r="A5005" s="462"/>
      <c r="B5005" s="441"/>
      <c r="C5005" s="194">
        <v>8</v>
      </c>
      <c r="D5005" s="80"/>
      <c r="E5005" s="97"/>
      <c r="F5005" s="97"/>
      <c r="G5005" s="97"/>
      <c r="H5005" s="97"/>
      <c r="I5005" s="97"/>
      <c r="J5005" s="97"/>
      <c r="K5005" s="97"/>
      <c r="L5005" s="195"/>
    </row>
    <row r="5006" spans="1:12" x14ac:dyDescent="0.45">
      <c r="A5006" s="462"/>
      <c r="B5006" s="441"/>
      <c r="C5006" s="194">
        <v>9</v>
      </c>
      <c r="D5006" s="80"/>
      <c r="E5006" s="97"/>
      <c r="F5006" s="97"/>
      <c r="G5006" s="97"/>
      <c r="H5006" s="97"/>
      <c r="I5006" s="97"/>
      <c r="J5006" s="97"/>
      <c r="K5006" s="97"/>
      <c r="L5006" s="195"/>
    </row>
    <row r="5007" spans="1:12" x14ac:dyDescent="0.45">
      <c r="A5007" s="462"/>
      <c r="B5007" s="441"/>
      <c r="C5007" s="194">
        <v>10</v>
      </c>
      <c r="D5007" s="80"/>
      <c r="E5007" s="97"/>
      <c r="F5007" s="97"/>
      <c r="G5007" s="97"/>
      <c r="H5007" s="97"/>
      <c r="I5007" s="97"/>
      <c r="J5007" s="97"/>
      <c r="K5007" s="97"/>
      <c r="L5007" s="195"/>
    </row>
    <row r="5008" spans="1:12" x14ac:dyDescent="0.45">
      <c r="A5008" s="462"/>
      <c r="B5008" s="441"/>
      <c r="C5008" s="194">
        <v>11</v>
      </c>
      <c r="D5008" s="81"/>
      <c r="E5008" s="98"/>
      <c r="F5008" s="98"/>
      <c r="G5008" s="98"/>
      <c r="H5008" s="98"/>
      <c r="I5008" s="98"/>
      <c r="J5008" s="98"/>
      <c r="K5008" s="98"/>
      <c r="L5008" s="196"/>
    </row>
    <row r="5009" spans="1:12" ht="14.65" thickBot="1" x14ac:dyDescent="0.5">
      <c r="A5009" s="462"/>
      <c r="B5009" s="442"/>
      <c r="C5009" s="197">
        <v>12</v>
      </c>
      <c r="D5009" s="82"/>
      <c r="E5009" s="99"/>
      <c r="F5009" s="99"/>
      <c r="G5009" s="99"/>
      <c r="H5009" s="99"/>
      <c r="I5009" s="99"/>
      <c r="J5009" s="99"/>
      <c r="K5009" s="99"/>
      <c r="L5009" s="198"/>
    </row>
    <row r="5010" spans="1:12" x14ac:dyDescent="0.45">
      <c r="A5010" s="462"/>
      <c r="B5010" s="440">
        <v>7</v>
      </c>
      <c r="C5010" s="192">
        <v>1</v>
      </c>
      <c r="D5010" s="79"/>
      <c r="E5010" s="96"/>
      <c r="F5010" s="96"/>
      <c r="G5010" s="96"/>
      <c r="H5010" s="96"/>
      <c r="I5010" s="96"/>
      <c r="J5010" s="96"/>
      <c r="K5010" s="96"/>
      <c r="L5010" s="193"/>
    </row>
    <row r="5011" spans="1:12" x14ac:dyDescent="0.45">
      <c r="A5011" s="462"/>
      <c r="B5011" s="441"/>
      <c r="C5011" s="194">
        <v>2</v>
      </c>
      <c r="D5011" s="80"/>
      <c r="E5011" s="97"/>
      <c r="F5011" s="97"/>
      <c r="G5011" s="97"/>
      <c r="H5011" s="97"/>
      <c r="I5011" s="97"/>
      <c r="J5011" s="97"/>
      <c r="K5011" s="97"/>
      <c r="L5011" s="195"/>
    </row>
    <row r="5012" spans="1:12" x14ac:dyDescent="0.45">
      <c r="A5012" s="462"/>
      <c r="B5012" s="441"/>
      <c r="C5012" s="194">
        <v>3</v>
      </c>
      <c r="D5012" s="80"/>
      <c r="E5012" s="97"/>
      <c r="F5012" s="97"/>
      <c r="G5012" s="97"/>
      <c r="H5012" s="97"/>
      <c r="I5012" s="97"/>
      <c r="J5012" s="97"/>
      <c r="K5012" s="97"/>
      <c r="L5012" s="195"/>
    </row>
    <row r="5013" spans="1:12" x14ac:dyDescent="0.45">
      <c r="A5013" s="462"/>
      <c r="B5013" s="441"/>
      <c r="C5013" s="194">
        <v>4</v>
      </c>
      <c r="D5013" s="80"/>
      <c r="E5013" s="97"/>
      <c r="F5013" s="97"/>
      <c r="G5013" s="97"/>
      <c r="H5013" s="97"/>
      <c r="I5013" s="97"/>
      <c r="J5013" s="97"/>
      <c r="K5013" s="97"/>
      <c r="L5013" s="195"/>
    </row>
    <row r="5014" spans="1:12" x14ac:dyDescent="0.45">
      <c r="A5014" s="462"/>
      <c r="B5014" s="441"/>
      <c r="C5014" s="194">
        <v>5</v>
      </c>
      <c r="D5014" s="80"/>
      <c r="E5014" s="97"/>
      <c r="F5014" s="97"/>
      <c r="G5014" s="97"/>
      <c r="H5014" s="97"/>
      <c r="I5014" s="97"/>
      <c r="J5014" s="97"/>
      <c r="K5014" s="97"/>
      <c r="L5014" s="195"/>
    </row>
    <row r="5015" spans="1:12" x14ac:dyDescent="0.45">
      <c r="A5015" s="462"/>
      <c r="B5015" s="441"/>
      <c r="C5015" s="194">
        <v>6</v>
      </c>
      <c r="D5015" s="80"/>
      <c r="E5015" s="97"/>
      <c r="F5015" s="97"/>
      <c r="G5015" s="97"/>
      <c r="H5015" s="97"/>
      <c r="I5015" s="97"/>
      <c r="J5015" s="97"/>
      <c r="K5015" s="97"/>
      <c r="L5015" s="195"/>
    </row>
    <row r="5016" spans="1:12" x14ac:dyDescent="0.45">
      <c r="A5016" s="462"/>
      <c r="B5016" s="441"/>
      <c r="C5016" s="194">
        <v>7</v>
      </c>
      <c r="D5016" s="80"/>
      <c r="E5016" s="97"/>
      <c r="F5016" s="97"/>
      <c r="G5016" s="97"/>
      <c r="H5016" s="97"/>
      <c r="I5016" s="97"/>
      <c r="J5016" s="97"/>
      <c r="K5016" s="97"/>
      <c r="L5016" s="195"/>
    </row>
    <row r="5017" spans="1:12" x14ac:dyDescent="0.45">
      <c r="A5017" s="462"/>
      <c r="B5017" s="441"/>
      <c r="C5017" s="194">
        <v>8</v>
      </c>
      <c r="D5017" s="80"/>
      <c r="E5017" s="97"/>
      <c r="F5017" s="97"/>
      <c r="G5017" s="97"/>
      <c r="H5017" s="97"/>
      <c r="I5017" s="97"/>
      <c r="J5017" s="97"/>
      <c r="K5017" s="97"/>
      <c r="L5017" s="195"/>
    </row>
    <row r="5018" spans="1:12" x14ac:dyDescent="0.45">
      <c r="A5018" s="462"/>
      <c r="B5018" s="441"/>
      <c r="C5018" s="194">
        <v>9</v>
      </c>
      <c r="D5018" s="80"/>
      <c r="E5018" s="97"/>
      <c r="F5018" s="97"/>
      <c r="G5018" s="97"/>
      <c r="H5018" s="97"/>
      <c r="I5018" s="97"/>
      <c r="J5018" s="97"/>
      <c r="K5018" s="97"/>
      <c r="L5018" s="195"/>
    </row>
    <row r="5019" spans="1:12" x14ac:dyDescent="0.45">
      <c r="A5019" s="462"/>
      <c r="B5019" s="441"/>
      <c r="C5019" s="194">
        <v>10</v>
      </c>
      <c r="D5019" s="80"/>
      <c r="E5019" s="97"/>
      <c r="F5019" s="97"/>
      <c r="G5019" s="97"/>
      <c r="H5019" s="97"/>
      <c r="I5019" s="97"/>
      <c r="J5019" s="97"/>
      <c r="K5019" s="97"/>
      <c r="L5019" s="195"/>
    </row>
    <row r="5020" spans="1:12" x14ac:dyDescent="0.45">
      <c r="A5020" s="462"/>
      <c r="B5020" s="441"/>
      <c r="C5020" s="194">
        <v>11</v>
      </c>
      <c r="D5020" s="81"/>
      <c r="E5020" s="98"/>
      <c r="F5020" s="98"/>
      <c r="G5020" s="98"/>
      <c r="H5020" s="98"/>
      <c r="I5020" s="98"/>
      <c r="J5020" s="98"/>
      <c r="K5020" s="98"/>
      <c r="L5020" s="196"/>
    </row>
    <row r="5021" spans="1:12" ht="14.65" thickBot="1" x14ac:dyDescent="0.5">
      <c r="A5021" s="462"/>
      <c r="B5021" s="442"/>
      <c r="C5021" s="197">
        <v>12</v>
      </c>
      <c r="D5021" s="82"/>
      <c r="E5021" s="99"/>
      <c r="F5021" s="99"/>
      <c r="G5021" s="99"/>
      <c r="H5021" s="99"/>
      <c r="I5021" s="99"/>
      <c r="J5021" s="99"/>
      <c r="K5021" s="99"/>
      <c r="L5021" s="198"/>
    </row>
    <row r="5022" spans="1:12" x14ac:dyDescent="0.45">
      <c r="A5022" s="462"/>
      <c r="B5022" s="440">
        <v>8</v>
      </c>
      <c r="C5022" s="192">
        <v>1</v>
      </c>
      <c r="D5022" s="79"/>
      <c r="E5022" s="96"/>
      <c r="F5022" s="96"/>
      <c r="G5022" s="96"/>
      <c r="H5022" s="96"/>
      <c r="I5022" s="96"/>
      <c r="J5022" s="96"/>
      <c r="K5022" s="96"/>
      <c r="L5022" s="193"/>
    </row>
    <row r="5023" spans="1:12" x14ac:dyDescent="0.45">
      <c r="A5023" s="462"/>
      <c r="B5023" s="441"/>
      <c r="C5023" s="194">
        <v>2</v>
      </c>
      <c r="D5023" s="80"/>
      <c r="E5023" s="97"/>
      <c r="F5023" s="97"/>
      <c r="G5023" s="97"/>
      <c r="H5023" s="97"/>
      <c r="I5023" s="97"/>
      <c r="J5023" s="97"/>
      <c r="K5023" s="97"/>
      <c r="L5023" s="195"/>
    </row>
    <row r="5024" spans="1:12" x14ac:dyDescent="0.45">
      <c r="A5024" s="462"/>
      <c r="B5024" s="441"/>
      <c r="C5024" s="194">
        <v>3</v>
      </c>
      <c r="D5024" s="80"/>
      <c r="E5024" s="97"/>
      <c r="F5024" s="97"/>
      <c r="G5024" s="97"/>
      <c r="H5024" s="97"/>
      <c r="I5024" s="97"/>
      <c r="J5024" s="97"/>
      <c r="K5024" s="97"/>
      <c r="L5024" s="195"/>
    </row>
    <row r="5025" spans="1:12" x14ac:dyDescent="0.45">
      <c r="A5025" s="462"/>
      <c r="B5025" s="441"/>
      <c r="C5025" s="194">
        <v>4</v>
      </c>
      <c r="D5025" s="80"/>
      <c r="E5025" s="97"/>
      <c r="F5025" s="97"/>
      <c r="G5025" s="97"/>
      <c r="H5025" s="97"/>
      <c r="I5025" s="97"/>
      <c r="J5025" s="97"/>
      <c r="K5025" s="97"/>
      <c r="L5025" s="195"/>
    </row>
    <row r="5026" spans="1:12" x14ac:dyDescent="0.45">
      <c r="A5026" s="462"/>
      <c r="B5026" s="441"/>
      <c r="C5026" s="194">
        <v>5</v>
      </c>
      <c r="D5026" s="80"/>
      <c r="E5026" s="97"/>
      <c r="F5026" s="97"/>
      <c r="G5026" s="97"/>
      <c r="H5026" s="97"/>
      <c r="I5026" s="97"/>
      <c r="J5026" s="97"/>
      <c r="K5026" s="97"/>
      <c r="L5026" s="195"/>
    </row>
    <row r="5027" spans="1:12" x14ac:dyDescent="0.45">
      <c r="A5027" s="462"/>
      <c r="B5027" s="441"/>
      <c r="C5027" s="194">
        <v>6</v>
      </c>
      <c r="D5027" s="80"/>
      <c r="E5027" s="97"/>
      <c r="F5027" s="97"/>
      <c r="G5027" s="97"/>
      <c r="H5027" s="97"/>
      <c r="I5027" s="97"/>
      <c r="J5027" s="97"/>
      <c r="K5027" s="97"/>
      <c r="L5027" s="195"/>
    </row>
    <row r="5028" spans="1:12" x14ac:dyDescent="0.45">
      <c r="A5028" s="462"/>
      <c r="B5028" s="441"/>
      <c r="C5028" s="194">
        <v>7</v>
      </c>
      <c r="D5028" s="80"/>
      <c r="E5028" s="97"/>
      <c r="F5028" s="97"/>
      <c r="G5028" s="97"/>
      <c r="H5028" s="97"/>
      <c r="I5028" s="97"/>
      <c r="J5028" s="97"/>
      <c r="K5028" s="97"/>
      <c r="L5028" s="195"/>
    </row>
    <row r="5029" spans="1:12" x14ac:dyDescent="0.45">
      <c r="A5029" s="462"/>
      <c r="B5029" s="441"/>
      <c r="C5029" s="194">
        <v>8</v>
      </c>
      <c r="D5029" s="80"/>
      <c r="E5029" s="97"/>
      <c r="F5029" s="97"/>
      <c r="G5029" s="97"/>
      <c r="H5029" s="97"/>
      <c r="I5029" s="97"/>
      <c r="J5029" s="97"/>
      <c r="K5029" s="97"/>
      <c r="L5029" s="195"/>
    </row>
    <row r="5030" spans="1:12" x14ac:dyDescent="0.45">
      <c r="A5030" s="462"/>
      <c r="B5030" s="441"/>
      <c r="C5030" s="194">
        <v>9</v>
      </c>
      <c r="D5030" s="80"/>
      <c r="E5030" s="97"/>
      <c r="F5030" s="97"/>
      <c r="G5030" s="97"/>
      <c r="H5030" s="97"/>
      <c r="I5030" s="97"/>
      <c r="J5030" s="97"/>
      <c r="K5030" s="97"/>
      <c r="L5030" s="195"/>
    </row>
    <row r="5031" spans="1:12" x14ac:dyDescent="0.45">
      <c r="A5031" s="462"/>
      <c r="B5031" s="441"/>
      <c r="C5031" s="194">
        <v>10</v>
      </c>
      <c r="D5031" s="80"/>
      <c r="E5031" s="97"/>
      <c r="F5031" s="97"/>
      <c r="G5031" s="97"/>
      <c r="H5031" s="97"/>
      <c r="I5031" s="97"/>
      <c r="J5031" s="97"/>
      <c r="K5031" s="97"/>
      <c r="L5031" s="195"/>
    </row>
    <row r="5032" spans="1:12" x14ac:dyDescent="0.45">
      <c r="A5032" s="462"/>
      <c r="B5032" s="441"/>
      <c r="C5032" s="194">
        <v>11</v>
      </c>
      <c r="D5032" s="81"/>
      <c r="E5032" s="98"/>
      <c r="F5032" s="98"/>
      <c r="G5032" s="98"/>
      <c r="H5032" s="98"/>
      <c r="I5032" s="98"/>
      <c r="J5032" s="98"/>
      <c r="K5032" s="98"/>
      <c r="L5032" s="196"/>
    </row>
    <row r="5033" spans="1:12" ht="14.65" thickBot="1" x14ac:dyDescent="0.5">
      <c r="A5033" s="463"/>
      <c r="B5033" s="442"/>
      <c r="C5033" s="197">
        <v>12</v>
      </c>
      <c r="D5033" s="82"/>
      <c r="E5033" s="99"/>
      <c r="F5033" s="99"/>
      <c r="G5033" s="99"/>
      <c r="H5033" s="99"/>
      <c r="I5033" s="99"/>
      <c r="J5033" s="99"/>
      <c r="K5033" s="99"/>
      <c r="L5033" s="198"/>
    </row>
    <row r="5034" spans="1:12" x14ac:dyDescent="0.45">
      <c r="A5034" s="461">
        <v>3</v>
      </c>
      <c r="B5034" s="440">
        <v>9</v>
      </c>
      <c r="C5034" s="192">
        <v>1</v>
      </c>
      <c r="D5034" s="79"/>
      <c r="E5034" s="96"/>
      <c r="F5034" s="96"/>
      <c r="G5034" s="96"/>
      <c r="H5034" s="96"/>
      <c r="I5034" s="96"/>
      <c r="J5034" s="96"/>
      <c r="K5034" s="96"/>
      <c r="L5034" s="193"/>
    </row>
    <row r="5035" spans="1:12" x14ac:dyDescent="0.45">
      <c r="A5035" s="462"/>
      <c r="B5035" s="441"/>
      <c r="C5035" s="194">
        <v>2</v>
      </c>
      <c r="D5035" s="80"/>
      <c r="E5035" s="97"/>
      <c r="F5035" s="97"/>
      <c r="G5035" s="97"/>
      <c r="H5035" s="97"/>
      <c r="I5035" s="97"/>
      <c r="J5035" s="97"/>
      <c r="K5035" s="97"/>
      <c r="L5035" s="195"/>
    </row>
    <row r="5036" spans="1:12" x14ac:dyDescent="0.45">
      <c r="A5036" s="462"/>
      <c r="B5036" s="441"/>
      <c r="C5036" s="194">
        <v>3</v>
      </c>
      <c r="D5036" s="80"/>
      <c r="E5036" s="97"/>
      <c r="F5036" s="97"/>
      <c r="G5036" s="97"/>
      <c r="H5036" s="97"/>
      <c r="I5036" s="97"/>
      <c r="J5036" s="97"/>
      <c r="K5036" s="97"/>
      <c r="L5036" s="195"/>
    </row>
    <row r="5037" spans="1:12" x14ac:dyDescent="0.45">
      <c r="A5037" s="462"/>
      <c r="B5037" s="441"/>
      <c r="C5037" s="194">
        <v>4</v>
      </c>
      <c r="D5037" s="80"/>
      <c r="E5037" s="97"/>
      <c r="F5037" s="97"/>
      <c r="G5037" s="97"/>
      <c r="H5037" s="97"/>
      <c r="I5037" s="97"/>
      <c r="J5037" s="97"/>
      <c r="K5037" s="97"/>
      <c r="L5037" s="195"/>
    </row>
    <row r="5038" spans="1:12" x14ac:dyDescent="0.45">
      <c r="A5038" s="462"/>
      <c r="B5038" s="441"/>
      <c r="C5038" s="194">
        <v>5</v>
      </c>
      <c r="D5038" s="80"/>
      <c r="E5038" s="97"/>
      <c r="F5038" s="97"/>
      <c r="G5038" s="97"/>
      <c r="H5038" s="97"/>
      <c r="I5038" s="97"/>
      <c r="J5038" s="97"/>
      <c r="K5038" s="97"/>
      <c r="L5038" s="195"/>
    </row>
    <row r="5039" spans="1:12" x14ac:dyDescent="0.45">
      <c r="A5039" s="462"/>
      <c r="B5039" s="441"/>
      <c r="C5039" s="194">
        <v>6</v>
      </c>
      <c r="D5039" s="80"/>
      <c r="E5039" s="97"/>
      <c r="F5039" s="97"/>
      <c r="G5039" s="97"/>
      <c r="H5039" s="97"/>
      <c r="I5039" s="97"/>
      <c r="J5039" s="97"/>
      <c r="K5039" s="97"/>
      <c r="L5039" s="195"/>
    </row>
    <row r="5040" spans="1:12" x14ac:dyDescent="0.45">
      <c r="A5040" s="462"/>
      <c r="B5040" s="441"/>
      <c r="C5040" s="194">
        <v>7</v>
      </c>
      <c r="D5040" s="80"/>
      <c r="E5040" s="97"/>
      <c r="F5040" s="97"/>
      <c r="G5040" s="97"/>
      <c r="H5040" s="97"/>
      <c r="I5040" s="97"/>
      <c r="J5040" s="97"/>
      <c r="K5040" s="97"/>
      <c r="L5040" s="195"/>
    </row>
    <row r="5041" spans="1:12" x14ac:dyDescent="0.45">
      <c r="A5041" s="462"/>
      <c r="B5041" s="441"/>
      <c r="C5041" s="194">
        <v>8</v>
      </c>
      <c r="D5041" s="80"/>
      <c r="E5041" s="97"/>
      <c r="F5041" s="97"/>
      <c r="G5041" s="97"/>
      <c r="H5041" s="97"/>
      <c r="I5041" s="97"/>
      <c r="J5041" s="97"/>
      <c r="K5041" s="97"/>
      <c r="L5041" s="195"/>
    </row>
    <row r="5042" spans="1:12" x14ac:dyDescent="0.45">
      <c r="A5042" s="462"/>
      <c r="B5042" s="441"/>
      <c r="C5042" s="194">
        <v>9</v>
      </c>
      <c r="D5042" s="80"/>
      <c r="E5042" s="97"/>
      <c r="F5042" s="97"/>
      <c r="G5042" s="97"/>
      <c r="H5042" s="97"/>
      <c r="I5042" s="97"/>
      <c r="J5042" s="97"/>
      <c r="K5042" s="97"/>
      <c r="L5042" s="195"/>
    </row>
    <row r="5043" spans="1:12" x14ac:dyDescent="0.45">
      <c r="A5043" s="462"/>
      <c r="B5043" s="441"/>
      <c r="C5043" s="194">
        <v>10</v>
      </c>
      <c r="D5043" s="80"/>
      <c r="E5043" s="97"/>
      <c r="F5043" s="97"/>
      <c r="G5043" s="97"/>
      <c r="H5043" s="97"/>
      <c r="I5043" s="97"/>
      <c r="J5043" s="97"/>
      <c r="K5043" s="97"/>
      <c r="L5043" s="195"/>
    </row>
    <row r="5044" spans="1:12" x14ac:dyDescent="0.45">
      <c r="A5044" s="462"/>
      <c r="B5044" s="441"/>
      <c r="C5044" s="194">
        <v>11</v>
      </c>
      <c r="D5044" s="81"/>
      <c r="E5044" s="98"/>
      <c r="F5044" s="98"/>
      <c r="G5044" s="98"/>
      <c r="H5044" s="98"/>
      <c r="I5044" s="98"/>
      <c r="J5044" s="98"/>
      <c r="K5044" s="98"/>
      <c r="L5044" s="196"/>
    </row>
    <row r="5045" spans="1:12" ht="14.65" thickBot="1" x14ac:dyDescent="0.5">
      <c r="A5045" s="462"/>
      <c r="B5045" s="442"/>
      <c r="C5045" s="197">
        <v>12</v>
      </c>
      <c r="D5045" s="82"/>
      <c r="E5045" s="99"/>
      <c r="F5045" s="99"/>
      <c r="G5045" s="99"/>
      <c r="H5045" s="99"/>
      <c r="I5045" s="99"/>
      <c r="J5045" s="99"/>
      <c r="K5045" s="99"/>
      <c r="L5045" s="198"/>
    </row>
    <row r="5046" spans="1:12" x14ac:dyDescent="0.45">
      <c r="A5046" s="462"/>
      <c r="B5046" s="440">
        <v>10</v>
      </c>
      <c r="C5046" s="192">
        <v>1</v>
      </c>
      <c r="D5046" s="79"/>
      <c r="E5046" s="96"/>
      <c r="F5046" s="96"/>
      <c r="G5046" s="96"/>
      <c r="H5046" s="96"/>
      <c r="I5046" s="96"/>
      <c r="J5046" s="96"/>
      <c r="K5046" s="96"/>
      <c r="L5046" s="193"/>
    </row>
    <row r="5047" spans="1:12" x14ac:dyDescent="0.45">
      <c r="A5047" s="462"/>
      <c r="B5047" s="441"/>
      <c r="C5047" s="194">
        <v>2</v>
      </c>
      <c r="D5047" s="80"/>
      <c r="E5047" s="97"/>
      <c r="F5047" s="97"/>
      <c r="G5047" s="97"/>
      <c r="H5047" s="97"/>
      <c r="I5047" s="97"/>
      <c r="J5047" s="97"/>
      <c r="K5047" s="97"/>
      <c r="L5047" s="195"/>
    </row>
    <row r="5048" spans="1:12" x14ac:dyDescent="0.45">
      <c r="A5048" s="462"/>
      <c r="B5048" s="441"/>
      <c r="C5048" s="194">
        <v>3</v>
      </c>
      <c r="D5048" s="80"/>
      <c r="E5048" s="97"/>
      <c r="F5048" s="97"/>
      <c r="G5048" s="97"/>
      <c r="H5048" s="97"/>
      <c r="I5048" s="97"/>
      <c r="J5048" s="97"/>
      <c r="K5048" s="97"/>
      <c r="L5048" s="195"/>
    </row>
    <row r="5049" spans="1:12" x14ac:dyDescent="0.45">
      <c r="A5049" s="462"/>
      <c r="B5049" s="441"/>
      <c r="C5049" s="194">
        <v>4</v>
      </c>
      <c r="D5049" s="80"/>
      <c r="E5049" s="97"/>
      <c r="F5049" s="97"/>
      <c r="G5049" s="97"/>
      <c r="H5049" s="97"/>
      <c r="I5049" s="97"/>
      <c r="J5049" s="97"/>
      <c r="K5049" s="97"/>
      <c r="L5049" s="195"/>
    </row>
    <row r="5050" spans="1:12" x14ac:dyDescent="0.45">
      <c r="A5050" s="462"/>
      <c r="B5050" s="441"/>
      <c r="C5050" s="194">
        <v>5</v>
      </c>
      <c r="D5050" s="80"/>
      <c r="E5050" s="97"/>
      <c r="F5050" s="97"/>
      <c r="G5050" s="97"/>
      <c r="H5050" s="97"/>
      <c r="I5050" s="97"/>
      <c r="J5050" s="97"/>
      <c r="K5050" s="97"/>
      <c r="L5050" s="195"/>
    </row>
    <row r="5051" spans="1:12" x14ac:dyDescent="0.45">
      <c r="A5051" s="462"/>
      <c r="B5051" s="441"/>
      <c r="C5051" s="194">
        <v>6</v>
      </c>
      <c r="D5051" s="80"/>
      <c r="E5051" s="97"/>
      <c r="F5051" s="97"/>
      <c r="G5051" s="97"/>
      <c r="H5051" s="97"/>
      <c r="I5051" s="97"/>
      <c r="J5051" s="97"/>
      <c r="K5051" s="97"/>
      <c r="L5051" s="195"/>
    </row>
    <row r="5052" spans="1:12" x14ac:dyDescent="0.45">
      <c r="A5052" s="462"/>
      <c r="B5052" s="441"/>
      <c r="C5052" s="194">
        <v>7</v>
      </c>
      <c r="D5052" s="80"/>
      <c r="E5052" s="97"/>
      <c r="F5052" s="97"/>
      <c r="G5052" s="97"/>
      <c r="H5052" s="97"/>
      <c r="I5052" s="97"/>
      <c r="J5052" s="97"/>
      <c r="K5052" s="97"/>
      <c r="L5052" s="195"/>
    </row>
    <row r="5053" spans="1:12" x14ac:dyDescent="0.45">
      <c r="A5053" s="462"/>
      <c r="B5053" s="441"/>
      <c r="C5053" s="194">
        <v>8</v>
      </c>
      <c r="D5053" s="80"/>
      <c r="E5053" s="97"/>
      <c r="F5053" s="97"/>
      <c r="G5053" s="97"/>
      <c r="H5053" s="97"/>
      <c r="I5053" s="97"/>
      <c r="J5053" s="97"/>
      <c r="K5053" s="97"/>
      <c r="L5053" s="195"/>
    </row>
    <row r="5054" spans="1:12" x14ac:dyDescent="0.45">
      <c r="A5054" s="462"/>
      <c r="B5054" s="441"/>
      <c r="C5054" s="194">
        <v>9</v>
      </c>
      <c r="D5054" s="80"/>
      <c r="E5054" s="97"/>
      <c r="F5054" s="97"/>
      <c r="G5054" s="97"/>
      <c r="H5054" s="97"/>
      <c r="I5054" s="97"/>
      <c r="J5054" s="97"/>
      <c r="K5054" s="97"/>
      <c r="L5054" s="195"/>
    </row>
    <row r="5055" spans="1:12" x14ac:dyDescent="0.45">
      <c r="A5055" s="462"/>
      <c r="B5055" s="441"/>
      <c r="C5055" s="194">
        <v>10</v>
      </c>
      <c r="D5055" s="80"/>
      <c r="E5055" s="97"/>
      <c r="F5055" s="97"/>
      <c r="G5055" s="97"/>
      <c r="H5055" s="97"/>
      <c r="I5055" s="97"/>
      <c r="J5055" s="97"/>
      <c r="K5055" s="97"/>
      <c r="L5055" s="195"/>
    </row>
    <row r="5056" spans="1:12" x14ac:dyDescent="0.45">
      <c r="A5056" s="462"/>
      <c r="B5056" s="441"/>
      <c r="C5056" s="194">
        <v>11</v>
      </c>
      <c r="D5056" s="81"/>
      <c r="E5056" s="98"/>
      <c r="F5056" s="98"/>
      <c r="G5056" s="98"/>
      <c r="H5056" s="98"/>
      <c r="I5056" s="98"/>
      <c r="J5056" s="98"/>
      <c r="K5056" s="98"/>
      <c r="L5056" s="196"/>
    </row>
    <row r="5057" spans="1:12" ht="14.65" thickBot="1" x14ac:dyDescent="0.5">
      <c r="A5057" s="462"/>
      <c r="B5057" s="442"/>
      <c r="C5057" s="197">
        <v>12</v>
      </c>
      <c r="D5057" s="82"/>
      <c r="E5057" s="99"/>
      <c r="F5057" s="99"/>
      <c r="G5057" s="99"/>
      <c r="H5057" s="99"/>
      <c r="I5057" s="99"/>
      <c r="J5057" s="99"/>
      <c r="K5057" s="99"/>
      <c r="L5057" s="198"/>
    </row>
    <row r="5058" spans="1:12" x14ac:dyDescent="0.45">
      <c r="A5058" s="462"/>
      <c r="B5058" s="440">
        <v>11</v>
      </c>
      <c r="C5058" s="192">
        <v>1</v>
      </c>
      <c r="D5058" s="79"/>
      <c r="E5058" s="96"/>
      <c r="F5058" s="96"/>
      <c r="G5058" s="96"/>
      <c r="H5058" s="96"/>
      <c r="I5058" s="96"/>
      <c r="J5058" s="96"/>
      <c r="K5058" s="96"/>
      <c r="L5058" s="193"/>
    </row>
    <row r="5059" spans="1:12" x14ac:dyDescent="0.45">
      <c r="A5059" s="462"/>
      <c r="B5059" s="441"/>
      <c r="C5059" s="194">
        <v>2</v>
      </c>
      <c r="D5059" s="80"/>
      <c r="E5059" s="97"/>
      <c r="F5059" s="97"/>
      <c r="G5059" s="97"/>
      <c r="H5059" s="97"/>
      <c r="I5059" s="97"/>
      <c r="J5059" s="97"/>
      <c r="K5059" s="97"/>
      <c r="L5059" s="195"/>
    </row>
    <row r="5060" spans="1:12" x14ac:dyDescent="0.45">
      <c r="A5060" s="462"/>
      <c r="B5060" s="441"/>
      <c r="C5060" s="194">
        <v>3</v>
      </c>
      <c r="D5060" s="80"/>
      <c r="E5060" s="97"/>
      <c r="F5060" s="97"/>
      <c r="G5060" s="97"/>
      <c r="H5060" s="97"/>
      <c r="I5060" s="97"/>
      <c r="J5060" s="97"/>
      <c r="K5060" s="97"/>
      <c r="L5060" s="195"/>
    </row>
    <row r="5061" spans="1:12" x14ac:dyDescent="0.45">
      <c r="A5061" s="462"/>
      <c r="B5061" s="441"/>
      <c r="C5061" s="194">
        <v>4</v>
      </c>
      <c r="D5061" s="80"/>
      <c r="E5061" s="97"/>
      <c r="F5061" s="97"/>
      <c r="G5061" s="97"/>
      <c r="H5061" s="97"/>
      <c r="I5061" s="97"/>
      <c r="J5061" s="97"/>
      <c r="K5061" s="97"/>
      <c r="L5061" s="195"/>
    </row>
    <row r="5062" spans="1:12" x14ac:dyDescent="0.45">
      <c r="A5062" s="462"/>
      <c r="B5062" s="441"/>
      <c r="C5062" s="194">
        <v>5</v>
      </c>
      <c r="D5062" s="80"/>
      <c r="E5062" s="97"/>
      <c r="F5062" s="97"/>
      <c r="G5062" s="97"/>
      <c r="H5062" s="97"/>
      <c r="I5062" s="97"/>
      <c r="J5062" s="97"/>
      <c r="K5062" s="97"/>
      <c r="L5062" s="195"/>
    </row>
    <row r="5063" spans="1:12" x14ac:dyDescent="0.45">
      <c r="A5063" s="462"/>
      <c r="B5063" s="441"/>
      <c r="C5063" s="194">
        <v>6</v>
      </c>
      <c r="D5063" s="80"/>
      <c r="E5063" s="97"/>
      <c r="F5063" s="97"/>
      <c r="G5063" s="97"/>
      <c r="H5063" s="97"/>
      <c r="I5063" s="97"/>
      <c r="J5063" s="97"/>
      <c r="K5063" s="97"/>
      <c r="L5063" s="195"/>
    </row>
    <row r="5064" spans="1:12" x14ac:dyDescent="0.45">
      <c r="A5064" s="462"/>
      <c r="B5064" s="441"/>
      <c r="C5064" s="194">
        <v>7</v>
      </c>
      <c r="D5064" s="80"/>
      <c r="E5064" s="97"/>
      <c r="F5064" s="97"/>
      <c r="G5064" s="97"/>
      <c r="H5064" s="97"/>
      <c r="I5064" s="97"/>
      <c r="J5064" s="97"/>
      <c r="K5064" s="97"/>
      <c r="L5064" s="195"/>
    </row>
    <row r="5065" spans="1:12" x14ac:dyDescent="0.45">
      <c r="A5065" s="462"/>
      <c r="B5065" s="441"/>
      <c r="C5065" s="194">
        <v>8</v>
      </c>
      <c r="D5065" s="80"/>
      <c r="E5065" s="97"/>
      <c r="F5065" s="97"/>
      <c r="G5065" s="97"/>
      <c r="H5065" s="97"/>
      <c r="I5065" s="97"/>
      <c r="J5065" s="97"/>
      <c r="K5065" s="97"/>
      <c r="L5065" s="195"/>
    </row>
    <row r="5066" spans="1:12" x14ac:dyDescent="0.45">
      <c r="A5066" s="462"/>
      <c r="B5066" s="441"/>
      <c r="C5066" s="194">
        <v>9</v>
      </c>
      <c r="D5066" s="80"/>
      <c r="E5066" s="97"/>
      <c r="F5066" s="97"/>
      <c r="G5066" s="97"/>
      <c r="H5066" s="97"/>
      <c r="I5066" s="97"/>
      <c r="J5066" s="97"/>
      <c r="K5066" s="97"/>
      <c r="L5066" s="195"/>
    </row>
    <row r="5067" spans="1:12" x14ac:dyDescent="0.45">
      <c r="A5067" s="462"/>
      <c r="B5067" s="441"/>
      <c r="C5067" s="194">
        <v>10</v>
      </c>
      <c r="D5067" s="80"/>
      <c r="E5067" s="97"/>
      <c r="F5067" s="97"/>
      <c r="G5067" s="97"/>
      <c r="H5067" s="97"/>
      <c r="I5067" s="97"/>
      <c r="J5067" s="97"/>
      <c r="K5067" s="97"/>
      <c r="L5067" s="195"/>
    </row>
    <row r="5068" spans="1:12" x14ac:dyDescent="0.45">
      <c r="A5068" s="462"/>
      <c r="B5068" s="441"/>
      <c r="C5068" s="194">
        <v>11</v>
      </c>
      <c r="D5068" s="81"/>
      <c r="E5068" s="98"/>
      <c r="F5068" s="98"/>
      <c r="G5068" s="98"/>
      <c r="H5068" s="98"/>
      <c r="I5068" s="98"/>
      <c r="J5068" s="98"/>
      <c r="K5068" s="98"/>
      <c r="L5068" s="196"/>
    </row>
    <row r="5069" spans="1:12" ht="14.65" thickBot="1" x14ac:dyDescent="0.5">
      <c r="A5069" s="462"/>
      <c r="B5069" s="442"/>
      <c r="C5069" s="197">
        <v>12</v>
      </c>
      <c r="D5069" s="82"/>
      <c r="E5069" s="99"/>
      <c r="F5069" s="99"/>
      <c r="G5069" s="99"/>
      <c r="H5069" s="99"/>
      <c r="I5069" s="99"/>
      <c r="J5069" s="99"/>
      <c r="K5069" s="99"/>
      <c r="L5069" s="198"/>
    </row>
    <row r="5070" spans="1:12" x14ac:dyDescent="0.45">
      <c r="A5070" s="462"/>
      <c r="B5070" s="440">
        <v>12</v>
      </c>
      <c r="C5070" s="192">
        <v>1</v>
      </c>
      <c r="D5070" s="79"/>
      <c r="E5070" s="96"/>
      <c r="F5070" s="96"/>
      <c r="G5070" s="96"/>
      <c r="H5070" s="96"/>
      <c r="I5070" s="96"/>
      <c r="J5070" s="96"/>
      <c r="K5070" s="96"/>
      <c r="L5070" s="193"/>
    </row>
    <row r="5071" spans="1:12" x14ac:dyDescent="0.45">
      <c r="A5071" s="462"/>
      <c r="B5071" s="441"/>
      <c r="C5071" s="194">
        <v>2</v>
      </c>
      <c r="D5071" s="80"/>
      <c r="E5071" s="97"/>
      <c r="F5071" s="97"/>
      <c r="G5071" s="97"/>
      <c r="H5071" s="97"/>
      <c r="I5071" s="97"/>
      <c r="J5071" s="97"/>
      <c r="K5071" s="97"/>
      <c r="L5071" s="195"/>
    </row>
    <row r="5072" spans="1:12" x14ac:dyDescent="0.45">
      <c r="A5072" s="462"/>
      <c r="B5072" s="441"/>
      <c r="C5072" s="194">
        <v>3</v>
      </c>
      <c r="D5072" s="80"/>
      <c r="E5072" s="97"/>
      <c r="F5072" s="97"/>
      <c r="G5072" s="97"/>
      <c r="H5072" s="97"/>
      <c r="I5072" s="97"/>
      <c r="J5072" s="97"/>
      <c r="K5072" s="97"/>
      <c r="L5072" s="195"/>
    </row>
    <row r="5073" spans="1:12" x14ac:dyDescent="0.45">
      <c r="A5073" s="462"/>
      <c r="B5073" s="441"/>
      <c r="C5073" s="194">
        <v>4</v>
      </c>
      <c r="D5073" s="80"/>
      <c r="E5073" s="97"/>
      <c r="F5073" s="97"/>
      <c r="G5073" s="97"/>
      <c r="H5073" s="97"/>
      <c r="I5073" s="97"/>
      <c r="J5073" s="97"/>
      <c r="K5073" s="97"/>
      <c r="L5073" s="195"/>
    </row>
    <row r="5074" spans="1:12" x14ac:dyDescent="0.45">
      <c r="A5074" s="462"/>
      <c r="B5074" s="441"/>
      <c r="C5074" s="194">
        <v>5</v>
      </c>
      <c r="D5074" s="80"/>
      <c r="E5074" s="97"/>
      <c r="F5074" s="97"/>
      <c r="G5074" s="97"/>
      <c r="H5074" s="97"/>
      <c r="I5074" s="97"/>
      <c r="J5074" s="97"/>
      <c r="K5074" s="97"/>
      <c r="L5074" s="195"/>
    </row>
    <row r="5075" spans="1:12" x14ac:dyDescent="0.45">
      <c r="A5075" s="462"/>
      <c r="B5075" s="441"/>
      <c r="C5075" s="194">
        <v>6</v>
      </c>
      <c r="D5075" s="80"/>
      <c r="E5075" s="97"/>
      <c r="F5075" s="97"/>
      <c r="G5075" s="97"/>
      <c r="H5075" s="97"/>
      <c r="I5075" s="97"/>
      <c r="J5075" s="97"/>
      <c r="K5075" s="97"/>
      <c r="L5075" s="195"/>
    </row>
    <row r="5076" spans="1:12" x14ac:dyDescent="0.45">
      <c r="A5076" s="462"/>
      <c r="B5076" s="441"/>
      <c r="C5076" s="194">
        <v>7</v>
      </c>
      <c r="D5076" s="80"/>
      <c r="E5076" s="97"/>
      <c r="F5076" s="97"/>
      <c r="G5076" s="97"/>
      <c r="H5076" s="97"/>
      <c r="I5076" s="97"/>
      <c r="J5076" s="97"/>
      <c r="K5076" s="97"/>
      <c r="L5076" s="195"/>
    </row>
    <row r="5077" spans="1:12" x14ac:dyDescent="0.45">
      <c r="A5077" s="462"/>
      <c r="B5077" s="441"/>
      <c r="C5077" s="194">
        <v>8</v>
      </c>
      <c r="D5077" s="80"/>
      <c r="E5077" s="97"/>
      <c r="F5077" s="97"/>
      <c r="G5077" s="97"/>
      <c r="H5077" s="97"/>
      <c r="I5077" s="97"/>
      <c r="J5077" s="97"/>
      <c r="K5077" s="97"/>
      <c r="L5077" s="195"/>
    </row>
    <row r="5078" spans="1:12" x14ac:dyDescent="0.45">
      <c r="A5078" s="462"/>
      <c r="B5078" s="441"/>
      <c r="C5078" s="194">
        <v>9</v>
      </c>
      <c r="D5078" s="80"/>
      <c r="E5078" s="97"/>
      <c r="F5078" s="97"/>
      <c r="G5078" s="97"/>
      <c r="H5078" s="97"/>
      <c r="I5078" s="97"/>
      <c r="J5078" s="97"/>
      <c r="K5078" s="97"/>
      <c r="L5078" s="195"/>
    </row>
    <row r="5079" spans="1:12" x14ac:dyDescent="0.45">
      <c r="A5079" s="462"/>
      <c r="B5079" s="441"/>
      <c r="C5079" s="194">
        <v>10</v>
      </c>
      <c r="D5079" s="80"/>
      <c r="E5079" s="97"/>
      <c r="F5079" s="97"/>
      <c r="G5079" s="97"/>
      <c r="H5079" s="97"/>
      <c r="I5079" s="97"/>
      <c r="J5079" s="97"/>
      <c r="K5079" s="97"/>
      <c r="L5079" s="195"/>
    </row>
    <row r="5080" spans="1:12" x14ac:dyDescent="0.45">
      <c r="A5080" s="462"/>
      <c r="B5080" s="441"/>
      <c r="C5080" s="194">
        <v>11</v>
      </c>
      <c r="D5080" s="81"/>
      <c r="E5080" s="98"/>
      <c r="F5080" s="98"/>
      <c r="G5080" s="98"/>
      <c r="H5080" s="98"/>
      <c r="I5080" s="98"/>
      <c r="J5080" s="98"/>
      <c r="K5080" s="98"/>
      <c r="L5080" s="196"/>
    </row>
    <row r="5081" spans="1:12" ht="14.65" thickBot="1" x14ac:dyDescent="0.5">
      <c r="A5081" s="463"/>
      <c r="B5081" s="442"/>
      <c r="C5081" s="199">
        <v>12</v>
      </c>
      <c r="D5081" s="82"/>
      <c r="E5081" s="99"/>
      <c r="F5081" s="99"/>
      <c r="G5081" s="99"/>
      <c r="H5081" s="99"/>
      <c r="I5081" s="99"/>
      <c r="J5081" s="99"/>
      <c r="K5081" s="99"/>
      <c r="L5081" s="198"/>
    </row>
    <row r="5083" spans="1:12" s="91" customFormat="1" x14ac:dyDescent="0.45"/>
    <row r="5084" spans="1:12" ht="14.65" thickBot="1" x14ac:dyDescent="0.5"/>
    <row r="5085" spans="1:12" ht="28.9" thickBot="1" x14ac:dyDescent="0.5">
      <c r="A5085" s="187" t="s">
        <v>76</v>
      </c>
      <c r="B5085" s="186">
        <v>33</v>
      </c>
      <c r="C5085" s="109"/>
      <c r="D5085" s="109"/>
    </row>
    <row r="5086" spans="1:12" x14ac:dyDescent="0.45">
      <c r="A5086" s="443" t="s">
        <v>27</v>
      </c>
      <c r="B5086" s="448">
        <f>Name33</f>
        <v>0</v>
      </c>
      <c r="C5086" s="449"/>
      <c r="D5086" s="450"/>
      <c r="I5086" s="204"/>
      <c r="J5086" s="204"/>
      <c r="K5086" s="204"/>
      <c r="L5086" s="204"/>
    </row>
    <row r="5087" spans="1:12" x14ac:dyDescent="0.45">
      <c r="A5087" s="444"/>
      <c r="B5087" s="448"/>
      <c r="C5087" s="449"/>
      <c r="D5087" s="450"/>
      <c r="I5087" s="204"/>
      <c r="J5087" s="204"/>
      <c r="K5087" s="204"/>
      <c r="L5087" s="204"/>
    </row>
    <row r="5088" spans="1:12" x14ac:dyDescent="0.45">
      <c r="A5088" s="445"/>
      <c r="B5088" s="388"/>
      <c r="C5088" s="451"/>
      <c r="D5088" s="452"/>
      <c r="I5088" s="204"/>
      <c r="J5088" s="204"/>
      <c r="K5088" s="204"/>
      <c r="L5088" s="204"/>
    </row>
    <row r="5089" spans="1:12" ht="14.45" customHeight="1" x14ac:dyDescent="0.45">
      <c r="A5089" s="444" t="s">
        <v>155</v>
      </c>
      <c r="B5089" s="453">
        <f>GapA33</f>
        <v>0</v>
      </c>
      <c r="C5089" s="454"/>
      <c r="D5089" s="455"/>
      <c r="I5089" s="204"/>
      <c r="J5089" s="204"/>
      <c r="K5089" s="204"/>
      <c r="L5089" s="204"/>
    </row>
    <row r="5090" spans="1:12" x14ac:dyDescent="0.45">
      <c r="A5090" s="444"/>
      <c r="B5090" s="448"/>
      <c r="C5090" s="449"/>
      <c r="D5090" s="450"/>
      <c r="I5090" s="204"/>
      <c r="J5090" s="204"/>
      <c r="K5090" s="204"/>
      <c r="L5090" s="204"/>
    </row>
    <row r="5091" spans="1:12" x14ac:dyDescent="0.45">
      <c r="A5091" s="445"/>
      <c r="B5091" s="388"/>
      <c r="C5091" s="451"/>
      <c r="D5091" s="452"/>
      <c r="I5091" s="204"/>
      <c r="J5091" s="204"/>
      <c r="K5091" s="204"/>
      <c r="L5091" s="204"/>
    </row>
    <row r="5092" spans="1:12" x14ac:dyDescent="0.45">
      <c r="A5092" s="444" t="s">
        <v>159</v>
      </c>
      <c r="B5092" s="453">
        <f>Objective33</f>
        <v>0</v>
      </c>
      <c r="C5092" s="454"/>
      <c r="D5092" s="455"/>
      <c r="I5092" s="204"/>
      <c r="J5092" s="204"/>
      <c r="K5092" s="204"/>
      <c r="L5092" s="204"/>
    </row>
    <row r="5093" spans="1:12" x14ac:dyDescent="0.45">
      <c r="A5093" s="444"/>
      <c r="B5093" s="448"/>
      <c r="C5093" s="449"/>
      <c r="D5093" s="450"/>
      <c r="I5093" s="204"/>
      <c r="J5093" s="204"/>
      <c r="K5093" s="204"/>
      <c r="L5093" s="204"/>
    </row>
    <row r="5094" spans="1:12" x14ac:dyDescent="0.45">
      <c r="A5094" s="445"/>
      <c r="B5094" s="388"/>
      <c r="C5094" s="451"/>
      <c r="D5094" s="452"/>
      <c r="I5094" s="204"/>
      <c r="J5094" s="204"/>
      <c r="K5094" s="204"/>
      <c r="L5094" s="204"/>
    </row>
    <row r="5095" spans="1:12" ht="14.45" customHeight="1" x14ac:dyDescent="0.45">
      <c r="A5095" s="446" t="s">
        <v>166</v>
      </c>
      <c r="B5095" s="454">
        <f>Capacity33</f>
        <v>0</v>
      </c>
      <c r="C5095" s="454"/>
      <c r="D5095" s="455"/>
      <c r="I5095" s="204"/>
      <c r="J5095" s="204"/>
      <c r="K5095" s="204"/>
      <c r="L5095" s="204"/>
    </row>
    <row r="5096" spans="1:12" x14ac:dyDescent="0.45">
      <c r="A5096" s="447"/>
      <c r="B5096" s="449"/>
      <c r="C5096" s="449"/>
      <c r="D5096" s="450"/>
      <c r="I5096" s="204"/>
      <c r="J5096" s="204"/>
      <c r="K5096" s="204"/>
      <c r="L5096" s="204"/>
    </row>
    <row r="5097" spans="1:12" ht="14.65" thickBot="1" x14ac:dyDescent="0.5">
      <c r="A5097" s="464"/>
      <c r="B5097" s="456"/>
      <c r="C5097" s="456"/>
      <c r="D5097" s="457"/>
      <c r="I5097" s="204"/>
      <c r="J5097" s="204"/>
      <c r="K5097" s="204"/>
      <c r="L5097" s="204"/>
    </row>
    <row r="5099" spans="1:12" ht="14.65" thickBot="1" x14ac:dyDescent="0.5">
      <c r="A5099" s="90"/>
      <c r="B5099" s="90"/>
      <c r="C5099" s="90"/>
      <c r="D5099" s="90"/>
      <c r="E5099" s="90"/>
      <c r="F5099" s="90"/>
      <c r="G5099" s="90"/>
      <c r="H5099" s="90"/>
      <c r="I5099" s="90"/>
      <c r="J5099" s="90"/>
      <c r="K5099" s="90"/>
      <c r="L5099" s="90"/>
    </row>
    <row r="5100" spans="1:12" ht="21.75" customHeight="1" x14ac:dyDescent="0.45">
      <c r="A5100" s="458" t="s">
        <v>135</v>
      </c>
      <c r="B5100" s="459"/>
      <c r="C5100" s="459"/>
      <c r="D5100" s="459"/>
      <c r="E5100" s="459"/>
      <c r="F5100" s="459"/>
      <c r="G5100" s="459"/>
      <c r="H5100" s="459"/>
      <c r="I5100" s="459"/>
      <c r="J5100" s="459"/>
      <c r="K5100" s="459"/>
      <c r="L5100" s="460"/>
    </row>
    <row r="5101" spans="1:12" ht="29" customHeight="1" thickBot="1" x14ac:dyDescent="0.5">
      <c r="A5101" s="93" t="s">
        <v>74</v>
      </c>
      <c r="B5101" s="94" t="s">
        <v>28</v>
      </c>
      <c r="C5101" s="95" t="s">
        <v>320</v>
      </c>
      <c r="D5101" s="95" t="s">
        <v>127</v>
      </c>
      <c r="E5101" s="114" t="s">
        <v>90</v>
      </c>
      <c r="F5101" s="95" t="s">
        <v>175</v>
      </c>
      <c r="G5101" s="95" t="s">
        <v>176</v>
      </c>
      <c r="H5101" s="95" t="s">
        <v>156</v>
      </c>
      <c r="I5101" s="95" t="s">
        <v>157</v>
      </c>
      <c r="J5101" s="189" t="s">
        <v>321</v>
      </c>
      <c r="K5101" s="190" t="s">
        <v>29</v>
      </c>
      <c r="L5101" s="191" t="s">
        <v>322</v>
      </c>
    </row>
    <row r="5102" spans="1:12" x14ac:dyDescent="0.45">
      <c r="A5102" s="461">
        <v>1</v>
      </c>
      <c r="B5102" s="440">
        <v>1</v>
      </c>
      <c r="C5102" s="192">
        <v>1</v>
      </c>
      <c r="D5102" s="79"/>
      <c r="E5102" s="96"/>
      <c r="F5102" s="96"/>
      <c r="G5102" s="96"/>
      <c r="H5102" s="96"/>
      <c r="I5102" s="96"/>
      <c r="J5102" s="96"/>
      <c r="K5102" s="96"/>
      <c r="L5102" s="193"/>
    </row>
    <row r="5103" spans="1:12" x14ac:dyDescent="0.45">
      <c r="A5103" s="462"/>
      <c r="B5103" s="441"/>
      <c r="C5103" s="194">
        <v>2</v>
      </c>
      <c r="D5103" s="80"/>
      <c r="E5103" s="97"/>
      <c r="F5103" s="97"/>
      <c r="G5103" s="97"/>
      <c r="H5103" s="97"/>
      <c r="I5103" s="97"/>
      <c r="J5103" s="97"/>
      <c r="K5103" s="97"/>
      <c r="L5103" s="195"/>
    </row>
    <row r="5104" spans="1:12" x14ac:dyDescent="0.45">
      <c r="A5104" s="462"/>
      <c r="B5104" s="441"/>
      <c r="C5104" s="194">
        <v>3</v>
      </c>
      <c r="D5104" s="80"/>
      <c r="E5104" s="97"/>
      <c r="F5104" s="97"/>
      <c r="G5104" s="97"/>
      <c r="H5104" s="97"/>
      <c r="I5104" s="97"/>
      <c r="J5104" s="97"/>
      <c r="K5104" s="97"/>
      <c r="L5104" s="195"/>
    </row>
    <row r="5105" spans="1:14" x14ac:dyDescent="0.45">
      <c r="A5105" s="462"/>
      <c r="B5105" s="441"/>
      <c r="C5105" s="194">
        <v>4</v>
      </c>
      <c r="D5105" s="80"/>
      <c r="E5105" s="97"/>
      <c r="F5105" s="97"/>
      <c r="G5105" s="97"/>
      <c r="H5105" s="97"/>
      <c r="I5105" s="97"/>
      <c r="J5105" s="97"/>
      <c r="K5105" s="97"/>
      <c r="L5105" s="195"/>
    </row>
    <row r="5106" spans="1:14" x14ac:dyDescent="0.45">
      <c r="A5106" s="462"/>
      <c r="B5106" s="441"/>
      <c r="C5106" s="194">
        <v>5</v>
      </c>
      <c r="D5106" s="80"/>
      <c r="E5106" s="97"/>
      <c r="F5106" s="97"/>
      <c r="G5106" s="97"/>
      <c r="H5106" s="97"/>
      <c r="I5106" s="97"/>
      <c r="J5106" s="97"/>
      <c r="K5106" s="97"/>
      <c r="L5106" s="195"/>
    </row>
    <row r="5107" spans="1:14" x14ac:dyDescent="0.45">
      <c r="A5107" s="462"/>
      <c r="B5107" s="441"/>
      <c r="C5107" s="194">
        <v>6</v>
      </c>
      <c r="D5107" s="80"/>
      <c r="E5107" s="97"/>
      <c r="F5107" s="97"/>
      <c r="G5107" s="97"/>
      <c r="H5107" s="97"/>
      <c r="I5107" s="97"/>
      <c r="J5107" s="97"/>
      <c r="K5107" s="97"/>
      <c r="L5107" s="195"/>
    </row>
    <row r="5108" spans="1:14" x14ac:dyDescent="0.45">
      <c r="A5108" s="462"/>
      <c r="B5108" s="441"/>
      <c r="C5108" s="194">
        <v>7</v>
      </c>
      <c r="D5108" s="80"/>
      <c r="E5108" s="97"/>
      <c r="F5108" s="97"/>
      <c r="G5108" s="97"/>
      <c r="H5108" s="97"/>
      <c r="I5108" s="97"/>
      <c r="J5108" s="97"/>
      <c r="K5108" s="97"/>
      <c r="L5108" s="195"/>
    </row>
    <row r="5109" spans="1:14" x14ac:dyDescent="0.45">
      <c r="A5109" s="462"/>
      <c r="B5109" s="441"/>
      <c r="C5109" s="194">
        <v>8</v>
      </c>
      <c r="D5109" s="80"/>
      <c r="E5109" s="97"/>
      <c r="F5109" s="97"/>
      <c r="G5109" s="97"/>
      <c r="H5109" s="97"/>
      <c r="I5109" s="97"/>
      <c r="J5109" s="97"/>
      <c r="K5109" s="97"/>
      <c r="L5109" s="195"/>
    </row>
    <row r="5110" spans="1:14" x14ac:dyDescent="0.45">
      <c r="A5110" s="462"/>
      <c r="B5110" s="441"/>
      <c r="C5110" s="194">
        <v>9</v>
      </c>
      <c r="D5110" s="80"/>
      <c r="E5110" s="97"/>
      <c r="F5110" s="97"/>
      <c r="G5110" s="97"/>
      <c r="H5110" s="97"/>
      <c r="I5110" s="97"/>
      <c r="J5110" s="97"/>
      <c r="K5110" s="97"/>
      <c r="L5110" s="195"/>
    </row>
    <row r="5111" spans="1:14" x14ac:dyDescent="0.45">
      <c r="A5111" s="462"/>
      <c r="B5111" s="441"/>
      <c r="C5111" s="194">
        <v>10</v>
      </c>
      <c r="D5111" s="80"/>
      <c r="E5111" s="97"/>
      <c r="F5111" s="97"/>
      <c r="G5111" s="97"/>
      <c r="H5111" s="97"/>
      <c r="I5111" s="97"/>
      <c r="J5111" s="97"/>
      <c r="K5111" s="97"/>
      <c r="L5111" s="195"/>
    </row>
    <row r="5112" spans="1:14" x14ac:dyDescent="0.45">
      <c r="A5112" s="462"/>
      <c r="B5112" s="441"/>
      <c r="C5112" s="194">
        <v>11</v>
      </c>
      <c r="D5112" s="81"/>
      <c r="E5112" s="98"/>
      <c r="F5112" s="98"/>
      <c r="G5112" s="98"/>
      <c r="H5112" s="98"/>
      <c r="I5112" s="98"/>
      <c r="J5112" s="98"/>
      <c r="K5112" s="98"/>
      <c r="L5112" s="196"/>
    </row>
    <row r="5113" spans="1:14" s="90" customFormat="1" ht="14.65" thickBot="1" x14ac:dyDescent="0.5">
      <c r="A5113" s="462"/>
      <c r="B5113" s="442"/>
      <c r="C5113" s="197">
        <v>12</v>
      </c>
      <c r="D5113" s="82"/>
      <c r="E5113" s="99"/>
      <c r="F5113" s="99"/>
      <c r="G5113" s="99"/>
      <c r="H5113" s="99"/>
      <c r="I5113" s="99"/>
      <c r="J5113" s="99"/>
      <c r="K5113" s="99"/>
      <c r="L5113" s="198"/>
      <c r="M5113" s="61"/>
      <c r="N5113" s="61"/>
    </row>
    <row r="5114" spans="1:14" x14ac:dyDescent="0.45">
      <c r="A5114" s="462"/>
      <c r="B5114" s="440">
        <v>2</v>
      </c>
      <c r="C5114" s="192">
        <v>1</v>
      </c>
      <c r="D5114" s="79"/>
      <c r="E5114" s="96"/>
      <c r="F5114" s="96"/>
      <c r="G5114" s="96"/>
      <c r="H5114" s="96"/>
      <c r="I5114" s="96"/>
      <c r="J5114" s="96"/>
      <c r="K5114" s="96"/>
      <c r="L5114" s="193"/>
    </row>
    <row r="5115" spans="1:14" x14ac:dyDescent="0.45">
      <c r="A5115" s="462"/>
      <c r="B5115" s="441"/>
      <c r="C5115" s="194">
        <v>2</v>
      </c>
      <c r="D5115" s="80"/>
      <c r="E5115" s="97"/>
      <c r="F5115" s="97"/>
      <c r="G5115" s="97"/>
      <c r="H5115" s="97"/>
      <c r="I5115" s="97"/>
      <c r="J5115" s="97"/>
      <c r="K5115" s="97"/>
      <c r="L5115" s="195"/>
    </row>
    <row r="5116" spans="1:14" x14ac:dyDescent="0.45">
      <c r="A5116" s="462"/>
      <c r="B5116" s="441"/>
      <c r="C5116" s="194">
        <v>3</v>
      </c>
      <c r="D5116" s="80"/>
      <c r="E5116" s="97"/>
      <c r="F5116" s="97"/>
      <c r="G5116" s="97"/>
      <c r="H5116" s="97"/>
      <c r="I5116" s="97"/>
      <c r="J5116" s="97"/>
      <c r="K5116" s="97"/>
      <c r="L5116" s="195"/>
    </row>
    <row r="5117" spans="1:14" x14ac:dyDescent="0.45">
      <c r="A5117" s="462"/>
      <c r="B5117" s="441"/>
      <c r="C5117" s="194">
        <v>4</v>
      </c>
      <c r="D5117" s="80"/>
      <c r="E5117" s="97"/>
      <c r="F5117" s="97"/>
      <c r="G5117" s="97"/>
      <c r="H5117" s="97"/>
      <c r="I5117" s="97"/>
      <c r="J5117" s="97"/>
      <c r="K5117" s="97"/>
      <c r="L5117" s="195"/>
    </row>
    <row r="5118" spans="1:14" x14ac:dyDescent="0.45">
      <c r="A5118" s="462"/>
      <c r="B5118" s="441"/>
      <c r="C5118" s="194">
        <v>5</v>
      </c>
      <c r="D5118" s="80"/>
      <c r="E5118" s="97"/>
      <c r="F5118" s="97"/>
      <c r="G5118" s="97"/>
      <c r="H5118" s="97"/>
      <c r="I5118" s="97"/>
      <c r="J5118" s="97"/>
      <c r="K5118" s="97"/>
      <c r="L5118" s="195"/>
    </row>
    <row r="5119" spans="1:14" x14ac:dyDescent="0.45">
      <c r="A5119" s="462"/>
      <c r="B5119" s="441"/>
      <c r="C5119" s="194">
        <v>6</v>
      </c>
      <c r="D5119" s="80"/>
      <c r="E5119" s="97"/>
      <c r="F5119" s="97"/>
      <c r="G5119" s="97"/>
      <c r="H5119" s="97"/>
      <c r="I5119" s="97"/>
      <c r="J5119" s="97"/>
      <c r="K5119" s="97"/>
      <c r="L5119" s="195"/>
    </row>
    <row r="5120" spans="1:14" x14ac:dyDescent="0.45">
      <c r="A5120" s="462"/>
      <c r="B5120" s="441"/>
      <c r="C5120" s="194">
        <v>7</v>
      </c>
      <c r="D5120" s="80"/>
      <c r="E5120" s="97"/>
      <c r="F5120" s="97"/>
      <c r="G5120" s="97"/>
      <c r="H5120" s="97"/>
      <c r="I5120" s="97"/>
      <c r="J5120" s="97"/>
      <c r="K5120" s="97"/>
      <c r="L5120" s="195"/>
    </row>
    <row r="5121" spans="1:12" x14ac:dyDescent="0.45">
      <c r="A5121" s="462"/>
      <c r="B5121" s="441"/>
      <c r="C5121" s="194">
        <v>8</v>
      </c>
      <c r="D5121" s="80"/>
      <c r="E5121" s="97"/>
      <c r="F5121" s="97"/>
      <c r="G5121" s="97"/>
      <c r="H5121" s="97"/>
      <c r="I5121" s="97"/>
      <c r="J5121" s="97"/>
      <c r="K5121" s="97"/>
      <c r="L5121" s="195"/>
    </row>
    <row r="5122" spans="1:12" x14ac:dyDescent="0.45">
      <c r="A5122" s="462"/>
      <c r="B5122" s="441"/>
      <c r="C5122" s="194">
        <v>9</v>
      </c>
      <c r="D5122" s="80"/>
      <c r="E5122" s="97"/>
      <c r="F5122" s="97"/>
      <c r="G5122" s="97"/>
      <c r="H5122" s="97"/>
      <c r="I5122" s="97"/>
      <c r="J5122" s="97"/>
      <c r="K5122" s="97"/>
      <c r="L5122" s="195"/>
    </row>
    <row r="5123" spans="1:12" x14ac:dyDescent="0.45">
      <c r="A5123" s="462"/>
      <c r="B5123" s="441"/>
      <c r="C5123" s="194">
        <v>10</v>
      </c>
      <c r="D5123" s="80"/>
      <c r="E5123" s="97"/>
      <c r="F5123" s="97"/>
      <c r="G5123" s="97"/>
      <c r="H5123" s="97"/>
      <c r="I5123" s="97"/>
      <c r="J5123" s="97"/>
      <c r="K5123" s="97"/>
      <c r="L5123" s="195"/>
    </row>
    <row r="5124" spans="1:12" x14ac:dyDescent="0.45">
      <c r="A5124" s="462"/>
      <c r="B5124" s="441"/>
      <c r="C5124" s="194">
        <v>11</v>
      </c>
      <c r="D5124" s="81"/>
      <c r="E5124" s="98"/>
      <c r="F5124" s="98"/>
      <c r="G5124" s="98"/>
      <c r="H5124" s="98"/>
      <c r="I5124" s="98"/>
      <c r="J5124" s="98"/>
      <c r="K5124" s="98"/>
      <c r="L5124" s="196"/>
    </row>
    <row r="5125" spans="1:12" ht="14.65" thickBot="1" x14ac:dyDescent="0.5">
      <c r="A5125" s="462"/>
      <c r="B5125" s="442"/>
      <c r="C5125" s="197">
        <v>12</v>
      </c>
      <c r="D5125" s="82"/>
      <c r="E5125" s="99"/>
      <c r="F5125" s="99"/>
      <c r="G5125" s="99"/>
      <c r="H5125" s="99"/>
      <c r="I5125" s="99"/>
      <c r="J5125" s="99"/>
      <c r="K5125" s="99"/>
      <c r="L5125" s="198"/>
    </row>
    <row r="5126" spans="1:12" x14ac:dyDescent="0.45">
      <c r="A5126" s="462"/>
      <c r="B5126" s="440">
        <v>3</v>
      </c>
      <c r="C5126" s="192">
        <v>1</v>
      </c>
      <c r="D5126" s="79"/>
      <c r="E5126" s="96"/>
      <c r="F5126" s="96"/>
      <c r="G5126" s="96"/>
      <c r="H5126" s="96"/>
      <c r="I5126" s="96"/>
      <c r="J5126" s="96"/>
      <c r="K5126" s="96"/>
      <c r="L5126" s="193"/>
    </row>
    <row r="5127" spans="1:12" x14ac:dyDescent="0.45">
      <c r="A5127" s="462"/>
      <c r="B5127" s="441"/>
      <c r="C5127" s="194">
        <v>2</v>
      </c>
      <c r="D5127" s="80"/>
      <c r="E5127" s="97"/>
      <c r="F5127" s="97"/>
      <c r="G5127" s="97"/>
      <c r="H5127" s="97"/>
      <c r="I5127" s="97"/>
      <c r="J5127" s="97"/>
      <c r="K5127" s="97"/>
      <c r="L5127" s="195"/>
    </row>
    <row r="5128" spans="1:12" x14ac:dyDescent="0.45">
      <c r="A5128" s="462"/>
      <c r="B5128" s="441"/>
      <c r="C5128" s="194">
        <v>3</v>
      </c>
      <c r="D5128" s="80"/>
      <c r="E5128" s="97"/>
      <c r="F5128" s="97"/>
      <c r="G5128" s="97"/>
      <c r="H5128" s="97"/>
      <c r="I5128" s="97"/>
      <c r="J5128" s="97"/>
      <c r="K5128" s="97"/>
      <c r="L5128" s="195"/>
    </row>
    <row r="5129" spans="1:12" x14ac:dyDescent="0.45">
      <c r="A5129" s="462"/>
      <c r="B5129" s="441"/>
      <c r="C5129" s="194">
        <v>4</v>
      </c>
      <c r="D5129" s="80"/>
      <c r="E5129" s="97"/>
      <c r="F5129" s="97"/>
      <c r="G5129" s="97"/>
      <c r="H5129" s="97"/>
      <c r="I5129" s="97"/>
      <c r="J5129" s="97"/>
      <c r="K5129" s="97"/>
      <c r="L5129" s="195"/>
    </row>
    <row r="5130" spans="1:12" x14ac:dyDescent="0.45">
      <c r="A5130" s="462"/>
      <c r="B5130" s="441"/>
      <c r="C5130" s="194">
        <v>5</v>
      </c>
      <c r="D5130" s="80"/>
      <c r="E5130" s="97"/>
      <c r="F5130" s="97"/>
      <c r="G5130" s="97"/>
      <c r="H5130" s="97"/>
      <c r="I5130" s="97"/>
      <c r="J5130" s="97"/>
      <c r="K5130" s="97"/>
      <c r="L5130" s="195"/>
    </row>
    <row r="5131" spans="1:12" x14ac:dyDescent="0.45">
      <c r="A5131" s="462"/>
      <c r="B5131" s="441"/>
      <c r="C5131" s="194">
        <v>6</v>
      </c>
      <c r="D5131" s="80"/>
      <c r="E5131" s="97"/>
      <c r="F5131" s="97"/>
      <c r="G5131" s="97"/>
      <c r="H5131" s="97"/>
      <c r="I5131" s="97"/>
      <c r="J5131" s="97"/>
      <c r="K5131" s="97"/>
      <c r="L5131" s="195"/>
    </row>
    <row r="5132" spans="1:12" x14ac:dyDescent="0.45">
      <c r="A5132" s="462"/>
      <c r="B5132" s="441"/>
      <c r="C5132" s="194">
        <v>7</v>
      </c>
      <c r="D5132" s="80"/>
      <c r="E5132" s="97"/>
      <c r="F5132" s="97"/>
      <c r="G5132" s="97"/>
      <c r="H5132" s="97"/>
      <c r="I5132" s="97"/>
      <c r="J5132" s="97"/>
      <c r="K5132" s="97"/>
      <c r="L5132" s="195"/>
    </row>
    <row r="5133" spans="1:12" x14ac:dyDescent="0.45">
      <c r="A5133" s="462"/>
      <c r="B5133" s="441"/>
      <c r="C5133" s="194">
        <v>8</v>
      </c>
      <c r="D5133" s="80"/>
      <c r="E5133" s="97"/>
      <c r="F5133" s="97"/>
      <c r="G5133" s="97"/>
      <c r="H5133" s="97"/>
      <c r="I5133" s="97"/>
      <c r="J5133" s="97"/>
      <c r="K5133" s="97"/>
      <c r="L5133" s="195"/>
    </row>
    <row r="5134" spans="1:12" x14ac:dyDescent="0.45">
      <c r="A5134" s="462"/>
      <c r="B5134" s="441"/>
      <c r="C5134" s="194">
        <v>9</v>
      </c>
      <c r="D5134" s="80"/>
      <c r="E5134" s="97"/>
      <c r="F5134" s="97"/>
      <c r="G5134" s="97"/>
      <c r="H5134" s="97"/>
      <c r="I5134" s="97"/>
      <c r="J5134" s="97"/>
      <c r="K5134" s="97"/>
      <c r="L5134" s="195"/>
    </row>
    <row r="5135" spans="1:12" x14ac:dyDescent="0.45">
      <c r="A5135" s="462"/>
      <c r="B5135" s="441"/>
      <c r="C5135" s="194">
        <v>10</v>
      </c>
      <c r="D5135" s="80"/>
      <c r="E5135" s="97"/>
      <c r="F5135" s="97"/>
      <c r="G5135" s="97"/>
      <c r="H5135" s="97"/>
      <c r="I5135" s="97"/>
      <c r="J5135" s="97"/>
      <c r="K5135" s="97"/>
      <c r="L5135" s="195"/>
    </row>
    <row r="5136" spans="1:12" x14ac:dyDescent="0.45">
      <c r="A5136" s="462"/>
      <c r="B5136" s="441"/>
      <c r="C5136" s="194">
        <v>11</v>
      </c>
      <c r="D5136" s="81"/>
      <c r="E5136" s="98"/>
      <c r="F5136" s="98"/>
      <c r="G5136" s="98"/>
      <c r="H5136" s="98"/>
      <c r="I5136" s="98"/>
      <c r="J5136" s="98"/>
      <c r="K5136" s="98"/>
      <c r="L5136" s="196"/>
    </row>
    <row r="5137" spans="1:12" ht="14.65" thickBot="1" x14ac:dyDescent="0.5">
      <c r="A5137" s="462"/>
      <c r="B5137" s="442"/>
      <c r="C5137" s="197">
        <v>12</v>
      </c>
      <c r="D5137" s="82"/>
      <c r="E5137" s="99"/>
      <c r="F5137" s="99"/>
      <c r="G5137" s="99"/>
      <c r="H5137" s="99"/>
      <c r="I5137" s="99"/>
      <c r="J5137" s="99"/>
      <c r="K5137" s="99"/>
      <c r="L5137" s="198"/>
    </row>
    <row r="5138" spans="1:12" x14ac:dyDescent="0.45">
      <c r="A5138" s="462"/>
      <c r="B5138" s="440">
        <v>4</v>
      </c>
      <c r="C5138" s="192">
        <v>1</v>
      </c>
      <c r="D5138" s="79"/>
      <c r="E5138" s="96"/>
      <c r="F5138" s="96"/>
      <c r="G5138" s="96"/>
      <c r="H5138" s="96"/>
      <c r="I5138" s="96"/>
      <c r="J5138" s="96"/>
      <c r="K5138" s="96"/>
      <c r="L5138" s="193"/>
    </row>
    <row r="5139" spans="1:12" x14ac:dyDescent="0.45">
      <c r="A5139" s="462"/>
      <c r="B5139" s="441"/>
      <c r="C5139" s="194">
        <v>2</v>
      </c>
      <c r="D5139" s="80"/>
      <c r="E5139" s="97"/>
      <c r="F5139" s="97"/>
      <c r="G5139" s="97"/>
      <c r="H5139" s="97"/>
      <c r="I5139" s="97"/>
      <c r="J5139" s="97"/>
      <c r="K5139" s="97"/>
      <c r="L5139" s="195"/>
    </row>
    <row r="5140" spans="1:12" x14ac:dyDescent="0.45">
      <c r="A5140" s="462"/>
      <c r="B5140" s="441"/>
      <c r="C5140" s="194">
        <v>3</v>
      </c>
      <c r="D5140" s="80"/>
      <c r="E5140" s="97"/>
      <c r="F5140" s="97"/>
      <c r="G5140" s="97"/>
      <c r="H5140" s="97"/>
      <c r="I5140" s="97"/>
      <c r="J5140" s="97"/>
      <c r="K5140" s="97"/>
      <c r="L5140" s="195"/>
    </row>
    <row r="5141" spans="1:12" x14ac:dyDescent="0.45">
      <c r="A5141" s="462"/>
      <c r="B5141" s="441"/>
      <c r="C5141" s="194">
        <v>4</v>
      </c>
      <c r="D5141" s="80"/>
      <c r="E5141" s="97"/>
      <c r="F5141" s="97"/>
      <c r="G5141" s="97"/>
      <c r="H5141" s="97"/>
      <c r="I5141" s="97"/>
      <c r="J5141" s="97"/>
      <c r="K5141" s="97"/>
      <c r="L5141" s="195"/>
    </row>
    <row r="5142" spans="1:12" x14ac:dyDescent="0.45">
      <c r="A5142" s="462"/>
      <c r="B5142" s="441"/>
      <c r="C5142" s="194">
        <v>5</v>
      </c>
      <c r="D5142" s="80"/>
      <c r="E5142" s="97"/>
      <c r="F5142" s="97"/>
      <c r="G5142" s="97"/>
      <c r="H5142" s="97"/>
      <c r="I5142" s="97"/>
      <c r="J5142" s="97"/>
      <c r="K5142" s="97"/>
      <c r="L5142" s="195"/>
    </row>
    <row r="5143" spans="1:12" x14ac:dyDescent="0.45">
      <c r="A5143" s="462"/>
      <c r="B5143" s="441"/>
      <c r="C5143" s="194">
        <v>6</v>
      </c>
      <c r="D5143" s="80"/>
      <c r="E5143" s="97"/>
      <c r="F5143" s="97"/>
      <c r="G5143" s="97"/>
      <c r="H5143" s="97"/>
      <c r="I5143" s="97"/>
      <c r="J5143" s="97"/>
      <c r="K5143" s="97"/>
      <c r="L5143" s="195"/>
    </row>
    <row r="5144" spans="1:12" x14ac:dyDescent="0.45">
      <c r="A5144" s="462"/>
      <c r="B5144" s="441"/>
      <c r="C5144" s="194">
        <v>7</v>
      </c>
      <c r="D5144" s="80"/>
      <c r="E5144" s="97"/>
      <c r="F5144" s="97"/>
      <c r="G5144" s="97"/>
      <c r="H5144" s="97"/>
      <c r="I5144" s="97"/>
      <c r="J5144" s="97"/>
      <c r="K5144" s="97"/>
      <c r="L5144" s="195"/>
    </row>
    <row r="5145" spans="1:12" x14ac:dyDescent="0.45">
      <c r="A5145" s="462"/>
      <c r="B5145" s="441"/>
      <c r="C5145" s="194">
        <v>8</v>
      </c>
      <c r="D5145" s="80"/>
      <c r="E5145" s="97"/>
      <c r="F5145" s="97"/>
      <c r="G5145" s="97"/>
      <c r="H5145" s="97"/>
      <c r="I5145" s="97"/>
      <c r="J5145" s="97"/>
      <c r="K5145" s="97"/>
      <c r="L5145" s="195"/>
    </row>
    <row r="5146" spans="1:12" x14ac:dyDescent="0.45">
      <c r="A5146" s="462"/>
      <c r="B5146" s="441"/>
      <c r="C5146" s="194">
        <v>9</v>
      </c>
      <c r="D5146" s="80"/>
      <c r="E5146" s="97"/>
      <c r="F5146" s="97"/>
      <c r="G5146" s="97"/>
      <c r="H5146" s="97"/>
      <c r="I5146" s="97"/>
      <c r="J5146" s="97"/>
      <c r="K5146" s="97"/>
      <c r="L5146" s="195"/>
    </row>
    <row r="5147" spans="1:12" x14ac:dyDescent="0.45">
      <c r="A5147" s="462"/>
      <c r="B5147" s="441"/>
      <c r="C5147" s="194">
        <v>10</v>
      </c>
      <c r="D5147" s="80"/>
      <c r="E5147" s="97"/>
      <c r="F5147" s="97"/>
      <c r="G5147" s="97"/>
      <c r="H5147" s="97"/>
      <c r="I5147" s="97"/>
      <c r="J5147" s="97"/>
      <c r="K5147" s="97"/>
      <c r="L5147" s="195"/>
    </row>
    <row r="5148" spans="1:12" x14ac:dyDescent="0.45">
      <c r="A5148" s="462"/>
      <c r="B5148" s="441"/>
      <c r="C5148" s="194">
        <v>11</v>
      </c>
      <c r="D5148" s="81"/>
      <c r="E5148" s="98"/>
      <c r="F5148" s="98"/>
      <c r="G5148" s="98"/>
      <c r="H5148" s="98"/>
      <c r="I5148" s="98"/>
      <c r="J5148" s="98"/>
      <c r="K5148" s="98"/>
      <c r="L5148" s="196"/>
    </row>
    <row r="5149" spans="1:12" ht="14.65" thickBot="1" x14ac:dyDescent="0.5">
      <c r="A5149" s="463"/>
      <c r="B5149" s="442"/>
      <c r="C5149" s="197">
        <v>12</v>
      </c>
      <c r="D5149" s="82"/>
      <c r="E5149" s="99"/>
      <c r="F5149" s="99"/>
      <c r="G5149" s="99"/>
      <c r="H5149" s="99"/>
      <c r="I5149" s="99"/>
      <c r="J5149" s="99"/>
      <c r="K5149" s="99"/>
      <c r="L5149" s="198"/>
    </row>
    <row r="5150" spans="1:12" x14ac:dyDescent="0.45">
      <c r="A5150" s="461">
        <v>2</v>
      </c>
      <c r="B5150" s="440">
        <v>5</v>
      </c>
      <c r="C5150" s="192">
        <v>1</v>
      </c>
      <c r="D5150" s="79"/>
      <c r="E5150" s="96"/>
      <c r="F5150" s="96"/>
      <c r="G5150" s="96"/>
      <c r="H5150" s="96"/>
      <c r="I5150" s="96"/>
      <c r="J5150" s="96"/>
      <c r="K5150" s="96"/>
      <c r="L5150" s="193"/>
    </row>
    <row r="5151" spans="1:12" x14ac:dyDescent="0.45">
      <c r="A5151" s="462"/>
      <c r="B5151" s="441"/>
      <c r="C5151" s="194">
        <v>2</v>
      </c>
      <c r="D5151" s="80"/>
      <c r="E5151" s="97"/>
      <c r="F5151" s="97"/>
      <c r="G5151" s="97"/>
      <c r="H5151" s="97"/>
      <c r="I5151" s="97"/>
      <c r="J5151" s="97"/>
      <c r="K5151" s="97"/>
      <c r="L5151" s="195"/>
    </row>
    <row r="5152" spans="1:12" x14ac:dyDescent="0.45">
      <c r="A5152" s="462"/>
      <c r="B5152" s="441"/>
      <c r="C5152" s="194">
        <v>3</v>
      </c>
      <c r="D5152" s="80"/>
      <c r="E5152" s="97"/>
      <c r="F5152" s="97"/>
      <c r="G5152" s="97"/>
      <c r="H5152" s="97"/>
      <c r="I5152" s="97"/>
      <c r="J5152" s="97"/>
      <c r="K5152" s="97"/>
      <c r="L5152" s="195"/>
    </row>
    <row r="5153" spans="1:12" x14ac:dyDescent="0.45">
      <c r="A5153" s="462"/>
      <c r="B5153" s="441"/>
      <c r="C5153" s="194">
        <v>4</v>
      </c>
      <c r="D5153" s="80"/>
      <c r="E5153" s="97"/>
      <c r="F5153" s="97"/>
      <c r="G5153" s="97"/>
      <c r="H5153" s="97"/>
      <c r="I5153" s="97"/>
      <c r="J5153" s="97"/>
      <c r="K5153" s="97"/>
      <c r="L5153" s="195"/>
    </row>
    <row r="5154" spans="1:12" x14ac:dyDescent="0.45">
      <c r="A5154" s="462"/>
      <c r="B5154" s="441"/>
      <c r="C5154" s="194">
        <v>5</v>
      </c>
      <c r="D5154" s="80"/>
      <c r="E5154" s="97"/>
      <c r="F5154" s="97"/>
      <c r="G5154" s="97"/>
      <c r="H5154" s="97"/>
      <c r="I5154" s="97"/>
      <c r="J5154" s="97"/>
      <c r="K5154" s="97"/>
      <c r="L5154" s="195"/>
    </row>
    <row r="5155" spans="1:12" x14ac:dyDescent="0.45">
      <c r="A5155" s="462"/>
      <c r="B5155" s="441"/>
      <c r="C5155" s="194">
        <v>6</v>
      </c>
      <c r="D5155" s="80"/>
      <c r="E5155" s="97"/>
      <c r="F5155" s="97"/>
      <c r="G5155" s="97"/>
      <c r="H5155" s="97"/>
      <c r="I5155" s="97"/>
      <c r="J5155" s="97"/>
      <c r="K5155" s="97"/>
      <c r="L5155" s="195"/>
    </row>
    <row r="5156" spans="1:12" x14ac:dyDescent="0.45">
      <c r="A5156" s="462"/>
      <c r="B5156" s="441"/>
      <c r="C5156" s="194">
        <v>7</v>
      </c>
      <c r="D5156" s="80"/>
      <c r="E5156" s="97"/>
      <c r="F5156" s="97"/>
      <c r="G5156" s="97"/>
      <c r="H5156" s="97"/>
      <c r="I5156" s="97"/>
      <c r="J5156" s="97"/>
      <c r="K5156" s="97"/>
      <c r="L5156" s="195"/>
    </row>
    <row r="5157" spans="1:12" x14ac:dyDescent="0.45">
      <c r="A5157" s="462"/>
      <c r="B5157" s="441"/>
      <c r="C5157" s="194">
        <v>8</v>
      </c>
      <c r="D5157" s="80"/>
      <c r="E5157" s="97"/>
      <c r="F5157" s="97"/>
      <c r="G5157" s="97"/>
      <c r="H5157" s="97"/>
      <c r="I5157" s="97"/>
      <c r="J5157" s="97"/>
      <c r="K5157" s="97"/>
      <c r="L5157" s="195"/>
    </row>
    <row r="5158" spans="1:12" x14ac:dyDescent="0.45">
      <c r="A5158" s="462"/>
      <c r="B5158" s="441"/>
      <c r="C5158" s="194">
        <v>9</v>
      </c>
      <c r="D5158" s="80"/>
      <c r="E5158" s="97"/>
      <c r="F5158" s="97"/>
      <c r="G5158" s="97"/>
      <c r="H5158" s="97"/>
      <c r="I5158" s="97"/>
      <c r="J5158" s="97"/>
      <c r="K5158" s="97"/>
      <c r="L5158" s="195"/>
    </row>
    <row r="5159" spans="1:12" x14ac:dyDescent="0.45">
      <c r="A5159" s="462"/>
      <c r="B5159" s="441"/>
      <c r="C5159" s="194">
        <v>10</v>
      </c>
      <c r="D5159" s="80"/>
      <c r="E5159" s="97"/>
      <c r="F5159" s="97"/>
      <c r="G5159" s="97"/>
      <c r="H5159" s="97"/>
      <c r="I5159" s="97"/>
      <c r="J5159" s="97"/>
      <c r="K5159" s="97"/>
      <c r="L5159" s="195"/>
    </row>
    <row r="5160" spans="1:12" x14ac:dyDescent="0.45">
      <c r="A5160" s="462"/>
      <c r="B5160" s="441"/>
      <c r="C5160" s="194">
        <v>11</v>
      </c>
      <c r="D5160" s="81"/>
      <c r="E5160" s="98"/>
      <c r="F5160" s="98"/>
      <c r="G5160" s="98"/>
      <c r="H5160" s="98"/>
      <c r="I5160" s="98"/>
      <c r="J5160" s="98"/>
      <c r="K5160" s="98"/>
      <c r="L5160" s="196"/>
    </row>
    <row r="5161" spans="1:12" ht="14.65" thickBot="1" x14ac:dyDescent="0.5">
      <c r="A5161" s="462"/>
      <c r="B5161" s="442"/>
      <c r="C5161" s="197">
        <v>12</v>
      </c>
      <c r="D5161" s="82"/>
      <c r="E5161" s="99"/>
      <c r="F5161" s="99"/>
      <c r="G5161" s="99"/>
      <c r="H5161" s="99"/>
      <c r="I5161" s="99"/>
      <c r="J5161" s="99"/>
      <c r="K5161" s="99"/>
      <c r="L5161" s="198"/>
    </row>
    <row r="5162" spans="1:12" x14ac:dyDescent="0.45">
      <c r="A5162" s="462"/>
      <c r="B5162" s="440">
        <v>6</v>
      </c>
      <c r="C5162" s="192">
        <v>1</v>
      </c>
      <c r="D5162" s="79"/>
      <c r="E5162" s="96"/>
      <c r="F5162" s="96"/>
      <c r="G5162" s="96"/>
      <c r="H5162" s="96"/>
      <c r="I5162" s="96"/>
      <c r="J5162" s="96"/>
      <c r="K5162" s="96"/>
      <c r="L5162" s="193"/>
    </row>
    <row r="5163" spans="1:12" x14ac:dyDescent="0.45">
      <c r="A5163" s="462"/>
      <c r="B5163" s="441"/>
      <c r="C5163" s="194">
        <v>2</v>
      </c>
      <c r="D5163" s="80"/>
      <c r="E5163" s="97"/>
      <c r="F5163" s="97"/>
      <c r="G5163" s="97"/>
      <c r="H5163" s="97"/>
      <c r="I5163" s="97"/>
      <c r="J5163" s="97"/>
      <c r="K5163" s="97"/>
      <c r="L5163" s="195"/>
    </row>
    <row r="5164" spans="1:12" x14ac:dyDescent="0.45">
      <c r="A5164" s="462"/>
      <c r="B5164" s="441"/>
      <c r="C5164" s="194">
        <v>3</v>
      </c>
      <c r="D5164" s="80"/>
      <c r="E5164" s="97"/>
      <c r="F5164" s="97"/>
      <c r="G5164" s="97"/>
      <c r="H5164" s="97"/>
      <c r="I5164" s="97"/>
      <c r="J5164" s="97"/>
      <c r="K5164" s="97"/>
      <c r="L5164" s="195"/>
    </row>
    <row r="5165" spans="1:12" x14ac:dyDescent="0.45">
      <c r="A5165" s="462"/>
      <c r="B5165" s="441"/>
      <c r="C5165" s="194">
        <v>4</v>
      </c>
      <c r="D5165" s="80"/>
      <c r="E5165" s="97"/>
      <c r="F5165" s="97"/>
      <c r="G5165" s="97"/>
      <c r="H5165" s="97"/>
      <c r="I5165" s="97"/>
      <c r="J5165" s="97"/>
      <c r="K5165" s="97"/>
      <c r="L5165" s="195"/>
    </row>
    <row r="5166" spans="1:12" x14ac:dyDescent="0.45">
      <c r="A5166" s="462"/>
      <c r="B5166" s="441"/>
      <c r="C5166" s="194">
        <v>5</v>
      </c>
      <c r="D5166" s="80"/>
      <c r="E5166" s="97"/>
      <c r="F5166" s="97"/>
      <c r="G5166" s="97"/>
      <c r="H5166" s="97"/>
      <c r="I5166" s="97"/>
      <c r="J5166" s="97"/>
      <c r="K5166" s="97"/>
      <c r="L5166" s="195"/>
    </row>
    <row r="5167" spans="1:12" x14ac:dyDescent="0.45">
      <c r="A5167" s="462"/>
      <c r="B5167" s="441"/>
      <c r="C5167" s="194">
        <v>6</v>
      </c>
      <c r="D5167" s="80"/>
      <c r="E5167" s="97"/>
      <c r="F5167" s="97"/>
      <c r="G5167" s="97"/>
      <c r="H5167" s="97"/>
      <c r="I5167" s="97"/>
      <c r="J5167" s="97"/>
      <c r="K5167" s="97"/>
      <c r="L5167" s="195"/>
    </row>
    <row r="5168" spans="1:12" x14ac:dyDescent="0.45">
      <c r="A5168" s="462"/>
      <c r="B5168" s="441"/>
      <c r="C5168" s="194">
        <v>7</v>
      </c>
      <c r="D5168" s="80"/>
      <c r="E5168" s="97"/>
      <c r="F5168" s="97"/>
      <c r="G5168" s="97"/>
      <c r="H5168" s="97"/>
      <c r="I5168" s="97"/>
      <c r="J5168" s="97"/>
      <c r="K5168" s="97"/>
      <c r="L5168" s="195"/>
    </row>
    <row r="5169" spans="1:12" x14ac:dyDescent="0.45">
      <c r="A5169" s="462"/>
      <c r="B5169" s="441"/>
      <c r="C5169" s="194">
        <v>8</v>
      </c>
      <c r="D5169" s="80"/>
      <c r="E5169" s="97"/>
      <c r="F5169" s="97"/>
      <c r="G5169" s="97"/>
      <c r="H5169" s="97"/>
      <c r="I5169" s="97"/>
      <c r="J5169" s="97"/>
      <c r="K5169" s="97"/>
      <c r="L5169" s="195"/>
    </row>
    <row r="5170" spans="1:12" x14ac:dyDescent="0.45">
      <c r="A5170" s="462"/>
      <c r="B5170" s="441"/>
      <c r="C5170" s="194">
        <v>9</v>
      </c>
      <c r="D5170" s="80"/>
      <c r="E5170" s="97"/>
      <c r="F5170" s="97"/>
      <c r="G5170" s="97"/>
      <c r="H5170" s="97"/>
      <c r="I5170" s="97"/>
      <c r="J5170" s="97"/>
      <c r="K5170" s="97"/>
      <c r="L5170" s="195"/>
    </row>
    <row r="5171" spans="1:12" x14ac:dyDescent="0.45">
      <c r="A5171" s="462"/>
      <c r="B5171" s="441"/>
      <c r="C5171" s="194">
        <v>10</v>
      </c>
      <c r="D5171" s="80"/>
      <c r="E5171" s="97"/>
      <c r="F5171" s="97"/>
      <c r="G5171" s="97"/>
      <c r="H5171" s="97"/>
      <c r="I5171" s="97"/>
      <c r="J5171" s="97"/>
      <c r="K5171" s="97"/>
      <c r="L5171" s="195"/>
    </row>
    <row r="5172" spans="1:12" x14ac:dyDescent="0.45">
      <c r="A5172" s="462"/>
      <c r="B5172" s="441"/>
      <c r="C5172" s="194">
        <v>11</v>
      </c>
      <c r="D5172" s="81"/>
      <c r="E5172" s="98"/>
      <c r="F5172" s="98"/>
      <c r="G5172" s="98"/>
      <c r="H5172" s="98"/>
      <c r="I5172" s="98"/>
      <c r="J5172" s="98"/>
      <c r="K5172" s="98"/>
      <c r="L5172" s="196"/>
    </row>
    <row r="5173" spans="1:12" ht="14.65" thickBot="1" x14ac:dyDescent="0.5">
      <c r="A5173" s="462"/>
      <c r="B5173" s="442"/>
      <c r="C5173" s="197">
        <v>12</v>
      </c>
      <c r="D5173" s="82"/>
      <c r="E5173" s="99"/>
      <c r="F5173" s="99"/>
      <c r="G5173" s="99"/>
      <c r="H5173" s="99"/>
      <c r="I5173" s="99"/>
      <c r="J5173" s="99"/>
      <c r="K5173" s="99"/>
      <c r="L5173" s="198"/>
    </row>
    <row r="5174" spans="1:12" x14ac:dyDescent="0.45">
      <c r="A5174" s="462"/>
      <c r="B5174" s="440">
        <v>7</v>
      </c>
      <c r="C5174" s="192">
        <v>1</v>
      </c>
      <c r="D5174" s="79"/>
      <c r="E5174" s="96"/>
      <c r="F5174" s="96"/>
      <c r="G5174" s="96"/>
      <c r="H5174" s="96"/>
      <c r="I5174" s="96"/>
      <c r="J5174" s="96"/>
      <c r="K5174" s="96"/>
      <c r="L5174" s="193"/>
    </row>
    <row r="5175" spans="1:12" x14ac:dyDescent="0.45">
      <c r="A5175" s="462"/>
      <c r="B5175" s="441"/>
      <c r="C5175" s="194">
        <v>2</v>
      </c>
      <c r="D5175" s="80"/>
      <c r="E5175" s="97"/>
      <c r="F5175" s="97"/>
      <c r="G5175" s="97"/>
      <c r="H5175" s="97"/>
      <c r="I5175" s="97"/>
      <c r="J5175" s="97"/>
      <c r="K5175" s="97"/>
      <c r="L5175" s="195"/>
    </row>
    <row r="5176" spans="1:12" x14ac:dyDescent="0.45">
      <c r="A5176" s="462"/>
      <c r="B5176" s="441"/>
      <c r="C5176" s="194">
        <v>3</v>
      </c>
      <c r="D5176" s="80"/>
      <c r="E5176" s="97"/>
      <c r="F5176" s="97"/>
      <c r="G5176" s="97"/>
      <c r="H5176" s="97"/>
      <c r="I5176" s="97"/>
      <c r="J5176" s="97"/>
      <c r="K5176" s="97"/>
      <c r="L5176" s="195"/>
    </row>
    <row r="5177" spans="1:12" x14ac:dyDescent="0.45">
      <c r="A5177" s="462"/>
      <c r="B5177" s="441"/>
      <c r="C5177" s="194">
        <v>4</v>
      </c>
      <c r="D5177" s="80"/>
      <c r="E5177" s="97"/>
      <c r="F5177" s="97"/>
      <c r="G5177" s="97"/>
      <c r="H5177" s="97"/>
      <c r="I5177" s="97"/>
      <c r="J5177" s="97"/>
      <c r="K5177" s="97"/>
      <c r="L5177" s="195"/>
    </row>
    <row r="5178" spans="1:12" x14ac:dyDescent="0.45">
      <c r="A5178" s="462"/>
      <c r="B5178" s="441"/>
      <c r="C5178" s="194">
        <v>5</v>
      </c>
      <c r="D5178" s="80"/>
      <c r="E5178" s="97"/>
      <c r="F5178" s="97"/>
      <c r="G5178" s="97"/>
      <c r="H5178" s="97"/>
      <c r="I5178" s="97"/>
      <c r="J5178" s="97"/>
      <c r="K5178" s="97"/>
      <c r="L5178" s="195"/>
    </row>
    <row r="5179" spans="1:12" x14ac:dyDescent="0.45">
      <c r="A5179" s="462"/>
      <c r="B5179" s="441"/>
      <c r="C5179" s="194">
        <v>6</v>
      </c>
      <c r="D5179" s="80"/>
      <c r="E5179" s="97"/>
      <c r="F5179" s="97"/>
      <c r="G5179" s="97"/>
      <c r="H5179" s="97"/>
      <c r="I5179" s="97"/>
      <c r="J5179" s="97"/>
      <c r="K5179" s="97"/>
      <c r="L5179" s="195"/>
    </row>
    <row r="5180" spans="1:12" x14ac:dyDescent="0.45">
      <c r="A5180" s="462"/>
      <c r="B5180" s="441"/>
      <c r="C5180" s="194">
        <v>7</v>
      </c>
      <c r="D5180" s="80"/>
      <c r="E5180" s="97"/>
      <c r="F5180" s="97"/>
      <c r="G5180" s="97"/>
      <c r="H5180" s="97"/>
      <c r="I5180" s="97"/>
      <c r="J5180" s="97"/>
      <c r="K5180" s="97"/>
      <c r="L5180" s="195"/>
    </row>
    <row r="5181" spans="1:12" x14ac:dyDescent="0.45">
      <c r="A5181" s="462"/>
      <c r="B5181" s="441"/>
      <c r="C5181" s="194">
        <v>8</v>
      </c>
      <c r="D5181" s="80"/>
      <c r="E5181" s="97"/>
      <c r="F5181" s="97"/>
      <c r="G5181" s="97"/>
      <c r="H5181" s="97"/>
      <c r="I5181" s="97"/>
      <c r="J5181" s="97"/>
      <c r="K5181" s="97"/>
      <c r="L5181" s="195"/>
    </row>
    <row r="5182" spans="1:12" x14ac:dyDescent="0.45">
      <c r="A5182" s="462"/>
      <c r="B5182" s="441"/>
      <c r="C5182" s="194">
        <v>9</v>
      </c>
      <c r="D5182" s="80"/>
      <c r="E5182" s="97"/>
      <c r="F5182" s="97"/>
      <c r="G5182" s="97"/>
      <c r="H5182" s="97"/>
      <c r="I5182" s="97"/>
      <c r="J5182" s="97"/>
      <c r="K5182" s="97"/>
      <c r="L5182" s="195"/>
    </row>
    <row r="5183" spans="1:12" x14ac:dyDescent="0.45">
      <c r="A5183" s="462"/>
      <c r="B5183" s="441"/>
      <c r="C5183" s="194">
        <v>10</v>
      </c>
      <c r="D5183" s="80"/>
      <c r="E5183" s="97"/>
      <c r="F5183" s="97"/>
      <c r="G5183" s="97"/>
      <c r="H5183" s="97"/>
      <c r="I5183" s="97"/>
      <c r="J5183" s="97"/>
      <c r="K5183" s="97"/>
      <c r="L5183" s="195"/>
    </row>
    <row r="5184" spans="1:12" x14ac:dyDescent="0.45">
      <c r="A5184" s="462"/>
      <c r="B5184" s="441"/>
      <c r="C5184" s="194">
        <v>11</v>
      </c>
      <c r="D5184" s="81"/>
      <c r="E5184" s="98"/>
      <c r="F5184" s="98"/>
      <c r="G5184" s="98"/>
      <c r="H5184" s="98"/>
      <c r="I5184" s="98"/>
      <c r="J5184" s="98"/>
      <c r="K5184" s="98"/>
      <c r="L5184" s="196"/>
    </row>
    <row r="5185" spans="1:12" ht="14.65" thickBot="1" x14ac:dyDescent="0.5">
      <c r="A5185" s="462"/>
      <c r="B5185" s="442"/>
      <c r="C5185" s="197">
        <v>12</v>
      </c>
      <c r="D5185" s="82"/>
      <c r="E5185" s="99"/>
      <c r="F5185" s="99"/>
      <c r="G5185" s="99"/>
      <c r="H5185" s="99"/>
      <c r="I5185" s="99"/>
      <c r="J5185" s="99"/>
      <c r="K5185" s="99"/>
      <c r="L5185" s="198"/>
    </row>
    <row r="5186" spans="1:12" x14ac:dyDescent="0.45">
      <c r="A5186" s="462"/>
      <c r="B5186" s="440">
        <v>8</v>
      </c>
      <c r="C5186" s="192">
        <v>1</v>
      </c>
      <c r="D5186" s="79"/>
      <c r="E5186" s="96"/>
      <c r="F5186" s="96"/>
      <c r="G5186" s="96"/>
      <c r="H5186" s="96"/>
      <c r="I5186" s="96"/>
      <c r="J5186" s="96"/>
      <c r="K5186" s="96"/>
      <c r="L5186" s="193"/>
    </row>
    <row r="5187" spans="1:12" x14ac:dyDescent="0.45">
      <c r="A5187" s="462"/>
      <c r="B5187" s="441"/>
      <c r="C5187" s="194">
        <v>2</v>
      </c>
      <c r="D5187" s="80"/>
      <c r="E5187" s="97"/>
      <c r="F5187" s="97"/>
      <c r="G5187" s="97"/>
      <c r="H5187" s="97"/>
      <c r="I5187" s="97"/>
      <c r="J5187" s="97"/>
      <c r="K5187" s="97"/>
      <c r="L5187" s="195"/>
    </row>
    <row r="5188" spans="1:12" x14ac:dyDescent="0.45">
      <c r="A5188" s="462"/>
      <c r="B5188" s="441"/>
      <c r="C5188" s="194">
        <v>3</v>
      </c>
      <c r="D5188" s="80"/>
      <c r="E5188" s="97"/>
      <c r="F5188" s="97"/>
      <c r="G5188" s="97"/>
      <c r="H5188" s="97"/>
      <c r="I5188" s="97"/>
      <c r="J5188" s="97"/>
      <c r="K5188" s="97"/>
      <c r="L5188" s="195"/>
    </row>
    <row r="5189" spans="1:12" x14ac:dyDescent="0.45">
      <c r="A5189" s="462"/>
      <c r="B5189" s="441"/>
      <c r="C5189" s="194">
        <v>4</v>
      </c>
      <c r="D5189" s="80"/>
      <c r="E5189" s="97"/>
      <c r="F5189" s="97"/>
      <c r="G5189" s="97"/>
      <c r="H5189" s="97"/>
      <c r="I5189" s="97"/>
      <c r="J5189" s="97"/>
      <c r="K5189" s="97"/>
      <c r="L5189" s="195"/>
    </row>
    <row r="5190" spans="1:12" x14ac:dyDescent="0.45">
      <c r="A5190" s="462"/>
      <c r="B5190" s="441"/>
      <c r="C5190" s="194">
        <v>5</v>
      </c>
      <c r="D5190" s="80"/>
      <c r="E5190" s="97"/>
      <c r="F5190" s="97"/>
      <c r="G5190" s="97"/>
      <c r="H5190" s="97"/>
      <c r="I5190" s="97"/>
      <c r="J5190" s="97"/>
      <c r="K5190" s="97"/>
      <c r="L5190" s="195"/>
    </row>
    <row r="5191" spans="1:12" x14ac:dyDescent="0.45">
      <c r="A5191" s="462"/>
      <c r="B5191" s="441"/>
      <c r="C5191" s="194">
        <v>6</v>
      </c>
      <c r="D5191" s="80"/>
      <c r="E5191" s="97"/>
      <c r="F5191" s="97"/>
      <c r="G5191" s="97"/>
      <c r="H5191" s="97"/>
      <c r="I5191" s="97"/>
      <c r="J5191" s="97"/>
      <c r="K5191" s="97"/>
      <c r="L5191" s="195"/>
    </row>
    <row r="5192" spans="1:12" x14ac:dyDescent="0.45">
      <c r="A5192" s="462"/>
      <c r="B5192" s="441"/>
      <c r="C5192" s="194">
        <v>7</v>
      </c>
      <c r="D5192" s="80"/>
      <c r="E5192" s="97"/>
      <c r="F5192" s="97"/>
      <c r="G5192" s="97"/>
      <c r="H5192" s="97"/>
      <c r="I5192" s="97"/>
      <c r="J5192" s="97"/>
      <c r="K5192" s="97"/>
      <c r="L5192" s="195"/>
    </row>
    <row r="5193" spans="1:12" x14ac:dyDescent="0.45">
      <c r="A5193" s="462"/>
      <c r="B5193" s="441"/>
      <c r="C5193" s="194">
        <v>8</v>
      </c>
      <c r="D5193" s="80"/>
      <c r="E5193" s="97"/>
      <c r="F5193" s="97"/>
      <c r="G5193" s="97"/>
      <c r="H5193" s="97"/>
      <c r="I5193" s="97"/>
      <c r="J5193" s="97"/>
      <c r="K5193" s="97"/>
      <c r="L5193" s="195"/>
    </row>
    <row r="5194" spans="1:12" x14ac:dyDescent="0.45">
      <c r="A5194" s="462"/>
      <c r="B5194" s="441"/>
      <c r="C5194" s="194">
        <v>9</v>
      </c>
      <c r="D5194" s="80"/>
      <c r="E5194" s="97"/>
      <c r="F5194" s="97"/>
      <c r="G5194" s="97"/>
      <c r="H5194" s="97"/>
      <c r="I5194" s="97"/>
      <c r="J5194" s="97"/>
      <c r="K5194" s="97"/>
      <c r="L5194" s="195"/>
    </row>
    <row r="5195" spans="1:12" x14ac:dyDescent="0.45">
      <c r="A5195" s="462"/>
      <c r="B5195" s="441"/>
      <c r="C5195" s="194">
        <v>10</v>
      </c>
      <c r="D5195" s="80"/>
      <c r="E5195" s="97"/>
      <c r="F5195" s="97"/>
      <c r="G5195" s="97"/>
      <c r="H5195" s="97"/>
      <c r="I5195" s="97"/>
      <c r="J5195" s="97"/>
      <c r="K5195" s="97"/>
      <c r="L5195" s="195"/>
    </row>
    <row r="5196" spans="1:12" x14ac:dyDescent="0.45">
      <c r="A5196" s="462"/>
      <c r="B5196" s="441"/>
      <c r="C5196" s="194">
        <v>11</v>
      </c>
      <c r="D5196" s="81"/>
      <c r="E5196" s="98"/>
      <c r="F5196" s="98"/>
      <c r="G5196" s="98"/>
      <c r="H5196" s="98"/>
      <c r="I5196" s="98"/>
      <c r="J5196" s="98"/>
      <c r="K5196" s="98"/>
      <c r="L5196" s="196"/>
    </row>
    <row r="5197" spans="1:12" ht="14.65" thickBot="1" x14ac:dyDescent="0.5">
      <c r="A5197" s="463"/>
      <c r="B5197" s="442"/>
      <c r="C5197" s="197">
        <v>12</v>
      </c>
      <c r="D5197" s="82"/>
      <c r="E5197" s="99"/>
      <c r="F5197" s="99"/>
      <c r="G5197" s="99"/>
      <c r="H5197" s="99"/>
      <c r="I5197" s="99"/>
      <c r="J5197" s="99"/>
      <c r="K5197" s="99"/>
      <c r="L5197" s="198"/>
    </row>
    <row r="5198" spans="1:12" x14ac:dyDescent="0.45">
      <c r="A5198" s="461">
        <v>3</v>
      </c>
      <c r="B5198" s="440">
        <v>9</v>
      </c>
      <c r="C5198" s="192">
        <v>1</v>
      </c>
      <c r="D5198" s="79"/>
      <c r="E5198" s="96"/>
      <c r="F5198" s="96"/>
      <c r="G5198" s="96"/>
      <c r="H5198" s="96"/>
      <c r="I5198" s="96"/>
      <c r="J5198" s="96"/>
      <c r="K5198" s="96"/>
      <c r="L5198" s="193"/>
    </row>
    <row r="5199" spans="1:12" x14ac:dyDescent="0.45">
      <c r="A5199" s="462"/>
      <c r="B5199" s="441"/>
      <c r="C5199" s="194">
        <v>2</v>
      </c>
      <c r="D5199" s="80"/>
      <c r="E5199" s="97"/>
      <c r="F5199" s="97"/>
      <c r="G5199" s="97"/>
      <c r="H5199" s="97"/>
      <c r="I5199" s="97"/>
      <c r="J5199" s="97"/>
      <c r="K5199" s="97"/>
      <c r="L5199" s="195"/>
    </row>
    <row r="5200" spans="1:12" x14ac:dyDescent="0.45">
      <c r="A5200" s="462"/>
      <c r="B5200" s="441"/>
      <c r="C5200" s="194">
        <v>3</v>
      </c>
      <c r="D5200" s="80"/>
      <c r="E5200" s="97"/>
      <c r="F5200" s="97"/>
      <c r="G5200" s="97"/>
      <c r="H5200" s="97"/>
      <c r="I5200" s="97"/>
      <c r="J5200" s="97"/>
      <c r="K5200" s="97"/>
      <c r="L5200" s="195"/>
    </row>
    <row r="5201" spans="1:12" x14ac:dyDescent="0.45">
      <c r="A5201" s="462"/>
      <c r="B5201" s="441"/>
      <c r="C5201" s="194">
        <v>4</v>
      </c>
      <c r="D5201" s="80"/>
      <c r="E5201" s="97"/>
      <c r="F5201" s="97"/>
      <c r="G5201" s="97"/>
      <c r="H5201" s="97"/>
      <c r="I5201" s="97"/>
      <c r="J5201" s="97"/>
      <c r="K5201" s="97"/>
      <c r="L5201" s="195"/>
    </row>
    <row r="5202" spans="1:12" x14ac:dyDescent="0.45">
      <c r="A5202" s="462"/>
      <c r="B5202" s="441"/>
      <c r="C5202" s="194">
        <v>5</v>
      </c>
      <c r="D5202" s="80"/>
      <c r="E5202" s="97"/>
      <c r="F5202" s="97"/>
      <c r="G5202" s="97"/>
      <c r="H5202" s="97"/>
      <c r="I5202" s="97"/>
      <c r="J5202" s="97"/>
      <c r="K5202" s="97"/>
      <c r="L5202" s="195"/>
    </row>
    <row r="5203" spans="1:12" x14ac:dyDescent="0.45">
      <c r="A5203" s="462"/>
      <c r="B5203" s="441"/>
      <c r="C5203" s="194">
        <v>6</v>
      </c>
      <c r="D5203" s="80"/>
      <c r="E5203" s="97"/>
      <c r="F5203" s="97"/>
      <c r="G5203" s="97"/>
      <c r="H5203" s="97"/>
      <c r="I5203" s="97"/>
      <c r="J5203" s="97"/>
      <c r="K5203" s="97"/>
      <c r="L5203" s="195"/>
    </row>
    <row r="5204" spans="1:12" x14ac:dyDescent="0.45">
      <c r="A5204" s="462"/>
      <c r="B5204" s="441"/>
      <c r="C5204" s="194">
        <v>7</v>
      </c>
      <c r="D5204" s="80"/>
      <c r="E5204" s="97"/>
      <c r="F5204" s="97"/>
      <c r="G5204" s="97"/>
      <c r="H5204" s="97"/>
      <c r="I5204" s="97"/>
      <c r="J5204" s="97"/>
      <c r="K5204" s="97"/>
      <c r="L5204" s="195"/>
    </row>
    <row r="5205" spans="1:12" x14ac:dyDescent="0.45">
      <c r="A5205" s="462"/>
      <c r="B5205" s="441"/>
      <c r="C5205" s="194">
        <v>8</v>
      </c>
      <c r="D5205" s="80"/>
      <c r="E5205" s="97"/>
      <c r="F5205" s="97"/>
      <c r="G5205" s="97"/>
      <c r="H5205" s="97"/>
      <c r="I5205" s="97"/>
      <c r="J5205" s="97"/>
      <c r="K5205" s="97"/>
      <c r="L5205" s="195"/>
    </row>
    <row r="5206" spans="1:12" x14ac:dyDescent="0.45">
      <c r="A5206" s="462"/>
      <c r="B5206" s="441"/>
      <c r="C5206" s="194">
        <v>9</v>
      </c>
      <c r="D5206" s="80"/>
      <c r="E5206" s="97"/>
      <c r="F5206" s="97"/>
      <c r="G5206" s="97"/>
      <c r="H5206" s="97"/>
      <c r="I5206" s="97"/>
      <c r="J5206" s="97"/>
      <c r="K5206" s="97"/>
      <c r="L5206" s="195"/>
    </row>
    <row r="5207" spans="1:12" x14ac:dyDescent="0.45">
      <c r="A5207" s="462"/>
      <c r="B5207" s="441"/>
      <c r="C5207" s="194">
        <v>10</v>
      </c>
      <c r="D5207" s="80"/>
      <c r="E5207" s="97"/>
      <c r="F5207" s="97"/>
      <c r="G5207" s="97"/>
      <c r="H5207" s="97"/>
      <c r="I5207" s="97"/>
      <c r="J5207" s="97"/>
      <c r="K5207" s="97"/>
      <c r="L5207" s="195"/>
    </row>
    <row r="5208" spans="1:12" x14ac:dyDescent="0.45">
      <c r="A5208" s="462"/>
      <c r="B5208" s="441"/>
      <c r="C5208" s="194">
        <v>11</v>
      </c>
      <c r="D5208" s="81"/>
      <c r="E5208" s="98"/>
      <c r="F5208" s="98"/>
      <c r="G5208" s="98"/>
      <c r="H5208" s="98"/>
      <c r="I5208" s="98"/>
      <c r="J5208" s="98"/>
      <c r="K5208" s="98"/>
      <c r="L5208" s="196"/>
    </row>
    <row r="5209" spans="1:12" ht="14.65" thickBot="1" x14ac:dyDescent="0.5">
      <c r="A5209" s="462"/>
      <c r="B5209" s="442"/>
      <c r="C5209" s="197">
        <v>12</v>
      </c>
      <c r="D5209" s="82"/>
      <c r="E5209" s="99"/>
      <c r="F5209" s="99"/>
      <c r="G5209" s="99"/>
      <c r="H5209" s="99"/>
      <c r="I5209" s="99"/>
      <c r="J5209" s="99"/>
      <c r="K5209" s="99"/>
      <c r="L5209" s="198"/>
    </row>
    <row r="5210" spans="1:12" x14ac:dyDescent="0.45">
      <c r="A5210" s="462"/>
      <c r="B5210" s="440">
        <v>10</v>
      </c>
      <c r="C5210" s="192">
        <v>1</v>
      </c>
      <c r="D5210" s="79"/>
      <c r="E5210" s="96"/>
      <c r="F5210" s="96"/>
      <c r="G5210" s="96"/>
      <c r="H5210" s="96"/>
      <c r="I5210" s="96"/>
      <c r="J5210" s="96"/>
      <c r="K5210" s="96"/>
      <c r="L5210" s="193"/>
    </row>
    <row r="5211" spans="1:12" x14ac:dyDescent="0.45">
      <c r="A5211" s="462"/>
      <c r="B5211" s="441"/>
      <c r="C5211" s="194">
        <v>2</v>
      </c>
      <c r="D5211" s="80"/>
      <c r="E5211" s="97"/>
      <c r="F5211" s="97"/>
      <c r="G5211" s="97"/>
      <c r="H5211" s="97"/>
      <c r="I5211" s="97"/>
      <c r="J5211" s="97"/>
      <c r="K5211" s="97"/>
      <c r="L5211" s="195"/>
    </row>
    <row r="5212" spans="1:12" x14ac:dyDescent="0.45">
      <c r="A5212" s="462"/>
      <c r="B5212" s="441"/>
      <c r="C5212" s="194">
        <v>3</v>
      </c>
      <c r="D5212" s="80"/>
      <c r="E5212" s="97"/>
      <c r="F5212" s="97"/>
      <c r="G5212" s="97"/>
      <c r="H5212" s="97"/>
      <c r="I5212" s="97"/>
      <c r="J5212" s="97"/>
      <c r="K5212" s="97"/>
      <c r="L5212" s="195"/>
    </row>
    <row r="5213" spans="1:12" x14ac:dyDescent="0.45">
      <c r="A5213" s="462"/>
      <c r="B5213" s="441"/>
      <c r="C5213" s="194">
        <v>4</v>
      </c>
      <c r="D5213" s="80"/>
      <c r="E5213" s="97"/>
      <c r="F5213" s="97"/>
      <c r="G5213" s="97"/>
      <c r="H5213" s="97"/>
      <c r="I5213" s="97"/>
      <c r="J5213" s="97"/>
      <c r="K5213" s="97"/>
      <c r="L5213" s="195"/>
    </row>
    <row r="5214" spans="1:12" x14ac:dyDescent="0.45">
      <c r="A5214" s="462"/>
      <c r="B5214" s="441"/>
      <c r="C5214" s="194">
        <v>5</v>
      </c>
      <c r="D5214" s="80"/>
      <c r="E5214" s="97"/>
      <c r="F5214" s="97"/>
      <c r="G5214" s="97"/>
      <c r="H5214" s="97"/>
      <c r="I5214" s="97"/>
      <c r="J5214" s="97"/>
      <c r="K5214" s="97"/>
      <c r="L5214" s="195"/>
    </row>
    <row r="5215" spans="1:12" x14ac:dyDescent="0.45">
      <c r="A5215" s="462"/>
      <c r="B5215" s="441"/>
      <c r="C5215" s="194">
        <v>6</v>
      </c>
      <c r="D5215" s="80"/>
      <c r="E5215" s="97"/>
      <c r="F5215" s="97"/>
      <c r="G5215" s="97"/>
      <c r="H5215" s="97"/>
      <c r="I5215" s="97"/>
      <c r="J5215" s="97"/>
      <c r="K5215" s="97"/>
      <c r="L5215" s="195"/>
    </row>
    <row r="5216" spans="1:12" x14ac:dyDescent="0.45">
      <c r="A5216" s="462"/>
      <c r="B5216" s="441"/>
      <c r="C5216" s="194">
        <v>7</v>
      </c>
      <c r="D5216" s="80"/>
      <c r="E5216" s="97"/>
      <c r="F5216" s="97"/>
      <c r="G5216" s="97"/>
      <c r="H5216" s="97"/>
      <c r="I5216" s="97"/>
      <c r="J5216" s="97"/>
      <c r="K5216" s="97"/>
      <c r="L5216" s="195"/>
    </row>
    <row r="5217" spans="1:12" x14ac:dyDescent="0.45">
      <c r="A5217" s="462"/>
      <c r="B5217" s="441"/>
      <c r="C5217" s="194">
        <v>8</v>
      </c>
      <c r="D5217" s="80"/>
      <c r="E5217" s="97"/>
      <c r="F5217" s="97"/>
      <c r="G5217" s="97"/>
      <c r="H5217" s="97"/>
      <c r="I5217" s="97"/>
      <c r="J5217" s="97"/>
      <c r="K5217" s="97"/>
      <c r="L5217" s="195"/>
    </row>
    <row r="5218" spans="1:12" x14ac:dyDescent="0.45">
      <c r="A5218" s="462"/>
      <c r="B5218" s="441"/>
      <c r="C5218" s="194">
        <v>9</v>
      </c>
      <c r="D5218" s="80"/>
      <c r="E5218" s="97"/>
      <c r="F5218" s="97"/>
      <c r="G5218" s="97"/>
      <c r="H5218" s="97"/>
      <c r="I5218" s="97"/>
      <c r="J5218" s="97"/>
      <c r="K5218" s="97"/>
      <c r="L5218" s="195"/>
    </row>
    <row r="5219" spans="1:12" x14ac:dyDescent="0.45">
      <c r="A5219" s="462"/>
      <c r="B5219" s="441"/>
      <c r="C5219" s="194">
        <v>10</v>
      </c>
      <c r="D5219" s="80"/>
      <c r="E5219" s="97"/>
      <c r="F5219" s="97"/>
      <c r="G5219" s="97"/>
      <c r="H5219" s="97"/>
      <c r="I5219" s="97"/>
      <c r="J5219" s="97"/>
      <c r="K5219" s="97"/>
      <c r="L5219" s="195"/>
    </row>
    <row r="5220" spans="1:12" x14ac:dyDescent="0.45">
      <c r="A5220" s="462"/>
      <c r="B5220" s="441"/>
      <c r="C5220" s="194">
        <v>11</v>
      </c>
      <c r="D5220" s="81"/>
      <c r="E5220" s="98"/>
      <c r="F5220" s="98"/>
      <c r="G5220" s="98"/>
      <c r="H5220" s="98"/>
      <c r="I5220" s="98"/>
      <c r="J5220" s="98"/>
      <c r="K5220" s="98"/>
      <c r="L5220" s="196"/>
    </row>
    <row r="5221" spans="1:12" ht="14.65" thickBot="1" x14ac:dyDescent="0.5">
      <c r="A5221" s="462"/>
      <c r="B5221" s="442"/>
      <c r="C5221" s="197">
        <v>12</v>
      </c>
      <c r="D5221" s="82"/>
      <c r="E5221" s="99"/>
      <c r="F5221" s="99"/>
      <c r="G5221" s="99"/>
      <c r="H5221" s="99"/>
      <c r="I5221" s="99"/>
      <c r="J5221" s="99"/>
      <c r="K5221" s="99"/>
      <c r="L5221" s="198"/>
    </row>
    <row r="5222" spans="1:12" x14ac:dyDescent="0.45">
      <c r="A5222" s="462"/>
      <c r="B5222" s="440">
        <v>11</v>
      </c>
      <c r="C5222" s="192">
        <v>1</v>
      </c>
      <c r="D5222" s="79"/>
      <c r="E5222" s="96"/>
      <c r="F5222" s="96"/>
      <c r="G5222" s="96"/>
      <c r="H5222" s="96"/>
      <c r="I5222" s="96"/>
      <c r="J5222" s="96"/>
      <c r="K5222" s="96"/>
      <c r="L5222" s="193"/>
    </row>
    <row r="5223" spans="1:12" x14ac:dyDescent="0.45">
      <c r="A5223" s="462"/>
      <c r="B5223" s="441"/>
      <c r="C5223" s="194">
        <v>2</v>
      </c>
      <c r="D5223" s="80"/>
      <c r="E5223" s="97"/>
      <c r="F5223" s="97"/>
      <c r="G5223" s="97"/>
      <c r="H5223" s="97"/>
      <c r="I5223" s="97"/>
      <c r="J5223" s="97"/>
      <c r="K5223" s="97"/>
      <c r="L5223" s="195"/>
    </row>
    <row r="5224" spans="1:12" x14ac:dyDescent="0.45">
      <c r="A5224" s="462"/>
      <c r="B5224" s="441"/>
      <c r="C5224" s="194">
        <v>3</v>
      </c>
      <c r="D5224" s="80"/>
      <c r="E5224" s="97"/>
      <c r="F5224" s="97"/>
      <c r="G5224" s="97"/>
      <c r="H5224" s="97"/>
      <c r="I5224" s="97"/>
      <c r="J5224" s="97"/>
      <c r="K5224" s="97"/>
      <c r="L5224" s="195"/>
    </row>
    <row r="5225" spans="1:12" x14ac:dyDescent="0.45">
      <c r="A5225" s="462"/>
      <c r="B5225" s="441"/>
      <c r="C5225" s="194">
        <v>4</v>
      </c>
      <c r="D5225" s="80"/>
      <c r="E5225" s="97"/>
      <c r="F5225" s="97"/>
      <c r="G5225" s="97"/>
      <c r="H5225" s="97"/>
      <c r="I5225" s="97"/>
      <c r="J5225" s="97"/>
      <c r="K5225" s="97"/>
      <c r="L5225" s="195"/>
    </row>
    <row r="5226" spans="1:12" x14ac:dyDescent="0.45">
      <c r="A5226" s="462"/>
      <c r="B5226" s="441"/>
      <c r="C5226" s="194">
        <v>5</v>
      </c>
      <c r="D5226" s="80"/>
      <c r="E5226" s="97"/>
      <c r="F5226" s="97"/>
      <c r="G5226" s="97"/>
      <c r="H5226" s="97"/>
      <c r="I5226" s="97"/>
      <c r="J5226" s="97"/>
      <c r="K5226" s="97"/>
      <c r="L5226" s="195"/>
    </row>
    <row r="5227" spans="1:12" x14ac:dyDescent="0.45">
      <c r="A5227" s="462"/>
      <c r="B5227" s="441"/>
      <c r="C5227" s="194">
        <v>6</v>
      </c>
      <c r="D5227" s="80"/>
      <c r="E5227" s="97"/>
      <c r="F5227" s="97"/>
      <c r="G5227" s="97"/>
      <c r="H5227" s="97"/>
      <c r="I5227" s="97"/>
      <c r="J5227" s="97"/>
      <c r="K5227" s="97"/>
      <c r="L5227" s="195"/>
    </row>
    <row r="5228" spans="1:12" x14ac:dyDescent="0.45">
      <c r="A5228" s="462"/>
      <c r="B5228" s="441"/>
      <c r="C5228" s="194">
        <v>7</v>
      </c>
      <c r="D5228" s="80"/>
      <c r="E5228" s="97"/>
      <c r="F5228" s="97"/>
      <c r="G5228" s="97"/>
      <c r="H5228" s="97"/>
      <c r="I5228" s="97"/>
      <c r="J5228" s="97"/>
      <c r="K5228" s="97"/>
      <c r="L5228" s="195"/>
    </row>
    <row r="5229" spans="1:12" x14ac:dyDescent="0.45">
      <c r="A5229" s="462"/>
      <c r="B5229" s="441"/>
      <c r="C5229" s="194">
        <v>8</v>
      </c>
      <c r="D5229" s="80"/>
      <c r="E5229" s="97"/>
      <c r="F5229" s="97"/>
      <c r="G5229" s="97"/>
      <c r="H5229" s="97"/>
      <c r="I5229" s="97"/>
      <c r="J5229" s="97"/>
      <c r="K5229" s="97"/>
      <c r="L5229" s="195"/>
    </row>
    <row r="5230" spans="1:12" x14ac:dyDescent="0.45">
      <c r="A5230" s="462"/>
      <c r="B5230" s="441"/>
      <c r="C5230" s="194">
        <v>9</v>
      </c>
      <c r="D5230" s="80"/>
      <c r="E5230" s="97"/>
      <c r="F5230" s="97"/>
      <c r="G5230" s="97"/>
      <c r="H5230" s="97"/>
      <c r="I5230" s="97"/>
      <c r="J5230" s="97"/>
      <c r="K5230" s="97"/>
      <c r="L5230" s="195"/>
    </row>
    <row r="5231" spans="1:12" x14ac:dyDescent="0.45">
      <c r="A5231" s="462"/>
      <c r="B5231" s="441"/>
      <c r="C5231" s="194">
        <v>10</v>
      </c>
      <c r="D5231" s="80"/>
      <c r="E5231" s="97"/>
      <c r="F5231" s="97"/>
      <c r="G5231" s="97"/>
      <c r="H5231" s="97"/>
      <c r="I5231" s="97"/>
      <c r="J5231" s="97"/>
      <c r="K5231" s="97"/>
      <c r="L5231" s="195"/>
    </row>
    <row r="5232" spans="1:12" x14ac:dyDescent="0.45">
      <c r="A5232" s="462"/>
      <c r="B5232" s="441"/>
      <c r="C5232" s="194">
        <v>11</v>
      </c>
      <c r="D5232" s="81"/>
      <c r="E5232" s="98"/>
      <c r="F5232" s="98"/>
      <c r="G5232" s="98"/>
      <c r="H5232" s="98"/>
      <c r="I5232" s="98"/>
      <c r="J5232" s="98"/>
      <c r="K5232" s="98"/>
      <c r="L5232" s="196"/>
    </row>
    <row r="5233" spans="1:12" ht="14.65" thickBot="1" x14ac:dyDescent="0.5">
      <c r="A5233" s="462"/>
      <c r="B5233" s="442"/>
      <c r="C5233" s="197">
        <v>12</v>
      </c>
      <c r="D5233" s="82"/>
      <c r="E5233" s="99"/>
      <c r="F5233" s="99"/>
      <c r="G5233" s="99"/>
      <c r="H5233" s="99"/>
      <c r="I5233" s="99"/>
      <c r="J5233" s="99"/>
      <c r="K5233" s="99"/>
      <c r="L5233" s="198"/>
    </row>
    <row r="5234" spans="1:12" x14ac:dyDescent="0.45">
      <c r="A5234" s="462"/>
      <c r="B5234" s="440">
        <v>12</v>
      </c>
      <c r="C5234" s="192">
        <v>1</v>
      </c>
      <c r="D5234" s="79"/>
      <c r="E5234" s="96"/>
      <c r="F5234" s="96"/>
      <c r="G5234" s="96"/>
      <c r="H5234" s="96"/>
      <c r="I5234" s="96"/>
      <c r="J5234" s="96"/>
      <c r="K5234" s="96"/>
      <c r="L5234" s="193"/>
    </row>
    <row r="5235" spans="1:12" x14ac:dyDescent="0.45">
      <c r="A5235" s="462"/>
      <c r="B5235" s="441"/>
      <c r="C5235" s="194">
        <v>2</v>
      </c>
      <c r="D5235" s="80"/>
      <c r="E5235" s="97"/>
      <c r="F5235" s="97"/>
      <c r="G5235" s="97"/>
      <c r="H5235" s="97"/>
      <c r="I5235" s="97"/>
      <c r="J5235" s="97"/>
      <c r="K5235" s="97"/>
      <c r="L5235" s="195"/>
    </row>
    <row r="5236" spans="1:12" x14ac:dyDescent="0.45">
      <c r="A5236" s="462"/>
      <c r="B5236" s="441"/>
      <c r="C5236" s="194">
        <v>3</v>
      </c>
      <c r="D5236" s="80"/>
      <c r="E5236" s="97"/>
      <c r="F5236" s="97"/>
      <c r="G5236" s="97"/>
      <c r="H5236" s="97"/>
      <c r="I5236" s="97"/>
      <c r="J5236" s="97"/>
      <c r="K5236" s="97"/>
      <c r="L5236" s="195"/>
    </row>
    <row r="5237" spans="1:12" x14ac:dyDescent="0.45">
      <c r="A5237" s="462"/>
      <c r="B5237" s="441"/>
      <c r="C5237" s="194">
        <v>4</v>
      </c>
      <c r="D5237" s="80"/>
      <c r="E5237" s="97"/>
      <c r="F5237" s="97"/>
      <c r="G5237" s="97"/>
      <c r="H5237" s="97"/>
      <c r="I5237" s="97"/>
      <c r="J5237" s="97"/>
      <c r="K5237" s="97"/>
      <c r="L5237" s="195"/>
    </row>
    <row r="5238" spans="1:12" x14ac:dyDescent="0.45">
      <c r="A5238" s="462"/>
      <c r="B5238" s="441"/>
      <c r="C5238" s="194">
        <v>5</v>
      </c>
      <c r="D5238" s="80"/>
      <c r="E5238" s="97"/>
      <c r="F5238" s="97"/>
      <c r="G5238" s="97"/>
      <c r="H5238" s="97"/>
      <c r="I5238" s="97"/>
      <c r="J5238" s="97"/>
      <c r="K5238" s="97"/>
      <c r="L5238" s="195"/>
    </row>
    <row r="5239" spans="1:12" x14ac:dyDescent="0.45">
      <c r="A5239" s="462"/>
      <c r="B5239" s="441"/>
      <c r="C5239" s="194">
        <v>6</v>
      </c>
      <c r="D5239" s="80"/>
      <c r="E5239" s="97"/>
      <c r="F5239" s="97"/>
      <c r="G5239" s="97"/>
      <c r="H5239" s="97"/>
      <c r="I5239" s="97"/>
      <c r="J5239" s="97"/>
      <c r="K5239" s="97"/>
      <c r="L5239" s="195"/>
    </row>
    <row r="5240" spans="1:12" x14ac:dyDescent="0.45">
      <c r="A5240" s="462"/>
      <c r="B5240" s="441"/>
      <c r="C5240" s="194">
        <v>7</v>
      </c>
      <c r="D5240" s="80"/>
      <c r="E5240" s="97"/>
      <c r="F5240" s="97"/>
      <c r="G5240" s="97"/>
      <c r="H5240" s="97"/>
      <c r="I5240" s="97"/>
      <c r="J5240" s="97"/>
      <c r="K5240" s="97"/>
      <c r="L5240" s="195"/>
    </row>
    <row r="5241" spans="1:12" x14ac:dyDescent="0.45">
      <c r="A5241" s="462"/>
      <c r="B5241" s="441"/>
      <c r="C5241" s="194">
        <v>8</v>
      </c>
      <c r="D5241" s="80"/>
      <c r="E5241" s="97"/>
      <c r="F5241" s="97"/>
      <c r="G5241" s="97"/>
      <c r="H5241" s="97"/>
      <c r="I5241" s="97"/>
      <c r="J5241" s="97"/>
      <c r="K5241" s="97"/>
      <c r="L5241" s="195"/>
    </row>
    <row r="5242" spans="1:12" x14ac:dyDescent="0.45">
      <c r="A5242" s="462"/>
      <c r="B5242" s="441"/>
      <c r="C5242" s="194">
        <v>9</v>
      </c>
      <c r="D5242" s="80"/>
      <c r="E5242" s="97"/>
      <c r="F5242" s="97"/>
      <c r="G5242" s="97"/>
      <c r="H5242" s="97"/>
      <c r="I5242" s="97"/>
      <c r="J5242" s="97"/>
      <c r="K5242" s="97"/>
      <c r="L5242" s="195"/>
    </row>
    <row r="5243" spans="1:12" x14ac:dyDescent="0.45">
      <c r="A5243" s="462"/>
      <c r="B5243" s="441"/>
      <c r="C5243" s="194">
        <v>10</v>
      </c>
      <c r="D5243" s="80"/>
      <c r="E5243" s="97"/>
      <c r="F5243" s="97"/>
      <c r="G5243" s="97"/>
      <c r="H5243" s="97"/>
      <c r="I5243" s="97"/>
      <c r="J5243" s="97"/>
      <c r="K5243" s="97"/>
      <c r="L5243" s="195"/>
    </row>
    <row r="5244" spans="1:12" x14ac:dyDescent="0.45">
      <c r="A5244" s="462"/>
      <c r="B5244" s="441"/>
      <c r="C5244" s="194">
        <v>11</v>
      </c>
      <c r="D5244" s="81"/>
      <c r="E5244" s="98"/>
      <c r="F5244" s="98"/>
      <c r="G5244" s="98"/>
      <c r="H5244" s="98"/>
      <c r="I5244" s="98"/>
      <c r="J5244" s="98"/>
      <c r="K5244" s="98"/>
      <c r="L5244" s="196"/>
    </row>
    <row r="5245" spans="1:12" ht="14.65" thickBot="1" x14ac:dyDescent="0.5">
      <c r="A5245" s="463"/>
      <c r="B5245" s="442"/>
      <c r="C5245" s="199">
        <v>12</v>
      </c>
      <c r="D5245" s="82"/>
      <c r="E5245" s="99"/>
      <c r="F5245" s="99"/>
      <c r="G5245" s="99"/>
      <c r="H5245" s="99"/>
      <c r="I5245" s="99"/>
      <c r="J5245" s="99"/>
      <c r="K5245" s="99"/>
      <c r="L5245" s="198"/>
    </row>
    <row r="5247" spans="1:12" s="91" customFormat="1" x14ac:dyDescent="0.45"/>
    <row r="5248" spans="1:12" ht="14.65" thickBot="1" x14ac:dyDescent="0.5"/>
    <row r="5249" spans="1:12" ht="28.9" thickBot="1" x14ac:dyDescent="0.5">
      <c r="A5249" s="187" t="s">
        <v>76</v>
      </c>
      <c r="B5249" s="186">
        <v>34</v>
      </c>
      <c r="C5249" s="109"/>
      <c r="D5249" s="109"/>
    </row>
    <row r="5250" spans="1:12" x14ac:dyDescent="0.45">
      <c r="A5250" s="443" t="s">
        <v>27</v>
      </c>
      <c r="B5250" s="448">
        <f>Name34</f>
        <v>0</v>
      </c>
      <c r="C5250" s="449"/>
      <c r="D5250" s="450"/>
      <c r="I5250" s="204"/>
      <c r="J5250" s="204"/>
      <c r="K5250" s="204"/>
      <c r="L5250" s="204"/>
    </row>
    <row r="5251" spans="1:12" x14ac:dyDescent="0.45">
      <c r="A5251" s="444"/>
      <c r="B5251" s="448"/>
      <c r="C5251" s="449"/>
      <c r="D5251" s="450"/>
      <c r="I5251" s="204"/>
      <c r="J5251" s="204"/>
      <c r="K5251" s="204"/>
      <c r="L5251" s="204"/>
    </row>
    <row r="5252" spans="1:12" x14ac:dyDescent="0.45">
      <c r="A5252" s="445"/>
      <c r="B5252" s="388"/>
      <c r="C5252" s="451"/>
      <c r="D5252" s="452"/>
      <c r="I5252" s="204"/>
      <c r="J5252" s="204"/>
      <c r="K5252" s="204"/>
      <c r="L5252" s="204"/>
    </row>
    <row r="5253" spans="1:12" ht="14.45" customHeight="1" x14ac:dyDescent="0.45">
      <c r="A5253" s="444" t="s">
        <v>155</v>
      </c>
      <c r="B5253" s="453">
        <f>GapA34</f>
        <v>0</v>
      </c>
      <c r="C5253" s="454"/>
      <c r="D5253" s="455"/>
      <c r="I5253" s="204"/>
      <c r="J5253" s="204"/>
      <c r="K5253" s="204"/>
      <c r="L5253" s="204"/>
    </row>
    <row r="5254" spans="1:12" x14ac:dyDescent="0.45">
      <c r="A5254" s="444"/>
      <c r="B5254" s="448"/>
      <c r="C5254" s="449"/>
      <c r="D5254" s="450"/>
      <c r="I5254" s="204"/>
      <c r="J5254" s="204"/>
      <c r="K5254" s="204"/>
      <c r="L5254" s="204"/>
    </row>
    <row r="5255" spans="1:12" x14ac:dyDescent="0.45">
      <c r="A5255" s="445"/>
      <c r="B5255" s="388"/>
      <c r="C5255" s="451"/>
      <c r="D5255" s="452"/>
      <c r="I5255" s="204"/>
      <c r="J5255" s="204"/>
      <c r="K5255" s="204"/>
      <c r="L5255" s="204"/>
    </row>
    <row r="5256" spans="1:12" x14ac:dyDescent="0.45">
      <c r="A5256" s="444" t="s">
        <v>159</v>
      </c>
      <c r="B5256" s="453">
        <f>Objective34</f>
        <v>0</v>
      </c>
      <c r="C5256" s="454"/>
      <c r="D5256" s="455"/>
      <c r="I5256" s="204"/>
      <c r="J5256" s="204"/>
      <c r="K5256" s="204"/>
      <c r="L5256" s="204"/>
    </row>
    <row r="5257" spans="1:12" x14ac:dyDescent="0.45">
      <c r="A5257" s="444"/>
      <c r="B5257" s="448"/>
      <c r="C5257" s="449"/>
      <c r="D5257" s="450"/>
      <c r="I5257" s="204"/>
      <c r="J5257" s="204"/>
      <c r="K5257" s="204"/>
      <c r="L5257" s="204"/>
    </row>
    <row r="5258" spans="1:12" x14ac:dyDescent="0.45">
      <c r="A5258" s="445"/>
      <c r="B5258" s="388"/>
      <c r="C5258" s="451"/>
      <c r="D5258" s="452"/>
      <c r="I5258" s="204"/>
      <c r="J5258" s="204"/>
      <c r="K5258" s="204"/>
      <c r="L5258" s="204"/>
    </row>
    <row r="5259" spans="1:12" ht="14.45" customHeight="1" x14ac:dyDescent="0.45">
      <c r="A5259" s="446" t="s">
        <v>166</v>
      </c>
      <c r="B5259" s="454">
        <f>Capacity34</f>
        <v>0</v>
      </c>
      <c r="C5259" s="454"/>
      <c r="D5259" s="455"/>
      <c r="I5259" s="204"/>
      <c r="J5259" s="204"/>
      <c r="K5259" s="204"/>
      <c r="L5259" s="204"/>
    </row>
    <row r="5260" spans="1:12" x14ac:dyDescent="0.45">
      <c r="A5260" s="447"/>
      <c r="B5260" s="449"/>
      <c r="C5260" s="449"/>
      <c r="D5260" s="450"/>
      <c r="I5260" s="204"/>
      <c r="J5260" s="204"/>
      <c r="K5260" s="204"/>
      <c r="L5260" s="204"/>
    </row>
    <row r="5261" spans="1:12" ht="14.65" thickBot="1" x14ac:dyDescent="0.5">
      <c r="A5261" s="464"/>
      <c r="B5261" s="456"/>
      <c r="C5261" s="456"/>
      <c r="D5261" s="457"/>
      <c r="I5261" s="204"/>
      <c r="J5261" s="204"/>
      <c r="K5261" s="204"/>
      <c r="L5261" s="204"/>
    </row>
    <row r="5263" spans="1:12" ht="14.65" thickBot="1" x14ac:dyDescent="0.5">
      <c r="A5263" s="90"/>
      <c r="B5263" s="90"/>
      <c r="C5263" s="90"/>
      <c r="D5263" s="90"/>
      <c r="E5263" s="90"/>
      <c r="F5263" s="90"/>
      <c r="G5263" s="90"/>
      <c r="H5263" s="90"/>
      <c r="I5263" s="90"/>
      <c r="J5263" s="90"/>
      <c r="K5263" s="90"/>
      <c r="L5263" s="90"/>
    </row>
    <row r="5264" spans="1:12" ht="21.75" customHeight="1" x14ac:dyDescent="0.45">
      <c r="A5264" s="458" t="s">
        <v>135</v>
      </c>
      <c r="B5264" s="459"/>
      <c r="C5264" s="459"/>
      <c r="D5264" s="459"/>
      <c r="E5264" s="459"/>
      <c r="F5264" s="459"/>
      <c r="G5264" s="459"/>
      <c r="H5264" s="459"/>
      <c r="I5264" s="459"/>
      <c r="J5264" s="459"/>
      <c r="K5264" s="459"/>
      <c r="L5264" s="460"/>
    </row>
    <row r="5265" spans="1:14" ht="29" customHeight="1" thickBot="1" x14ac:dyDescent="0.5">
      <c r="A5265" s="93" t="s">
        <v>74</v>
      </c>
      <c r="B5265" s="94" t="s">
        <v>28</v>
      </c>
      <c r="C5265" s="95" t="s">
        <v>320</v>
      </c>
      <c r="D5265" s="95" t="s">
        <v>127</v>
      </c>
      <c r="E5265" s="114" t="s">
        <v>90</v>
      </c>
      <c r="F5265" s="95" t="s">
        <v>175</v>
      </c>
      <c r="G5265" s="95" t="s">
        <v>176</v>
      </c>
      <c r="H5265" s="95" t="s">
        <v>156</v>
      </c>
      <c r="I5265" s="95" t="s">
        <v>157</v>
      </c>
      <c r="J5265" s="189" t="s">
        <v>321</v>
      </c>
      <c r="K5265" s="190" t="s">
        <v>29</v>
      </c>
      <c r="L5265" s="191" t="s">
        <v>322</v>
      </c>
    </row>
    <row r="5266" spans="1:14" x14ac:dyDescent="0.45">
      <c r="A5266" s="461">
        <v>1</v>
      </c>
      <c r="B5266" s="440">
        <v>1</v>
      </c>
      <c r="C5266" s="192">
        <v>1</v>
      </c>
      <c r="D5266" s="79"/>
      <c r="E5266" s="96"/>
      <c r="F5266" s="96"/>
      <c r="G5266" s="96"/>
      <c r="H5266" s="96"/>
      <c r="I5266" s="96"/>
      <c r="J5266" s="96"/>
      <c r="K5266" s="96"/>
      <c r="L5266" s="193"/>
    </row>
    <row r="5267" spans="1:14" x14ac:dyDescent="0.45">
      <c r="A5267" s="462"/>
      <c r="B5267" s="441"/>
      <c r="C5267" s="194">
        <v>2</v>
      </c>
      <c r="D5267" s="80"/>
      <c r="E5267" s="97"/>
      <c r="F5267" s="97"/>
      <c r="G5267" s="97"/>
      <c r="H5267" s="97"/>
      <c r="I5267" s="97"/>
      <c r="J5267" s="97"/>
      <c r="K5267" s="97"/>
      <c r="L5267" s="195"/>
    </row>
    <row r="5268" spans="1:14" x14ac:dyDescent="0.45">
      <c r="A5268" s="462"/>
      <c r="B5268" s="441"/>
      <c r="C5268" s="194">
        <v>3</v>
      </c>
      <c r="D5268" s="80"/>
      <c r="E5268" s="97"/>
      <c r="F5268" s="97"/>
      <c r="G5268" s="97"/>
      <c r="H5268" s="97"/>
      <c r="I5268" s="97"/>
      <c r="J5268" s="97"/>
      <c r="K5268" s="97"/>
      <c r="L5268" s="195"/>
    </row>
    <row r="5269" spans="1:14" x14ac:dyDescent="0.45">
      <c r="A5269" s="462"/>
      <c r="B5269" s="441"/>
      <c r="C5269" s="194">
        <v>4</v>
      </c>
      <c r="D5269" s="80"/>
      <c r="E5269" s="97"/>
      <c r="F5269" s="97"/>
      <c r="G5269" s="97"/>
      <c r="H5269" s="97"/>
      <c r="I5269" s="97"/>
      <c r="J5269" s="97"/>
      <c r="K5269" s="97"/>
      <c r="L5269" s="195"/>
    </row>
    <row r="5270" spans="1:14" x14ac:dyDescent="0.45">
      <c r="A5270" s="462"/>
      <c r="B5270" s="441"/>
      <c r="C5270" s="194">
        <v>5</v>
      </c>
      <c r="D5270" s="80"/>
      <c r="E5270" s="97"/>
      <c r="F5270" s="97"/>
      <c r="G5270" s="97"/>
      <c r="H5270" s="97"/>
      <c r="I5270" s="97"/>
      <c r="J5270" s="97"/>
      <c r="K5270" s="97"/>
      <c r="L5270" s="195"/>
    </row>
    <row r="5271" spans="1:14" x14ac:dyDescent="0.45">
      <c r="A5271" s="462"/>
      <c r="B5271" s="441"/>
      <c r="C5271" s="194">
        <v>6</v>
      </c>
      <c r="D5271" s="80"/>
      <c r="E5271" s="97"/>
      <c r="F5271" s="97"/>
      <c r="G5271" s="97"/>
      <c r="H5271" s="97"/>
      <c r="I5271" s="97"/>
      <c r="J5271" s="97"/>
      <c r="K5271" s="97"/>
      <c r="L5271" s="195"/>
    </row>
    <row r="5272" spans="1:14" x14ac:dyDescent="0.45">
      <c r="A5272" s="462"/>
      <c r="B5272" s="441"/>
      <c r="C5272" s="194">
        <v>7</v>
      </c>
      <c r="D5272" s="80"/>
      <c r="E5272" s="97"/>
      <c r="F5272" s="97"/>
      <c r="G5272" s="97"/>
      <c r="H5272" s="97"/>
      <c r="I5272" s="97"/>
      <c r="J5272" s="97"/>
      <c r="K5272" s="97"/>
      <c r="L5272" s="195"/>
    </row>
    <row r="5273" spans="1:14" x14ac:dyDescent="0.45">
      <c r="A5273" s="462"/>
      <c r="B5273" s="441"/>
      <c r="C5273" s="194">
        <v>8</v>
      </c>
      <c r="D5273" s="80"/>
      <c r="E5273" s="97"/>
      <c r="F5273" s="97"/>
      <c r="G5273" s="97"/>
      <c r="H5273" s="97"/>
      <c r="I5273" s="97"/>
      <c r="J5273" s="97"/>
      <c r="K5273" s="97"/>
      <c r="L5273" s="195"/>
    </row>
    <row r="5274" spans="1:14" x14ac:dyDescent="0.45">
      <c r="A5274" s="462"/>
      <c r="B5274" s="441"/>
      <c r="C5274" s="194">
        <v>9</v>
      </c>
      <c r="D5274" s="80"/>
      <c r="E5274" s="97"/>
      <c r="F5274" s="97"/>
      <c r="G5274" s="97"/>
      <c r="H5274" s="97"/>
      <c r="I5274" s="97"/>
      <c r="J5274" s="97"/>
      <c r="K5274" s="97"/>
      <c r="L5274" s="195"/>
    </row>
    <row r="5275" spans="1:14" x14ac:dyDescent="0.45">
      <c r="A5275" s="462"/>
      <c r="B5275" s="441"/>
      <c r="C5275" s="194">
        <v>10</v>
      </c>
      <c r="D5275" s="80"/>
      <c r="E5275" s="97"/>
      <c r="F5275" s="97"/>
      <c r="G5275" s="97"/>
      <c r="H5275" s="97"/>
      <c r="I5275" s="97"/>
      <c r="J5275" s="97"/>
      <c r="K5275" s="97"/>
      <c r="L5275" s="195"/>
    </row>
    <row r="5276" spans="1:14" x14ac:dyDescent="0.45">
      <c r="A5276" s="462"/>
      <c r="B5276" s="441"/>
      <c r="C5276" s="194">
        <v>11</v>
      </c>
      <c r="D5276" s="81"/>
      <c r="E5276" s="98"/>
      <c r="F5276" s="98"/>
      <c r="G5276" s="98"/>
      <c r="H5276" s="98"/>
      <c r="I5276" s="98"/>
      <c r="J5276" s="98"/>
      <c r="K5276" s="98"/>
      <c r="L5276" s="196"/>
    </row>
    <row r="5277" spans="1:14" s="90" customFormat="1" ht="14.65" thickBot="1" x14ac:dyDescent="0.5">
      <c r="A5277" s="462"/>
      <c r="B5277" s="442"/>
      <c r="C5277" s="197">
        <v>12</v>
      </c>
      <c r="D5277" s="82"/>
      <c r="E5277" s="99"/>
      <c r="F5277" s="99"/>
      <c r="G5277" s="99"/>
      <c r="H5277" s="99"/>
      <c r="I5277" s="99"/>
      <c r="J5277" s="99"/>
      <c r="K5277" s="99"/>
      <c r="L5277" s="198"/>
      <c r="M5277" s="61"/>
      <c r="N5277" s="61"/>
    </row>
    <row r="5278" spans="1:14" x14ac:dyDescent="0.45">
      <c r="A5278" s="462"/>
      <c r="B5278" s="440">
        <v>2</v>
      </c>
      <c r="C5278" s="192">
        <v>1</v>
      </c>
      <c r="D5278" s="79"/>
      <c r="E5278" s="96"/>
      <c r="F5278" s="96"/>
      <c r="G5278" s="96"/>
      <c r="H5278" s="96"/>
      <c r="I5278" s="96"/>
      <c r="J5278" s="96"/>
      <c r="K5278" s="96"/>
      <c r="L5278" s="193"/>
    </row>
    <row r="5279" spans="1:14" x14ac:dyDescent="0.45">
      <c r="A5279" s="462"/>
      <c r="B5279" s="441"/>
      <c r="C5279" s="194">
        <v>2</v>
      </c>
      <c r="D5279" s="80"/>
      <c r="E5279" s="97"/>
      <c r="F5279" s="97"/>
      <c r="G5279" s="97"/>
      <c r="H5279" s="97"/>
      <c r="I5279" s="97"/>
      <c r="J5279" s="97"/>
      <c r="K5279" s="97"/>
      <c r="L5279" s="195"/>
    </row>
    <row r="5280" spans="1:14" x14ac:dyDescent="0.45">
      <c r="A5280" s="462"/>
      <c r="B5280" s="441"/>
      <c r="C5280" s="194">
        <v>3</v>
      </c>
      <c r="D5280" s="80"/>
      <c r="E5280" s="97"/>
      <c r="F5280" s="97"/>
      <c r="G5280" s="97"/>
      <c r="H5280" s="97"/>
      <c r="I5280" s="97"/>
      <c r="J5280" s="97"/>
      <c r="K5280" s="97"/>
      <c r="L5280" s="195"/>
    </row>
    <row r="5281" spans="1:12" x14ac:dyDescent="0.45">
      <c r="A5281" s="462"/>
      <c r="B5281" s="441"/>
      <c r="C5281" s="194">
        <v>4</v>
      </c>
      <c r="D5281" s="80"/>
      <c r="E5281" s="97"/>
      <c r="F5281" s="97"/>
      <c r="G5281" s="97"/>
      <c r="H5281" s="97"/>
      <c r="I5281" s="97"/>
      <c r="J5281" s="97"/>
      <c r="K5281" s="97"/>
      <c r="L5281" s="195"/>
    </row>
    <row r="5282" spans="1:12" x14ac:dyDescent="0.45">
      <c r="A5282" s="462"/>
      <c r="B5282" s="441"/>
      <c r="C5282" s="194">
        <v>5</v>
      </c>
      <c r="D5282" s="80"/>
      <c r="E5282" s="97"/>
      <c r="F5282" s="97"/>
      <c r="G5282" s="97"/>
      <c r="H5282" s="97"/>
      <c r="I5282" s="97"/>
      <c r="J5282" s="97"/>
      <c r="K5282" s="97"/>
      <c r="L5282" s="195"/>
    </row>
    <row r="5283" spans="1:12" x14ac:dyDescent="0.45">
      <c r="A5283" s="462"/>
      <c r="B5283" s="441"/>
      <c r="C5283" s="194">
        <v>6</v>
      </c>
      <c r="D5283" s="80"/>
      <c r="E5283" s="97"/>
      <c r="F5283" s="97"/>
      <c r="G5283" s="97"/>
      <c r="H5283" s="97"/>
      <c r="I5283" s="97"/>
      <c r="J5283" s="97"/>
      <c r="K5283" s="97"/>
      <c r="L5283" s="195"/>
    </row>
    <row r="5284" spans="1:12" x14ac:dyDescent="0.45">
      <c r="A5284" s="462"/>
      <c r="B5284" s="441"/>
      <c r="C5284" s="194">
        <v>7</v>
      </c>
      <c r="D5284" s="80"/>
      <c r="E5284" s="97"/>
      <c r="F5284" s="97"/>
      <c r="G5284" s="97"/>
      <c r="H5284" s="97"/>
      <c r="I5284" s="97"/>
      <c r="J5284" s="97"/>
      <c r="K5284" s="97"/>
      <c r="L5284" s="195"/>
    </row>
    <row r="5285" spans="1:12" x14ac:dyDescent="0.45">
      <c r="A5285" s="462"/>
      <c r="B5285" s="441"/>
      <c r="C5285" s="194">
        <v>8</v>
      </c>
      <c r="D5285" s="80"/>
      <c r="E5285" s="97"/>
      <c r="F5285" s="97"/>
      <c r="G5285" s="97"/>
      <c r="H5285" s="97"/>
      <c r="I5285" s="97"/>
      <c r="J5285" s="97"/>
      <c r="K5285" s="97"/>
      <c r="L5285" s="195"/>
    </row>
    <row r="5286" spans="1:12" x14ac:dyDescent="0.45">
      <c r="A5286" s="462"/>
      <c r="B5286" s="441"/>
      <c r="C5286" s="194">
        <v>9</v>
      </c>
      <c r="D5286" s="80"/>
      <c r="E5286" s="97"/>
      <c r="F5286" s="97"/>
      <c r="G5286" s="97"/>
      <c r="H5286" s="97"/>
      <c r="I5286" s="97"/>
      <c r="J5286" s="97"/>
      <c r="K5286" s="97"/>
      <c r="L5286" s="195"/>
    </row>
    <row r="5287" spans="1:12" x14ac:dyDescent="0.45">
      <c r="A5287" s="462"/>
      <c r="B5287" s="441"/>
      <c r="C5287" s="194">
        <v>10</v>
      </c>
      <c r="D5287" s="80"/>
      <c r="E5287" s="97"/>
      <c r="F5287" s="97"/>
      <c r="G5287" s="97"/>
      <c r="H5287" s="97"/>
      <c r="I5287" s="97"/>
      <c r="J5287" s="97"/>
      <c r="K5287" s="97"/>
      <c r="L5287" s="195"/>
    </row>
    <row r="5288" spans="1:12" x14ac:dyDescent="0.45">
      <c r="A5288" s="462"/>
      <c r="B5288" s="441"/>
      <c r="C5288" s="194">
        <v>11</v>
      </c>
      <c r="D5288" s="81"/>
      <c r="E5288" s="98"/>
      <c r="F5288" s="98"/>
      <c r="G5288" s="98"/>
      <c r="H5288" s="98"/>
      <c r="I5288" s="98"/>
      <c r="J5288" s="98"/>
      <c r="K5288" s="98"/>
      <c r="L5288" s="196"/>
    </row>
    <row r="5289" spans="1:12" ht="14.65" thickBot="1" x14ac:dyDescent="0.5">
      <c r="A5289" s="462"/>
      <c r="B5289" s="442"/>
      <c r="C5289" s="197">
        <v>12</v>
      </c>
      <c r="D5289" s="82"/>
      <c r="E5289" s="99"/>
      <c r="F5289" s="99"/>
      <c r="G5289" s="99"/>
      <c r="H5289" s="99"/>
      <c r="I5289" s="99"/>
      <c r="J5289" s="99"/>
      <c r="K5289" s="99"/>
      <c r="L5289" s="198"/>
    </row>
    <row r="5290" spans="1:12" x14ac:dyDescent="0.45">
      <c r="A5290" s="462"/>
      <c r="B5290" s="440">
        <v>3</v>
      </c>
      <c r="C5290" s="192">
        <v>1</v>
      </c>
      <c r="D5290" s="79"/>
      <c r="E5290" s="96"/>
      <c r="F5290" s="96"/>
      <c r="G5290" s="96"/>
      <c r="H5290" s="96"/>
      <c r="I5290" s="96"/>
      <c r="J5290" s="96"/>
      <c r="K5290" s="96"/>
      <c r="L5290" s="193"/>
    </row>
    <row r="5291" spans="1:12" x14ac:dyDescent="0.45">
      <c r="A5291" s="462"/>
      <c r="B5291" s="441"/>
      <c r="C5291" s="194">
        <v>2</v>
      </c>
      <c r="D5291" s="80"/>
      <c r="E5291" s="97"/>
      <c r="F5291" s="97"/>
      <c r="G5291" s="97"/>
      <c r="H5291" s="97"/>
      <c r="I5291" s="97"/>
      <c r="J5291" s="97"/>
      <c r="K5291" s="97"/>
      <c r="L5291" s="195"/>
    </row>
    <row r="5292" spans="1:12" x14ac:dyDescent="0.45">
      <c r="A5292" s="462"/>
      <c r="B5292" s="441"/>
      <c r="C5292" s="194">
        <v>3</v>
      </c>
      <c r="D5292" s="80"/>
      <c r="E5292" s="97"/>
      <c r="F5292" s="97"/>
      <c r="G5292" s="97"/>
      <c r="H5292" s="97"/>
      <c r="I5292" s="97"/>
      <c r="J5292" s="97"/>
      <c r="K5292" s="97"/>
      <c r="L5292" s="195"/>
    </row>
    <row r="5293" spans="1:12" x14ac:dyDescent="0.45">
      <c r="A5293" s="462"/>
      <c r="B5293" s="441"/>
      <c r="C5293" s="194">
        <v>4</v>
      </c>
      <c r="D5293" s="80"/>
      <c r="E5293" s="97"/>
      <c r="F5293" s="97"/>
      <c r="G5293" s="97"/>
      <c r="H5293" s="97"/>
      <c r="I5293" s="97"/>
      <c r="J5293" s="97"/>
      <c r="K5293" s="97"/>
      <c r="L5293" s="195"/>
    </row>
    <row r="5294" spans="1:12" x14ac:dyDescent="0.45">
      <c r="A5294" s="462"/>
      <c r="B5294" s="441"/>
      <c r="C5294" s="194">
        <v>5</v>
      </c>
      <c r="D5294" s="80"/>
      <c r="E5294" s="97"/>
      <c r="F5294" s="97"/>
      <c r="G5294" s="97"/>
      <c r="H5294" s="97"/>
      <c r="I5294" s="97"/>
      <c r="J5294" s="97"/>
      <c r="K5294" s="97"/>
      <c r="L5294" s="195"/>
    </row>
    <row r="5295" spans="1:12" x14ac:dyDescent="0.45">
      <c r="A5295" s="462"/>
      <c r="B5295" s="441"/>
      <c r="C5295" s="194">
        <v>6</v>
      </c>
      <c r="D5295" s="80"/>
      <c r="E5295" s="97"/>
      <c r="F5295" s="97"/>
      <c r="G5295" s="97"/>
      <c r="H5295" s="97"/>
      <c r="I5295" s="97"/>
      <c r="J5295" s="97"/>
      <c r="K5295" s="97"/>
      <c r="L5295" s="195"/>
    </row>
    <row r="5296" spans="1:12" x14ac:dyDescent="0.45">
      <c r="A5296" s="462"/>
      <c r="B5296" s="441"/>
      <c r="C5296" s="194">
        <v>7</v>
      </c>
      <c r="D5296" s="80"/>
      <c r="E5296" s="97"/>
      <c r="F5296" s="97"/>
      <c r="G5296" s="97"/>
      <c r="H5296" s="97"/>
      <c r="I5296" s="97"/>
      <c r="J5296" s="97"/>
      <c r="K5296" s="97"/>
      <c r="L5296" s="195"/>
    </row>
    <row r="5297" spans="1:12" x14ac:dyDescent="0.45">
      <c r="A5297" s="462"/>
      <c r="B5297" s="441"/>
      <c r="C5297" s="194">
        <v>8</v>
      </c>
      <c r="D5297" s="80"/>
      <c r="E5297" s="97"/>
      <c r="F5297" s="97"/>
      <c r="G5297" s="97"/>
      <c r="H5297" s="97"/>
      <c r="I5297" s="97"/>
      <c r="J5297" s="97"/>
      <c r="K5297" s="97"/>
      <c r="L5297" s="195"/>
    </row>
    <row r="5298" spans="1:12" x14ac:dyDescent="0.45">
      <c r="A5298" s="462"/>
      <c r="B5298" s="441"/>
      <c r="C5298" s="194">
        <v>9</v>
      </c>
      <c r="D5298" s="80"/>
      <c r="E5298" s="97"/>
      <c r="F5298" s="97"/>
      <c r="G5298" s="97"/>
      <c r="H5298" s="97"/>
      <c r="I5298" s="97"/>
      <c r="J5298" s="97"/>
      <c r="K5298" s="97"/>
      <c r="L5298" s="195"/>
    </row>
    <row r="5299" spans="1:12" x14ac:dyDescent="0.45">
      <c r="A5299" s="462"/>
      <c r="B5299" s="441"/>
      <c r="C5299" s="194">
        <v>10</v>
      </c>
      <c r="D5299" s="80"/>
      <c r="E5299" s="97"/>
      <c r="F5299" s="97"/>
      <c r="G5299" s="97"/>
      <c r="H5299" s="97"/>
      <c r="I5299" s="97"/>
      <c r="J5299" s="97"/>
      <c r="K5299" s="97"/>
      <c r="L5299" s="195"/>
    </row>
    <row r="5300" spans="1:12" x14ac:dyDescent="0.45">
      <c r="A5300" s="462"/>
      <c r="B5300" s="441"/>
      <c r="C5300" s="194">
        <v>11</v>
      </c>
      <c r="D5300" s="81"/>
      <c r="E5300" s="98"/>
      <c r="F5300" s="98"/>
      <c r="G5300" s="98"/>
      <c r="H5300" s="98"/>
      <c r="I5300" s="98"/>
      <c r="J5300" s="98"/>
      <c r="K5300" s="98"/>
      <c r="L5300" s="196"/>
    </row>
    <row r="5301" spans="1:12" ht="14.65" thickBot="1" x14ac:dyDescent="0.5">
      <c r="A5301" s="462"/>
      <c r="B5301" s="442"/>
      <c r="C5301" s="197">
        <v>12</v>
      </c>
      <c r="D5301" s="82"/>
      <c r="E5301" s="99"/>
      <c r="F5301" s="99"/>
      <c r="G5301" s="99"/>
      <c r="H5301" s="99"/>
      <c r="I5301" s="99"/>
      <c r="J5301" s="99"/>
      <c r="K5301" s="99"/>
      <c r="L5301" s="198"/>
    </row>
    <row r="5302" spans="1:12" x14ac:dyDescent="0.45">
      <c r="A5302" s="462"/>
      <c r="B5302" s="440">
        <v>4</v>
      </c>
      <c r="C5302" s="192">
        <v>1</v>
      </c>
      <c r="D5302" s="79"/>
      <c r="E5302" s="96"/>
      <c r="F5302" s="96"/>
      <c r="G5302" s="96"/>
      <c r="H5302" s="96"/>
      <c r="I5302" s="96"/>
      <c r="J5302" s="96"/>
      <c r="K5302" s="96"/>
      <c r="L5302" s="193"/>
    </row>
    <row r="5303" spans="1:12" x14ac:dyDescent="0.45">
      <c r="A5303" s="462"/>
      <c r="B5303" s="441"/>
      <c r="C5303" s="194">
        <v>2</v>
      </c>
      <c r="D5303" s="80"/>
      <c r="E5303" s="97"/>
      <c r="F5303" s="97"/>
      <c r="G5303" s="97"/>
      <c r="H5303" s="97"/>
      <c r="I5303" s="97"/>
      <c r="J5303" s="97"/>
      <c r="K5303" s="97"/>
      <c r="L5303" s="195"/>
    </row>
    <row r="5304" spans="1:12" x14ac:dyDescent="0.45">
      <c r="A5304" s="462"/>
      <c r="B5304" s="441"/>
      <c r="C5304" s="194">
        <v>3</v>
      </c>
      <c r="D5304" s="80"/>
      <c r="E5304" s="97"/>
      <c r="F5304" s="97"/>
      <c r="G5304" s="97"/>
      <c r="H5304" s="97"/>
      <c r="I5304" s="97"/>
      <c r="J5304" s="97"/>
      <c r="K5304" s="97"/>
      <c r="L5304" s="195"/>
    </row>
    <row r="5305" spans="1:12" x14ac:dyDescent="0.45">
      <c r="A5305" s="462"/>
      <c r="B5305" s="441"/>
      <c r="C5305" s="194">
        <v>4</v>
      </c>
      <c r="D5305" s="80"/>
      <c r="E5305" s="97"/>
      <c r="F5305" s="97"/>
      <c r="G5305" s="97"/>
      <c r="H5305" s="97"/>
      <c r="I5305" s="97"/>
      <c r="J5305" s="97"/>
      <c r="K5305" s="97"/>
      <c r="L5305" s="195"/>
    </row>
    <row r="5306" spans="1:12" x14ac:dyDescent="0.45">
      <c r="A5306" s="462"/>
      <c r="B5306" s="441"/>
      <c r="C5306" s="194">
        <v>5</v>
      </c>
      <c r="D5306" s="80"/>
      <c r="E5306" s="97"/>
      <c r="F5306" s="97"/>
      <c r="G5306" s="97"/>
      <c r="H5306" s="97"/>
      <c r="I5306" s="97"/>
      <c r="J5306" s="97"/>
      <c r="K5306" s="97"/>
      <c r="L5306" s="195"/>
    </row>
    <row r="5307" spans="1:12" x14ac:dyDescent="0.45">
      <c r="A5307" s="462"/>
      <c r="B5307" s="441"/>
      <c r="C5307" s="194">
        <v>6</v>
      </c>
      <c r="D5307" s="80"/>
      <c r="E5307" s="97"/>
      <c r="F5307" s="97"/>
      <c r="G5307" s="97"/>
      <c r="H5307" s="97"/>
      <c r="I5307" s="97"/>
      <c r="J5307" s="97"/>
      <c r="K5307" s="97"/>
      <c r="L5307" s="195"/>
    </row>
    <row r="5308" spans="1:12" x14ac:dyDescent="0.45">
      <c r="A5308" s="462"/>
      <c r="B5308" s="441"/>
      <c r="C5308" s="194">
        <v>7</v>
      </c>
      <c r="D5308" s="80"/>
      <c r="E5308" s="97"/>
      <c r="F5308" s="97"/>
      <c r="G5308" s="97"/>
      <c r="H5308" s="97"/>
      <c r="I5308" s="97"/>
      <c r="J5308" s="97"/>
      <c r="K5308" s="97"/>
      <c r="L5308" s="195"/>
    </row>
    <row r="5309" spans="1:12" x14ac:dyDescent="0.45">
      <c r="A5309" s="462"/>
      <c r="B5309" s="441"/>
      <c r="C5309" s="194">
        <v>8</v>
      </c>
      <c r="D5309" s="80"/>
      <c r="E5309" s="97"/>
      <c r="F5309" s="97"/>
      <c r="G5309" s="97"/>
      <c r="H5309" s="97"/>
      <c r="I5309" s="97"/>
      <c r="J5309" s="97"/>
      <c r="K5309" s="97"/>
      <c r="L5309" s="195"/>
    </row>
    <row r="5310" spans="1:12" x14ac:dyDescent="0.45">
      <c r="A5310" s="462"/>
      <c r="B5310" s="441"/>
      <c r="C5310" s="194">
        <v>9</v>
      </c>
      <c r="D5310" s="80"/>
      <c r="E5310" s="97"/>
      <c r="F5310" s="97"/>
      <c r="G5310" s="97"/>
      <c r="H5310" s="97"/>
      <c r="I5310" s="97"/>
      <c r="J5310" s="97"/>
      <c r="K5310" s="97"/>
      <c r="L5310" s="195"/>
    </row>
    <row r="5311" spans="1:12" x14ac:dyDescent="0.45">
      <c r="A5311" s="462"/>
      <c r="B5311" s="441"/>
      <c r="C5311" s="194">
        <v>10</v>
      </c>
      <c r="D5311" s="80"/>
      <c r="E5311" s="97"/>
      <c r="F5311" s="97"/>
      <c r="G5311" s="97"/>
      <c r="H5311" s="97"/>
      <c r="I5311" s="97"/>
      <c r="J5311" s="97"/>
      <c r="K5311" s="97"/>
      <c r="L5311" s="195"/>
    </row>
    <row r="5312" spans="1:12" x14ac:dyDescent="0.45">
      <c r="A5312" s="462"/>
      <c r="B5312" s="441"/>
      <c r="C5312" s="194">
        <v>11</v>
      </c>
      <c r="D5312" s="81"/>
      <c r="E5312" s="98"/>
      <c r="F5312" s="98"/>
      <c r="G5312" s="98"/>
      <c r="H5312" s="98"/>
      <c r="I5312" s="98"/>
      <c r="J5312" s="98"/>
      <c r="K5312" s="98"/>
      <c r="L5312" s="196"/>
    </row>
    <row r="5313" spans="1:12" ht="14.65" thickBot="1" x14ac:dyDescent="0.5">
      <c r="A5313" s="463"/>
      <c r="B5313" s="442"/>
      <c r="C5313" s="197">
        <v>12</v>
      </c>
      <c r="D5313" s="82"/>
      <c r="E5313" s="99"/>
      <c r="F5313" s="99"/>
      <c r="G5313" s="99"/>
      <c r="H5313" s="99"/>
      <c r="I5313" s="99"/>
      <c r="J5313" s="99"/>
      <c r="K5313" s="99"/>
      <c r="L5313" s="198"/>
    </row>
    <row r="5314" spans="1:12" x14ac:dyDescent="0.45">
      <c r="A5314" s="461">
        <v>2</v>
      </c>
      <c r="B5314" s="440">
        <v>5</v>
      </c>
      <c r="C5314" s="192">
        <v>1</v>
      </c>
      <c r="D5314" s="79"/>
      <c r="E5314" s="96"/>
      <c r="F5314" s="96"/>
      <c r="G5314" s="96"/>
      <c r="H5314" s="96"/>
      <c r="I5314" s="96"/>
      <c r="J5314" s="96"/>
      <c r="K5314" s="96"/>
      <c r="L5314" s="193"/>
    </row>
    <row r="5315" spans="1:12" x14ac:dyDescent="0.45">
      <c r="A5315" s="462"/>
      <c r="B5315" s="441"/>
      <c r="C5315" s="194">
        <v>2</v>
      </c>
      <c r="D5315" s="80"/>
      <c r="E5315" s="97"/>
      <c r="F5315" s="97"/>
      <c r="G5315" s="97"/>
      <c r="H5315" s="97"/>
      <c r="I5315" s="97"/>
      <c r="J5315" s="97"/>
      <c r="K5315" s="97"/>
      <c r="L5315" s="195"/>
    </row>
    <row r="5316" spans="1:12" x14ac:dyDescent="0.45">
      <c r="A5316" s="462"/>
      <c r="B5316" s="441"/>
      <c r="C5316" s="194">
        <v>3</v>
      </c>
      <c r="D5316" s="80"/>
      <c r="E5316" s="97"/>
      <c r="F5316" s="97"/>
      <c r="G5316" s="97"/>
      <c r="H5316" s="97"/>
      <c r="I5316" s="97"/>
      <c r="J5316" s="97"/>
      <c r="K5316" s="97"/>
      <c r="L5316" s="195"/>
    </row>
    <row r="5317" spans="1:12" x14ac:dyDescent="0.45">
      <c r="A5317" s="462"/>
      <c r="B5317" s="441"/>
      <c r="C5317" s="194">
        <v>4</v>
      </c>
      <c r="D5317" s="80"/>
      <c r="E5317" s="97"/>
      <c r="F5317" s="97"/>
      <c r="G5317" s="97"/>
      <c r="H5317" s="97"/>
      <c r="I5317" s="97"/>
      <c r="J5317" s="97"/>
      <c r="K5317" s="97"/>
      <c r="L5317" s="195"/>
    </row>
    <row r="5318" spans="1:12" x14ac:dyDescent="0.45">
      <c r="A5318" s="462"/>
      <c r="B5318" s="441"/>
      <c r="C5318" s="194">
        <v>5</v>
      </c>
      <c r="D5318" s="80"/>
      <c r="E5318" s="97"/>
      <c r="F5318" s="97"/>
      <c r="G5318" s="97"/>
      <c r="H5318" s="97"/>
      <c r="I5318" s="97"/>
      <c r="J5318" s="97"/>
      <c r="K5318" s="97"/>
      <c r="L5318" s="195"/>
    </row>
    <row r="5319" spans="1:12" x14ac:dyDescent="0.45">
      <c r="A5319" s="462"/>
      <c r="B5319" s="441"/>
      <c r="C5319" s="194">
        <v>6</v>
      </c>
      <c r="D5319" s="80"/>
      <c r="E5319" s="97"/>
      <c r="F5319" s="97"/>
      <c r="G5319" s="97"/>
      <c r="H5319" s="97"/>
      <c r="I5319" s="97"/>
      <c r="J5319" s="97"/>
      <c r="K5319" s="97"/>
      <c r="L5319" s="195"/>
    </row>
    <row r="5320" spans="1:12" x14ac:dyDescent="0.45">
      <c r="A5320" s="462"/>
      <c r="B5320" s="441"/>
      <c r="C5320" s="194">
        <v>7</v>
      </c>
      <c r="D5320" s="80"/>
      <c r="E5320" s="97"/>
      <c r="F5320" s="97"/>
      <c r="G5320" s="97"/>
      <c r="H5320" s="97"/>
      <c r="I5320" s="97"/>
      <c r="J5320" s="97"/>
      <c r="K5320" s="97"/>
      <c r="L5320" s="195"/>
    </row>
    <row r="5321" spans="1:12" x14ac:dyDescent="0.45">
      <c r="A5321" s="462"/>
      <c r="B5321" s="441"/>
      <c r="C5321" s="194">
        <v>8</v>
      </c>
      <c r="D5321" s="80"/>
      <c r="E5321" s="97"/>
      <c r="F5321" s="97"/>
      <c r="G5321" s="97"/>
      <c r="H5321" s="97"/>
      <c r="I5321" s="97"/>
      <c r="J5321" s="97"/>
      <c r="K5321" s="97"/>
      <c r="L5321" s="195"/>
    </row>
    <row r="5322" spans="1:12" x14ac:dyDescent="0.45">
      <c r="A5322" s="462"/>
      <c r="B5322" s="441"/>
      <c r="C5322" s="194">
        <v>9</v>
      </c>
      <c r="D5322" s="80"/>
      <c r="E5322" s="97"/>
      <c r="F5322" s="97"/>
      <c r="G5322" s="97"/>
      <c r="H5322" s="97"/>
      <c r="I5322" s="97"/>
      <c r="J5322" s="97"/>
      <c r="K5322" s="97"/>
      <c r="L5322" s="195"/>
    </row>
    <row r="5323" spans="1:12" x14ac:dyDescent="0.45">
      <c r="A5323" s="462"/>
      <c r="B5323" s="441"/>
      <c r="C5323" s="194">
        <v>10</v>
      </c>
      <c r="D5323" s="80"/>
      <c r="E5323" s="97"/>
      <c r="F5323" s="97"/>
      <c r="G5323" s="97"/>
      <c r="H5323" s="97"/>
      <c r="I5323" s="97"/>
      <c r="J5323" s="97"/>
      <c r="K5323" s="97"/>
      <c r="L5323" s="195"/>
    </row>
    <row r="5324" spans="1:12" x14ac:dyDescent="0.45">
      <c r="A5324" s="462"/>
      <c r="B5324" s="441"/>
      <c r="C5324" s="194">
        <v>11</v>
      </c>
      <c r="D5324" s="81"/>
      <c r="E5324" s="98"/>
      <c r="F5324" s="98"/>
      <c r="G5324" s="98"/>
      <c r="H5324" s="98"/>
      <c r="I5324" s="98"/>
      <c r="J5324" s="98"/>
      <c r="K5324" s="98"/>
      <c r="L5324" s="196"/>
    </row>
    <row r="5325" spans="1:12" ht="14.65" thickBot="1" x14ac:dyDescent="0.5">
      <c r="A5325" s="462"/>
      <c r="B5325" s="442"/>
      <c r="C5325" s="197">
        <v>12</v>
      </c>
      <c r="D5325" s="82"/>
      <c r="E5325" s="99"/>
      <c r="F5325" s="99"/>
      <c r="G5325" s="99"/>
      <c r="H5325" s="99"/>
      <c r="I5325" s="99"/>
      <c r="J5325" s="99"/>
      <c r="K5325" s="99"/>
      <c r="L5325" s="198"/>
    </row>
    <row r="5326" spans="1:12" x14ac:dyDescent="0.45">
      <c r="A5326" s="462"/>
      <c r="B5326" s="440">
        <v>6</v>
      </c>
      <c r="C5326" s="192">
        <v>1</v>
      </c>
      <c r="D5326" s="79"/>
      <c r="E5326" s="96"/>
      <c r="F5326" s="96"/>
      <c r="G5326" s="96"/>
      <c r="H5326" s="96"/>
      <c r="I5326" s="96"/>
      <c r="J5326" s="96"/>
      <c r="K5326" s="96"/>
      <c r="L5326" s="193"/>
    </row>
    <row r="5327" spans="1:12" x14ac:dyDescent="0.45">
      <c r="A5327" s="462"/>
      <c r="B5327" s="441"/>
      <c r="C5327" s="194">
        <v>2</v>
      </c>
      <c r="D5327" s="80"/>
      <c r="E5327" s="97"/>
      <c r="F5327" s="97"/>
      <c r="G5327" s="97"/>
      <c r="H5327" s="97"/>
      <c r="I5327" s="97"/>
      <c r="J5327" s="97"/>
      <c r="K5327" s="97"/>
      <c r="L5327" s="195"/>
    </row>
    <row r="5328" spans="1:12" x14ac:dyDescent="0.45">
      <c r="A5328" s="462"/>
      <c r="B5328" s="441"/>
      <c r="C5328" s="194">
        <v>3</v>
      </c>
      <c r="D5328" s="80"/>
      <c r="E5328" s="97"/>
      <c r="F5328" s="97"/>
      <c r="G5328" s="97"/>
      <c r="H5328" s="97"/>
      <c r="I5328" s="97"/>
      <c r="J5328" s="97"/>
      <c r="K5328" s="97"/>
      <c r="L5328" s="195"/>
    </row>
    <row r="5329" spans="1:12" x14ac:dyDescent="0.45">
      <c r="A5329" s="462"/>
      <c r="B5329" s="441"/>
      <c r="C5329" s="194">
        <v>4</v>
      </c>
      <c r="D5329" s="80"/>
      <c r="E5329" s="97"/>
      <c r="F5329" s="97"/>
      <c r="G5329" s="97"/>
      <c r="H5329" s="97"/>
      <c r="I5329" s="97"/>
      <c r="J5329" s="97"/>
      <c r="K5329" s="97"/>
      <c r="L5329" s="195"/>
    </row>
    <row r="5330" spans="1:12" x14ac:dyDescent="0.45">
      <c r="A5330" s="462"/>
      <c r="B5330" s="441"/>
      <c r="C5330" s="194">
        <v>5</v>
      </c>
      <c r="D5330" s="80"/>
      <c r="E5330" s="97"/>
      <c r="F5330" s="97"/>
      <c r="G5330" s="97"/>
      <c r="H5330" s="97"/>
      <c r="I5330" s="97"/>
      <c r="J5330" s="97"/>
      <c r="K5330" s="97"/>
      <c r="L5330" s="195"/>
    </row>
    <row r="5331" spans="1:12" x14ac:dyDescent="0.45">
      <c r="A5331" s="462"/>
      <c r="B5331" s="441"/>
      <c r="C5331" s="194">
        <v>6</v>
      </c>
      <c r="D5331" s="80"/>
      <c r="E5331" s="97"/>
      <c r="F5331" s="97"/>
      <c r="G5331" s="97"/>
      <c r="H5331" s="97"/>
      <c r="I5331" s="97"/>
      <c r="J5331" s="97"/>
      <c r="K5331" s="97"/>
      <c r="L5331" s="195"/>
    </row>
    <row r="5332" spans="1:12" x14ac:dyDescent="0.45">
      <c r="A5332" s="462"/>
      <c r="B5332" s="441"/>
      <c r="C5332" s="194">
        <v>7</v>
      </c>
      <c r="D5332" s="80"/>
      <c r="E5332" s="97"/>
      <c r="F5332" s="97"/>
      <c r="G5332" s="97"/>
      <c r="H5332" s="97"/>
      <c r="I5332" s="97"/>
      <c r="J5332" s="97"/>
      <c r="K5332" s="97"/>
      <c r="L5332" s="195"/>
    </row>
    <row r="5333" spans="1:12" x14ac:dyDescent="0.45">
      <c r="A5333" s="462"/>
      <c r="B5333" s="441"/>
      <c r="C5333" s="194">
        <v>8</v>
      </c>
      <c r="D5333" s="80"/>
      <c r="E5333" s="97"/>
      <c r="F5333" s="97"/>
      <c r="G5333" s="97"/>
      <c r="H5333" s="97"/>
      <c r="I5333" s="97"/>
      <c r="J5333" s="97"/>
      <c r="K5333" s="97"/>
      <c r="L5333" s="195"/>
    </row>
    <row r="5334" spans="1:12" x14ac:dyDescent="0.45">
      <c r="A5334" s="462"/>
      <c r="B5334" s="441"/>
      <c r="C5334" s="194">
        <v>9</v>
      </c>
      <c r="D5334" s="80"/>
      <c r="E5334" s="97"/>
      <c r="F5334" s="97"/>
      <c r="G5334" s="97"/>
      <c r="H5334" s="97"/>
      <c r="I5334" s="97"/>
      <c r="J5334" s="97"/>
      <c r="K5334" s="97"/>
      <c r="L5334" s="195"/>
    </row>
    <row r="5335" spans="1:12" x14ac:dyDescent="0.45">
      <c r="A5335" s="462"/>
      <c r="B5335" s="441"/>
      <c r="C5335" s="194">
        <v>10</v>
      </c>
      <c r="D5335" s="80"/>
      <c r="E5335" s="97"/>
      <c r="F5335" s="97"/>
      <c r="G5335" s="97"/>
      <c r="H5335" s="97"/>
      <c r="I5335" s="97"/>
      <c r="J5335" s="97"/>
      <c r="K5335" s="97"/>
      <c r="L5335" s="195"/>
    </row>
    <row r="5336" spans="1:12" x14ac:dyDescent="0.45">
      <c r="A5336" s="462"/>
      <c r="B5336" s="441"/>
      <c r="C5336" s="194">
        <v>11</v>
      </c>
      <c r="D5336" s="81"/>
      <c r="E5336" s="98"/>
      <c r="F5336" s="98"/>
      <c r="G5336" s="98"/>
      <c r="H5336" s="98"/>
      <c r="I5336" s="98"/>
      <c r="J5336" s="98"/>
      <c r="K5336" s="98"/>
      <c r="L5336" s="196"/>
    </row>
    <row r="5337" spans="1:12" ht="14.65" thickBot="1" x14ac:dyDescent="0.5">
      <c r="A5337" s="462"/>
      <c r="B5337" s="442"/>
      <c r="C5337" s="197">
        <v>12</v>
      </c>
      <c r="D5337" s="82"/>
      <c r="E5337" s="99"/>
      <c r="F5337" s="99"/>
      <c r="G5337" s="99"/>
      <c r="H5337" s="99"/>
      <c r="I5337" s="99"/>
      <c r="J5337" s="99"/>
      <c r="K5337" s="99"/>
      <c r="L5337" s="198"/>
    </row>
    <row r="5338" spans="1:12" x14ac:dyDescent="0.45">
      <c r="A5338" s="462"/>
      <c r="B5338" s="440">
        <v>7</v>
      </c>
      <c r="C5338" s="192">
        <v>1</v>
      </c>
      <c r="D5338" s="79"/>
      <c r="E5338" s="96"/>
      <c r="F5338" s="96"/>
      <c r="G5338" s="96"/>
      <c r="H5338" s="96"/>
      <c r="I5338" s="96"/>
      <c r="J5338" s="96"/>
      <c r="K5338" s="96"/>
      <c r="L5338" s="193"/>
    </row>
    <row r="5339" spans="1:12" x14ac:dyDescent="0.45">
      <c r="A5339" s="462"/>
      <c r="B5339" s="441"/>
      <c r="C5339" s="194">
        <v>2</v>
      </c>
      <c r="D5339" s="80"/>
      <c r="E5339" s="97"/>
      <c r="F5339" s="97"/>
      <c r="G5339" s="97"/>
      <c r="H5339" s="97"/>
      <c r="I5339" s="97"/>
      <c r="J5339" s="97"/>
      <c r="K5339" s="97"/>
      <c r="L5339" s="195"/>
    </row>
    <row r="5340" spans="1:12" x14ac:dyDescent="0.45">
      <c r="A5340" s="462"/>
      <c r="B5340" s="441"/>
      <c r="C5340" s="194">
        <v>3</v>
      </c>
      <c r="D5340" s="80"/>
      <c r="E5340" s="97"/>
      <c r="F5340" s="97"/>
      <c r="G5340" s="97"/>
      <c r="H5340" s="97"/>
      <c r="I5340" s="97"/>
      <c r="J5340" s="97"/>
      <c r="K5340" s="97"/>
      <c r="L5340" s="195"/>
    </row>
    <row r="5341" spans="1:12" x14ac:dyDescent="0.45">
      <c r="A5341" s="462"/>
      <c r="B5341" s="441"/>
      <c r="C5341" s="194">
        <v>4</v>
      </c>
      <c r="D5341" s="80"/>
      <c r="E5341" s="97"/>
      <c r="F5341" s="97"/>
      <c r="G5341" s="97"/>
      <c r="H5341" s="97"/>
      <c r="I5341" s="97"/>
      <c r="J5341" s="97"/>
      <c r="K5341" s="97"/>
      <c r="L5341" s="195"/>
    </row>
    <row r="5342" spans="1:12" x14ac:dyDescent="0.45">
      <c r="A5342" s="462"/>
      <c r="B5342" s="441"/>
      <c r="C5342" s="194">
        <v>5</v>
      </c>
      <c r="D5342" s="80"/>
      <c r="E5342" s="97"/>
      <c r="F5342" s="97"/>
      <c r="G5342" s="97"/>
      <c r="H5342" s="97"/>
      <c r="I5342" s="97"/>
      <c r="J5342" s="97"/>
      <c r="K5342" s="97"/>
      <c r="L5342" s="195"/>
    </row>
    <row r="5343" spans="1:12" x14ac:dyDescent="0.45">
      <c r="A5343" s="462"/>
      <c r="B5343" s="441"/>
      <c r="C5343" s="194">
        <v>6</v>
      </c>
      <c r="D5343" s="80"/>
      <c r="E5343" s="97"/>
      <c r="F5343" s="97"/>
      <c r="G5343" s="97"/>
      <c r="H5343" s="97"/>
      <c r="I5343" s="97"/>
      <c r="J5343" s="97"/>
      <c r="K5343" s="97"/>
      <c r="L5343" s="195"/>
    </row>
    <row r="5344" spans="1:12" x14ac:dyDescent="0.45">
      <c r="A5344" s="462"/>
      <c r="B5344" s="441"/>
      <c r="C5344" s="194">
        <v>7</v>
      </c>
      <c r="D5344" s="80"/>
      <c r="E5344" s="97"/>
      <c r="F5344" s="97"/>
      <c r="G5344" s="97"/>
      <c r="H5344" s="97"/>
      <c r="I5344" s="97"/>
      <c r="J5344" s="97"/>
      <c r="K5344" s="97"/>
      <c r="L5344" s="195"/>
    </row>
    <row r="5345" spans="1:12" x14ac:dyDescent="0.45">
      <c r="A5345" s="462"/>
      <c r="B5345" s="441"/>
      <c r="C5345" s="194">
        <v>8</v>
      </c>
      <c r="D5345" s="80"/>
      <c r="E5345" s="97"/>
      <c r="F5345" s="97"/>
      <c r="G5345" s="97"/>
      <c r="H5345" s="97"/>
      <c r="I5345" s="97"/>
      <c r="J5345" s="97"/>
      <c r="K5345" s="97"/>
      <c r="L5345" s="195"/>
    </row>
    <row r="5346" spans="1:12" x14ac:dyDescent="0.45">
      <c r="A5346" s="462"/>
      <c r="B5346" s="441"/>
      <c r="C5346" s="194">
        <v>9</v>
      </c>
      <c r="D5346" s="80"/>
      <c r="E5346" s="97"/>
      <c r="F5346" s="97"/>
      <c r="G5346" s="97"/>
      <c r="H5346" s="97"/>
      <c r="I5346" s="97"/>
      <c r="J5346" s="97"/>
      <c r="K5346" s="97"/>
      <c r="L5346" s="195"/>
    </row>
    <row r="5347" spans="1:12" x14ac:dyDescent="0.45">
      <c r="A5347" s="462"/>
      <c r="B5347" s="441"/>
      <c r="C5347" s="194">
        <v>10</v>
      </c>
      <c r="D5347" s="80"/>
      <c r="E5347" s="97"/>
      <c r="F5347" s="97"/>
      <c r="G5347" s="97"/>
      <c r="H5347" s="97"/>
      <c r="I5347" s="97"/>
      <c r="J5347" s="97"/>
      <c r="K5347" s="97"/>
      <c r="L5347" s="195"/>
    </row>
    <row r="5348" spans="1:12" x14ac:dyDescent="0.45">
      <c r="A5348" s="462"/>
      <c r="B5348" s="441"/>
      <c r="C5348" s="194">
        <v>11</v>
      </c>
      <c r="D5348" s="81"/>
      <c r="E5348" s="98"/>
      <c r="F5348" s="98"/>
      <c r="G5348" s="98"/>
      <c r="H5348" s="98"/>
      <c r="I5348" s="98"/>
      <c r="J5348" s="98"/>
      <c r="K5348" s="98"/>
      <c r="L5348" s="196"/>
    </row>
    <row r="5349" spans="1:12" ht="14.65" thickBot="1" x14ac:dyDescent="0.5">
      <c r="A5349" s="462"/>
      <c r="B5349" s="442"/>
      <c r="C5349" s="197">
        <v>12</v>
      </c>
      <c r="D5349" s="82"/>
      <c r="E5349" s="99"/>
      <c r="F5349" s="99"/>
      <c r="G5349" s="99"/>
      <c r="H5349" s="99"/>
      <c r="I5349" s="99"/>
      <c r="J5349" s="99"/>
      <c r="K5349" s="99"/>
      <c r="L5349" s="198"/>
    </row>
    <row r="5350" spans="1:12" x14ac:dyDescent="0.45">
      <c r="A5350" s="462"/>
      <c r="B5350" s="440">
        <v>8</v>
      </c>
      <c r="C5350" s="192">
        <v>1</v>
      </c>
      <c r="D5350" s="79"/>
      <c r="E5350" s="96"/>
      <c r="F5350" s="96"/>
      <c r="G5350" s="96"/>
      <c r="H5350" s="96"/>
      <c r="I5350" s="96"/>
      <c r="J5350" s="96"/>
      <c r="K5350" s="96"/>
      <c r="L5350" s="193"/>
    </row>
    <row r="5351" spans="1:12" x14ac:dyDescent="0.45">
      <c r="A5351" s="462"/>
      <c r="B5351" s="441"/>
      <c r="C5351" s="194">
        <v>2</v>
      </c>
      <c r="D5351" s="80"/>
      <c r="E5351" s="97"/>
      <c r="F5351" s="97"/>
      <c r="G5351" s="97"/>
      <c r="H5351" s="97"/>
      <c r="I5351" s="97"/>
      <c r="J5351" s="97"/>
      <c r="K5351" s="97"/>
      <c r="L5351" s="195"/>
    </row>
    <row r="5352" spans="1:12" x14ac:dyDescent="0.45">
      <c r="A5352" s="462"/>
      <c r="B5352" s="441"/>
      <c r="C5352" s="194">
        <v>3</v>
      </c>
      <c r="D5352" s="80"/>
      <c r="E5352" s="97"/>
      <c r="F5352" s="97"/>
      <c r="G5352" s="97"/>
      <c r="H5352" s="97"/>
      <c r="I5352" s="97"/>
      <c r="J5352" s="97"/>
      <c r="K5352" s="97"/>
      <c r="L5352" s="195"/>
    </row>
    <row r="5353" spans="1:12" x14ac:dyDescent="0.45">
      <c r="A5353" s="462"/>
      <c r="B5353" s="441"/>
      <c r="C5353" s="194">
        <v>4</v>
      </c>
      <c r="D5353" s="80"/>
      <c r="E5353" s="97"/>
      <c r="F5353" s="97"/>
      <c r="G5353" s="97"/>
      <c r="H5353" s="97"/>
      <c r="I5353" s="97"/>
      <c r="J5353" s="97"/>
      <c r="K5353" s="97"/>
      <c r="L5353" s="195"/>
    </row>
    <row r="5354" spans="1:12" x14ac:dyDescent="0.45">
      <c r="A5354" s="462"/>
      <c r="B5354" s="441"/>
      <c r="C5354" s="194">
        <v>5</v>
      </c>
      <c r="D5354" s="80"/>
      <c r="E5354" s="97"/>
      <c r="F5354" s="97"/>
      <c r="G5354" s="97"/>
      <c r="H5354" s="97"/>
      <c r="I5354" s="97"/>
      <c r="J5354" s="97"/>
      <c r="K5354" s="97"/>
      <c r="L5354" s="195"/>
    </row>
    <row r="5355" spans="1:12" x14ac:dyDescent="0.45">
      <c r="A5355" s="462"/>
      <c r="B5355" s="441"/>
      <c r="C5355" s="194">
        <v>6</v>
      </c>
      <c r="D5355" s="80"/>
      <c r="E5355" s="97"/>
      <c r="F5355" s="97"/>
      <c r="G5355" s="97"/>
      <c r="H5355" s="97"/>
      <c r="I5355" s="97"/>
      <c r="J5355" s="97"/>
      <c r="K5355" s="97"/>
      <c r="L5355" s="195"/>
    </row>
    <row r="5356" spans="1:12" x14ac:dyDescent="0.45">
      <c r="A5356" s="462"/>
      <c r="B5356" s="441"/>
      <c r="C5356" s="194">
        <v>7</v>
      </c>
      <c r="D5356" s="80"/>
      <c r="E5356" s="97"/>
      <c r="F5356" s="97"/>
      <c r="G5356" s="97"/>
      <c r="H5356" s="97"/>
      <c r="I5356" s="97"/>
      <c r="J5356" s="97"/>
      <c r="K5356" s="97"/>
      <c r="L5356" s="195"/>
    </row>
    <row r="5357" spans="1:12" x14ac:dyDescent="0.45">
      <c r="A5357" s="462"/>
      <c r="B5357" s="441"/>
      <c r="C5357" s="194">
        <v>8</v>
      </c>
      <c r="D5357" s="80"/>
      <c r="E5357" s="97"/>
      <c r="F5357" s="97"/>
      <c r="G5357" s="97"/>
      <c r="H5357" s="97"/>
      <c r="I5357" s="97"/>
      <c r="J5357" s="97"/>
      <c r="K5357" s="97"/>
      <c r="L5357" s="195"/>
    </row>
    <row r="5358" spans="1:12" x14ac:dyDescent="0.45">
      <c r="A5358" s="462"/>
      <c r="B5358" s="441"/>
      <c r="C5358" s="194">
        <v>9</v>
      </c>
      <c r="D5358" s="80"/>
      <c r="E5358" s="97"/>
      <c r="F5358" s="97"/>
      <c r="G5358" s="97"/>
      <c r="H5358" s="97"/>
      <c r="I5358" s="97"/>
      <c r="J5358" s="97"/>
      <c r="K5358" s="97"/>
      <c r="L5358" s="195"/>
    </row>
    <row r="5359" spans="1:12" x14ac:dyDescent="0.45">
      <c r="A5359" s="462"/>
      <c r="B5359" s="441"/>
      <c r="C5359" s="194">
        <v>10</v>
      </c>
      <c r="D5359" s="80"/>
      <c r="E5359" s="97"/>
      <c r="F5359" s="97"/>
      <c r="G5359" s="97"/>
      <c r="H5359" s="97"/>
      <c r="I5359" s="97"/>
      <c r="J5359" s="97"/>
      <c r="K5359" s="97"/>
      <c r="L5359" s="195"/>
    </row>
    <row r="5360" spans="1:12" x14ac:dyDescent="0.45">
      <c r="A5360" s="462"/>
      <c r="B5360" s="441"/>
      <c r="C5360" s="194">
        <v>11</v>
      </c>
      <c r="D5360" s="81"/>
      <c r="E5360" s="98"/>
      <c r="F5360" s="98"/>
      <c r="G5360" s="98"/>
      <c r="H5360" s="98"/>
      <c r="I5360" s="98"/>
      <c r="J5360" s="98"/>
      <c r="K5360" s="98"/>
      <c r="L5360" s="196"/>
    </row>
    <row r="5361" spans="1:12" ht="14.65" thickBot="1" x14ac:dyDescent="0.5">
      <c r="A5361" s="463"/>
      <c r="B5361" s="442"/>
      <c r="C5361" s="197">
        <v>12</v>
      </c>
      <c r="D5361" s="82"/>
      <c r="E5361" s="99"/>
      <c r="F5361" s="99"/>
      <c r="G5361" s="99"/>
      <c r="H5361" s="99"/>
      <c r="I5361" s="99"/>
      <c r="J5361" s="99"/>
      <c r="K5361" s="99"/>
      <c r="L5361" s="198"/>
    </row>
    <row r="5362" spans="1:12" x14ac:dyDescent="0.45">
      <c r="A5362" s="461">
        <v>3</v>
      </c>
      <c r="B5362" s="440">
        <v>9</v>
      </c>
      <c r="C5362" s="192">
        <v>1</v>
      </c>
      <c r="D5362" s="79"/>
      <c r="E5362" s="96"/>
      <c r="F5362" s="96"/>
      <c r="G5362" s="96"/>
      <c r="H5362" s="96"/>
      <c r="I5362" s="96"/>
      <c r="J5362" s="96"/>
      <c r="K5362" s="96"/>
      <c r="L5362" s="193"/>
    </row>
    <row r="5363" spans="1:12" x14ac:dyDescent="0.45">
      <c r="A5363" s="462"/>
      <c r="B5363" s="441"/>
      <c r="C5363" s="194">
        <v>2</v>
      </c>
      <c r="D5363" s="80"/>
      <c r="E5363" s="97"/>
      <c r="F5363" s="97"/>
      <c r="G5363" s="97"/>
      <c r="H5363" s="97"/>
      <c r="I5363" s="97"/>
      <c r="J5363" s="97"/>
      <c r="K5363" s="97"/>
      <c r="L5363" s="195"/>
    </row>
    <row r="5364" spans="1:12" x14ac:dyDescent="0.45">
      <c r="A5364" s="462"/>
      <c r="B5364" s="441"/>
      <c r="C5364" s="194">
        <v>3</v>
      </c>
      <c r="D5364" s="80"/>
      <c r="E5364" s="97"/>
      <c r="F5364" s="97"/>
      <c r="G5364" s="97"/>
      <c r="H5364" s="97"/>
      <c r="I5364" s="97"/>
      <c r="J5364" s="97"/>
      <c r="K5364" s="97"/>
      <c r="L5364" s="195"/>
    </row>
    <row r="5365" spans="1:12" x14ac:dyDescent="0.45">
      <c r="A5365" s="462"/>
      <c r="B5365" s="441"/>
      <c r="C5365" s="194">
        <v>4</v>
      </c>
      <c r="D5365" s="80"/>
      <c r="E5365" s="97"/>
      <c r="F5365" s="97"/>
      <c r="G5365" s="97"/>
      <c r="H5365" s="97"/>
      <c r="I5365" s="97"/>
      <c r="J5365" s="97"/>
      <c r="K5365" s="97"/>
      <c r="L5365" s="195"/>
    </row>
    <row r="5366" spans="1:12" x14ac:dyDescent="0.45">
      <c r="A5366" s="462"/>
      <c r="B5366" s="441"/>
      <c r="C5366" s="194">
        <v>5</v>
      </c>
      <c r="D5366" s="80"/>
      <c r="E5366" s="97"/>
      <c r="F5366" s="97"/>
      <c r="G5366" s="97"/>
      <c r="H5366" s="97"/>
      <c r="I5366" s="97"/>
      <c r="J5366" s="97"/>
      <c r="K5366" s="97"/>
      <c r="L5366" s="195"/>
    </row>
    <row r="5367" spans="1:12" x14ac:dyDescent="0.45">
      <c r="A5367" s="462"/>
      <c r="B5367" s="441"/>
      <c r="C5367" s="194">
        <v>6</v>
      </c>
      <c r="D5367" s="80"/>
      <c r="E5367" s="97"/>
      <c r="F5367" s="97"/>
      <c r="G5367" s="97"/>
      <c r="H5367" s="97"/>
      <c r="I5367" s="97"/>
      <c r="J5367" s="97"/>
      <c r="K5367" s="97"/>
      <c r="L5367" s="195"/>
    </row>
    <row r="5368" spans="1:12" x14ac:dyDescent="0.45">
      <c r="A5368" s="462"/>
      <c r="B5368" s="441"/>
      <c r="C5368" s="194">
        <v>7</v>
      </c>
      <c r="D5368" s="80"/>
      <c r="E5368" s="97"/>
      <c r="F5368" s="97"/>
      <c r="G5368" s="97"/>
      <c r="H5368" s="97"/>
      <c r="I5368" s="97"/>
      <c r="J5368" s="97"/>
      <c r="K5368" s="97"/>
      <c r="L5368" s="195"/>
    </row>
    <row r="5369" spans="1:12" x14ac:dyDescent="0.45">
      <c r="A5369" s="462"/>
      <c r="B5369" s="441"/>
      <c r="C5369" s="194">
        <v>8</v>
      </c>
      <c r="D5369" s="80"/>
      <c r="E5369" s="97"/>
      <c r="F5369" s="97"/>
      <c r="G5369" s="97"/>
      <c r="H5369" s="97"/>
      <c r="I5369" s="97"/>
      <c r="J5369" s="97"/>
      <c r="K5369" s="97"/>
      <c r="L5369" s="195"/>
    </row>
    <row r="5370" spans="1:12" x14ac:dyDescent="0.45">
      <c r="A5370" s="462"/>
      <c r="B5370" s="441"/>
      <c r="C5370" s="194">
        <v>9</v>
      </c>
      <c r="D5370" s="80"/>
      <c r="E5370" s="97"/>
      <c r="F5370" s="97"/>
      <c r="G5370" s="97"/>
      <c r="H5370" s="97"/>
      <c r="I5370" s="97"/>
      <c r="J5370" s="97"/>
      <c r="K5370" s="97"/>
      <c r="L5370" s="195"/>
    </row>
    <row r="5371" spans="1:12" x14ac:dyDescent="0.45">
      <c r="A5371" s="462"/>
      <c r="B5371" s="441"/>
      <c r="C5371" s="194">
        <v>10</v>
      </c>
      <c r="D5371" s="80"/>
      <c r="E5371" s="97"/>
      <c r="F5371" s="97"/>
      <c r="G5371" s="97"/>
      <c r="H5371" s="97"/>
      <c r="I5371" s="97"/>
      <c r="J5371" s="97"/>
      <c r="K5371" s="97"/>
      <c r="L5371" s="195"/>
    </row>
    <row r="5372" spans="1:12" x14ac:dyDescent="0.45">
      <c r="A5372" s="462"/>
      <c r="B5372" s="441"/>
      <c r="C5372" s="194">
        <v>11</v>
      </c>
      <c r="D5372" s="81"/>
      <c r="E5372" s="98"/>
      <c r="F5372" s="98"/>
      <c r="G5372" s="98"/>
      <c r="H5372" s="98"/>
      <c r="I5372" s="98"/>
      <c r="J5372" s="98"/>
      <c r="K5372" s="98"/>
      <c r="L5372" s="196"/>
    </row>
    <row r="5373" spans="1:12" ht="14.65" thickBot="1" x14ac:dyDescent="0.5">
      <c r="A5373" s="462"/>
      <c r="B5373" s="442"/>
      <c r="C5373" s="197">
        <v>12</v>
      </c>
      <c r="D5373" s="82"/>
      <c r="E5373" s="99"/>
      <c r="F5373" s="99"/>
      <c r="G5373" s="99"/>
      <c r="H5373" s="99"/>
      <c r="I5373" s="99"/>
      <c r="J5373" s="99"/>
      <c r="K5373" s="99"/>
      <c r="L5373" s="198"/>
    </row>
    <row r="5374" spans="1:12" x14ac:dyDescent="0.45">
      <c r="A5374" s="462"/>
      <c r="B5374" s="440">
        <v>10</v>
      </c>
      <c r="C5374" s="192">
        <v>1</v>
      </c>
      <c r="D5374" s="79"/>
      <c r="E5374" s="96"/>
      <c r="F5374" s="96"/>
      <c r="G5374" s="96"/>
      <c r="H5374" s="96"/>
      <c r="I5374" s="96"/>
      <c r="J5374" s="96"/>
      <c r="K5374" s="96"/>
      <c r="L5374" s="193"/>
    </row>
    <row r="5375" spans="1:12" x14ac:dyDescent="0.45">
      <c r="A5375" s="462"/>
      <c r="B5375" s="441"/>
      <c r="C5375" s="194">
        <v>2</v>
      </c>
      <c r="D5375" s="80"/>
      <c r="E5375" s="97"/>
      <c r="F5375" s="97"/>
      <c r="G5375" s="97"/>
      <c r="H5375" s="97"/>
      <c r="I5375" s="97"/>
      <c r="J5375" s="97"/>
      <c r="K5375" s="97"/>
      <c r="L5375" s="195"/>
    </row>
    <row r="5376" spans="1:12" x14ac:dyDescent="0.45">
      <c r="A5376" s="462"/>
      <c r="B5376" s="441"/>
      <c r="C5376" s="194">
        <v>3</v>
      </c>
      <c r="D5376" s="80"/>
      <c r="E5376" s="97"/>
      <c r="F5376" s="97"/>
      <c r="G5376" s="97"/>
      <c r="H5376" s="97"/>
      <c r="I5376" s="97"/>
      <c r="J5376" s="97"/>
      <c r="K5376" s="97"/>
      <c r="L5376" s="195"/>
    </row>
    <row r="5377" spans="1:12" x14ac:dyDescent="0.45">
      <c r="A5377" s="462"/>
      <c r="B5377" s="441"/>
      <c r="C5377" s="194">
        <v>4</v>
      </c>
      <c r="D5377" s="80"/>
      <c r="E5377" s="97"/>
      <c r="F5377" s="97"/>
      <c r="G5377" s="97"/>
      <c r="H5377" s="97"/>
      <c r="I5377" s="97"/>
      <c r="J5377" s="97"/>
      <c r="K5377" s="97"/>
      <c r="L5377" s="195"/>
    </row>
    <row r="5378" spans="1:12" x14ac:dyDescent="0.45">
      <c r="A5378" s="462"/>
      <c r="B5378" s="441"/>
      <c r="C5378" s="194">
        <v>5</v>
      </c>
      <c r="D5378" s="80"/>
      <c r="E5378" s="97"/>
      <c r="F5378" s="97"/>
      <c r="G5378" s="97"/>
      <c r="H5378" s="97"/>
      <c r="I5378" s="97"/>
      <c r="J5378" s="97"/>
      <c r="K5378" s="97"/>
      <c r="L5378" s="195"/>
    </row>
    <row r="5379" spans="1:12" x14ac:dyDescent="0.45">
      <c r="A5379" s="462"/>
      <c r="B5379" s="441"/>
      <c r="C5379" s="194">
        <v>6</v>
      </c>
      <c r="D5379" s="80"/>
      <c r="E5379" s="97"/>
      <c r="F5379" s="97"/>
      <c r="G5379" s="97"/>
      <c r="H5379" s="97"/>
      <c r="I5379" s="97"/>
      <c r="J5379" s="97"/>
      <c r="K5379" s="97"/>
      <c r="L5379" s="195"/>
    </row>
    <row r="5380" spans="1:12" x14ac:dyDescent="0.45">
      <c r="A5380" s="462"/>
      <c r="B5380" s="441"/>
      <c r="C5380" s="194">
        <v>7</v>
      </c>
      <c r="D5380" s="80"/>
      <c r="E5380" s="97"/>
      <c r="F5380" s="97"/>
      <c r="G5380" s="97"/>
      <c r="H5380" s="97"/>
      <c r="I5380" s="97"/>
      <c r="J5380" s="97"/>
      <c r="K5380" s="97"/>
      <c r="L5380" s="195"/>
    </row>
    <row r="5381" spans="1:12" x14ac:dyDescent="0.45">
      <c r="A5381" s="462"/>
      <c r="B5381" s="441"/>
      <c r="C5381" s="194">
        <v>8</v>
      </c>
      <c r="D5381" s="80"/>
      <c r="E5381" s="97"/>
      <c r="F5381" s="97"/>
      <c r="G5381" s="97"/>
      <c r="H5381" s="97"/>
      <c r="I5381" s="97"/>
      <c r="J5381" s="97"/>
      <c r="K5381" s="97"/>
      <c r="L5381" s="195"/>
    </row>
    <row r="5382" spans="1:12" x14ac:dyDescent="0.45">
      <c r="A5382" s="462"/>
      <c r="B5382" s="441"/>
      <c r="C5382" s="194">
        <v>9</v>
      </c>
      <c r="D5382" s="80"/>
      <c r="E5382" s="97"/>
      <c r="F5382" s="97"/>
      <c r="G5382" s="97"/>
      <c r="H5382" s="97"/>
      <c r="I5382" s="97"/>
      <c r="J5382" s="97"/>
      <c r="K5382" s="97"/>
      <c r="L5382" s="195"/>
    </row>
    <row r="5383" spans="1:12" x14ac:dyDescent="0.45">
      <c r="A5383" s="462"/>
      <c r="B5383" s="441"/>
      <c r="C5383" s="194">
        <v>10</v>
      </c>
      <c r="D5383" s="80"/>
      <c r="E5383" s="97"/>
      <c r="F5383" s="97"/>
      <c r="G5383" s="97"/>
      <c r="H5383" s="97"/>
      <c r="I5383" s="97"/>
      <c r="J5383" s="97"/>
      <c r="K5383" s="97"/>
      <c r="L5383" s="195"/>
    </row>
    <row r="5384" spans="1:12" x14ac:dyDescent="0.45">
      <c r="A5384" s="462"/>
      <c r="B5384" s="441"/>
      <c r="C5384" s="194">
        <v>11</v>
      </c>
      <c r="D5384" s="81"/>
      <c r="E5384" s="98"/>
      <c r="F5384" s="98"/>
      <c r="G5384" s="98"/>
      <c r="H5384" s="98"/>
      <c r="I5384" s="98"/>
      <c r="J5384" s="98"/>
      <c r="K5384" s="98"/>
      <c r="L5384" s="196"/>
    </row>
    <row r="5385" spans="1:12" ht="14.65" thickBot="1" x14ac:dyDescent="0.5">
      <c r="A5385" s="462"/>
      <c r="B5385" s="442"/>
      <c r="C5385" s="197">
        <v>12</v>
      </c>
      <c r="D5385" s="82"/>
      <c r="E5385" s="99"/>
      <c r="F5385" s="99"/>
      <c r="G5385" s="99"/>
      <c r="H5385" s="99"/>
      <c r="I5385" s="99"/>
      <c r="J5385" s="99"/>
      <c r="K5385" s="99"/>
      <c r="L5385" s="198"/>
    </row>
    <row r="5386" spans="1:12" x14ac:dyDescent="0.45">
      <c r="A5386" s="462"/>
      <c r="B5386" s="440">
        <v>11</v>
      </c>
      <c r="C5386" s="192">
        <v>1</v>
      </c>
      <c r="D5386" s="79"/>
      <c r="E5386" s="96"/>
      <c r="F5386" s="96"/>
      <c r="G5386" s="96"/>
      <c r="H5386" s="96"/>
      <c r="I5386" s="96"/>
      <c r="J5386" s="96"/>
      <c r="K5386" s="96"/>
      <c r="L5386" s="193"/>
    </row>
    <row r="5387" spans="1:12" x14ac:dyDescent="0.45">
      <c r="A5387" s="462"/>
      <c r="B5387" s="441"/>
      <c r="C5387" s="194">
        <v>2</v>
      </c>
      <c r="D5387" s="80"/>
      <c r="E5387" s="97"/>
      <c r="F5387" s="97"/>
      <c r="G5387" s="97"/>
      <c r="H5387" s="97"/>
      <c r="I5387" s="97"/>
      <c r="J5387" s="97"/>
      <c r="K5387" s="97"/>
      <c r="L5387" s="195"/>
    </row>
    <row r="5388" spans="1:12" x14ac:dyDescent="0.45">
      <c r="A5388" s="462"/>
      <c r="B5388" s="441"/>
      <c r="C5388" s="194">
        <v>3</v>
      </c>
      <c r="D5388" s="80"/>
      <c r="E5388" s="97"/>
      <c r="F5388" s="97"/>
      <c r="G5388" s="97"/>
      <c r="H5388" s="97"/>
      <c r="I5388" s="97"/>
      <c r="J5388" s="97"/>
      <c r="K5388" s="97"/>
      <c r="L5388" s="195"/>
    </row>
    <row r="5389" spans="1:12" x14ac:dyDescent="0.45">
      <c r="A5389" s="462"/>
      <c r="B5389" s="441"/>
      <c r="C5389" s="194">
        <v>4</v>
      </c>
      <c r="D5389" s="80"/>
      <c r="E5389" s="97"/>
      <c r="F5389" s="97"/>
      <c r="G5389" s="97"/>
      <c r="H5389" s="97"/>
      <c r="I5389" s="97"/>
      <c r="J5389" s="97"/>
      <c r="K5389" s="97"/>
      <c r="L5389" s="195"/>
    </row>
    <row r="5390" spans="1:12" x14ac:dyDescent="0.45">
      <c r="A5390" s="462"/>
      <c r="B5390" s="441"/>
      <c r="C5390" s="194">
        <v>5</v>
      </c>
      <c r="D5390" s="80"/>
      <c r="E5390" s="97"/>
      <c r="F5390" s="97"/>
      <c r="G5390" s="97"/>
      <c r="H5390" s="97"/>
      <c r="I5390" s="97"/>
      <c r="J5390" s="97"/>
      <c r="K5390" s="97"/>
      <c r="L5390" s="195"/>
    </row>
    <row r="5391" spans="1:12" x14ac:dyDescent="0.45">
      <c r="A5391" s="462"/>
      <c r="B5391" s="441"/>
      <c r="C5391" s="194">
        <v>6</v>
      </c>
      <c r="D5391" s="80"/>
      <c r="E5391" s="97"/>
      <c r="F5391" s="97"/>
      <c r="G5391" s="97"/>
      <c r="H5391" s="97"/>
      <c r="I5391" s="97"/>
      <c r="J5391" s="97"/>
      <c r="K5391" s="97"/>
      <c r="L5391" s="195"/>
    </row>
    <row r="5392" spans="1:12" x14ac:dyDescent="0.45">
      <c r="A5392" s="462"/>
      <c r="B5392" s="441"/>
      <c r="C5392" s="194">
        <v>7</v>
      </c>
      <c r="D5392" s="80"/>
      <c r="E5392" s="97"/>
      <c r="F5392" s="97"/>
      <c r="G5392" s="97"/>
      <c r="H5392" s="97"/>
      <c r="I5392" s="97"/>
      <c r="J5392" s="97"/>
      <c r="K5392" s="97"/>
      <c r="L5392" s="195"/>
    </row>
    <row r="5393" spans="1:12" x14ac:dyDescent="0.45">
      <c r="A5393" s="462"/>
      <c r="B5393" s="441"/>
      <c r="C5393" s="194">
        <v>8</v>
      </c>
      <c r="D5393" s="80"/>
      <c r="E5393" s="97"/>
      <c r="F5393" s="97"/>
      <c r="G5393" s="97"/>
      <c r="H5393" s="97"/>
      <c r="I5393" s="97"/>
      <c r="J5393" s="97"/>
      <c r="K5393" s="97"/>
      <c r="L5393" s="195"/>
    </row>
    <row r="5394" spans="1:12" x14ac:dyDescent="0.45">
      <c r="A5394" s="462"/>
      <c r="B5394" s="441"/>
      <c r="C5394" s="194">
        <v>9</v>
      </c>
      <c r="D5394" s="80"/>
      <c r="E5394" s="97"/>
      <c r="F5394" s="97"/>
      <c r="G5394" s="97"/>
      <c r="H5394" s="97"/>
      <c r="I5394" s="97"/>
      <c r="J5394" s="97"/>
      <c r="K5394" s="97"/>
      <c r="L5394" s="195"/>
    </row>
    <row r="5395" spans="1:12" x14ac:dyDescent="0.45">
      <c r="A5395" s="462"/>
      <c r="B5395" s="441"/>
      <c r="C5395" s="194">
        <v>10</v>
      </c>
      <c r="D5395" s="80"/>
      <c r="E5395" s="97"/>
      <c r="F5395" s="97"/>
      <c r="G5395" s="97"/>
      <c r="H5395" s="97"/>
      <c r="I5395" s="97"/>
      <c r="J5395" s="97"/>
      <c r="K5395" s="97"/>
      <c r="L5395" s="195"/>
    </row>
    <row r="5396" spans="1:12" x14ac:dyDescent="0.45">
      <c r="A5396" s="462"/>
      <c r="B5396" s="441"/>
      <c r="C5396" s="194">
        <v>11</v>
      </c>
      <c r="D5396" s="81"/>
      <c r="E5396" s="98"/>
      <c r="F5396" s="98"/>
      <c r="G5396" s="98"/>
      <c r="H5396" s="98"/>
      <c r="I5396" s="98"/>
      <c r="J5396" s="98"/>
      <c r="K5396" s="98"/>
      <c r="L5396" s="196"/>
    </row>
    <row r="5397" spans="1:12" ht="14.65" thickBot="1" x14ac:dyDescent="0.5">
      <c r="A5397" s="462"/>
      <c r="B5397" s="442"/>
      <c r="C5397" s="197">
        <v>12</v>
      </c>
      <c r="D5397" s="82"/>
      <c r="E5397" s="99"/>
      <c r="F5397" s="99"/>
      <c r="G5397" s="99"/>
      <c r="H5397" s="99"/>
      <c r="I5397" s="99"/>
      <c r="J5397" s="99"/>
      <c r="K5397" s="99"/>
      <c r="L5397" s="198"/>
    </row>
    <row r="5398" spans="1:12" x14ac:dyDescent="0.45">
      <c r="A5398" s="462"/>
      <c r="B5398" s="440">
        <v>12</v>
      </c>
      <c r="C5398" s="192">
        <v>1</v>
      </c>
      <c r="D5398" s="79"/>
      <c r="E5398" s="96"/>
      <c r="F5398" s="96"/>
      <c r="G5398" s="96"/>
      <c r="H5398" s="96"/>
      <c r="I5398" s="96"/>
      <c r="J5398" s="96"/>
      <c r="K5398" s="96"/>
      <c r="L5398" s="193"/>
    </row>
    <row r="5399" spans="1:12" x14ac:dyDescent="0.45">
      <c r="A5399" s="462"/>
      <c r="B5399" s="441"/>
      <c r="C5399" s="194">
        <v>2</v>
      </c>
      <c r="D5399" s="80"/>
      <c r="E5399" s="97"/>
      <c r="F5399" s="97"/>
      <c r="G5399" s="97"/>
      <c r="H5399" s="97"/>
      <c r="I5399" s="97"/>
      <c r="J5399" s="97"/>
      <c r="K5399" s="97"/>
      <c r="L5399" s="195"/>
    </row>
    <row r="5400" spans="1:12" x14ac:dyDescent="0.45">
      <c r="A5400" s="462"/>
      <c r="B5400" s="441"/>
      <c r="C5400" s="194">
        <v>3</v>
      </c>
      <c r="D5400" s="80"/>
      <c r="E5400" s="97"/>
      <c r="F5400" s="97"/>
      <c r="G5400" s="97"/>
      <c r="H5400" s="97"/>
      <c r="I5400" s="97"/>
      <c r="J5400" s="97"/>
      <c r="K5400" s="97"/>
      <c r="L5400" s="195"/>
    </row>
    <row r="5401" spans="1:12" x14ac:dyDescent="0.45">
      <c r="A5401" s="462"/>
      <c r="B5401" s="441"/>
      <c r="C5401" s="194">
        <v>4</v>
      </c>
      <c r="D5401" s="80"/>
      <c r="E5401" s="97"/>
      <c r="F5401" s="97"/>
      <c r="G5401" s="97"/>
      <c r="H5401" s="97"/>
      <c r="I5401" s="97"/>
      <c r="J5401" s="97"/>
      <c r="K5401" s="97"/>
      <c r="L5401" s="195"/>
    </row>
    <row r="5402" spans="1:12" x14ac:dyDescent="0.45">
      <c r="A5402" s="462"/>
      <c r="B5402" s="441"/>
      <c r="C5402" s="194">
        <v>5</v>
      </c>
      <c r="D5402" s="80"/>
      <c r="E5402" s="97"/>
      <c r="F5402" s="97"/>
      <c r="G5402" s="97"/>
      <c r="H5402" s="97"/>
      <c r="I5402" s="97"/>
      <c r="J5402" s="97"/>
      <c r="K5402" s="97"/>
      <c r="L5402" s="195"/>
    </row>
    <row r="5403" spans="1:12" x14ac:dyDescent="0.45">
      <c r="A5403" s="462"/>
      <c r="B5403" s="441"/>
      <c r="C5403" s="194">
        <v>6</v>
      </c>
      <c r="D5403" s="80"/>
      <c r="E5403" s="97"/>
      <c r="F5403" s="97"/>
      <c r="G5403" s="97"/>
      <c r="H5403" s="97"/>
      <c r="I5403" s="97"/>
      <c r="J5403" s="97"/>
      <c r="K5403" s="97"/>
      <c r="L5403" s="195"/>
    </row>
    <row r="5404" spans="1:12" x14ac:dyDescent="0.45">
      <c r="A5404" s="462"/>
      <c r="B5404" s="441"/>
      <c r="C5404" s="194">
        <v>7</v>
      </c>
      <c r="D5404" s="80"/>
      <c r="E5404" s="97"/>
      <c r="F5404" s="97"/>
      <c r="G5404" s="97"/>
      <c r="H5404" s="97"/>
      <c r="I5404" s="97"/>
      <c r="J5404" s="97"/>
      <c r="K5404" s="97"/>
      <c r="L5404" s="195"/>
    </row>
    <row r="5405" spans="1:12" x14ac:dyDescent="0.45">
      <c r="A5405" s="462"/>
      <c r="B5405" s="441"/>
      <c r="C5405" s="194">
        <v>8</v>
      </c>
      <c r="D5405" s="80"/>
      <c r="E5405" s="97"/>
      <c r="F5405" s="97"/>
      <c r="G5405" s="97"/>
      <c r="H5405" s="97"/>
      <c r="I5405" s="97"/>
      <c r="J5405" s="97"/>
      <c r="K5405" s="97"/>
      <c r="L5405" s="195"/>
    </row>
    <row r="5406" spans="1:12" x14ac:dyDescent="0.45">
      <c r="A5406" s="462"/>
      <c r="B5406" s="441"/>
      <c r="C5406" s="194">
        <v>9</v>
      </c>
      <c r="D5406" s="80"/>
      <c r="E5406" s="97"/>
      <c r="F5406" s="97"/>
      <c r="G5406" s="97"/>
      <c r="H5406" s="97"/>
      <c r="I5406" s="97"/>
      <c r="J5406" s="97"/>
      <c r="K5406" s="97"/>
      <c r="L5406" s="195"/>
    </row>
    <row r="5407" spans="1:12" x14ac:dyDescent="0.45">
      <c r="A5407" s="462"/>
      <c r="B5407" s="441"/>
      <c r="C5407" s="194">
        <v>10</v>
      </c>
      <c r="D5407" s="80"/>
      <c r="E5407" s="97"/>
      <c r="F5407" s="97"/>
      <c r="G5407" s="97"/>
      <c r="H5407" s="97"/>
      <c r="I5407" s="97"/>
      <c r="J5407" s="97"/>
      <c r="K5407" s="97"/>
      <c r="L5407" s="195"/>
    </row>
    <row r="5408" spans="1:12" x14ac:dyDescent="0.45">
      <c r="A5408" s="462"/>
      <c r="B5408" s="441"/>
      <c r="C5408" s="194">
        <v>11</v>
      </c>
      <c r="D5408" s="81"/>
      <c r="E5408" s="98"/>
      <c r="F5408" s="98"/>
      <c r="G5408" s="98"/>
      <c r="H5408" s="98"/>
      <c r="I5408" s="98"/>
      <c r="J5408" s="98"/>
      <c r="K5408" s="98"/>
      <c r="L5408" s="196"/>
    </row>
    <row r="5409" spans="1:12" ht="14.65" thickBot="1" x14ac:dyDescent="0.5">
      <c r="A5409" s="463"/>
      <c r="B5409" s="442"/>
      <c r="C5409" s="199">
        <v>12</v>
      </c>
      <c r="D5409" s="82"/>
      <c r="E5409" s="99"/>
      <c r="F5409" s="99"/>
      <c r="G5409" s="99"/>
      <c r="H5409" s="99"/>
      <c r="I5409" s="99"/>
      <c r="J5409" s="99"/>
      <c r="K5409" s="99"/>
      <c r="L5409" s="198"/>
    </row>
    <row r="5411" spans="1:12" s="91" customFormat="1" x14ac:dyDescent="0.45"/>
    <row r="5412" spans="1:12" ht="14.65" thickBot="1" x14ac:dyDescent="0.5"/>
    <row r="5413" spans="1:12" ht="33.6" customHeight="1" thickBot="1" x14ac:dyDescent="0.5">
      <c r="A5413" s="187" t="s">
        <v>76</v>
      </c>
      <c r="B5413" s="186">
        <v>35</v>
      </c>
      <c r="C5413" s="109"/>
      <c r="D5413" s="109"/>
    </row>
    <row r="5414" spans="1:12" ht="15.6" customHeight="1" x14ac:dyDescent="0.45">
      <c r="A5414" s="443" t="s">
        <v>89</v>
      </c>
      <c r="B5414" s="448">
        <f>Name35</f>
        <v>0</v>
      </c>
      <c r="C5414" s="449"/>
      <c r="D5414" s="450"/>
    </row>
    <row r="5415" spans="1:12" ht="15.6" customHeight="1" x14ac:dyDescent="0.45">
      <c r="A5415" s="444"/>
      <c r="B5415" s="448"/>
      <c r="C5415" s="449"/>
      <c r="D5415" s="450"/>
    </row>
    <row r="5416" spans="1:12" ht="15.6" customHeight="1" x14ac:dyDescent="0.45">
      <c r="A5416" s="445"/>
      <c r="B5416" s="388"/>
      <c r="C5416" s="451"/>
      <c r="D5416" s="452"/>
    </row>
    <row r="5417" spans="1:12" ht="15.6" customHeight="1" x14ac:dyDescent="0.45">
      <c r="A5417" s="444" t="s">
        <v>155</v>
      </c>
      <c r="B5417" s="453">
        <f>GapA35</f>
        <v>0</v>
      </c>
      <c r="C5417" s="454"/>
      <c r="D5417" s="455"/>
    </row>
    <row r="5418" spans="1:12" ht="15.6" customHeight="1" x14ac:dyDescent="0.45">
      <c r="A5418" s="444"/>
      <c r="B5418" s="448"/>
      <c r="C5418" s="449"/>
      <c r="D5418" s="450"/>
    </row>
    <row r="5419" spans="1:12" ht="15.6" customHeight="1" x14ac:dyDescent="0.45">
      <c r="A5419" s="445"/>
      <c r="B5419" s="388"/>
      <c r="C5419" s="451"/>
      <c r="D5419" s="452"/>
    </row>
    <row r="5420" spans="1:12" ht="15.6" customHeight="1" x14ac:dyDescent="0.45">
      <c r="A5420" s="444" t="s">
        <v>159</v>
      </c>
      <c r="B5420" s="453">
        <f>Objective35</f>
        <v>0</v>
      </c>
      <c r="C5420" s="454"/>
      <c r="D5420" s="455"/>
    </row>
    <row r="5421" spans="1:12" ht="15.6" customHeight="1" x14ac:dyDescent="0.45">
      <c r="A5421" s="444"/>
      <c r="B5421" s="448"/>
      <c r="C5421" s="449"/>
      <c r="D5421" s="450"/>
    </row>
    <row r="5422" spans="1:12" ht="15.6" customHeight="1" x14ac:dyDescent="0.45">
      <c r="A5422" s="445"/>
      <c r="B5422" s="388"/>
      <c r="C5422" s="451"/>
      <c r="D5422" s="452"/>
    </row>
    <row r="5423" spans="1:12" ht="15.6" customHeight="1" x14ac:dyDescent="0.45">
      <c r="A5423" s="446" t="s">
        <v>166</v>
      </c>
      <c r="B5423" s="454">
        <f>Capacity35</f>
        <v>0</v>
      </c>
      <c r="C5423" s="454"/>
      <c r="D5423" s="455"/>
    </row>
    <row r="5424" spans="1:12" ht="15.6" customHeight="1" x14ac:dyDescent="0.45">
      <c r="A5424" s="447"/>
      <c r="B5424" s="449"/>
      <c r="C5424" s="449"/>
      <c r="D5424" s="450"/>
    </row>
    <row r="5425" spans="1:14" ht="15.6" customHeight="1" thickBot="1" x14ac:dyDescent="0.5">
      <c r="A5425" s="447"/>
      <c r="B5425" s="456"/>
      <c r="C5425" s="456"/>
      <c r="D5425" s="457"/>
    </row>
    <row r="5426" spans="1:14" x14ac:dyDescent="0.45">
      <c r="A5426" s="188"/>
    </row>
    <row r="5427" spans="1:14" ht="14.65" thickBot="1" x14ac:dyDescent="0.5">
      <c r="A5427" s="90"/>
      <c r="B5427" s="90"/>
      <c r="C5427" s="90"/>
      <c r="D5427" s="90"/>
      <c r="E5427" s="90"/>
      <c r="F5427" s="90"/>
      <c r="G5427" s="90"/>
      <c r="H5427" s="90"/>
      <c r="I5427" s="90"/>
      <c r="J5427" s="90"/>
      <c r="K5427" s="90"/>
      <c r="L5427" s="90"/>
      <c r="M5427" s="90"/>
      <c r="N5427" s="90"/>
    </row>
    <row r="5428" spans="1:14" ht="21.75" customHeight="1" x14ac:dyDescent="0.45">
      <c r="A5428" s="458" t="s">
        <v>135</v>
      </c>
      <c r="B5428" s="459"/>
      <c r="C5428" s="459"/>
      <c r="D5428" s="459"/>
      <c r="E5428" s="459"/>
      <c r="F5428" s="459"/>
      <c r="G5428" s="459"/>
      <c r="H5428" s="459"/>
      <c r="I5428" s="459"/>
      <c r="J5428" s="459"/>
      <c r="K5428" s="459"/>
      <c r="L5428" s="460"/>
    </row>
    <row r="5429" spans="1:14" ht="29" customHeight="1" thickBot="1" x14ac:dyDescent="0.5">
      <c r="A5429" s="93" t="s">
        <v>74</v>
      </c>
      <c r="B5429" s="94" t="s">
        <v>28</v>
      </c>
      <c r="C5429" s="95" t="s">
        <v>320</v>
      </c>
      <c r="D5429" s="95" t="s">
        <v>127</v>
      </c>
      <c r="E5429" s="114" t="s">
        <v>90</v>
      </c>
      <c r="F5429" s="95" t="s">
        <v>175</v>
      </c>
      <c r="G5429" s="95" t="s">
        <v>176</v>
      </c>
      <c r="H5429" s="95" t="s">
        <v>156</v>
      </c>
      <c r="I5429" s="95" t="s">
        <v>157</v>
      </c>
      <c r="J5429" s="189" t="s">
        <v>321</v>
      </c>
      <c r="K5429" s="190" t="s">
        <v>29</v>
      </c>
      <c r="L5429" s="191" t="s">
        <v>322</v>
      </c>
    </row>
    <row r="5430" spans="1:14" x14ac:dyDescent="0.45">
      <c r="A5430" s="461">
        <v>1</v>
      </c>
      <c r="B5430" s="440">
        <v>1</v>
      </c>
      <c r="C5430" s="192">
        <v>1</v>
      </c>
      <c r="D5430" s="79"/>
      <c r="E5430" s="96"/>
      <c r="F5430" s="96"/>
      <c r="G5430" s="96"/>
      <c r="H5430" s="96"/>
      <c r="I5430" s="96"/>
      <c r="J5430" s="96"/>
      <c r="K5430" s="96"/>
      <c r="L5430" s="193"/>
    </row>
    <row r="5431" spans="1:14" x14ac:dyDescent="0.45">
      <c r="A5431" s="462"/>
      <c r="B5431" s="441"/>
      <c r="C5431" s="194">
        <v>2</v>
      </c>
      <c r="D5431" s="80"/>
      <c r="E5431" s="97"/>
      <c r="F5431" s="97"/>
      <c r="G5431" s="97"/>
      <c r="H5431" s="97"/>
      <c r="I5431" s="97"/>
      <c r="J5431" s="97"/>
      <c r="K5431" s="97"/>
      <c r="L5431" s="195"/>
    </row>
    <row r="5432" spans="1:14" x14ac:dyDescent="0.45">
      <c r="A5432" s="462"/>
      <c r="B5432" s="441"/>
      <c r="C5432" s="194">
        <v>3</v>
      </c>
      <c r="D5432" s="80"/>
      <c r="E5432" s="97"/>
      <c r="F5432" s="97"/>
      <c r="G5432" s="97"/>
      <c r="H5432" s="97"/>
      <c r="I5432" s="97"/>
      <c r="J5432" s="97"/>
      <c r="K5432" s="97"/>
      <c r="L5432" s="195"/>
    </row>
    <row r="5433" spans="1:14" x14ac:dyDescent="0.45">
      <c r="A5433" s="462"/>
      <c r="B5433" s="441"/>
      <c r="C5433" s="194">
        <v>4</v>
      </c>
      <c r="D5433" s="80"/>
      <c r="E5433" s="97"/>
      <c r="F5433" s="97"/>
      <c r="G5433" s="97"/>
      <c r="H5433" s="97"/>
      <c r="I5433" s="97"/>
      <c r="J5433" s="97"/>
      <c r="K5433" s="97"/>
      <c r="L5433" s="195"/>
    </row>
    <row r="5434" spans="1:14" x14ac:dyDescent="0.45">
      <c r="A5434" s="462"/>
      <c r="B5434" s="441"/>
      <c r="C5434" s="194">
        <v>5</v>
      </c>
      <c r="D5434" s="80"/>
      <c r="E5434" s="97"/>
      <c r="F5434" s="97"/>
      <c r="G5434" s="97"/>
      <c r="H5434" s="97"/>
      <c r="I5434" s="97"/>
      <c r="J5434" s="97"/>
      <c r="K5434" s="97"/>
      <c r="L5434" s="195"/>
    </row>
    <row r="5435" spans="1:14" x14ac:dyDescent="0.45">
      <c r="A5435" s="462"/>
      <c r="B5435" s="441"/>
      <c r="C5435" s="194">
        <v>6</v>
      </c>
      <c r="D5435" s="80"/>
      <c r="E5435" s="97"/>
      <c r="F5435" s="97"/>
      <c r="G5435" s="97"/>
      <c r="H5435" s="97"/>
      <c r="I5435" s="97"/>
      <c r="J5435" s="97"/>
      <c r="K5435" s="97"/>
      <c r="L5435" s="195"/>
    </row>
    <row r="5436" spans="1:14" x14ac:dyDescent="0.45">
      <c r="A5436" s="462"/>
      <c r="B5436" s="441"/>
      <c r="C5436" s="194">
        <v>7</v>
      </c>
      <c r="D5436" s="80"/>
      <c r="E5436" s="97"/>
      <c r="F5436" s="97"/>
      <c r="G5436" s="97"/>
      <c r="H5436" s="97"/>
      <c r="I5436" s="97"/>
      <c r="J5436" s="97"/>
      <c r="K5436" s="97"/>
      <c r="L5436" s="195"/>
    </row>
    <row r="5437" spans="1:14" x14ac:dyDescent="0.45">
      <c r="A5437" s="462"/>
      <c r="B5437" s="441"/>
      <c r="C5437" s="194">
        <v>8</v>
      </c>
      <c r="D5437" s="80"/>
      <c r="E5437" s="97"/>
      <c r="F5437" s="97"/>
      <c r="G5437" s="97"/>
      <c r="H5437" s="97"/>
      <c r="I5437" s="97"/>
      <c r="J5437" s="97"/>
      <c r="K5437" s="97"/>
      <c r="L5437" s="195"/>
    </row>
    <row r="5438" spans="1:14" x14ac:dyDescent="0.45">
      <c r="A5438" s="462"/>
      <c r="B5438" s="441"/>
      <c r="C5438" s="194">
        <v>9</v>
      </c>
      <c r="D5438" s="80"/>
      <c r="E5438" s="97"/>
      <c r="F5438" s="97"/>
      <c r="G5438" s="97"/>
      <c r="H5438" s="97"/>
      <c r="I5438" s="97"/>
      <c r="J5438" s="97"/>
      <c r="K5438" s="97"/>
      <c r="L5438" s="195"/>
    </row>
    <row r="5439" spans="1:14" x14ac:dyDescent="0.45">
      <c r="A5439" s="462"/>
      <c r="B5439" s="441"/>
      <c r="C5439" s="194">
        <v>10</v>
      </c>
      <c r="D5439" s="80"/>
      <c r="E5439" s="97"/>
      <c r="F5439" s="97"/>
      <c r="G5439" s="97"/>
      <c r="H5439" s="97"/>
      <c r="I5439" s="97"/>
      <c r="J5439" s="97"/>
      <c r="K5439" s="97"/>
      <c r="L5439" s="195"/>
    </row>
    <row r="5440" spans="1:14" x14ac:dyDescent="0.45">
      <c r="A5440" s="462"/>
      <c r="B5440" s="441"/>
      <c r="C5440" s="194">
        <v>11</v>
      </c>
      <c r="D5440" s="81"/>
      <c r="E5440" s="98"/>
      <c r="F5440" s="98"/>
      <c r="G5440" s="98"/>
      <c r="H5440" s="98"/>
      <c r="I5440" s="98"/>
      <c r="J5440" s="98"/>
      <c r="K5440" s="98"/>
      <c r="L5440" s="196"/>
    </row>
    <row r="5441" spans="1:14" s="90" customFormat="1" ht="14.65" thickBot="1" x14ac:dyDescent="0.5">
      <c r="A5441" s="462"/>
      <c r="B5441" s="442"/>
      <c r="C5441" s="197">
        <v>12</v>
      </c>
      <c r="D5441" s="82"/>
      <c r="E5441" s="99"/>
      <c r="F5441" s="99"/>
      <c r="G5441" s="99"/>
      <c r="H5441" s="99"/>
      <c r="I5441" s="99"/>
      <c r="J5441" s="99"/>
      <c r="K5441" s="99"/>
      <c r="L5441" s="198"/>
      <c r="M5441" s="61"/>
      <c r="N5441" s="61"/>
    </row>
    <row r="5442" spans="1:14" x14ac:dyDescent="0.45">
      <c r="A5442" s="462"/>
      <c r="B5442" s="440">
        <v>2</v>
      </c>
      <c r="C5442" s="192">
        <v>1</v>
      </c>
      <c r="D5442" s="79"/>
      <c r="E5442" s="96"/>
      <c r="F5442" s="96"/>
      <c r="G5442" s="96"/>
      <c r="H5442" s="96"/>
      <c r="I5442" s="96"/>
      <c r="J5442" s="96"/>
      <c r="K5442" s="96"/>
      <c r="L5442" s="193"/>
    </row>
    <row r="5443" spans="1:14" x14ac:dyDescent="0.45">
      <c r="A5443" s="462"/>
      <c r="B5443" s="441"/>
      <c r="C5443" s="194">
        <v>2</v>
      </c>
      <c r="D5443" s="80"/>
      <c r="E5443" s="97"/>
      <c r="F5443" s="97"/>
      <c r="G5443" s="97"/>
      <c r="H5443" s="97"/>
      <c r="I5443" s="97"/>
      <c r="J5443" s="97"/>
      <c r="K5443" s="97"/>
      <c r="L5443" s="195"/>
    </row>
    <row r="5444" spans="1:14" x14ac:dyDescent="0.45">
      <c r="A5444" s="462"/>
      <c r="B5444" s="441"/>
      <c r="C5444" s="194">
        <v>3</v>
      </c>
      <c r="D5444" s="80"/>
      <c r="E5444" s="97"/>
      <c r="F5444" s="97"/>
      <c r="G5444" s="97"/>
      <c r="H5444" s="97"/>
      <c r="I5444" s="97"/>
      <c r="J5444" s="97"/>
      <c r="K5444" s="97"/>
      <c r="L5444" s="195"/>
    </row>
    <row r="5445" spans="1:14" x14ac:dyDescent="0.45">
      <c r="A5445" s="462"/>
      <c r="B5445" s="441"/>
      <c r="C5445" s="194">
        <v>4</v>
      </c>
      <c r="D5445" s="80"/>
      <c r="E5445" s="97"/>
      <c r="F5445" s="97"/>
      <c r="G5445" s="97"/>
      <c r="H5445" s="97"/>
      <c r="I5445" s="97"/>
      <c r="J5445" s="97"/>
      <c r="K5445" s="97"/>
      <c r="L5445" s="195"/>
    </row>
    <row r="5446" spans="1:14" x14ac:dyDescent="0.45">
      <c r="A5446" s="462"/>
      <c r="B5446" s="441"/>
      <c r="C5446" s="194">
        <v>5</v>
      </c>
      <c r="D5446" s="80"/>
      <c r="E5446" s="97"/>
      <c r="F5446" s="97"/>
      <c r="G5446" s="97"/>
      <c r="H5446" s="97"/>
      <c r="I5446" s="97"/>
      <c r="J5446" s="97"/>
      <c r="K5446" s="97"/>
      <c r="L5446" s="195"/>
    </row>
    <row r="5447" spans="1:14" x14ac:dyDescent="0.45">
      <c r="A5447" s="462"/>
      <c r="B5447" s="441"/>
      <c r="C5447" s="194">
        <v>6</v>
      </c>
      <c r="D5447" s="80"/>
      <c r="E5447" s="97"/>
      <c r="F5447" s="97"/>
      <c r="G5447" s="97"/>
      <c r="H5447" s="97"/>
      <c r="I5447" s="97"/>
      <c r="J5447" s="97"/>
      <c r="K5447" s="97"/>
      <c r="L5447" s="195"/>
    </row>
    <row r="5448" spans="1:14" x14ac:dyDescent="0.45">
      <c r="A5448" s="462"/>
      <c r="B5448" s="441"/>
      <c r="C5448" s="194">
        <v>7</v>
      </c>
      <c r="D5448" s="80"/>
      <c r="E5448" s="97"/>
      <c r="F5448" s="97"/>
      <c r="G5448" s="97"/>
      <c r="H5448" s="97"/>
      <c r="I5448" s="97"/>
      <c r="J5448" s="97"/>
      <c r="K5448" s="97"/>
      <c r="L5448" s="195"/>
    </row>
    <row r="5449" spans="1:14" x14ac:dyDescent="0.45">
      <c r="A5449" s="462"/>
      <c r="B5449" s="441"/>
      <c r="C5449" s="194">
        <v>8</v>
      </c>
      <c r="D5449" s="80"/>
      <c r="E5449" s="97"/>
      <c r="F5449" s="97"/>
      <c r="G5449" s="97"/>
      <c r="H5449" s="97"/>
      <c r="I5449" s="97"/>
      <c r="J5449" s="97"/>
      <c r="K5449" s="97"/>
      <c r="L5449" s="195"/>
    </row>
    <row r="5450" spans="1:14" x14ac:dyDescent="0.45">
      <c r="A5450" s="462"/>
      <c r="B5450" s="441"/>
      <c r="C5450" s="194">
        <v>9</v>
      </c>
      <c r="D5450" s="80"/>
      <c r="E5450" s="97"/>
      <c r="F5450" s="97"/>
      <c r="G5450" s="97"/>
      <c r="H5450" s="97"/>
      <c r="I5450" s="97"/>
      <c r="J5450" s="97"/>
      <c r="K5450" s="97"/>
      <c r="L5450" s="195"/>
    </row>
    <row r="5451" spans="1:14" x14ac:dyDescent="0.45">
      <c r="A5451" s="462"/>
      <c r="B5451" s="441"/>
      <c r="C5451" s="194">
        <v>10</v>
      </c>
      <c r="D5451" s="80"/>
      <c r="E5451" s="97"/>
      <c r="F5451" s="97"/>
      <c r="G5451" s="97"/>
      <c r="H5451" s="97"/>
      <c r="I5451" s="97"/>
      <c r="J5451" s="97"/>
      <c r="K5451" s="97"/>
      <c r="L5451" s="195"/>
    </row>
    <row r="5452" spans="1:14" x14ac:dyDescent="0.45">
      <c r="A5452" s="462"/>
      <c r="B5452" s="441"/>
      <c r="C5452" s="194">
        <v>11</v>
      </c>
      <c r="D5452" s="81"/>
      <c r="E5452" s="98"/>
      <c r="F5452" s="98"/>
      <c r="G5452" s="98"/>
      <c r="H5452" s="98"/>
      <c r="I5452" s="98"/>
      <c r="J5452" s="98"/>
      <c r="K5452" s="98"/>
      <c r="L5452" s="196"/>
    </row>
    <row r="5453" spans="1:14" ht="14.65" thickBot="1" x14ac:dyDescent="0.5">
      <c r="A5453" s="462"/>
      <c r="B5453" s="442"/>
      <c r="C5453" s="197">
        <v>12</v>
      </c>
      <c r="D5453" s="82"/>
      <c r="E5453" s="99"/>
      <c r="F5453" s="99"/>
      <c r="G5453" s="99"/>
      <c r="H5453" s="99"/>
      <c r="I5453" s="99"/>
      <c r="J5453" s="99"/>
      <c r="K5453" s="99"/>
      <c r="L5453" s="198"/>
    </row>
    <row r="5454" spans="1:14" x14ac:dyDescent="0.45">
      <c r="A5454" s="462"/>
      <c r="B5454" s="440">
        <v>3</v>
      </c>
      <c r="C5454" s="192">
        <v>1</v>
      </c>
      <c r="D5454" s="79"/>
      <c r="E5454" s="96"/>
      <c r="F5454" s="96"/>
      <c r="G5454" s="96"/>
      <c r="H5454" s="96"/>
      <c r="I5454" s="96"/>
      <c r="J5454" s="96"/>
      <c r="K5454" s="96"/>
      <c r="L5454" s="193"/>
    </row>
    <row r="5455" spans="1:14" x14ac:dyDescent="0.45">
      <c r="A5455" s="462"/>
      <c r="B5455" s="441"/>
      <c r="C5455" s="194">
        <v>2</v>
      </c>
      <c r="D5455" s="80"/>
      <c r="E5455" s="97"/>
      <c r="F5455" s="97"/>
      <c r="G5455" s="97"/>
      <c r="H5455" s="97"/>
      <c r="I5455" s="97"/>
      <c r="J5455" s="97"/>
      <c r="K5455" s="97"/>
      <c r="L5455" s="195"/>
    </row>
    <row r="5456" spans="1:14" x14ac:dyDescent="0.45">
      <c r="A5456" s="462"/>
      <c r="B5456" s="441"/>
      <c r="C5456" s="194">
        <v>3</v>
      </c>
      <c r="D5456" s="80"/>
      <c r="E5456" s="97"/>
      <c r="F5456" s="97"/>
      <c r="G5456" s="97"/>
      <c r="H5456" s="97"/>
      <c r="I5456" s="97"/>
      <c r="J5456" s="97"/>
      <c r="K5456" s="97"/>
      <c r="L5456" s="195"/>
    </row>
    <row r="5457" spans="1:12" x14ac:dyDescent="0.45">
      <c r="A5457" s="462"/>
      <c r="B5457" s="441"/>
      <c r="C5457" s="194">
        <v>4</v>
      </c>
      <c r="D5457" s="80"/>
      <c r="E5457" s="97"/>
      <c r="F5457" s="97"/>
      <c r="G5457" s="97"/>
      <c r="H5457" s="97"/>
      <c r="I5457" s="97"/>
      <c r="J5457" s="97"/>
      <c r="K5457" s="97"/>
      <c r="L5457" s="195"/>
    </row>
    <row r="5458" spans="1:12" x14ac:dyDescent="0.45">
      <c r="A5458" s="462"/>
      <c r="B5458" s="441"/>
      <c r="C5458" s="194">
        <v>5</v>
      </c>
      <c r="D5458" s="80"/>
      <c r="E5458" s="97"/>
      <c r="F5458" s="97"/>
      <c r="G5458" s="97"/>
      <c r="H5458" s="97"/>
      <c r="I5458" s="97"/>
      <c r="J5458" s="97"/>
      <c r="K5458" s="97"/>
      <c r="L5458" s="195"/>
    </row>
    <row r="5459" spans="1:12" x14ac:dyDescent="0.45">
      <c r="A5459" s="462"/>
      <c r="B5459" s="441"/>
      <c r="C5459" s="194">
        <v>6</v>
      </c>
      <c r="D5459" s="80"/>
      <c r="E5459" s="97"/>
      <c r="F5459" s="97"/>
      <c r="G5459" s="97"/>
      <c r="H5459" s="97"/>
      <c r="I5459" s="97"/>
      <c r="J5459" s="97"/>
      <c r="K5459" s="97"/>
      <c r="L5459" s="195"/>
    </row>
    <row r="5460" spans="1:12" x14ac:dyDescent="0.45">
      <c r="A5460" s="462"/>
      <c r="B5460" s="441"/>
      <c r="C5460" s="194">
        <v>7</v>
      </c>
      <c r="D5460" s="80"/>
      <c r="E5460" s="97"/>
      <c r="F5460" s="97"/>
      <c r="G5460" s="97"/>
      <c r="H5460" s="97"/>
      <c r="I5460" s="97"/>
      <c r="J5460" s="97"/>
      <c r="K5460" s="97"/>
      <c r="L5460" s="195"/>
    </row>
    <row r="5461" spans="1:12" x14ac:dyDescent="0.45">
      <c r="A5461" s="462"/>
      <c r="B5461" s="441"/>
      <c r="C5461" s="194">
        <v>8</v>
      </c>
      <c r="D5461" s="80"/>
      <c r="E5461" s="97"/>
      <c r="F5461" s="97"/>
      <c r="G5461" s="97"/>
      <c r="H5461" s="97"/>
      <c r="I5461" s="97"/>
      <c r="J5461" s="97"/>
      <c r="K5461" s="97"/>
      <c r="L5461" s="195"/>
    </row>
    <row r="5462" spans="1:12" x14ac:dyDescent="0.45">
      <c r="A5462" s="462"/>
      <c r="B5462" s="441"/>
      <c r="C5462" s="194">
        <v>9</v>
      </c>
      <c r="D5462" s="80"/>
      <c r="E5462" s="97"/>
      <c r="F5462" s="97"/>
      <c r="G5462" s="97"/>
      <c r="H5462" s="97"/>
      <c r="I5462" s="97"/>
      <c r="J5462" s="97"/>
      <c r="K5462" s="97"/>
      <c r="L5462" s="195"/>
    </row>
    <row r="5463" spans="1:12" x14ac:dyDescent="0.45">
      <c r="A5463" s="462"/>
      <c r="B5463" s="441"/>
      <c r="C5463" s="194">
        <v>10</v>
      </c>
      <c r="D5463" s="80"/>
      <c r="E5463" s="97"/>
      <c r="F5463" s="97"/>
      <c r="G5463" s="97"/>
      <c r="H5463" s="97"/>
      <c r="I5463" s="97"/>
      <c r="J5463" s="97"/>
      <c r="K5463" s="97"/>
      <c r="L5463" s="195"/>
    </row>
    <row r="5464" spans="1:12" x14ac:dyDescent="0.45">
      <c r="A5464" s="462"/>
      <c r="B5464" s="441"/>
      <c r="C5464" s="194">
        <v>11</v>
      </c>
      <c r="D5464" s="81"/>
      <c r="E5464" s="98"/>
      <c r="F5464" s="98"/>
      <c r="G5464" s="98"/>
      <c r="H5464" s="98"/>
      <c r="I5464" s="98"/>
      <c r="J5464" s="98"/>
      <c r="K5464" s="98"/>
      <c r="L5464" s="196"/>
    </row>
    <row r="5465" spans="1:12" ht="14.65" thickBot="1" x14ac:dyDescent="0.5">
      <c r="A5465" s="462"/>
      <c r="B5465" s="442"/>
      <c r="C5465" s="197">
        <v>12</v>
      </c>
      <c r="D5465" s="82"/>
      <c r="E5465" s="99"/>
      <c r="F5465" s="99"/>
      <c r="G5465" s="99"/>
      <c r="H5465" s="99"/>
      <c r="I5465" s="99"/>
      <c r="J5465" s="99"/>
      <c r="K5465" s="99"/>
      <c r="L5465" s="198"/>
    </row>
    <row r="5466" spans="1:12" x14ac:dyDescent="0.45">
      <c r="A5466" s="462"/>
      <c r="B5466" s="440">
        <v>4</v>
      </c>
      <c r="C5466" s="192">
        <v>1</v>
      </c>
      <c r="D5466" s="79"/>
      <c r="E5466" s="96"/>
      <c r="F5466" s="96"/>
      <c r="G5466" s="96"/>
      <c r="H5466" s="96"/>
      <c r="I5466" s="96"/>
      <c r="J5466" s="96"/>
      <c r="K5466" s="96"/>
      <c r="L5466" s="193"/>
    </row>
    <row r="5467" spans="1:12" x14ac:dyDescent="0.45">
      <c r="A5467" s="462"/>
      <c r="B5467" s="441"/>
      <c r="C5467" s="194">
        <v>2</v>
      </c>
      <c r="D5467" s="80"/>
      <c r="E5467" s="97"/>
      <c r="F5467" s="97"/>
      <c r="G5467" s="97"/>
      <c r="H5467" s="97"/>
      <c r="I5467" s="97"/>
      <c r="J5467" s="97"/>
      <c r="K5467" s="97"/>
      <c r="L5467" s="195"/>
    </row>
    <row r="5468" spans="1:12" x14ac:dyDescent="0.45">
      <c r="A5468" s="462"/>
      <c r="B5468" s="441"/>
      <c r="C5468" s="194">
        <v>3</v>
      </c>
      <c r="D5468" s="80"/>
      <c r="E5468" s="97"/>
      <c r="F5468" s="97"/>
      <c r="G5468" s="97"/>
      <c r="H5468" s="97"/>
      <c r="I5468" s="97"/>
      <c r="J5468" s="97"/>
      <c r="K5468" s="97"/>
      <c r="L5468" s="195"/>
    </row>
    <row r="5469" spans="1:12" x14ac:dyDescent="0.45">
      <c r="A5469" s="462"/>
      <c r="B5469" s="441"/>
      <c r="C5469" s="194">
        <v>4</v>
      </c>
      <c r="D5469" s="80"/>
      <c r="E5469" s="97"/>
      <c r="F5469" s="97"/>
      <c r="G5469" s="97"/>
      <c r="H5469" s="97"/>
      <c r="I5469" s="97"/>
      <c r="J5469" s="97"/>
      <c r="K5469" s="97"/>
      <c r="L5469" s="195"/>
    </row>
    <row r="5470" spans="1:12" x14ac:dyDescent="0.45">
      <c r="A5470" s="462"/>
      <c r="B5470" s="441"/>
      <c r="C5470" s="194">
        <v>5</v>
      </c>
      <c r="D5470" s="80"/>
      <c r="E5470" s="97"/>
      <c r="F5470" s="97"/>
      <c r="G5470" s="97"/>
      <c r="H5470" s="97"/>
      <c r="I5470" s="97"/>
      <c r="J5470" s="97"/>
      <c r="K5470" s="97"/>
      <c r="L5470" s="195"/>
    </row>
    <row r="5471" spans="1:12" x14ac:dyDescent="0.45">
      <c r="A5471" s="462"/>
      <c r="B5471" s="441"/>
      <c r="C5471" s="194">
        <v>6</v>
      </c>
      <c r="D5471" s="80"/>
      <c r="E5471" s="97"/>
      <c r="F5471" s="97"/>
      <c r="G5471" s="97"/>
      <c r="H5471" s="97"/>
      <c r="I5471" s="97"/>
      <c r="J5471" s="97"/>
      <c r="K5471" s="97"/>
      <c r="L5471" s="195"/>
    </row>
    <row r="5472" spans="1:12" x14ac:dyDescent="0.45">
      <c r="A5472" s="462"/>
      <c r="B5472" s="441"/>
      <c r="C5472" s="194">
        <v>7</v>
      </c>
      <c r="D5472" s="80"/>
      <c r="E5472" s="97"/>
      <c r="F5472" s="97"/>
      <c r="G5472" s="97"/>
      <c r="H5472" s="97"/>
      <c r="I5472" s="97"/>
      <c r="J5472" s="97"/>
      <c r="K5472" s="97"/>
      <c r="L5472" s="195"/>
    </row>
    <row r="5473" spans="1:12" x14ac:dyDescent="0.45">
      <c r="A5473" s="462"/>
      <c r="B5473" s="441"/>
      <c r="C5473" s="194">
        <v>8</v>
      </c>
      <c r="D5473" s="80"/>
      <c r="E5473" s="97"/>
      <c r="F5473" s="97"/>
      <c r="G5473" s="97"/>
      <c r="H5473" s="97"/>
      <c r="I5473" s="97"/>
      <c r="J5473" s="97"/>
      <c r="K5473" s="97"/>
      <c r="L5473" s="195"/>
    </row>
    <row r="5474" spans="1:12" x14ac:dyDescent="0.45">
      <c r="A5474" s="462"/>
      <c r="B5474" s="441"/>
      <c r="C5474" s="194">
        <v>9</v>
      </c>
      <c r="D5474" s="80"/>
      <c r="E5474" s="97"/>
      <c r="F5474" s="97"/>
      <c r="G5474" s="97"/>
      <c r="H5474" s="97"/>
      <c r="I5474" s="97"/>
      <c r="J5474" s="97"/>
      <c r="K5474" s="97"/>
      <c r="L5474" s="195"/>
    </row>
    <row r="5475" spans="1:12" x14ac:dyDescent="0.45">
      <c r="A5475" s="462"/>
      <c r="B5475" s="441"/>
      <c r="C5475" s="194">
        <v>10</v>
      </c>
      <c r="D5475" s="80"/>
      <c r="E5475" s="97"/>
      <c r="F5475" s="97"/>
      <c r="G5475" s="97"/>
      <c r="H5475" s="97"/>
      <c r="I5475" s="97"/>
      <c r="J5475" s="97"/>
      <c r="K5475" s="97"/>
      <c r="L5475" s="195"/>
    </row>
    <row r="5476" spans="1:12" x14ac:dyDescent="0.45">
      <c r="A5476" s="462"/>
      <c r="B5476" s="441"/>
      <c r="C5476" s="194">
        <v>11</v>
      </c>
      <c r="D5476" s="81"/>
      <c r="E5476" s="98"/>
      <c r="F5476" s="98"/>
      <c r="G5476" s="98"/>
      <c r="H5476" s="98"/>
      <c r="I5476" s="98"/>
      <c r="J5476" s="98"/>
      <c r="K5476" s="98"/>
      <c r="L5476" s="196"/>
    </row>
    <row r="5477" spans="1:12" ht="14.65" thickBot="1" x14ac:dyDescent="0.5">
      <c r="A5477" s="463"/>
      <c r="B5477" s="442"/>
      <c r="C5477" s="197">
        <v>12</v>
      </c>
      <c r="D5477" s="82"/>
      <c r="E5477" s="99"/>
      <c r="F5477" s="99"/>
      <c r="G5477" s="99"/>
      <c r="H5477" s="99"/>
      <c r="I5477" s="99"/>
      <c r="J5477" s="99"/>
      <c r="K5477" s="99"/>
      <c r="L5477" s="198"/>
    </row>
    <row r="5478" spans="1:12" x14ac:dyDescent="0.45">
      <c r="A5478" s="461">
        <v>2</v>
      </c>
      <c r="B5478" s="440">
        <v>5</v>
      </c>
      <c r="C5478" s="192">
        <v>1</v>
      </c>
      <c r="D5478" s="79"/>
      <c r="E5478" s="96"/>
      <c r="F5478" s="96"/>
      <c r="G5478" s="96"/>
      <c r="H5478" s="96"/>
      <c r="I5478" s="96"/>
      <c r="J5478" s="96"/>
      <c r="K5478" s="96"/>
      <c r="L5478" s="193"/>
    </row>
    <row r="5479" spans="1:12" x14ac:dyDescent="0.45">
      <c r="A5479" s="462"/>
      <c r="B5479" s="441"/>
      <c r="C5479" s="194">
        <v>2</v>
      </c>
      <c r="D5479" s="80"/>
      <c r="E5479" s="97"/>
      <c r="F5479" s="97"/>
      <c r="G5479" s="97"/>
      <c r="H5479" s="97"/>
      <c r="I5479" s="97"/>
      <c r="J5479" s="97"/>
      <c r="K5479" s="97"/>
      <c r="L5479" s="195"/>
    </row>
    <row r="5480" spans="1:12" x14ac:dyDescent="0.45">
      <c r="A5480" s="462"/>
      <c r="B5480" s="441"/>
      <c r="C5480" s="194">
        <v>3</v>
      </c>
      <c r="D5480" s="80"/>
      <c r="E5480" s="97"/>
      <c r="F5480" s="97"/>
      <c r="G5480" s="97"/>
      <c r="H5480" s="97"/>
      <c r="I5480" s="97"/>
      <c r="J5480" s="97"/>
      <c r="K5480" s="97"/>
      <c r="L5480" s="195"/>
    </row>
    <row r="5481" spans="1:12" x14ac:dyDescent="0.45">
      <c r="A5481" s="462"/>
      <c r="B5481" s="441"/>
      <c r="C5481" s="194">
        <v>4</v>
      </c>
      <c r="D5481" s="80"/>
      <c r="E5481" s="97"/>
      <c r="F5481" s="97"/>
      <c r="G5481" s="97"/>
      <c r="H5481" s="97"/>
      <c r="I5481" s="97"/>
      <c r="J5481" s="97"/>
      <c r="K5481" s="97"/>
      <c r="L5481" s="195"/>
    </row>
    <row r="5482" spans="1:12" x14ac:dyDescent="0.45">
      <c r="A5482" s="462"/>
      <c r="B5482" s="441"/>
      <c r="C5482" s="194">
        <v>5</v>
      </c>
      <c r="D5482" s="80"/>
      <c r="E5482" s="97"/>
      <c r="F5482" s="97"/>
      <c r="G5482" s="97"/>
      <c r="H5482" s="97"/>
      <c r="I5482" s="97"/>
      <c r="J5482" s="97"/>
      <c r="K5482" s="97"/>
      <c r="L5482" s="195"/>
    </row>
    <row r="5483" spans="1:12" x14ac:dyDescent="0.45">
      <c r="A5483" s="462"/>
      <c r="B5483" s="441"/>
      <c r="C5483" s="194">
        <v>6</v>
      </c>
      <c r="D5483" s="80"/>
      <c r="E5483" s="97"/>
      <c r="F5483" s="97"/>
      <c r="G5483" s="97"/>
      <c r="H5483" s="97"/>
      <c r="I5483" s="97"/>
      <c r="J5483" s="97"/>
      <c r="K5483" s="97"/>
      <c r="L5483" s="195"/>
    </row>
    <row r="5484" spans="1:12" x14ac:dyDescent="0.45">
      <c r="A5484" s="462"/>
      <c r="B5484" s="441"/>
      <c r="C5484" s="194">
        <v>7</v>
      </c>
      <c r="D5484" s="80"/>
      <c r="E5484" s="97"/>
      <c r="F5484" s="97"/>
      <c r="G5484" s="97"/>
      <c r="H5484" s="97"/>
      <c r="I5484" s="97"/>
      <c r="J5484" s="97"/>
      <c r="K5484" s="97"/>
      <c r="L5484" s="195"/>
    </row>
    <row r="5485" spans="1:12" x14ac:dyDescent="0.45">
      <c r="A5485" s="462"/>
      <c r="B5485" s="441"/>
      <c r="C5485" s="194">
        <v>8</v>
      </c>
      <c r="D5485" s="80"/>
      <c r="E5485" s="97"/>
      <c r="F5485" s="97"/>
      <c r="G5485" s="97"/>
      <c r="H5485" s="97"/>
      <c r="I5485" s="97"/>
      <c r="J5485" s="97"/>
      <c r="K5485" s="97"/>
      <c r="L5485" s="195"/>
    </row>
    <row r="5486" spans="1:12" x14ac:dyDescent="0.45">
      <c r="A5486" s="462"/>
      <c r="B5486" s="441"/>
      <c r="C5486" s="194">
        <v>9</v>
      </c>
      <c r="D5486" s="80"/>
      <c r="E5486" s="97"/>
      <c r="F5486" s="97"/>
      <c r="G5486" s="97"/>
      <c r="H5486" s="97"/>
      <c r="I5486" s="97"/>
      <c r="J5486" s="97"/>
      <c r="K5486" s="97"/>
      <c r="L5486" s="195"/>
    </row>
    <row r="5487" spans="1:12" x14ac:dyDescent="0.45">
      <c r="A5487" s="462"/>
      <c r="B5487" s="441"/>
      <c r="C5487" s="194">
        <v>10</v>
      </c>
      <c r="D5487" s="80"/>
      <c r="E5487" s="97"/>
      <c r="F5487" s="97"/>
      <c r="G5487" s="97"/>
      <c r="H5487" s="97"/>
      <c r="I5487" s="97"/>
      <c r="J5487" s="97"/>
      <c r="K5487" s="97"/>
      <c r="L5487" s="195"/>
    </row>
    <row r="5488" spans="1:12" x14ac:dyDescent="0.45">
      <c r="A5488" s="462"/>
      <c r="B5488" s="441"/>
      <c r="C5488" s="194">
        <v>11</v>
      </c>
      <c r="D5488" s="81"/>
      <c r="E5488" s="98"/>
      <c r="F5488" s="98"/>
      <c r="G5488" s="98"/>
      <c r="H5488" s="98"/>
      <c r="I5488" s="98"/>
      <c r="J5488" s="98"/>
      <c r="K5488" s="98"/>
      <c r="L5488" s="196"/>
    </row>
    <row r="5489" spans="1:12" ht="14.65" thickBot="1" x14ac:dyDescent="0.5">
      <c r="A5489" s="462"/>
      <c r="B5489" s="442"/>
      <c r="C5489" s="197">
        <v>12</v>
      </c>
      <c r="D5489" s="82"/>
      <c r="E5489" s="99"/>
      <c r="F5489" s="99"/>
      <c r="G5489" s="99"/>
      <c r="H5489" s="99"/>
      <c r="I5489" s="99"/>
      <c r="J5489" s="99"/>
      <c r="K5489" s="99"/>
      <c r="L5489" s="198"/>
    </row>
    <row r="5490" spans="1:12" x14ac:dyDescent="0.45">
      <c r="A5490" s="462"/>
      <c r="B5490" s="440">
        <v>6</v>
      </c>
      <c r="C5490" s="192">
        <v>1</v>
      </c>
      <c r="D5490" s="79"/>
      <c r="E5490" s="96"/>
      <c r="F5490" s="96"/>
      <c r="G5490" s="96"/>
      <c r="H5490" s="96"/>
      <c r="I5490" s="96"/>
      <c r="J5490" s="96"/>
      <c r="K5490" s="96"/>
      <c r="L5490" s="193"/>
    </row>
    <row r="5491" spans="1:12" x14ac:dyDescent="0.45">
      <c r="A5491" s="462"/>
      <c r="B5491" s="441"/>
      <c r="C5491" s="194">
        <v>2</v>
      </c>
      <c r="D5491" s="80"/>
      <c r="E5491" s="97"/>
      <c r="F5491" s="97"/>
      <c r="G5491" s="97"/>
      <c r="H5491" s="97"/>
      <c r="I5491" s="97"/>
      <c r="J5491" s="97"/>
      <c r="K5491" s="97"/>
      <c r="L5491" s="195"/>
    </row>
    <row r="5492" spans="1:12" x14ac:dyDescent="0.45">
      <c r="A5492" s="462"/>
      <c r="B5492" s="441"/>
      <c r="C5492" s="194">
        <v>3</v>
      </c>
      <c r="D5492" s="80"/>
      <c r="E5492" s="97"/>
      <c r="F5492" s="97"/>
      <c r="G5492" s="97"/>
      <c r="H5492" s="97"/>
      <c r="I5492" s="97"/>
      <c r="J5492" s="97"/>
      <c r="K5492" s="97"/>
      <c r="L5492" s="195"/>
    </row>
    <row r="5493" spans="1:12" x14ac:dyDescent="0.45">
      <c r="A5493" s="462"/>
      <c r="B5493" s="441"/>
      <c r="C5493" s="194">
        <v>4</v>
      </c>
      <c r="D5493" s="80"/>
      <c r="E5493" s="97"/>
      <c r="F5493" s="97"/>
      <c r="G5493" s="97"/>
      <c r="H5493" s="97"/>
      <c r="I5493" s="97"/>
      <c r="J5493" s="97"/>
      <c r="K5493" s="97"/>
      <c r="L5493" s="195"/>
    </row>
    <row r="5494" spans="1:12" x14ac:dyDescent="0.45">
      <c r="A5494" s="462"/>
      <c r="B5494" s="441"/>
      <c r="C5494" s="194">
        <v>5</v>
      </c>
      <c r="D5494" s="80"/>
      <c r="E5494" s="97"/>
      <c r="F5494" s="97"/>
      <c r="G5494" s="97"/>
      <c r="H5494" s="97"/>
      <c r="I5494" s="97"/>
      <c r="J5494" s="97"/>
      <c r="K5494" s="97"/>
      <c r="L5494" s="195"/>
    </row>
    <row r="5495" spans="1:12" x14ac:dyDescent="0.45">
      <c r="A5495" s="462"/>
      <c r="B5495" s="441"/>
      <c r="C5495" s="194">
        <v>6</v>
      </c>
      <c r="D5495" s="80"/>
      <c r="E5495" s="97"/>
      <c r="F5495" s="97"/>
      <c r="G5495" s="97"/>
      <c r="H5495" s="97"/>
      <c r="I5495" s="97"/>
      <c r="J5495" s="97"/>
      <c r="K5495" s="97"/>
      <c r="L5495" s="195"/>
    </row>
    <row r="5496" spans="1:12" x14ac:dyDescent="0.45">
      <c r="A5496" s="462"/>
      <c r="B5496" s="441"/>
      <c r="C5496" s="194">
        <v>7</v>
      </c>
      <c r="D5496" s="80"/>
      <c r="E5496" s="97"/>
      <c r="F5496" s="97"/>
      <c r="G5496" s="97"/>
      <c r="H5496" s="97"/>
      <c r="I5496" s="97"/>
      <c r="J5496" s="97"/>
      <c r="K5496" s="97"/>
      <c r="L5496" s="195"/>
    </row>
    <row r="5497" spans="1:12" x14ac:dyDescent="0.45">
      <c r="A5497" s="462"/>
      <c r="B5497" s="441"/>
      <c r="C5497" s="194">
        <v>8</v>
      </c>
      <c r="D5497" s="80"/>
      <c r="E5497" s="97"/>
      <c r="F5497" s="97"/>
      <c r="G5497" s="97"/>
      <c r="H5497" s="97"/>
      <c r="I5497" s="97"/>
      <c r="J5497" s="97"/>
      <c r="K5497" s="97"/>
      <c r="L5497" s="195"/>
    </row>
    <row r="5498" spans="1:12" x14ac:dyDescent="0.45">
      <c r="A5498" s="462"/>
      <c r="B5498" s="441"/>
      <c r="C5498" s="194">
        <v>9</v>
      </c>
      <c r="D5498" s="80"/>
      <c r="E5498" s="97"/>
      <c r="F5498" s="97"/>
      <c r="G5498" s="97"/>
      <c r="H5498" s="97"/>
      <c r="I5498" s="97"/>
      <c r="J5498" s="97"/>
      <c r="K5498" s="97"/>
      <c r="L5498" s="195"/>
    </row>
    <row r="5499" spans="1:12" x14ac:dyDescent="0.45">
      <c r="A5499" s="462"/>
      <c r="B5499" s="441"/>
      <c r="C5499" s="194">
        <v>10</v>
      </c>
      <c r="D5499" s="80"/>
      <c r="E5499" s="97"/>
      <c r="F5499" s="97"/>
      <c r="G5499" s="97"/>
      <c r="H5499" s="97"/>
      <c r="I5499" s="97"/>
      <c r="J5499" s="97"/>
      <c r="K5499" s="97"/>
      <c r="L5499" s="195"/>
    </row>
    <row r="5500" spans="1:12" x14ac:dyDescent="0.45">
      <c r="A5500" s="462"/>
      <c r="B5500" s="441"/>
      <c r="C5500" s="194">
        <v>11</v>
      </c>
      <c r="D5500" s="81"/>
      <c r="E5500" s="98"/>
      <c r="F5500" s="98"/>
      <c r="G5500" s="98"/>
      <c r="H5500" s="98"/>
      <c r="I5500" s="98"/>
      <c r="J5500" s="98"/>
      <c r="K5500" s="98"/>
      <c r="L5500" s="196"/>
    </row>
    <row r="5501" spans="1:12" ht="14.65" thickBot="1" x14ac:dyDescent="0.5">
      <c r="A5501" s="462"/>
      <c r="B5501" s="442"/>
      <c r="C5501" s="197">
        <v>12</v>
      </c>
      <c r="D5501" s="82"/>
      <c r="E5501" s="99"/>
      <c r="F5501" s="99"/>
      <c r="G5501" s="99"/>
      <c r="H5501" s="99"/>
      <c r="I5501" s="99"/>
      <c r="J5501" s="99"/>
      <c r="K5501" s="99"/>
      <c r="L5501" s="198"/>
    </row>
    <row r="5502" spans="1:12" x14ac:dyDescent="0.45">
      <c r="A5502" s="462"/>
      <c r="B5502" s="440">
        <v>7</v>
      </c>
      <c r="C5502" s="192">
        <v>1</v>
      </c>
      <c r="D5502" s="79"/>
      <c r="E5502" s="96"/>
      <c r="F5502" s="96"/>
      <c r="G5502" s="96"/>
      <c r="H5502" s="96"/>
      <c r="I5502" s="96"/>
      <c r="J5502" s="96"/>
      <c r="K5502" s="96"/>
      <c r="L5502" s="193"/>
    </row>
    <row r="5503" spans="1:12" x14ac:dyDescent="0.45">
      <c r="A5503" s="462"/>
      <c r="B5503" s="441"/>
      <c r="C5503" s="194">
        <v>2</v>
      </c>
      <c r="D5503" s="80"/>
      <c r="E5503" s="97"/>
      <c r="F5503" s="97"/>
      <c r="G5503" s="97"/>
      <c r="H5503" s="97"/>
      <c r="I5503" s="97"/>
      <c r="J5503" s="97"/>
      <c r="K5503" s="97"/>
      <c r="L5503" s="195"/>
    </row>
    <row r="5504" spans="1:12" x14ac:dyDescent="0.45">
      <c r="A5504" s="462"/>
      <c r="B5504" s="441"/>
      <c r="C5504" s="194">
        <v>3</v>
      </c>
      <c r="D5504" s="80"/>
      <c r="E5504" s="97"/>
      <c r="F5504" s="97"/>
      <c r="G5504" s="97"/>
      <c r="H5504" s="97"/>
      <c r="I5504" s="97"/>
      <c r="J5504" s="97"/>
      <c r="K5504" s="97"/>
      <c r="L5504" s="195"/>
    </row>
    <row r="5505" spans="1:12" x14ac:dyDescent="0.45">
      <c r="A5505" s="462"/>
      <c r="B5505" s="441"/>
      <c r="C5505" s="194">
        <v>4</v>
      </c>
      <c r="D5505" s="80"/>
      <c r="E5505" s="97"/>
      <c r="F5505" s="97"/>
      <c r="G5505" s="97"/>
      <c r="H5505" s="97"/>
      <c r="I5505" s="97"/>
      <c r="J5505" s="97"/>
      <c r="K5505" s="97"/>
      <c r="L5505" s="195"/>
    </row>
    <row r="5506" spans="1:12" x14ac:dyDescent="0.45">
      <c r="A5506" s="462"/>
      <c r="B5506" s="441"/>
      <c r="C5506" s="194">
        <v>5</v>
      </c>
      <c r="D5506" s="80"/>
      <c r="E5506" s="97"/>
      <c r="F5506" s="97"/>
      <c r="G5506" s="97"/>
      <c r="H5506" s="97"/>
      <c r="I5506" s="97"/>
      <c r="J5506" s="97"/>
      <c r="K5506" s="97"/>
      <c r="L5506" s="195"/>
    </row>
    <row r="5507" spans="1:12" x14ac:dyDescent="0.45">
      <c r="A5507" s="462"/>
      <c r="B5507" s="441"/>
      <c r="C5507" s="194">
        <v>6</v>
      </c>
      <c r="D5507" s="80"/>
      <c r="E5507" s="97"/>
      <c r="F5507" s="97"/>
      <c r="G5507" s="97"/>
      <c r="H5507" s="97"/>
      <c r="I5507" s="97"/>
      <c r="J5507" s="97"/>
      <c r="K5507" s="97"/>
      <c r="L5507" s="195"/>
    </row>
    <row r="5508" spans="1:12" x14ac:dyDescent="0.45">
      <c r="A5508" s="462"/>
      <c r="B5508" s="441"/>
      <c r="C5508" s="194">
        <v>7</v>
      </c>
      <c r="D5508" s="80"/>
      <c r="E5508" s="97"/>
      <c r="F5508" s="97"/>
      <c r="G5508" s="97"/>
      <c r="H5508" s="97"/>
      <c r="I5508" s="97"/>
      <c r="J5508" s="97"/>
      <c r="K5508" s="97"/>
      <c r="L5508" s="195"/>
    </row>
    <row r="5509" spans="1:12" x14ac:dyDescent="0.45">
      <c r="A5509" s="462"/>
      <c r="B5509" s="441"/>
      <c r="C5509" s="194">
        <v>8</v>
      </c>
      <c r="D5509" s="80"/>
      <c r="E5509" s="97"/>
      <c r="F5509" s="97"/>
      <c r="G5509" s="97"/>
      <c r="H5509" s="97"/>
      <c r="I5509" s="97"/>
      <c r="J5509" s="97"/>
      <c r="K5509" s="97"/>
      <c r="L5509" s="195"/>
    </row>
    <row r="5510" spans="1:12" x14ac:dyDescent="0.45">
      <c r="A5510" s="462"/>
      <c r="B5510" s="441"/>
      <c r="C5510" s="194">
        <v>9</v>
      </c>
      <c r="D5510" s="80"/>
      <c r="E5510" s="97"/>
      <c r="F5510" s="97"/>
      <c r="G5510" s="97"/>
      <c r="H5510" s="97"/>
      <c r="I5510" s="97"/>
      <c r="J5510" s="97"/>
      <c r="K5510" s="97"/>
      <c r="L5510" s="195"/>
    </row>
    <row r="5511" spans="1:12" x14ac:dyDescent="0.45">
      <c r="A5511" s="462"/>
      <c r="B5511" s="441"/>
      <c r="C5511" s="194">
        <v>10</v>
      </c>
      <c r="D5511" s="80"/>
      <c r="E5511" s="97"/>
      <c r="F5511" s="97"/>
      <c r="G5511" s="97"/>
      <c r="H5511" s="97"/>
      <c r="I5511" s="97"/>
      <c r="J5511" s="97"/>
      <c r="K5511" s="97"/>
      <c r="L5511" s="195"/>
    </row>
    <row r="5512" spans="1:12" x14ac:dyDescent="0.45">
      <c r="A5512" s="462"/>
      <c r="B5512" s="441"/>
      <c r="C5512" s="194">
        <v>11</v>
      </c>
      <c r="D5512" s="81"/>
      <c r="E5512" s="98"/>
      <c r="F5512" s="98"/>
      <c r="G5512" s="98"/>
      <c r="H5512" s="98"/>
      <c r="I5512" s="98"/>
      <c r="J5512" s="98"/>
      <c r="K5512" s="98"/>
      <c r="L5512" s="196"/>
    </row>
    <row r="5513" spans="1:12" ht="14.65" thickBot="1" x14ac:dyDescent="0.5">
      <c r="A5513" s="462"/>
      <c r="B5513" s="442"/>
      <c r="C5513" s="197">
        <v>12</v>
      </c>
      <c r="D5513" s="82"/>
      <c r="E5513" s="99"/>
      <c r="F5513" s="99"/>
      <c r="G5513" s="99"/>
      <c r="H5513" s="99"/>
      <c r="I5513" s="99"/>
      <c r="J5513" s="99"/>
      <c r="K5513" s="99"/>
      <c r="L5513" s="198"/>
    </row>
    <row r="5514" spans="1:12" x14ac:dyDescent="0.45">
      <c r="A5514" s="462"/>
      <c r="B5514" s="440">
        <v>8</v>
      </c>
      <c r="C5514" s="192">
        <v>1</v>
      </c>
      <c r="D5514" s="79"/>
      <c r="E5514" s="96"/>
      <c r="F5514" s="96"/>
      <c r="G5514" s="96"/>
      <c r="H5514" s="96"/>
      <c r="I5514" s="96"/>
      <c r="J5514" s="96"/>
      <c r="K5514" s="96"/>
      <c r="L5514" s="193"/>
    </row>
    <row r="5515" spans="1:12" x14ac:dyDescent="0.45">
      <c r="A5515" s="462"/>
      <c r="B5515" s="441"/>
      <c r="C5515" s="194">
        <v>2</v>
      </c>
      <c r="D5515" s="80"/>
      <c r="E5515" s="97"/>
      <c r="F5515" s="97"/>
      <c r="G5515" s="97"/>
      <c r="H5515" s="97"/>
      <c r="I5515" s="97"/>
      <c r="J5515" s="97"/>
      <c r="K5515" s="97"/>
      <c r="L5515" s="195"/>
    </row>
    <row r="5516" spans="1:12" x14ac:dyDescent="0.45">
      <c r="A5516" s="462"/>
      <c r="B5516" s="441"/>
      <c r="C5516" s="194">
        <v>3</v>
      </c>
      <c r="D5516" s="80"/>
      <c r="E5516" s="97"/>
      <c r="F5516" s="97"/>
      <c r="G5516" s="97"/>
      <c r="H5516" s="97"/>
      <c r="I5516" s="97"/>
      <c r="J5516" s="97"/>
      <c r="K5516" s="97"/>
      <c r="L5516" s="195"/>
    </row>
    <row r="5517" spans="1:12" x14ac:dyDescent="0.45">
      <c r="A5517" s="462"/>
      <c r="B5517" s="441"/>
      <c r="C5517" s="194">
        <v>4</v>
      </c>
      <c r="D5517" s="80"/>
      <c r="E5517" s="97"/>
      <c r="F5517" s="97"/>
      <c r="G5517" s="97"/>
      <c r="H5517" s="97"/>
      <c r="I5517" s="97"/>
      <c r="J5517" s="97"/>
      <c r="K5517" s="97"/>
      <c r="L5517" s="195"/>
    </row>
    <row r="5518" spans="1:12" x14ac:dyDescent="0.45">
      <c r="A5518" s="462"/>
      <c r="B5518" s="441"/>
      <c r="C5518" s="194">
        <v>5</v>
      </c>
      <c r="D5518" s="80"/>
      <c r="E5518" s="97"/>
      <c r="F5518" s="97"/>
      <c r="G5518" s="97"/>
      <c r="H5518" s="97"/>
      <c r="I5518" s="97"/>
      <c r="J5518" s="97"/>
      <c r="K5518" s="97"/>
      <c r="L5518" s="195"/>
    </row>
    <row r="5519" spans="1:12" x14ac:dyDescent="0.45">
      <c r="A5519" s="462"/>
      <c r="B5519" s="441"/>
      <c r="C5519" s="194">
        <v>6</v>
      </c>
      <c r="D5519" s="80"/>
      <c r="E5519" s="97"/>
      <c r="F5519" s="97"/>
      <c r="G5519" s="97"/>
      <c r="H5519" s="97"/>
      <c r="I5519" s="97"/>
      <c r="J5519" s="97"/>
      <c r="K5519" s="97"/>
      <c r="L5519" s="195"/>
    </row>
    <row r="5520" spans="1:12" x14ac:dyDescent="0.45">
      <c r="A5520" s="462"/>
      <c r="B5520" s="441"/>
      <c r="C5520" s="194">
        <v>7</v>
      </c>
      <c r="D5520" s="80"/>
      <c r="E5520" s="97"/>
      <c r="F5520" s="97"/>
      <c r="G5520" s="97"/>
      <c r="H5520" s="97"/>
      <c r="I5520" s="97"/>
      <c r="J5520" s="97"/>
      <c r="K5520" s="97"/>
      <c r="L5520" s="195"/>
    </row>
    <row r="5521" spans="1:12" x14ac:dyDescent="0.45">
      <c r="A5521" s="462"/>
      <c r="B5521" s="441"/>
      <c r="C5521" s="194">
        <v>8</v>
      </c>
      <c r="D5521" s="80"/>
      <c r="E5521" s="97"/>
      <c r="F5521" s="97"/>
      <c r="G5521" s="97"/>
      <c r="H5521" s="97"/>
      <c r="I5521" s="97"/>
      <c r="J5521" s="97"/>
      <c r="K5521" s="97"/>
      <c r="L5521" s="195"/>
    </row>
    <row r="5522" spans="1:12" x14ac:dyDescent="0.45">
      <c r="A5522" s="462"/>
      <c r="B5522" s="441"/>
      <c r="C5522" s="194">
        <v>9</v>
      </c>
      <c r="D5522" s="80"/>
      <c r="E5522" s="97"/>
      <c r="F5522" s="97"/>
      <c r="G5522" s="97"/>
      <c r="H5522" s="97"/>
      <c r="I5522" s="97"/>
      <c r="J5522" s="97"/>
      <c r="K5522" s="97"/>
      <c r="L5522" s="195"/>
    </row>
    <row r="5523" spans="1:12" x14ac:dyDescent="0.45">
      <c r="A5523" s="462"/>
      <c r="B5523" s="441"/>
      <c r="C5523" s="194">
        <v>10</v>
      </c>
      <c r="D5523" s="80"/>
      <c r="E5523" s="97"/>
      <c r="F5523" s="97"/>
      <c r="G5523" s="97"/>
      <c r="H5523" s="97"/>
      <c r="I5523" s="97"/>
      <c r="J5523" s="97"/>
      <c r="K5523" s="97"/>
      <c r="L5523" s="195"/>
    </row>
    <row r="5524" spans="1:12" x14ac:dyDescent="0.45">
      <c r="A5524" s="462"/>
      <c r="B5524" s="441"/>
      <c r="C5524" s="194">
        <v>11</v>
      </c>
      <c r="D5524" s="81"/>
      <c r="E5524" s="98"/>
      <c r="F5524" s="98"/>
      <c r="G5524" s="98"/>
      <c r="H5524" s="98"/>
      <c r="I5524" s="98"/>
      <c r="J5524" s="98"/>
      <c r="K5524" s="98"/>
      <c r="L5524" s="196"/>
    </row>
    <row r="5525" spans="1:12" ht="14.65" thickBot="1" x14ac:dyDescent="0.5">
      <c r="A5525" s="463"/>
      <c r="B5525" s="442"/>
      <c r="C5525" s="197">
        <v>12</v>
      </c>
      <c r="D5525" s="82"/>
      <c r="E5525" s="99"/>
      <c r="F5525" s="99"/>
      <c r="G5525" s="99"/>
      <c r="H5525" s="99"/>
      <c r="I5525" s="99"/>
      <c r="J5525" s="99"/>
      <c r="K5525" s="99"/>
      <c r="L5525" s="198"/>
    </row>
    <row r="5526" spans="1:12" x14ac:dyDescent="0.45">
      <c r="A5526" s="461">
        <v>3</v>
      </c>
      <c r="B5526" s="440">
        <v>9</v>
      </c>
      <c r="C5526" s="192">
        <v>1</v>
      </c>
      <c r="D5526" s="79"/>
      <c r="E5526" s="96"/>
      <c r="F5526" s="96"/>
      <c r="G5526" s="96"/>
      <c r="H5526" s="96"/>
      <c r="I5526" s="96"/>
      <c r="J5526" s="96"/>
      <c r="K5526" s="96"/>
      <c r="L5526" s="193"/>
    </row>
    <row r="5527" spans="1:12" x14ac:dyDescent="0.45">
      <c r="A5527" s="462"/>
      <c r="B5527" s="441"/>
      <c r="C5527" s="194">
        <v>2</v>
      </c>
      <c r="D5527" s="80"/>
      <c r="E5527" s="97"/>
      <c r="F5527" s="97"/>
      <c r="G5527" s="97"/>
      <c r="H5527" s="97"/>
      <c r="I5527" s="97"/>
      <c r="J5527" s="97"/>
      <c r="K5527" s="97"/>
      <c r="L5527" s="195"/>
    </row>
    <row r="5528" spans="1:12" x14ac:dyDescent="0.45">
      <c r="A5528" s="462"/>
      <c r="B5528" s="441"/>
      <c r="C5528" s="194">
        <v>3</v>
      </c>
      <c r="D5528" s="80"/>
      <c r="E5528" s="97"/>
      <c r="F5528" s="97"/>
      <c r="G5528" s="97"/>
      <c r="H5528" s="97"/>
      <c r="I5528" s="97"/>
      <c r="J5528" s="97"/>
      <c r="K5528" s="97"/>
      <c r="L5528" s="195"/>
    </row>
    <row r="5529" spans="1:12" x14ac:dyDescent="0.45">
      <c r="A5529" s="462"/>
      <c r="B5529" s="441"/>
      <c r="C5529" s="194">
        <v>4</v>
      </c>
      <c r="D5529" s="80"/>
      <c r="E5529" s="97"/>
      <c r="F5529" s="97"/>
      <c r="G5529" s="97"/>
      <c r="H5529" s="97"/>
      <c r="I5529" s="97"/>
      <c r="J5529" s="97"/>
      <c r="K5529" s="97"/>
      <c r="L5529" s="195"/>
    </row>
    <row r="5530" spans="1:12" x14ac:dyDescent="0.45">
      <c r="A5530" s="462"/>
      <c r="B5530" s="441"/>
      <c r="C5530" s="194">
        <v>5</v>
      </c>
      <c r="D5530" s="80"/>
      <c r="E5530" s="97"/>
      <c r="F5530" s="97"/>
      <c r="G5530" s="97"/>
      <c r="H5530" s="97"/>
      <c r="I5530" s="97"/>
      <c r="J5530" s="97"/>
      <c r="K5530" s="97"/>
      <c r="L5530" s="195"/>
    </row>
    <row r="5531" spans="1:12" x14ac:dyDescent="0.45">
      <c r="A5531" s="462"/>
      <c r="B5531" s="441"/>
      <c r="C5531" s="194">
        <v>6</v>
      </c>
      <c r="D5531" s="80"/>
      <c r="E5531" s="97"/>
      <c r="F5531" s="97"/>
      <c r="G5531" s="97"/>
      <c r="H5531" s="97"/>
      <c r="I5531" s="97"/>
      <c r="J5531" s="97"/>
      <c r="K5531" s="97"/>
      <c r="L5531" s="195"/>
    </row>
    <row r="5532" spans="1:12" x14ac:dyDescent="0.45">
      <c r="A5532" s="462"/>
      <c r="B5532" s="441"/>
      <c r="C5532" s="194">
        <v>7</v>
      </c>
      <c r="D5532" s="80"/>
      <c r="E5532" s="97"/>
      <c r="F5532" s="97"/>
      <c r="G5532" s="97"/>
      <c r="H5532" s="97"/>
      <c r="I5532" s="97"/>
      <c r="J5532" s="97"/>
      <c r="K5532" s="97"/>
      <c r="L5532" s="195"/>
    </row>
    <row r="5533" spans="1:12" x14ac:dyDescent="0.45">
      <c r="A5533" s="462"/>
      <c r="B5533" s="441"/>
      <c r="C5533" s="194">
        <v>8</v>
      </c>
      <c r="D5533" s="80"/>
      <c r="E5533" s="97"/>
      <c r="F5533" s="97"/>
      <c r="G5533" s="97"/>
      <c r="H5533" s="97"/>
      <c r="I5533" s="97"/>
      <c r="J5533" s="97"/>
      <c r="K5533" s="97"/>
      <c r="L5533" s="195"/>
    </row>
    <row r="5534" spans="1:12" x14ac:dyDescent="0.45">
      <c r="A5534" s="462"/>
      <c r="B5534" s="441"/>
      <c r="C5534" s="194">
        <v>9</v>
      </c>
      <c r="D5534" s="80"/>
      <c r="E5534" s="97"/>
      <c r="F5534" s="97"/>
      <c r="G5534" s="97"/>
      <c r="H5534" s="97"/>
      <c r="I5534" s="97"/>
      <c r="J5534" s="97"/>
      <c r="K5534" s="97"/>
      <c r="L5534" s="195"/>
    </row>
    <row r="5535" spans="1:12" x14ac:dyDescent="0.45">
      <c r="A5535" s="462"/>
      <c r="B5535" s="441"/>
      <c r="C5535" s="194">
        <v>10</v>
      </c>
      <c r="D5535" s="80"/>
      <c r="E5535" s="97"/>
      <c r="F5535" s="97"/>
      <c r="G5535" s="97"/>
      <c r="H5535" s="97"/>
      <c r="I5535" s="97"/>
      <c r="J5535" s="97"/>
      <c r="K5535" s="97"/>
      <c r="L5535" s="195"/>
    </row>
    <row r="5536" spans="1:12" x14ac:dyDescent="0.45">
      <c r="A5536" s="462"/>
      <c r="B5536" s="441"/>
      <c r="C5536" s="194">
        <v>11</v>
      </c>
      <c r="D5536" s="81"/>
      <c r="E5536" s="98"/>
      <c r="F5536" s="98"/>
      <c r="G5536" s="98"/>
      <c r="H5536" s="98"/>
      <c r="I5536" s="98"/>
      <c r="J5536" s="98"/>
      <c r="K5536" s="98"/>
      <c r="L5536" s="196"/>
    </row>
    <row r="5537" spans="1:12" ht="14.65" thickBot="1" x14ac:dyDescent="0.5">
      <c r="A5537" s="462"/>
      <c r="B5537" s="442"/>
      <c r="C5537" s="197">
        <v>12</v>
      </c>
      <c r="D5537" s="82"/>
      <c r="E5537" s="99"/>
      <c r="F5537" s="99"/>
      <c r="G5537" s="99"/>
      <c r="H5537" s="99"/>
      <c r="I5537" s="99"/>
      <c r="J5537" s="99"/>
      <c r="K5537" s="99"/>
      <c r="L5537" s="198"/>
    </row>
    <row r="5538" spans="1:12" x14ac:dyDescent="0.45">
      <c r="A5538" s="462"/>
      <c r="B5538" s="440">
        <v>10</v>
      </c>
      <c r="C5538" s="192">
        <v>1</v>
      </c>
      <c r="D5538" s="79"/>
      <c r="E5538" s="96"/>
      <c r="F5538" s="96"/>
      <c r="G5538" s="96"/>
      <c r="H5538" s="96"/>
      <c r="I5538" s="96"/>
      <c r="J5538" s="96"/>
      <c r="K5538" s="96"/>
      <c r="L5538" s="193"/>
    </row>
    <row r="5539" spans="1:12" x14ac:dyDescent="0.45">
      <c r="A5539" s="462"/>
      <c r="B5539" s="441"/>
      <c r="C5539" s="194">
        <v>2</v>
      </c>
      <c r="D5539" s="80"/>
      <c r="E5539" s="97"/>
      <c r="F5539" s="97"/>
      <c r="G5539" s="97"/>
      <c r="H5539" s="97"/>
      <c r="I5539" s="97"/>
      <c r="J5539" s="97"/>
      <c r="K5539" s="97"/>
      <c r="L5539" s="195"/>
    </row>
    <row r="5540" spans="1:12" x14ac:dyDescent="0.45">
      <c r="A5540" s="462"/>
      <c r="B5540" s="441"/>
      <c r="C5540" s="194">
        <v>3</v>
      </c>
      <c r="D5540" s="80"/>
      <c r="E5540" s="97"/>
      <c r="F5540" s="97"/>
      <c r="G5540" s="97"/>
      <c r="H5540" s="97"/>
      <c r="I5540" s="97"/>
      <c r="J5540" s="97"/>
      <c r="K5540" s="97"/>
      <c r="L5540" s="195"/>
    </row>
    <row r="5541" spans="1:12" x14ac:dyDescent="0.45">
      <c r="A5541" s="462"/>
      <c r="B5541" s="441"/>
      <c r="C5541" s="194">
        <v>4</v>
      </c>
      <c r="D5541" s="80"/>
      <c r="E5541" s="97"/>
      <c r="F5541" s="97"/>
      <c r="G5541" s="97"/>
      <c r="H5541" s="97"/>
      <c r="I5541" s="97"/>
      <c r="J5541" s="97"/>
      <c r="K5541" s="97"/>
      <c r="L5541" s="195"/>
    </row>
    <row r="5542" spans="1:12" x14ac:dyDescent="0.45">
      <c r="A5542" s="462"/>
      <c r="B5542" s="441"/>
      <c r="C5542" s="194">
        <v>5</v>
      </c>
      <c r="D5542" s="80"/>
      <c r="E5542" s="97"/>
      <c r="F5542" s="97"/>
      <c r="G5542" s="97"/>
      <c r="H5542" s="97"/>
      <c r="I5542" s="97"/>
      <c r="J5542" s="97"/>
      <c r="K5542" s="97"/>
      <c r="L5542" s="195"/>
    </row>
    <row r="5543" spans="1:12" x14ac:dyDescent="0.45">
      <c r="A5543" s="462"/>
      <c r="B5543" s="441"/>
      <c r="C5543" s="194">
        <v>6</v>
      </c>
      <c r="D5543" s="80"/>
      <c r="E5543" s="97"/>
      <c r="F5543" s="97"/>
      <c r="G5543" s="97"/>
      <c r="H5543" s="97"/>
      <c r="I5543" s="97"/>
      <c r="J5543" s="97"/>
      <c r="K5543" s="97"/>
      <c r="L5543" s="195"/>
    </row>
    <row r="5544" spans="1:12" x14ac:dyDescent="0.45">
      <c r="A5544" s="462"/>
      <c r="B5544" s="441"/>
      <c r="C5544" s="194">
        <v>7</v>
      </c>
      <c r="D5544" s="80"/>
      <c r="E5544" s="97"/>
      <c r="F5544" s="97"/>
      <c r="G5544" s="97"/>
      <c r="H5544" s="97"/>
      <c r="I5544" s="97"/>
      <c r="J5544" s="97"/>
      <c r="K5544" s="97"/>
      <c r="L5544" s="195"/>
    </row>
    <row r="5545" spans="1:12" x14ac:dyDescent="0.45">
      <c r="A5545" s="462"/>
      <c r="B5545" s="441"/>
      <c r="C5545" s="194">
        <v>8</v>
      </c>
      <c r="D5545" s="80"/>
      <c r="E5545" s="97"/>
      <c r="F5545" s="97"/>
      <c r="G5545" s="97"/>
      <c r="H5545" s="97"/>
      <c r="I5545" s="97"/>
      <c r="J5545" s="97"/>
      <c r="K5545" s="97"/>
      <c r="L5545" s="195"/>
    </row>
    <row r="5546" spans="1:12" x14ac:dyDescent="0.45">
      <c r="A5546" s="462"/>
      <c r="B5546" s="441"/>
      <c r="C5546" s="194">
        <v>9</v>
      </c>
      <c r="D5546" s="80"/>
      <c r="E5546" s="97"/>
      <c r="F5546" s="97"/>
      <c r="G5546" s="97"/>
      <c r="H5546" s="97"/>
      <c r="I5546" s="97"/>
      <c r="J5546" s="97"/>
      <c r="K5546" s="97"/>
      <c r="L5546" s="195"/>
    </row>
    <row r="5547" spans="1:12" x14ac:dyDescent="0.45">
      <c r="A5547" s="462"/>
      <c r="B5547" s="441"/>
      <c r="C5547" s="194">
        <v>10</v>
      </c>
      <c r="D5547" s="80"/>
      <c r="E5547" s="97"/>
      <c r="F5547" s="97"/>
      <c r="G5547" s="97"/>
      <c r="H5547" s="97"/>
      <c r="I5547" s="97"/>
      <c r="J5547" s="97"/>
      <c r="K5547" s="97"/>
      <c r="L5547" s="195"/>
    </row>
    <row r="5548" spans="1:12" x14ac:dyDescent="0.45">
      <c r="A5548" s="462"/>
      <c r="B5548" s="441"/>
      <c r="C5548" s="194">
        <v>11</v>
      </c>
      <c r="D5548" s="81"/>
      <c r="E5548" s="98"/>
      <c r="F5548" s="98"/>
      <c r="G5548" s="98"/>
      <c r="H5548" s="98"/>
      <c r="I5548" s="98"/>
      <c r="J5548" s="98"/>
      <c r="K5548" s="98"/>
      <c r="L5548" s="196"/>
    </row>
    <row r="5549" spans="1:12" ht="14.65" thickBot="1" x14ac:dyDescent="0.5">
      <c r="A5549" s="462"/>
      <c r="B5549" s="442"/>
      <c r="C5549" s="197">
        <v>12</v>
      </c>
      <c r="D5549" s="82"/>
      <c r="E5549" s="99"/>
      <c r="F5549" s="99"/>
      <c r="G5549" s="99"/>
      <c r="H5549" s="99"/>
      <c r="I5549" s="99"/>
      <c r="J5549" s="99"/>
      <c r="K5549" s="99"/>
      <c r="L5549" s="198"/>
    </row>
    <row r="5550" spans="1:12" x14ac:dyDescent="0.45">
      <c r="A5550" s="462"/>
      <c r="B5550" s="440">
        <v>11</v>
      </c>
      <c r="C5550" s="192">
        <v>1</v>
      </c>
      <c r="D5550" s="79"/>
      <c r="E5550" s="96"/>
      <c r="F5550" s="96"/>
      <c r="G5550" s="96"/>
      <c r="H5550" s="96"/>
      <c r="I5550" s="96"/>
      <c r="J5550" s="96"/>
      <c r="K5550" s="96"/>
      <c r="L5550" s="193"/>
    </row>
    <row r="5551" spans="1:12" x14ac:dyDescent="0.45">
      <c r="A5551" s="462"/>
      <c r="B5551" s="441"/>
      <c r="C5551" s="194">
        <v>2</v>
      </c>
      <c r="D5551" s="80"/>
      <c r="E5551" s="97"/>
      <c r="F5551" s="97"/>
      <c r="G5551" s="97"/>
      <c r="H5551" s="97"/>
      <c r="I5551" s="97"/>
      <c r="J5551" s="97"/>
      <c r="K5551" s="97"/>
      <c r="L5551" s="195"/>
    </row>
    <row r="5552" spans="1:12" x14ac:dyDescent="0.45">
      <c r="A5552" s="462"/>
      <c r="B5552" s="441"/>
      <c r="C5552" s="194">
        <v>3</v>
      </c>
      <c r="D5552" s="80"/>
      <c r="E5552" s="97"/>
      <c r="F5552" s="97"/>
      <c r="G5552" s="97"/>
      <c r="H5552" s="97"/>
      <c r="I5552" s="97"/>
      <c r="J5552" s="97"/>
      <c r="K5552" s="97"/>
      <c r="L5552" s="195"/>
    </row>
    <row r="5553" spans="1:12" x14ac:dyDescent="0.45">
      <c r="A5553" s="462"/>
      <c r="B5553" s="441"/>
      <c r="C5553" s="194">
        <v>4</v>
      </c>
      <c r="D5553" s="80"/>
      <c r="E5553" s="97"/>
      <c r="F5553" s="97"/>
      <c r="G5553" s="97"/>
      <c r="H5553" s="97"/>
      <c r="I5553" s="97"/>
      <c r="J5553" s="97"/>
      <c r="K5553" s="97"/>
      <c r="L5553" s="195"/>
    </row>
    <row r="5554" spans="1:12" x14ac:dyDescent="0.45">
      <c r="A5554" s="462"/>
      <c r="B5554" s="441"/>
      <c r="C5554" s="194">
        <v>5</v>
      </c>
      <c r="D5554" s="80"/>
      <c r="E5554" s="97"/>
      <c r="F5554" s="97"/>
      <c r="G5554" s="97"/>
      <c r="H5554" s="97"/>
      <c r="I5554" s="97"/>
      <c r="J5554" s="97"/>
      <c r="K5554" s="97"/>
      <c r="L5554" s="195"/>
    </row>
    <row r="5555" spans="1:12" x14ac:dyDescent="0.45">
      <c r="A5555" s="462"/>
      <c r="B5555" s="441"/>
      <c r="C5555" s="194">
        <v>6</v>
      </c>
      <c r="D5555" s="80"/>
      <c r="E5555" s="97"/>
      <c r="F5555" s="97"/>
      <c r="G5555" s="97"/>
      <c r="H5555" s="97"/>
      <c r="I5555" s="97"/>
      <c r="J5555" s="97"/>
      <c r="K5555" s="97"/>
      <c r="L5555" s="195"/>
    </row>
    <row r="5556" spans="1:12" x14ac:dyDescent="0.45">
      <c r="A5556" s="462"/>
      <c r="B5556" s="441"/>
      <c r="C5556" s="194">
        <v>7</v>
      </c>
      <c r="D5556" s="80"/>
      <c r="E5556" s="97"/>
      <c r="F5556" s="97"/>
      <c r="G5556" s="97"/>
      <c r="H5556" s="97"/>
      <c r="I5556" s="97"/>
      <c r="J5556" s="97"/>
      <c r="K5556" s="97"/>
      <c r="L5556" s="195"/>
    </row>
    <row r="5557" spans="1:12" x14ac:dyDescent="0.45">
      <c r="A5557" s="462"/>
      <c r="B5557" s="441"/>
      <c r="C5557" s="194">
        <v>8</v>
      </c>
      <c r="D5557" s="80"/>
      <c r="E5557" s="97"/>
      <c r="F5557" s="97"/>
      <c r="G5557" s="97"/>
      <c r="H5557" s="97"/>
      <c r="I5557" s="97"/>
      <c r="J5557" s="97"/>
      <c r="K5557" s="97"/>
      <c r="L5557" s="195"/>
    </row>
    <row r="5558" spans="1:12" x14ac:dyDescent="0.45">
      <c r="A5558" s="462"/>
      <c r="B5558" s="441"/>
      <c r="C5558" s="194">
        <v>9</v>
      </c>
      <c r="D5558" s="80"/>
      <c r="E5558" s="97"/>
      <c r="F5558" s="97"/>
      <c r="G5558" s="97"/>
      <c r="H5558" s="97"/>
      <c r="I5558" s="97"/>
      <c r="J5558" s="97"/>
      <c r="K5558" s="97"/>
      <c r="L5558" s="195"/>
    </row>
    <row r="5559" spans="1:12" x14ac:dyDescent="0.45">
      <c r="A5559" s="462"/>
      <c r="B5559" s="441"/>
      <c r="C5559" s="194">
        <v>10</v>
      </c>
      <c r="D5559" s="80"/>
      <c r="E5559" s="97"/>
      <c r="F5559" s="97"/>
      <c r="G5559" s="97"/>
      <c r="H5559" s="97"/>
      <c r="I5559" s="97"/>
      <c r="J5559" s="97"/>
      <c r="K5559" s="97"/>
      <c r="L5559" s="195"/>
    </row>
    <row r="5560" spans="1:12" x14ac:dyDescent="0.45">
      <c r="A5560" s="462"/>
      <c r="B5560" s="441"/>
      <c r="C5560" s="194">
        <v>11</v>
      </c>
      <c r="D5560" s="81"/>
      <c r="E5560" s="98"/>
      <c r="F5560" s="98"/>
      <c r="G5560" s="98"/>
      <c r="H5560" s="98"/>
      <c r="I5560" s="98"/>
      <c r="J5560" s="98"/>
      <c r="K5560" s="98"/>
      <c r="L5560" s="196"/>
    </row>
    <row r="5561" spans="1:12" ht="14.65" thickBot="1" x14ac:dyDescent="0.5">
      <c r="A5561" s="462"/>
      <c r="B5561" s="442"/>
      <c r="C5561" s="197">
        <v>12</v>
      </c>
      <c r="D5561" s="82"/>
      <c r="E5561" s="99"/>
      <c r="F5561" s="99"/>
      <c r="G5561" s="99"/>
      <c r="H5561" s="99"/>
      <c r="I5561" s="99"/>
      <c r="J5561" s="99"/>
      <c r="K5561" s="99"/>
      <c r="L5561" s="198"/>
    </row>
    <row r="5562" spans="1:12" x14ac:dyDescent="0.45">
      <c r="A5562" s="462"/>
      <c r="B5562" s="440">
        <v>12</v>
      </c>
      <c r="C5562" s="192">
        <v>1</v>
      </c>
      <c r="D5562" s="79"/>
      <c r="E5562" s="96"/>
      <c r="F5562" s="96"/>
      <c r="G5562" s="96"/>
      <c r="H5562" s="96"/>
      <c r="I5562" s="96"/>
      <c r="J5562" s="96"/>
      <c r="K5562" s="96"/>
      <c r="L5562" s="193"/>
    </row>
    <row r="5563" spans="1:12" x14ac:dyDescent="0.45">
      <c r="A5563" s="462"/>
      <c r="B5563" s="441"/>
      <c r="C5563" s="194">
        <v>2</v>
      </c>
      <c r="D5563" s="80"/>
      <c r="E5563" s="97"/>
      <c r="F5563" s="97"/>
      <c r="G5563" s="97"/>
      <c r="H5563" s="97"/>
      <c r="I5563" s="97"/>
      <c r="J5563" s="97"/>
      <c r="K5563" s="97"/>
      <c r="L5563" s="195"/>
    </row>
    <row r="5564" spans="1:12" x14ac:dyDescent="0.45">
      <c r="A5564" s="462"/>
      <c r="B5564" s="441"/>
      <c r="C5564" s="194">
        <v>3</v>
      </c>
      <c r="D5564" s="80"/>
      <c r="E5564" s="97"/>
      <c r="F5564" s="97"/>
      <c r="G5564" s="97"/>
      <c r="H5564" s="97"/>
      <c r="I5564" s="97"/>
      <c r="J5564" s="97"/>
      <c r="K5564" s="97"/>
      <c r="L5564" s="195"/>
    </row>
    <row r="5565" spans="1:12" x14ac:dyDescent="0.45">
      <c r="A5565" s="462"/>
      <c r="B5565" s="441"/>
      <c r="C5565" s="194">
        <v>4</v>
      </c>
      <c r="D5565" s="80"/>
      <c r="E5565" s="97"/>
      <c r="F5565" s="97"/>
      <c r="G5565" s="97"/>
      <c r="H5565" s="97"/>
      <c r="I5565" s="97"/>
      <c r="J5565" s="97"/>
      <c r="K5565" s="97"/>
      <c r="L5565" s="195"/>
    </row>
    <row r="5566" spans="1:12" x14ac:dyDescent="0.45">
      <c r="A5566" s="462"/>
      <c r="B5566" s="441"/>
      <c r="C5566" s="194">
        <v>5</v>
      </c>
      <c r="D5566" s="80"/>
      <c r="E5566" s="97"/>
      <c r="F5566" s="97"/>
      <c r="G5566" s="97"/>
      <c r="H5566" s="97"/>
      <c r="I5566" s="97"/>
      <c r="J5566" s="97"/>
      <c r="K5566" s="97"/>
      <c r="L5566" s="195"/>
    </row>
    <row r="5567" spans="1:12" x14ac:dyDescent="0.45">
      <c r="A5567" s="462"/>
      <c r="B5567" s="441"/>
      <c r="C5567" s="194">
        <v>6</v>
      </c>
      <c r="D5567" s="80"/>
      <c r="E5567" s="97"/>
      <c r="F5567" s="97"/>
      <c r="G5567" s="97"/>
      <c r="H5567" s="97"/>
      <c r="I5567" s="97"/>
      <c r="J5567" s="97"/>
      <c r="K5567" s="97"/>
      <c r="L5567" s="195"/>
    </row>
    <row r="5568" spans="1:12" x14ac:dyDescent="0.45">
      <c r="A5568" s="462"/>
      <c r="B5568" s="441"/>
      <c r="C5568" s="194">
        <v>7</v>
      </c>
      <c r="D5568" s="80"/>
      <c r="E5568" s="97"/>
      <c r="F5568" s="97"/>
      <c r="G5568" s="97"/>
      <c r="H5568" s="97"/>
      <c r="I5568" s="97"/>
      <c r="J5568" s="97"/>
      <c r="K5568" s="97"/>
      <c r="L5568" s="195"/>
    </row>
    <row r="5569" spans="1:14" x14ac:dyDescent="0.45">
      <c r="A5569" s="462"/>
      <c r="B5569" s="441"/>
      <c r="C5569" s="194">
        <v>8</v>
      </c>
      <c r="D5569" s="80"/>
      <c r="E5569" s="97"/>
      <c r="F5569" s="97"/>
      <c r="G5569" s="97"/>
      <c r="H5569" s="97"/>
      <c r="I5569" s="97"/>
      <c r="J5569" s="97"/>
      <c r="K5569" s="97"/>
      <c r="L5569" s="195"/>
    </row>
    <row r="5570" spans="1:14" x14ac:dyDescent="0.45">
      <c r="A5570" s="462"/>
      <c r="B5570" s="441"/>
      <c r="C5570" s="194">
        <v>9</v>
      </c>
      <c r="D5570" s="80"/>
      <c r="E5570" s="97"/>
      <c r="F5570" s="97"/>
      <c r="G5570" s="97"/>
      <c r="H5570" s="97"/>
      <c r="I5570" s="97"/>
      <c r="J5570" s="97"/>
      <c r="K5570" s="97"/>
      <c r="L5570" s="195"/>
    </row>
    <row r="5571" spans="1:14" x14ac:dyDescent="0.45">
      <c r="A5571" s="462"/>
      <c r="B5571" s="441"/>
      <c r="C5571" s="194">
        <v>10</v>
      </c>
      <c r="D5571" s="80"/>
      <c r="E5571" s="97"/>
      <c r="F5571" s="97"/>
      <c r="G5571" s="97"/>
      <c r="H5571" s="97"/>
      <c r="I5571" s="97"/>
      <c r="J5571" s="97"/>
      <c r="K5571" s="97"/>
      <c r="L5571" s="195"/>
    </row>
    <row r="5572" spans="1:14" x14ac:dyDescent="0.45">
      <c r="A5572" s="462"/>
      <c r="B5572" s="441"/>
      <c r="C5572" s="194">
        <v>11</v>
      </c>
      <c r="D5572" s="81"/>
      <c r="E5572" s="98"/>
      <c r="F5572" s="98"/>
      <c r="G5572" s="98"/>
      <c r="H5572" s="98"/>
      <c r="I5572" s="98"/>
      <c r="J5572" s="98"/>
      <c r="K5572" s="98"/>
      <c r="L5572" s="196"/>
    </row>
    <row r="5573" spans="1:14" ht="14.65" thickBot="1" x14ac:dyDescent="0.5">
      <c r="A5573" s="463"/>
      <c r="B5573" s="442"/>
      <c r="C5573" s="199">
        <v>12</v>
      </c>
      <c r="D5573" s="82"/>
      <c r="E5573" s="99"/>
      <c r="F5573" s="99"/>
      <c r="G5573" s="99"/>
      <c r="H5573" s="99"/>
      <c r="I5573" s="99"/>
      <c r="J5573" s="99"/>
      <c r="K5573" s="99"/>
      <c r="L5573" s="198"/>
    </row>
    <row r="5574" spans="1:14" x14ac:dyDescent="0.45">
      <c r="A5574" s="200"/>
      <c r="B5574" s="200"/>
      <c r="C5574" s="200"/>
      <c r="D5574" s="201"/>
      <c r="E5574" s="201"/>
      <c r="F5574" s="201"/>
      <c r="G5574" s="201"/>
      <c r="H5574" s="201"/>
      <c r="I5574" s="201"/>
      <c r="J5574" s="201"/>
      <c r="K5574" s="201"/>
      <c r="L5574" s="201"/>
    </row>
    <row r="5575" spans="1:14" s="91" customFormat="1" x14ac:dyDescent="0.45">
      <c r="A5575" s="202"/>
      <c r="B5575" s="202"/>
      <c r="C5575" s="202"/>
      <c r="D5575" s="203"/>
      <c r="E5575" s="203"/>
      <c r="F5575" s="203"/>
      <c r="G5575" s="203"/>
      <c r="H5575" s="203"/>
      <c r="I5575" s="203"/>
      <c r="J5575" s="203"/>
      <c r="K5575" s="203"/>
      <c r="L5575" s="203"/>
    </row>
    <row r="5576" spans="1:14" ht="14.65" thickBot="1" x14ac:dyDescent="0.5"/>
    <row r="5577" spans="1:14" ht="28.9" thickBot="1" x14ac:dyDescent="0.5">
      <c r="A5577" s="187" t="s">
        <v>76</v>
      </c>
      <c r="B5577" s="186">
        <v>36</v>
      </c>
      <c r="C5577" s="109"/>
      <c r="D5577" s="109"/>
    </row>
    <row r="5578" spans="1:14" x14ac:dyDescent="0.45">
      <c r="A5578" s="443" t="s">
        <v>27</v>
      </c>
      <c r="B5578" s="448">
        <f>Name36</f>
        <v>0</v>
      </c>
      <c r="C5578" s="449"/>
      <c r="D5578" s="450"/>
      <c r="I5578" s="204"/>
      <c r="J5578" s="204"/>
      <c r="K5578" s="204"/>
      <c r="L5578" s="204"/>
      <c r="M5578" s="204"/>
      <c r="N5578" s="204"/>
    </row>
    <row r="5579" spans="1:14" x14ac:dyDescent="0.45">
      <c r="A5579" s="444"/>
      <c r="B5579" s="448"/>
      <c r="C5579" s="449"/>
      <c r="D5579" s="450"/>
      <c r="I5579" s="204"/>
      <c r="J5579" s="204"/>
      <c r="K5579" s="204"/>
      <c r="L5579" s="204"/>
      <c r="M5579" s="204"/>
      <c r="N5579" s="204"/>
    </row>
    <row r="5580" spans="1:14" x14ac:dyDescent="0.45">
      <c r="A5580" s="445"/>
      <c r="B5580" s="388"/>
      <c r="C5580" s="451"/>
      <c r="D5580" s="452"/>
      <c r="I5580" s="204"/>
      <c r="J5580" s="204"/>
      <c r="K5580" s="204"/>
      <c r="L5580" s="204"/>
      <c r="M5580" s="204"/>
      <c r="N5580" s="204"/>
    </row>
    <row r="5581" spans="1:14" ht="14.45" customHeight="1" x14ac:dyDescent="0.45">
      <c r="A5581" s="444" t="s">
        <v>155</v>
      </c>
      <c r="B5581" s="453">
        <f>GapA36</f>
        <v>0</v>
      </c>
      <c r="C5581" s="454"/>
      <c r="D5581" s="455"/>
      <c r="I5581" s="204"/>
      <c r="J5581" s="204"/>
      <c r="K5581" s="204"/>
      <c r="L5581" s="204"/>
      <c r="M5581" s="204"/>
      <c r="N5581" s="204"/>
    </row>
    <row r="5582" spans="1:14" x14ac:dyDescent="0.45">
      <c r="A5582" s="444"/>
      <c r="B5582" s="448"/>
      <c r="C5582" s="449"/>
      <c r="D5582" s="450"/>
      <c r="I5582" s="204"/>
      <c r="J5582" s="204"/>
      <c r="K5582" s="204"/>
      <c r="L5582" s="204"/>
      <c r="M5582" s="204"/>
      <c r="N5582" s="204"/>
    </row>
    <row r="5583" spans="1:14" x14ac:dyDescent="0.45">
      <c r="A5583" s="445"/>
      <c r="B5583" s="388"/>
      <c r="C5583" s="451"/>
      <c r="D5583" s="452"/>
      <c r="I5583" s="204"/>
      <c r="J5583" s="204"/>
      <c r="K5583" s="204"/>
      <c r="L5583" s="204"/>
      <c r="M5583" s="204"/>
      <c r="N5583" s="204"/>
    </row>
    <row r="5584" spans="1:14" x14ac:dyDescent="0.45">
      <c r="A5584" s="444" t="s">
        <v>159</v>
      </c>
      <c r="B5584" s="453">
        <f>Objective36</f>
        <v>0</v>
      </c>
      <c r="C5584" s="454"/>
      <c r="D5584" s="455"/>
      <c r="I5584" s="204"/>
      <c r="J5584" s="204"/>
      <c r="K5584" s="204"/>
      <c r="L5584" s="204"/>
      <c r="M5584" s="204"/>
      <c r="N5584" s="204"/>
    </row>
    <row r="5585" spans="1:14" x14ac:dyDescent="0.45">
      <c r="A5585" s="444"/>
      <c r="B5585" s="448"/>
      <c r="C5585" s="449"/>
      <c r="D5585" s="450"/>
      <c r="I5585" s="204"/>
      <c r="J5585" s="204"/>
      <c r="K5585" s="204"/>
      <c r="L5585" s="204"/>
      <c r="M5585" s="204"/>
      <c r="N5585" s="204"/>
    </row>
    <row r="5586" spans="1:14" x14ac:dyDescent="0.45">
      <c r="A5586" s="445"/>
      <c r="B5586" s="388"/>
      <c r="C5586" s="451"/>
      <c r="D5586" s="452"/>
      <c r="I5586" s="204"/>
      <c r="J5586" s="204"/>
      <c r="K5586" s="204"/>
      <c r="L5586" s="204"/>
      <c r="M5586" s="204"/>
      <c r="N5586" s="204"/>
    </row>
    <row r="5587" spans="1:14" ht="14.45" customHeight="1" x14ac:dyDescent="0.45">
      <c r="A5587" s="446" t="s">
        <v>166</v>
      </c>
      <c r="B5587" s="454">
        <f>Capacity36</f>
        <v>0</v>
      </c>
      <c r="C5587" s="454"/>
      <c r="D5587" s="455"/>
      <c r="I5587" s="204"/>
      <c r="J5587" s="204"/>
      <c r="K5587" s="204"/>
      <c r="L5587" s="204"/>
      <c r="M5587" s="204"/>
      <c r="N5587" s="204"/>
    </row>
    <row r="5588" spans="1:14" x14ac:dyDescent="0.45">
      <c r="A5588" s="447"/>
      <c r="B5588" s="449"/>
      <c r="C5588" s="449"/>
      <c r="D5588" s="450"/>
      <c r="I5588" s="204"/>
      <c r="J5588" s="204"/>
      <c r="K5588" s="204"/>
      <c r="L5588" s="204"/>
      <c r="M5588" s="204"/>
      <c r="N5588" s="204"/>
    </row>
    <row r="5589" spans="1:14" ht="14.65" thickBot="1" x14ac:dyDescent="0.5">
      <c r="A5589" s="447"/>
      <c r="B5589" s="456"/>
      <c r="C5589" s="456"/>
      <c r="D5589" s="457"/>
      <c r="I5589" s="204"/>
      <c r="J5589" s="204"/>
      <c r="K5589" s="204"/>
      <c r="L5589" s="204"/>
      <c r="M5589" s="204"/>
      <c r="N5589" s="204"/>
    </row>
    <row r="5590" spans="1:14" x14ac:dyDescent="0.45">
      <c r="A5590" s="188"/>
    </row>
    <row r="5591" spans="1:14" ht="14.45" customHeight="1" thickBot="1" x14ac:dyDescent="0.5">
      <c r="A5591" s="90"/>
      <c r="B5591" s="90"/>
      <c r="C5591" s="90"/>
      <c r="D5591" s="90"/>
      <c r="E5591" s="90"/>
      <c r="F5591" s="90"/>
      <c r="G5591" s="90"/>
      <c r="H5591" s="90"/>
      <c r="I5591" s="90"/>
      <c r="J5591" s="90"/>
      <c r="K5591" s="90"/>
      <c r="L5591" s="90"/>
      <c r="M5591" s="90"/>
      <c r="N5591" s="90"/>
    </row>
    <row r="5592" spans="1:14" ht="21.75" customHeight="1" x14ac:dyDescent="0.45">
      <c r="A5592" s="458" t="s">
        <v>135</v>
      </c>
      <c r="B5592" s="459"/>
      <c r="C5592" s="459"/>
      <c r="D5592" s="459"/>
      <c r="E5592" s="459"/>
      <c r="F5592" s="459"/>
      <c r="G5592" s="459"/>
      <c r="H5592" s="459"/>
      <c r="I5592" s="459"/>
      <c r="J5592" s="459"/>
      <c r="K5592" s="459"/>
      <c r="L5592" s="460"/>
    </row>
    <row r="5593" spans="1:14" ht="29" customHeight="1" thickBot="1" x14ac:dyDescent="0.5">
      <c r="A5593" s="93" t="s">
        <v>74</v>
      </c>
      <c r="B5593" s="94" t="s">
        <v>28</v>
      </c>
      <c r="C5593" s="95" t="s">
        <v>320</v>
      </c>
      <c r="D5593" s="95" t="s">
        <v>127</v>
      </c>
      <c r="E5593" s="114" t="s">
        <v>90</v>
      </c>
      <c r="F5593" s="95" t="s">
        <v>175</v>
      </c>
      <c r="G5593" s="95" t="s">
        <v>176</v>
      </c>
      <c r="H5593" s="95" t="s">
        <v>156</v>
      </c>
      <c r="I5593" s="95" t="s">
        <v>157</v>
      </c>
      <c r="J5593" s="189" t="s">
        <v>321</v>
      </c>
      <c r="K5593" s="190" t="s">
        <v>29</v>
      </c>
      <c r="L5593" s="191" t="s">
        <v>322</v>
      </c>
    </row>
    <row r="5594" spans="1:14" x14ac:dyDescent="0.45">
      <c r="A5594" s="461">
        <v>1</v>
      </c>
      <c r="B5594" s="440">
        <v>1</v>
      </c>
      <c r="C5594" s="192">
        <v>1</v>
      </c>
      <c r="D5594" s="79"/>
      <c r="E5594" s="96"/>
      <c r="F5594" s="96"/>
      <c r="G5594" s="96"/>
      <c r="H5594" s="96"/>
      <c r="I5594" s="96"/>
      <c r="J5594" s="96"/>
      <c r="K5594" s="96"/>
      <c r="L5594" s="193"/>
    </row>
    <row r="5595" spans="1:14" x14ac:dyDescent="0.45">
      <c r="A5595" s="462"/>
      <c r="B5595" s="441"/>
      <c r="C5595" s="194">
        <v>2</v>
      </c>
      <c r="D5595" s="80"/>
      <c r="E5595" s="97"/>
      <c r="F5595" s="97"/>
      <c r="G5595" s="97"/>
      <c r="H5595" s="97"/>
      <c r="I5595" s="97"/>
      <c r="J5595" s="97"/>
      <c r="K5595" s="97"/>
      <c r="L5595" s="195"/>
    </row>
    <row r="5596" spans="1:14" x14ac:dyDescent="0.45">
      <c r="A5596" s="462"/>
      <c r="B5596" s="441"/>
      <c r="C5596" s="194">
        <v>3</v>
      </c>
      <c r="D5596" s="80"/>
      <c r="E5596" s="97"/>
      <c r="F5596" s="97"/>
      <c r="G5596" s="97"/>
      <c r="H5596" s="97"/>
      <c r="I5596" s="97"/>
      <c r="J5596" s="97"/>
      <c r="K5596" s="97"/>
      <c r="L5596" s="195"/>
    </row>
    <row r="5597" spans="1:14" x14ac:dyDescent="0.45">
      <c r="A5597" s="462"/>
      <c r="B5597" s="441"/>
      <c r="C5597" s="194">
        <v>4</v>
      </c>
      <c r="D5597" s="80"/>
      <c r="E5597" s="97"/>
      <c r="F5597" s="97"/>
      <c r="G5597" s="97"/>
      <c r="H5597" s="97"/>
      <c r="I5597" s="97"/>
      <c r="J5597" s="97"/>
      <c r="K5597" s="97"/>
      <c r="L5597" s="195"/>
    </row>
    <row r="5598" spans="1:14" x14ac:dyDescent="0.45">
      <c r="A5598" s="462"/>
      <c r="B5598" s="441"/>
      <c r="C5598" s="194">
        <v>5</v>
      </c>
      <c r="D5598" s="80"/>
      <c r="E5598" s="97"/>
      <c r="F5598" s="97"/>
      <c r="G5598" s="97"/>
      <c r="H5598" s="97"/>
      <c r="I5598" s="97"/>
      <c r="J5598" s="97"/>
      <c r="K5598" s="97"/>
      <c r="L5598" s="195"/>
    </row>
    <row r="5599" spans="1:14" x14ac:dyDescent="0.45">
      <c r="A5599" s="462"/>
      <c r="B5599" s="441"/>
      <c r="C5599" s="194">
        <v>6</v>
      </c>
      <c r="D5599" s="80"/>
      <c r="E5599" s="97"/>
      <c r="F5599" s="97"/>
      <c r="G5599" s="97"/>
      <c r="H5599" s="97"/>
      <c r="I5599" s="97"/>
      <c r="J5599" s="97"/>
      <c r="K5599" s="97"/>
      <c r="L5599" s="195"/>
    </row>
    <row r="5600" spans="1:14" x14ac:dyDescent="0.45">
      <c r="A5600" s="462"/>
      <c r="B5600" s="441"/>
      <c r="C5600" s="194">
        <v>7</v>
      </c>
      <c r="D5600" s="80"/>
      <c r="E5600" s="97"/>
      <c r="F5600" s="97"/>
      <c r="G5600" s="97"/>
      <c r="H5600" s="97"/>
      <c r="I5600" s="97"/>
      <c r="J5600" s="97"/>
      <c r="K5600" s="97"/>
      <c r="L5600" s="195"/>
    </row>
    <row r="5601" spans="1:14" x14ac:dyDescent="0.45">
      <c r="A5601" s="462"/>
      <c r="B5601" s="441"/>
      <c r="C5601" s="194">
        <v>8</v>
      </c>
      <c r="D5601" s="80"/>
      <c r="E5601" s="97"/>
      <c r="F5601" s="97"/>
      <c r="G5601" s="97"/>
      <c r="H5601" s="97"/>
      <c r="I5601" s="97"/>
      <c r="J5601" s="97"/>
      <c r="K5601" s="97"/>
      <c r="L5601" s="195"/>
    </row>
    <row r="5602" spans="1:14" x14ac:dyDescent="0.45">
      <c r="A5602" s="462"/>
      <c r="B5602" s="441"/>
      <c r="C5602" s="194">
        <v>9</v>
      </c>
      <c r="D5602" s="80"/>
      <c r="E5602" s="97"/>
      <c r="F5602" s="97"/>
      <c r="G5602" s="97"/>
      <c r="H5602" s="97"/>
      <c r="I5602" s="97"/>
      <c r="J5602" s="97"/>
      <c r="K5602" s="97"/>
      <c r="L5602" s="195"/>
    </row>
    <row r="5603" spans="1:14" x14ac:dyDescent="0.45">
      <c r="A5603" s="462"/>
      <c r="B5603" s="441"/>
      <c r="C5603" s="194">
        <v>10</v>
      </c>
      <c r="D5603" s="80"/>
      <c r="E5603" s="97"/>
      <c r="F5603" s="97"/>
      <c r="G5603" s="97"/>
      <c r="H5603" s="97"/>
      <c r="I5603" s="97"/>
      <c r="J5603" s="97"/>
      <c r="K5603" s="97"/>
      <c r="L5603" s="195"/>
    </row>
    <row r="5604" spans="1:14" x14ac:dyDescent="0.45">
      <c r="A5604" s="462"/>
      <c r="B5604" s="441"/>
      <c r="C5604" s="194">
        <v>11</v>
      </c>
      <c r="D5604" s="81"/>
      <c r="E5604" s="98"/>
      <c r="F5604" s="98"/>
      <c r="G5604" s="98"/>
      <c r="H5604" s="98"/>
      <c r="I5604" s="98"/>
      <c r="J5604" s="98"/>
      <c r="K5604" s="98"/>
      <c r="L5604" s="196"/>
    </row>
    <row r="5605" spans="1:14" s="90" customFormat="1" ht="14.65" thickBot="1" x14ac:dyDescent="0.5">
      <c r="A5605" s="462"/>
      <c r="B5605" s="442"/>
      <c r="C5605" s="197">
        <v>12</v>
      </c>
      <c r="D5605" s="82"/>
      <c r="E5605" s="99"/>
      <c r="F5605" s="99"/>
      <c r="G5605" s="99"/>
      <c r="H5605" s="99"/>
      <c r="I5605" s="99"/>
      <c r="J5605" s="99"/>
      <c r="K5605" s="99"/>
      <c r="L5605" s="198"/>
      <c r="M5605" s="61"/>
      <c r="N5605" s="61"/>
    </row>
    <row r="5606" spans="1:14" x14ac:dyDescent="0.45">
      <c r="A5606" s="462"/>
      <c r="B5606" s="440">
        <v>2</v>
      </c>
      <c r="C5606" s="192">
        <v>1</v>
      </c>
      <c r="D5606" s="79"/>
      <c r="E5606" s="96"/>
      <c r="F5606" s="96"/>
      <c r="G5606" s="96"/>
      <c r="H5606" s="96"/>
      <c r="I5606" s="96"/>
      <c r="J5606" s="96"/>
      <c r="K5606" s="96"/>
      <c r="L5606" s="193"/>
    </row>
    <row r="5607" spans="1:14" x14ac:dyDescent="0.45">
      <c r="A5607" s="462"/>
      <c r="B5607" s="441"/>
      <c r="C5607" s="194">
        <v>2</v>
      </c>
      <c r="D5607" s="80"/>
      <c r="E5607" s="97"/>
      <c r="F5607" s="97"/>
      <c r="G5607" s="97"/>
      <c r="H5607" s="97"/>
      <c r="I5607" s="97"/>
      <c r="J5607" s="97"/>
      <c r="K5607" s="97"/>
      <c r="L5607" s="195"/>
    </row>
    <row r="5608" spans="1:14" x14ac:dyDescent="0.45">
      <c r="A5608" s="462"/>
      <c r="B5608" s="441"/>
      <c r="C5608" s="194">
        <v>3</v>
      </c>
      <c r="D5608" s="80"/>
      <c r="E5608" s="97"/>
      <c r="F5608" s="97"/>
      <c r="G5608" s="97"/>
      <c r="H5608" s="97"/>
      <c r="I5608" s="97"/>
      <c r="J5608" s="97"/>
      <c r="K5608" s="97"/>
      <c r="L5608" s="195"/>
    </row>
    <row r="5609" spans="1:14" x14ac:dyDescent="0.45">
      <c r="A5609" s="462"/>
      <c r="B5609" s="441"/>
      <c r="C5609" s="194">
        <v>4</v>
      </c>
      <c r="D5609" s="80"/>
      <c r="E5609" s="97"/>
      <c r="F5609" s="97"/>
      <c r="G5609" s="97"/>
      <c r="H5609" s="97"/>
      <c r="I5609" s="97"/>
      <c r="J5609" s="97"/>
      <c r="K5609" s="97"/>
      <c r="L5609" s="195"/>
    </row>
    <row r="5610" spans="1:14" x14ac:dyDescent="0.45">
      <c r="A5610" s="462"/>
      <c r="B5610" s="441"/>
      <c r="C5610" s="194">
        <v>5</v>
      </c>
      <c r="D5610" s="80"/>
      <c r="E5610" s="97"/>
      <c r="F5610" s="97"/>
      <c r="G5610" s="97"/>
      <c r="H5610" s="97"/>
      <c r="I5610" s="97"/>
      <c r="J5610" s="97"/>
      <c r="K5610" s="97"/>
      <c r="L5610" s="195"/>
    </row>
    <row r="5611" spans="1:14" x14ac:dyDescent="0.45">
      <c r="A5611" s="462"/>
      <c r="B5611" s="441"/>
      <c r="C5611" s="194">
        <v>6</v>
      </c>
      <c r="D5611" s="80"/>
      <c r="E5611" s="97"/>
      <c r="F5611" s="97"/>
      <c r="G5611" s="97"/>
      <c r="H5611" s="97"/>
      <c r="I5611" s="97"/>
      <c r="J5611" s="97"/>
      <c r="K5611" s="97"/>
      <c r="L5611" s="195"/>
    </row>
    <row r="5612" spans="1:14" x14ac:dyDescent="0.45">
      <c r="A5612" s="462"/>
      <c r="B5612" s="441"/>
      <c r="C5612" s="194">
        <v>7</v>
      </c>
      <c r="D5612" s="80"/>
      <c r="E5612" s="97"/>
      <c r="F5612" s="97"/>
      <c r="G5612" s="97"/>
      <c r="H5612" s="97"/>
      <c r="I5612" s="97"/>
      <c r="J5612" s="97"/>
      <c r="K5612" s="97"/>
      <c r="L5612" s="195"/>
    </row>
    <row r="5613" spans="1:14" x14ac:dyDescent="0.45">
      <c r="A5613" s="462"/>
      <c r="B5613" s="441"/>
      <c r="C5613" s="194">
        <v>8</v>
      </c>
      <c r="D5613" s="80"/>
      <c r="E5613" s="97"/>
      <c r="F5613" s="97"/>
      <c r="G5613" s="97"/>
      <c r="H5613" s="97"/>
      <c r="I5613" s="97"/>
      <c r="J5613" s="97"/>
      <c r="K5613" s="97"/>
      <c r="L5613" s="195"/>
    </row>
    <row r="5614" spans="1:14" x14ac:dyDescent="0.45">
      <c r="A5614" s="462"/>
      <c r="B5614" s="441"/>
      <c r="C5614" s="194">
        <v>9</v>
      </c>
      <c r="D5614" s="80"/>
      <c r="E5614" s="97"/>
      <c r="F5614" s="97"/>
      <c r="G5614" s="97"/>
      <c r="H5614" s="97"/>
      <c r="I5614" s="97"/>
      <c r="J5614" s="97"/>
      <c r="K5614" s="97"/>
      <c r="L5614" s="195"/>
    </row>
    <row r="5615" spans="1:14" x14ac:dyDescent="0.45">
      <c r="A5615" s="462"/>
      <c r="B5615" s="441"/>
      <c r="C5615" s="194">
        <v>10</v>
      </c>
      <c r="D5615" s="80"/>
      <c r="E5615" s="97"/>
      <c r="F5615" s="97"/>
      <c r="G5615" s="97"/>
      <c r="H5615" s="97"/>
      <c r="I5615" s="97"/>
      <c r="J5615" s="97"/>
      <c r="K5615" s="97"/>
      <c r="L5615" s="195"/>
    </row>
    <row r="5616" spans="1:14" x14ac:dyDescent="0.45">
      <c r="A5616" s="462"/>
      <c r="B5616" s="441"/>
      <c r="C5616" s="194">
        <v>11</v>
      </c>
      <c r="D5616" s="81"/>
      <c r="E5616" s="98"/>
      <c r="F5616" s="98"/>
      <c r="G5616" s="98"/>
      <c r="H5616" s="98"/>
      <c r="I5616" s="98"/>
      <c r="J5616" s="98"/>
      <c r="K5616" s="98"/>
      <c r="L5616" s="196"/>
    </row>
    <row r="5617" spans="1:12" ht="14.65" thickBot="1" x14ac:dyDescent="0.5">
      <c r="A5617" s="462"/>
      <c r="B5617" s="442"/>
      <c r="C5617" s="197">
        <v>12</v>
      </c>
      <c r="D5617" s="82"/>
      <c r="E5617" s="99"/>
      <c r="F5617" s="99"/>
      <c r="G5617" s="99"/>
      <c r="H5617" s="99"/>
      <c r="I5617" s="99"/>
      <c r="J5617" s="99"/>
      <c r="K5617" s="99"/>
      <c r="L5617" s="198"/>
    </row>
    <row r="5618" spans="1:12" x14ac:dyDescent="0.45">
      <c r="A5618" s="462"/>
      <c r="B5618" s="440">
        <v>3</v>
      </c>
      <c r="C5618" s="192">
        <v>1</v>
      </c>
      <c r="D5618" s="79"/>
      <c r="E5618" s="96"/>
      <c r="F5618" s="96"/>
      <c r="G5618" s="96"/>
      <c r="H5618" s="96"/>
      <c r="I5618" s="96"/>
      <c r="J5618" s="96"/>
      <c r="K5618" s="96"/>
      <c r="L5618" s="193"/>
    </row>
    <row r="5619" spans="1:12" x14ac:dyDescent="0.45">
      <c r="A5619" s="462"/>
      <c r="B5619" s="441"/>
      <c r="C5619" s="194">
        <v>2</v>
      </c>
      <c r="D5619" s="80"/>
      <c r="E5619" s="97"/>
      <c r="F5619" s="97"/>
      <c r="G5619" s="97"/>
      <c r="H5619" s="97"/>
      <c r="I5619" s="97"/>
      <c r="J5619" s="97"/>
      <c r="K5619" s="97"/>
      <c r="L5619" s="195"/>
    </row>
    <row r="5620" spans="1:12" x14ac:dyDescent="0.45">
      <c r="A5620" s="462"/>
      <c r="B5620" s="441"/>
      <c r="C5620" s="194">
        <v>3</v>
      </c>
      <c r="D5620" s="80"/>
      <c r="E5620" s="97"/>
      <c r="F5620" s="97"/>
      <c r="G5620" s="97"/>
      <c r="H5620" s="97"/>
      <c r="I5620" s="97"/>
      <c r="J5620" s="97"/>
      <c r="K5620" s="97"/>
      <c r="L5620" s="195"/>
    </row>
    <row r="5621" spans="1:12" x14ac:dyDescent="0.45">
      <c r="A5621" s="462"/>
      <c r="B5621" s="441"/>
      <c r="C5621" s="194">
        <v>4</v>
      </c>
      <c r="D5621" s="80"/>
      <c r="E5621" s="97"/>
      <c r="F5621" s="97"/>
      <c r="G5621" s="97"/>
      <c r="H5621" s="97"/>
      <c r="I5621" s="97"/>
      <c r="J5621" s="97"/>
      <c r="K5621" s="97"/>
      <c r="L5621" s="195"/>
    </row>
    <row r="5622" spans="1:12" x14ac:dyDescent="0.45">
      <c r="A5622" s="462"/>
      <c r="B5622" s="441"/>
      <c r="C5622" s="194">
        <v>5</v>
      </c>
      <c r="D5622" s="80"/>
      <c r="E5622" s="97"/>
      <c r="F5622" s="97"/>
      <c r="G5622" s="97"/>
      <c r="H5622" s="97"/>
      <c r="I5622" s="97"/>
      <c r="J5622" s="97"/>
      <c r="K5622" s="97"/>
      <c r="L5622" s="195"/>
    </row>
    <row r="5623" spans="1:12" x14ac:dyDescent="0.45">
      <c r="A5623" s="462"/>
      <c r="B5623" s="441"/>
      <c r="C5623" s="194">
        <v>6</v>
      </c>
      <c r="D5623" s="80"/>
      <c r="E5623" s="97"/>
      <c r="F5623" s="97"/>
      <c r="G5623" s="97"/>
      <c r="H5623" s="97"/>
      <c r="I5623" s="97"/>
      <c r="J5623" s="97"/>
      <c r="K5623" s="97"/>
      <c r="L5623" s="195"/>
    </row>
    <row r="5624" spans="1:12" x14ac:dyDescent="0.45">
      <c r="A5624" s="462"/>
      <c r="B5624" s="441"/>
      <c r="C5624" s="194">
        <v>7</v>
      </c>
      <c r="D5624" s="80"/>
      <c r="E5624" s="97"/>
      <c r="F5624" s="97"/>
      <c r="G5624" s="97"/>
      <c r="H5624" s="97"/>
      <c r="I5624" s="97"/>
      <c r="J5624" s="97"/>
      <c r="K5624" s="97"/>
      <c r="L5624" s="195"/>
    </row>
    <row r="5625" spans="1:12" x14ac:dyDescent="0.45">
      <c r="A5625" s="462"/>
      <c r="B5625" s="441"/>
      <c r="C5625" s="194">
        <v>8</v>
      </c>
      <c r="D5625" s="80"/>
      <c r="E5625" s="97"/>
      <c r="F5625" s="97"/>
      <c r="G5625" s="97"/>
      <c r="H5625" s="97"/>
      <c r="I5625" s="97"/>
      <c r="J5625" s="97"/>
      <c r="K5625" s="97"/>
      <c r="L5625" s="195"/>
    </row>
    <row r="5626" spans="1:12" x14ac:dyDescent="0.45">
      <c r="A5626" s="462"/>
      <c r="B5626" s="441"/>
      <c r="C5626" s="194">
        <v>9</v>
      </c>
      <c r="D5626" s="80"/>
      <c r="E5626" s="97"/>
      <c r="F5626" s="97"/>
      <c r="G5626" s="97"/>
      <c r="H5626" s="97"/>
      <c r="I5626" s="97"/>
      <c r="J5626" s="97"/>
      <c r="K5626" s="97"/>
      <c r="L5626" s="195"/>
    </row>
    <row r="5627" spans="1:12" x14ac:dyDescent="0.45">
      <c r="A5627" s="462"/>
      <c r="B5627" s="441"/>
      <c r="C5627" s="194">
        <v>10</v>
      </c>
      <c r="D5627" s="80"/>
      <c r="E5627" s="97"/>
      <c r="F5627" s="97"/>
      <c r="G5627" s="97"/>
      <c r="H5627" s="97"/>
      <c r="I5627" s="97"/>
      <c r="J5627" s="97"/>
      <c r="K5627" s="97"/>
      <c r="L5627" s="195"/>
    </row>
    <row r="5628" spans="1:12" x14ac:dyDescent="0.45">
      <c r="A5628" s="462"/>
      <c r="B5628" s="441"/>
      <c r="C5628" s="194">
        <v>11</v>
      </c>
      <c r="D5628" s="81"/>
      <c r="E5628" s="98"/>
      <c r="F5628" s="98"/>
      <c r="G5628" s="98"/>
      <c r="H5628" s="98"/>
      <c r="I5628" s="98"/>
      <c r="J5628" s="98"/>
      <c r="K5628" s="98"/>
      <c r="L5628" s="196"/>
    </row>
    <row r="5629" spans="1:12" ht="14.65" thickBot="1" x14ac:dyDescent="0.5">
      <c r="A5629" s="462"/>
      <c r="B5629" s="442"/>
      <c r="C5629" s="197">
        <v>12</v>
      </c>
      <c r="D5629" s="82"/>
      <c r="E5629" s="99"/>
      <c r="F5629" s="99"/>
      <c r="G5629" s="99"/>
      <c r="H5629" s="99"/>
      <c r="I5629" s="99"/>
      <c r="J5629" s="99"/>
      <c r="K5629" s="99"/>
      <c r="L5629" s="198"/>
    </row>
    <row r="5630" spans="1:12" x14ac:dyDescent="0.45">
      <c r="A5630" s="462"/>
      <c r="B5630" s="440">
        <v>4</v>
      </c>
      <c r="C5630" s="192">
        <v>1</v>
      </c>
      <c r="D5630" s="79"/>
      <c r="E5630" s="96"/>
      <c r="F5630" s="96"/>
      <c r="G5630" s="96"/>
      <c r="H5630" s="96"/>
      <c r="I5630" s="96"/>
      <c r="J5630" s="96"/>
      <c r="K5630" s="96"/>
      <c r="L5630" s="193"/>
    </row>
    <row r="5631" spans="1:12" x14ac:dyDescent="0.45">
      <c r="A5631" s="462"/>
      <c r="B5631" s="441"/>
      <c r="C5631" s="194">
        <v>2</v>
      </c>
      <c r="D5631" s="80"/>
      <c r="E5631" s="97"/>
      <c r="F5631" s="97"/>
      <c r="G5631" s="97"/>
      <c r="H5631" s="97"/>
      <c r="I5631" s="97"/>
      <c r="J5631" s="97"/>
      <c r="K5631" s="97"/>
      <c r="L5631" s="195"/>
    </row>
    <row r="5632" spans="1:12" x14ac:dyDescent="0.45">
      <c r="A5632" s="462"/>
      <c r="B5632" s="441"/>
      <c r="C5632" s="194">
        <v>3</v>
      </c>
      <c r="D5632" s="80"/>
      <c r="E5632" s="97"/>
      <c r="F5632" s="97"/>
      <c r="G5632" s="97"/>
      <c r="H5632" s="97"/>
      <c r="I5632" s="97"/>
      <c r="J5632" s="97"/>
      <c r="K5632" s="97"/>
      <c r="L5632" s="195"/>
    </row>
    <row r="5633" spans="1:12" x14ac:dyDescent="0.45">
      <c r="A5633" s="462"/>
      <c r="B5633" s="441"/>
      <c r="C5633" s="194">
        <v>4</v>
      </c>
      <c r="D5633" s="80"/>
      <c r="E5633" s="97"/>
      <c r="F5633" s="97"/>
      <c r="G5633" s="97"/>
      <c r="H5633" s="97"/>
      <c r="I5633" s="97"/>
      <c r="J5633" s="97"/>
      <c r="K5633" s="97"/>
      <c r="L5633" s="195"/>
    </row>
    <row r="5634" spans="1:12" x14ac:dyDescent="0.45">
      <c r="A5634" s="462"/>
      <c r="B5634" s="441"/>
      <c r="C5634" s="194">
        <v>5</v>
      </c>
      <c r="D5634" s="80"/>
      <c r="E5634" s="97"/>
      <c r="F5634" s="97"/>
      <c r="G5634" s="97"/>
      <c r="H5634" s="97"/>
      <c r="I5634" s="97"/>
      <c r="J5634" s="97"/>
      <c r="K5634" s="97"/>
      <c r="L5634" s="195"/>
    </row>
    <row r="5635" spans="1:12" x14ac:dyDescent="0.45">
      <c r="A5635" s="462"/>
      <c r="B5635" s="441"/>
      <c r="C5635" s="194">
        <v>6</v>
      </c>
      <c r="D5635" s="80"/>
      <c r="E5635" s="97"/>
      <c r="F5635" s="97"/>
      <c r="G5635" s="97"/>
      <c r="H5635" s="97"/>
      <c r="I5635" s="97"/>
      <c r="J5635" s="97"/>
      <c r="K5635" s="97"/>
      <c r="L5635" s="195"/>
    </row>
    <row r="5636" spans="1:12" x14ac:dyDescent="0.45">
      <c r="A5636" s="462"/>
      <c r="B5636" s="441"/>
      <c r="C5636" s="194">
        <v>7</v>
      </c>
      <c r="D5636" s="80"/>
      <c r="E5636" s="97"/>
      <c r="F5636" s="97"/>
      <c r="G5636" s="97"/>
      <c r="H5636" s="97"/>
      <c r="I5636" s="97"/>
      <c r="J5636" s="97"/>
      <c r="K5636" s="97"/>
      <c r="L5636" s="195"/>
    </row>
    <row r="5637" spans="1:12" x14ac:dyDescent="0.45">
      <c r="A5637" s="462"/>
      <c r="B5637" s="441"/>
      <c r="C5637" s="194">
        <v>8</v>
      </c>
      <c r="D5637" s="80"/>
      <c r="E5637" s="97"/>
      <c r="F5637" s="97"/>
      <c r="G5637" s="97"/>
      <c r="H5637" s="97"/>
      <c r="I5637" s="97"/>
      <c r="J5637" s="97"/>
      <c r="K5637" s="97"/>
      <c r="L5637" s="195"/>
    </row>
    <row r="5638" spans="1:12" x14ac:dyDescent="0.45">
      <c r="A5638" s="462"/>
      <c r="B5638" s="441"/>
      <c r="C5638" s="194">
        <v>9</v>
      </c>
      <c r="D5638" s="80"/>
      <c r="E5638" s="97"/>
      <c r="F5638" s="97"/>
      <c r="G5638" s="97"/>
      <c r="H5638" s="97"/>
      <c r="I5638" s="97"/>
      <c r="J5638" s="97"/>
      <c r="K5638" s="97"/>
      <c r="L5638" s="195"/>
    </row>
    <row r="5639" spans="1:12" x14ac:dyDescent="0.45">
      <c r="A5639" s="462"/>
      <c r="B5639" s="441"/>
      <c r="C5639" s="194">
        <v>10</v>
      </c>
      <c r="D5639" s="80"/>
      <c r="E5639" s="97"/>
      <c r="F5639" s="97"/>
      <c r="G5639" s="97"/>
      <c r="H5639" s="97"/>
      <c r="I5639" s="97"/>
      <c r="J5639" s="97"/>
      <c r="K5639" s="97"/>
      <c r="L5639" s="195"/>
    </row>
    <row r="5640" spans="1:12" x14ac:dyDescent="0.45">
      <c r="A5640" s="462"/>
      <c r="B5640" s="441"/>
      <c r="C5640" s="194">
        <v>11</v>
      </c>
      <c r="D5640" s="81"/>
      <c r="E5640" s="98"/>
      <c r="F5640" s="98"/>
      <c r="G5640" s="98"/>
      <c r="H5640" s="98"/>
      <c r="I5640" s="98"/>
      <c r="J5640" s="98"/>
      <c r="K5640" s="98"/>
      <c r="L5640" s="196"/>
    </row>
    <row r="5641" spans="1:12" ht="14.65" thickBot="1" x14ac:dyDescent="0.5">
      <c r="A5641" s="463"/>
      <c r="B5641" s="442"/>
      <c r="C5641" s="197">
        <v>12</v>
      </c>
      <c r="D5641" s="82"/>
      <c r="E5641" s="99"/>
      <c r="F5641" s="99"/>
      <c r="G5641" s="99"/>
      <c r="H5641" s="99"/>
      <c r="I5641" s="99"/>
      <c r="J5641" s="99"/>
      <c r="K5641" s="99"/>
      <c r="L5641" s="198"/>
    </row>
    <row r="5642" spans="1:12" x14ac:dyDescent="0.45">
      <c r="A5642" s="461">
        <v>2</v>
      </c>
      <c r="B5642" s="440">
        <v>5</v>
      </c>
      <c r="C5642" s="192">
        <v>1</v>
      </c>
      <c r="D5642" s="79"/>
      <c r="E5642" s="96"/>
      <c r="F5642" s="96"/>
      <c r="G5642" s="96"/>
      <c r="H5642" s="96"/>
      <c r="I5642" s="96"/>
      <c r="J5642" s="96"/>
      <c r="K5642" s="96"/>
      <c r="L5642" s="193"/>
    </row>
    <row r="5643" spans="1:12" x14ac:dyDescent="0.45">
      <c r="A5643" s="462"/>
      <c r="B5643" s="441"/>
      <c r="C5643" s="194">
        <v>2</v>
      </c>
      <c r="D5643" s="80"/>
      <c r="E5643" s="97"/>
      <c r="F5643" s="97"/>
      <c r="G5643" s="97"/>
      <c r="H5643" s="97"/>
      <c r="I5643" s="97"/>
      <c r="J5643" s="97"/>
      <c r="K5643" s="97"/>
      <c r="L5643" s="195"/>
    </row>
    <row r="5644" spans="1:12" x14ac:dyDescent="0.45">
      <c r="A5644" s="462"/>
      <c r="B5644" s="441"/>
      <c r="C5644" s="194">
        <v>3</v>
      </c>
      <c r="D5644" s="80"/>
      <c r="E5644" s="97"/>
      <c r="F5644" s="97"/>
      <c r="G5644" s="97"/>
      <c r="H5644" s="97"/>
      <c r="I5644" s="97"/>
      <c r="J5644" s="97"/>
      <c r="K5644" s="97"/>
      <c r="L5644" s="195"/>
    </row>
    <row r="5645" spans="1:12" x14ac:dyDescent="0.45">
      <c r="A5645" s="462"/>
      <c r="B5645" s="441"/>
      <c r="C5645" s="194">
        <v>4</v>
      </c>
      <c r="D5645" s="80"/>
      <c r="E5645" s="97"/>
      <c r="F5645" s="97"/>
      <c r="G5645" s="97"/>
      <c r="H5645" s="97"/>
      <c r="I5645" s="97"/>
      <c r="J5645" s="97"/>
      <c r="K5645" s="97"/>
      <c r="L5645" s="195"/>
    </row>
    <row r="5646" spans="1:12" x14ac:dyDescent="0.45">
      <c r="A5646" s="462"/>
      <c r="B5646" s="441"/>
      <c r="C5646" s="194">
        <v>5</v>
      </c>
      <c r="D5646" s="80"/>
      <c r="E5646" s="97"/>
      <c r="F5646" s="97"/>
      <c r="G5646" s="97"/>
      <c r="H5646" s="97"/>
      <c r="I5646" s="97"/>
      <c r="J5646" s="97"/>
      <c r="K5646" s="97"/>
      <c r="L5646" s="195"/>
    </row>
    <row r="5647" spans="1:12" x14ac:dyDescent="0.45">
      <c r="A5647" s="462"/>
      <c r="B5647" s="441"/>
      <c r="C5647" s="194">
        <v>6</v>
      </c>
      <c r="D5647" s="80"/>
      <c r="E5647" s="97"/>
      <c r="F5647" s="97"/>
      <c r="G5647" s="97"/>
      <c r="H5647" s="97"/>
      <c r="I5647" s="97"/>
      <c r="J5647" s="97"/>
      <c r="K5647" s="97"/>
      <c r="L5647" s="195"/>
    </row>
    <row r="5648" spans="1:12" x14ac:dyDescent="0.45">
      <c r="A5648" s="462"/>
      <c r="B5648" s="441"/>
      <c r="C5648" s="194">
        <v>7</v>
      </c>
      <c r="D5648" s="80"/>
      <c r="E5648" s="97"/>
      <c r="F5648" s="97"/>
      <c r="G5648" s="97"/>
      <c r="H5648" s="97"/>
      <c r="I5648" s="97"/>
      <c r="J5648" s="97"/>
      <c r="K5648" s="97"/>
      <c r="L5648" s="195"/>
    </row>
    <row r="5649" spans="1:12" x14ac:dyDescent="0.45">
      <c r="A5649" s="462"/>
      <c r="B5649" s="441"/>
      <c r="C5649" s="194">
        <v>8</v>
      </c>
      <c r="D5649" s="80"/>
      <c r="E5649" s="97"/>
      <c r="F5649" s="97"/>
      <c r="G5649" s="97"/>
      <c r="H5649" s="97"/>
      <c r="I5649" s="97"/>
      <c r="J5649" s="97"/>
      <c r="K5649" s="97"/>
      <c r="L5649" s="195"/>
    </row>
    <row r="5650" spans="1:12" x14ac:dyDescent="0.45">
      <c r="A5650" s="462"/>
      <c r="B5650" s="441"/>
      <c r="C5650" s="194">
        <v>9</v>
      </c>
      <c r="D5650" s="80"/>
      <c r="E5650" s="97"/>
      <c r="F5650" s="97"/>
      <c r="G5650" s="97"/>
      <c r="H5650" s="97"/>
      <c r="I5650" s="97"/>
      <c r="J5650" s="97"/>
      <c r="K5650" s="97"/>
      <c r="L5650" s="195"/>
    </row>
    <row r="5651" spans="1:12" x14ac:dyDescent="0.45">
      <c r="A5651" s="462"/>
      <c r="B5651" s="441"/>
      <c r="C5651" s="194">
        <v>10</v>
      </c>
      <c r="D5651" s="80"/>
      <c r="E5651" s="97"/>
      <c r="F5651" s="97"/>
      <c r="G5651" s="97"/>
      <c r="H5651" s="97"/>
      <c r="I5651" s="97"/>
      <c r="J5651" s="97"/>
      <c r="K5651" s="97"/>
      <c r="L5651" s="195"/>
    </row>
    <row r="5652" spans="1:12" x14ac:dyDescent="0.45">
      <c r="A5652" s="462"/>
      <c r="B5652" s="441"/>
      <c r="C5652" s="194">
        <v>11</v>
      </c>
      <c r="D5652" s="81"/>
      <c r="E5652" s="98"/>
      <c r="F5652" s="98"/>
      <c r="G5652" s="98"/>
      <c r="H5652" s="98"/>
      <c r="I5652" s="98"/>
      <c r="J5652" s="98"/>
      <c r="K5652" s="98"/>
      <c r="L5652" s="196"/>
    </row>
    <row r="5653" spans="1:12" ht="14.65" thickBot="1" x14ac:dyDescent="0.5">
      <c r="A5653" s="462"/>
      <c r="B5653" s="442"/>
      <c r="C5653" s="197">
        <v>12</v>
      </c>
      <c r="D5653" s="82"/>
      <c r="E5653" s="99"/>
      <c r="F5653" s="99"/>
      <c r="G5653" s="99"/>
      <c r="H5653" s="99"/>
      <c r="I5653" s="99"/>
      <c r="J5653" s="99"/>
      <c r="K5653" s="99"/>
      <c r="L5653" s="198"/>
    </row>
    <row r="5654" spans="1:12" x14ac:dyDescent="0.45">
      <c r="A5654" s="462"/>
      <c r="B5654" s="440">
        <v>6</v>
      </c>
      <c r="C5654" s="192">
        <v>1</v>
      </c>
      <c r="D5654" s="79"/>
      <c r="E5654" s="96"/>
      <c r="F5654" s="96"/>
      <c r="G5654" s="96"/>
      <c r="H5654" s="96"/>
      <c r="I5654" s="96"/>
      <c r="J5654" s="96"/>
      <c r="K5654" s="96"/>
      <c r="L5654" s="193"/>
    </row>
    <row r="5655" spans="1:12" x14ac:dyDescent="0.45">
      <c r="A5655" s="462"/>
      <c r="B5655" s="441"/>
      <c r="C5655" s="194">
        <v>2</v>
      </c>
      <c r="D5655" s="80"/>
      <c r="E5655" s="97"/>
      <c r="F5655" s="97"/>
      <c r="G5655" s="97"/>
      <c r="H5655" s="97"/>
      <c r="I5655" s="97"/>
      <c r="J5655" s="97"/>
      <c r="K5655" s="97"/>
      <c r="L5655" s="195"/>
    </row>
    <row r="5656" spans="1:12" x14ac:dyDescent="0.45">
      <c r="A5656" s="462"/>
      <c r="B5656" s="441"/>
      <c r="C5656" s="194">
        <v>3</v>
      </c>
      <c r="D5656" s="80"/>
      <c r="E5656" s="97"/>
      <c r="F5656" s="97"/>
      <c r="G5656" s="97"/>
      <c r="H5656" s="97"/>
      <c r="I5656" s="97"/>
      <c r="J5656" s="97"/>
      <c r="K5656" s="97"/>
      <c r="L5656" s="195"/>
    </row>
    <row r="5657" spans="1:12" x14ac:dyDescent="0.45">
      <c r="A5657" s="462"/>
      <c r="B5657" s="441"/>
      <c r="C5657" s="194">
        <v>4</v>
      </c>
      <c r="D5657" s="80"/>
      <c r="E5657" s="97"/>
      <c r="F5657" s="97"/>
      <c r="G5657" s="97"/>
      <c r="H5657" s="97"/>
      <c r="I5657" s="97"/>
      <c r="J5657" s="97"/>
      <c r="K5657" s="97"/>
      <c r="L5657" s="195"/>
    </row>
    <row r="5658" spans="1:12" x14ac:dyDescent="0.45">
      <c r="A5658" s="462"/>
      <c r="B5658" s="441"/>
      <c r="C5658" s="194">
        <v>5</v>
      </c>
      <c r="D5658" s="80"/>
      <c r="E5658" s="97"/>
      <c r="F5658" s="97"/>
      <c r="G5658" s="97"/>
      <c r="H5658" s="97"/>
      <c r="I5658" s="97"/>
      <c r="J5658" s="97"/>
      <c r="K5658" s="97"/>
      <c r="L5658" s="195"/>
    </row>
    <row r="5659" spans="1:12" x14ac:dyDescent="0.45">
      <c r="A5659" s="462"/>
      <c r="B5659" s="441"/>
      <c r="C5659" s="194">
        <v>6</v>
      </c>
      <c r="D5659" s="80"/>
      <c r="E5659" s="97"/>
      <c r="F5659" s="97"/>
      <c r="G5659" s="97"/>
      <c r="H5659" s="97"/>
      <c r="I5659" s="97"/>
      <c r="J5659" s="97"/>
      <c r="K5659" s="97"/>
      <c r="L5659" s="195"/>
    </row>
    <row r="5660" spans="1:12" x14ac:dyDescent="0.45">
      <c r="A5660" s="462"/>
      <c r="B5660" s="441"/>
      <c r="C5660" s="194">
        <v>7</v>
      </c>
      <c r="D5660" s="80"/>
      <c r="E5660" s="97"/>
      <c r="F5660" s="97"/>
      <c r="G5660" s="97"/>
      <c r="H5660" s="97"/>
      <c r="I5660" s="97"/>
      <c r="J5660" s="97"/>
      <c r="K5660" s="97"/>
      <c r="L5660" s="195"/>
    </row>
    <row r="5661" spans="1:12" x14ac:dyDescent="0.45">
      <c r="A5661" s="462"/>
      <c r="B5661" s="441"/>
      <c r="C5661" s="194">
        <v>8</v>
      </c>
      <c r="D5661" s="80"/>
      <c r="E5661" s="97"/>
      <c r="F5661" s="97"/>
      <c r="G5661" s="97"/>
      <c r="H5661" s="97"/>
      <c r="I5661" s="97"/>
      <c r="J5661" s="97"/>
      <c r="K5661" s="97"/>
      <c r="L5661" s="195"/>
    </row>
    <row r="5662" spans="1:12" x14ac:dyDescent="0.45">
      <c r="A5662" s="462"/>
      <c r="B5662" s="441"/>
      <c r="C5662" s="194">
        <v>9</v>
      </c>
      <c r="D5662" s="80"/>
      <c r="E5662" s="97"/>
      <c r="F5662" s="97"/>
      <c r="G5662" s="97"/>
      <c r="H5662" s="97"/>
      <c r="I5662" s="97"/>
      <c r="J5662" s="97"/>
      <c r="K5662" s="97"/>
      <c r="L5662" s="195"/>
    </row>
    <row r="5663" spans="1:12" x14ac:dyDescent="0.45">
      <c r="A5663" s="462"/>
      <c r="B5663" s="441"/>
      <c r="C5663" s="194">
        <v>10</v>
      </c>
      <c r="D5663" s="80"/>
      <c r="E5663" s="97"/>
      <c r="F5663" s="97"/>
      <c r="G5663" s="97"/>
      <c r="H5663" s="97"/>
      <c r="I5663" s="97"/>
      <c r="J5663" s="97"/>
      <c r="K5663" s="97"/>
      <c r="L5663" s="195"/>
    </row>
    <row r="5664" spans="1:12" x14ac:dyDescent="0.45">
      <c r="A5664" s="462"/>
      <c r="B5664" s="441"/>
      <c r="C5664" s="194">
        <v>11</v>
      </c>
      <c r="D5664" s="81"/>
      <c r="E5664" s="98"/>
      <c r="F5664" s="98"/>
      <c r="G5664" s="98"/>
      <c r="H5664" s="98"/>
      <c r="I5664" s="98"/>
      <c r="J5664" s="98"/>
      <c r="K5664" s="98"/>
      <c r="L5664" s="196"/>
    </row>
    <row r="5665" spans="1:12" ht="14.65" thickBot="1" x14ac:dyDescent="0.5">
      <c r="A5665" s="462"/>
      <c r="B5665" s="442"/>
      <c r="C5665" s="197">
        <v>12</v>
      </c>
      <c r="D5665" s="82"/>
      <c r="E5665" s="99"/>
      <c r="F5665" s="99"/>
      <c r="G5665" s="99"/>
      <c r="H5665" s="99"/>
      <c r="I5665" s="99"/>
      <c r="J5665" s="99"/>
      <c r="K5665" s="99"/>
      <c r="L5665" s="198"/>
    </row>
    <row r="5666" spans="1:12" x14ac:dyDescent="0.45">
      <c r="A5666" s="462"/>
      <c r="B5666" s="440">
        <v>7</v>
      </c>
      <c r="C5666" s="192">
        <v>1</v>
      </c>
      <c r="D5666" s="79"/>
      <c r="E5666" s="96"/>
      <c r="F5666" s="96"/>
      <c r="G5666" s="96"/>
      <c r="H5666" s="96"/>
      <c r="I5666" s="96"/>
      <c r="J5666" s="96"/>
      <c r="K5666" s="96"/>
      <c r="L5666" s="193"/>
    </row>
    <row r="5667" spans="1:12" x14ac:dyDescent="0.45">
      <c r="A5667" s="462"/>
      <c r="B5667" s="441"/>
      <c r="C5667" s="194">
        <v>2</v>
      </c>
      <c r="D5667" s="80"/>
      <c r="E5667" s="97"/>
      <c r="F5667" s="97"/>
      <c r="G5667" s="97"/>
      <c r="H5667" s="97"/>
      <c r="I5667" s="97"/>
      <c r="J5667" s="97"/>
      <c r="K5667" s="97"/>
      <c r="L5667" s="195"/>
    </row>
    <row r="5668" spans="1:12" x14ac:dyDescent="0.45">
      <c r="A5668" s="462"/>
      <c r="B5668" s="441"/>
      <c r="C5668" s="194">
        <v>3</v>
      </c>
      <c r="D5668" s="80"/>
      <c r="E5668" s="97"/>
      <c r="F5668" s="97"/>
      <c r="G5668" s="97"/>
      <c r="H5668" s="97"/>
      <c r="I5668" s="97"/>
      <c r="J5668" s="97"/>
      <c r="K5668" s="97"/>
      <c r="L5668" s="195"/>
    </row>
    <row r="5669" spans="1:12" x14ac:dyDescent="0.45">
      <c r="A5669" s="462"/>
      <c r="B5669" s="441"/>
      <c r="C5669" s="194">
        <v>4</v>
      </c>
      <c r="D5669" s="80"/>
      <c r="E5669" s="97"/>
      <c r="F5669" s="97"/>
      <c r="G5669" s="97"/>
      <c r="H5669" s="97"/>
      <c r="I5669" s="97"/>
      <c r="J5669" s="97"/>
      <c r="K5669" s="97"/>
      <c r="L5669" s="195"/>
    </row>
    <row r="5670" spans="1:12" x14ac:dyDescent="0.45">
      <c r="A5670" s="462"/>
      <c r="B5670" s="441"/>
      <c r="C5670" s="194">
        <v>5</v>
      </c>
      <c r="D5670" s="80"/>
      <c r="E5670" s="97"/>
      <c r="F5670" s="97"/>
      <c r="G5670" s="97"/>
      <c r="H5670" s="97"/>
      <c r="I5670" s="97"/>
      <c r="J5670" s="97"/>
      <c r="K5670" s="97"/>
      <c r="L5670" s="195"/>
    </row>
    <row r="5671" spans="1:12" x14ac:dyDescent="0.45">
      <c r="A5671" s="462"/>
      <c r="B5671" s="441"/>
      <c r="C5671" s="194">
        <v>6</v>
      </c>
      <c r="D5671" s="80"/>
      <c r="E5671" s="97"/>
      <c r="F5671" s="97"/>
      <c r="G5671" s="97"/>
      <c r="H5671" s="97"/>
      <c r="I5671" s="97"/>
      <c r="J5671" s="97"/>
      <c r="K5671" s="97"/>
      <c r="L5671" s="195"/>
    </row>
    <row r="5672" spans="1:12" x14ac:dyDescent="0.45">
      <c r="A5672" s="462"/>
      <c r="B5672" s="441"/>
      <c r="C5672" s="194">
        <v>7</v>
      </c>
      <c r="D5672" s="80"/>
      <c r="E5672" s="97"/>
      <c r="F5672" s="97"/>
      <c r="G5672" s="97"/>
      <c r="H5672" s="97"/>
      <c r="I5672" s="97"/>
      <c r="J5672" s="97"/>
      <c r="K5672" s="97"/>
      <c r="L5672" s="195"/>
    </row>
    <row r="5673" spans="1:12" x14ac:dyDescent="0.45">
      <c r="A5673" s="462"/>
      <c r="B5673" s="441"/>
      <c r="C5673" s="194">
        <v>8</v>
      </c>
      <c r="D5673" s="80"/>
      <c r="E5673" s="97"/>
      <c r="F5673" s="97"/>
      <c r="G5673" s="97"/>
      <c r="H5673" s="97"/>
      <c r="I5673" s="97"/>
      <c r="J5673" s="97"/>
      <c r="K5673" s="97"/>
      <c r="L5673" s="195"/>
    </row>
    <row r="5674" spans="1:12" x14ac:dyDescent="0.45">
      <c r="A5674" s="462"/>
      <c r="B5674" s="441"/>
      <c r="C5674" s="194">
        <v>9</v>
      </c>
      <c r="D5674" s="80"/>
      <c r="E5674" s="97"/>
      <c r="F5674" s="97"/>
      <c r="G5674" s="97"/>
      <c r="H5674" s="97"/>
      <c r="I5674" s="97"/>
      <c r="J5674" s="97"/>
      <c r="K5674" s="97"/>
      <c r="L5674" s="195"/>
    </row>
    <row r="5675" spans="1:12" x14ac:dyDescent="0.45">
      <c r="A5675" s="462"/>
      <c r="B5675" s="441"/>
      <c r="C5675" s="194">
        <v>10</v>
      </c>
      <c r="D5675" s="80"/>
      <c r="E5675" s="97"/>
      <c r="F5675" s="97"/>
      <c r="G5675" s="97"/>
      <c r="H5675" s="97"/>
      <c r="I5675" s="97"/>
      <c r="J5675" s="97"/>
      <c r="K5675" s="97"/>
      <c r="L5675" s="195"/>
    </row>
    <row r="5676" spans="1:12" x14ac:dyDescent="0.45">
      <c r="A5676" s="462"/>
      <c r="B5676" s="441"/>
      <c r="C5676" s="194">
        <v>11</v>
      </c>
      <c r="D5676" s="81"/>
      <c r="E5676" s="98"/>
      <c r="F5676" s="98"/>
      <c r="G5676" s="98"/>
      <c r="H5676" s="98"/>
      <c r="I5676" s="98"/>
      <c r="J5676" s="98"/>
      <c r="K5676" s="98"/>
      <c r="L5676" s="196"/>
    </row>
    <row r="5677" spans="1:12" ht="14.65" thickBot="1" x14ac:dyDescent="0.5">
      <c r="A5677" s="462"/>
      <c r="B5677" s="442"/>
      <c r="C5677" s="197">
        <v>12</v>
      </c>
      <c r="D5677" s="82"/>
      <c r="E5677" s="99"/>
      <c r="F5677" s="99"/>
      <c r="G5677" s="99"/>
      <c r="H5677" s="99"/>
      <c r="I5677" s="99"/>
      <c r="J5677" s="99"/>
      <c r="K5677" s="99"/>
      <c r="L5677" s="198"/>
    </row>
    <row r="5678" spans="1:12" x14ac:dyDescent="0.45">
      <c r="A5678" s="462"/>
      <c r="B5678" s="440">
        <v>8</v>
      </c>
      <c r="C5678" s="192">
        <v>1</v>
      </c>
      <c r="D5678" s="79"/>
      <c r="E5678" s="96"/>
      <c r="F5678" s="96"/>
      <c r="G5678" s="96"/>
      <c r="H5678" s="96"/>
      <c r="I5678" s="96"/>
      <c r="J5678" s="96"/>
      <c r="K5678" s="96"/>
      <c r="L5678" s="193"/>
    </row>
    <row r="5679" spans="1:12" x14ac:dyDescent="0.45">
      <c r="A5679" s="462"/>
      <c r="B5679" s="441"/>
      <c r="C5679" s="194">
        <v>2</v>
      </c>
      <c r="D5679" s="80"/>
      <c r="E5679" s="97"/>
      <c r="F5679" s="97"/>
      <c r="G5679" s="97"/>
      <c r="H5679" s="97"/>
      <c r="I5679" s="97"/>
      <c r="J5679" s="97"/>
      <c r="K5679" s="97"/>
      <c r="L5679" s="195"/>
    </row>
    <row r="5680" spans="1:12" x14ac:dyDescent="0.45">
      <c r="A5680" s="462"/>
      <c r="B5680" s="441"/>
      <c r="C5680" s="194">
        <v>3</v>
      </c>
      <c r="D5680" s="80"/>
      <c r="E5680" s="97"/>
      <c r="F5680" s="97"/>
      <c r="G5680" s="97"/>
      <c r="H5680" s="97"/>
      <c r="I5680" s="97"/>
      <c r="J5680" s="97"/>
      <c r="K5680" s="97"/>
      <c r="L5680" s="195"/>
    </row>
    <row r="5681" spans="1:12" x14ac:dyDescent="0.45">
      <c r="A5681" s="462"/>
      <c r="B5681" s="441"/>
      <c r="C5681" s="194">
        <v>4</v>
      </c>
      <c r="D5681" s="80"/>
      <c r="E5681" s="97"/>
      <c r="F5681" s="97"/>
      <c r="G5681" s="97"/>
      <c r="H5681" s="97"/>
      <c r="I5681" s="97"/>
      <c r="J5681" s="97"/>
      <c r="K5681" s="97"/>
      <c r="L5681" s="195"/>
    </row>
    <row r="5682" spans="1:12" x14ac:dyDescent="0.45">
      <c r="A5682" s="462"/>
      <c r="B5682" s="441"/>
      <c r="C5682" s="194">
        <v>5</v>
      </c>
      <c r="D5682" s="80"/>
      <c r="E5682" s="97"/>
      <c r="F5682" s="97"/>
      <c r="G5682" s="97"/>
      <c r="H5682" s="97"/>
      <c r="I5682" s="97"/>
      <c r="J5682" s="97"/>
      <c r="K5682" s="97"/>
      <c r="L5682" s="195"/>
    </row>
    <row r="5683" spans="1:12" x14ac:dyDescent="0.45">
      <c r="A5683" s="462"/>
      <c r="B5683" s="441"/>
      <c r="C5683" s="194">
        <v>6</v>
      </c>
      <c r="D5683" s="80"/>
      <c r="E5683" s="97"/>
      <c r="F5683" s="97"/>
      <c r="G5683" s="97"/>
      <c r="H5683" s="97"/>
      <c r="I5683" s="97"/>
      <c r="J5683" s="97"/>
      <c r="K5683" s="97"/>
      <c r="L5683" s="195"/>
    </row>
    <row r="5684" spans="1:12" x14ac:dyDescent="0.45">
      <c r="A5684" s="462"/>
      <c r="B5684" s="441"/>
      <c r="C5684" s="194">
        <v>7</v>
      </c>
      <c r="D5684" s="80"/>
      <c r="E5684" s="97"/>
      <c r="F5684" s="97"/>
      <c r="G5684" s="97"/>
      <c r="H5684" s="97"/>
      <c r="I5684" s="97"/>
      <c r="J5684" s="97"/>
      <c r="K5684" s="97"/>
      <c r="L5684" s="195"/>
    </row>
    <row r="5685" spans="1:12" x14ac:dyDescent="0.45">
      <c r="A5685" s="462"/>
      <c r="B5685" s="441"/>
      <c r="C5685" s="194">
        <v>8</v>
      </c>
      <c r="D5685" s="80"/>
      <c r="E5685" s="97"/>
      <c r="F5685" s="97"/>
      <c r="G5685" s="97"/>
      <c r="H5685" s="97"/>
      <c r="I5685" s="97"/>
      <c r="J5685" s="97"/>
      <c r="K5685" s="97"/>
      <c r="L5685" s="195"/>
    </row>
    <row r="5686" spans="1:12" x14ac:dyDescent="0.45">
      <c r="A5686" s="462"/>
      <c r="B5686" s="441"/>
      <c r="C5686" s="194">
        <v>9</v>
      </c>
      <c r="D5686" s="80"/>
      <c r="E5686" s="97"/>
      <c r="F5686" s="97"/>
      <c r="G5686" s="97"/>
      <c r="H5686" s="97"/>
      <c r="I5686" s="97"/>
      <c r="J5686" s="97"/>
      <c r="K5686" s="97"/>
      <c r="L5686" s="195"/>
    </row>
    <row r="5687" spans="1:12" x14ac:dyDescent="0.45">
      <c r="A5687" s="462"/>
      <c r="B5687" s="441"/>
      <c r="C5687" s="194">
        <v>10</v>
      </c>
      <c r="D5687" s="80"/>
      <c r="E5687" s="97"/>
      <c r="F5687" s="97"/>
      <c r="G5687" s="97"/>
      <c r="H5687" s="97"/>
      <c r="I5687" s="97"/>
      <c r="J5687" s="97"/>
      <c r="K5687" s="97"/>
      <c r="L5687" s="195"/>
    </row>
    <row r="5688" spans="1:12" x14ac:dyDescent="0.45">
      <c r="A5688" s="462"/>
      <c r="B5688" s="441"/>
      <c r="C5688" s="194">
        <v>11</v>
      </c>
      <c r="D5688" s="81"/>
      <c r="E5688" s="98"/>
      <c r="F5688" s="98"/>
      <c r="G5688" s="98"/>
      <c r="H5688" s="98"/>
      <c r="I5688" s="98"/>
      <c r="J5688" s="98"/>
      <c r="K5688" s="98"/>
      <c r="L5688" s="196"/>
    </row>
    <row r="5689" spans="1:12" ht="14.65" thickBot="1" x14ac:dyDescent="0.5">
      <c r="A5689" s="463"/>
      <c r="B5689" s="442"/>
      <c r="C5689" s="197">
        <v>12</v>
      </c>
      <c r="D5689" s="82"/>
      <c r="E5689" s="99"/>
      <c r="F5689" s="99"/>
      <c r="G5689" s="99"/>
      <c r="H5689" s="99"/>
      <c r="I5689" s="99"/>
      <c r="J5689" s="99"/>
      <c r="K5689" s="99"/>
      <c r="L5689" s="198"/>
    </row>
    <row r="5690" spans="1:12" x14ac:dyDescent="0.45">
      <c r="A5690" s="461">
        <v>3</v>
      </c>
      <c r="B5690" s="440">
        <v>9</v>
      </c>
      <c r="C5690" s="192">
        <v>1</v>
      </c>
      <c r="D5690" s="79"/>
      <c r="E5690" s="96"/>
      <c r="F5690" s="96"/>
      <c r="G5690" s="96"/>
      <c r="H5690" s="96"/>
      <c r="I5690" s="96"/>
      <c r="J5690" s="96"/>
      <c r="K5690" s="96"/>
      <c r="L5690" s="193"/>
    </row>
    <row r="5691" spans="1:12" x14ac:dyDescent="0.45">
      <c r="A5691" s="462"/>
      <c r="B5691" s="441"/>
      <c r="C5691" s="194">
        <v>2</v>
      </c>
      <c r="D5691" s="80"/>
      <c r="E5691" s="97"/>
      <c r="F5691" s="97"/>
      <c r="G5691" s="97"/>
      <c r="H5691" s="97"/>
      <c r="I5691" s="97"/>
      <c r="J5691" s="97"/>
      <c r="K5691" s="97"/>
      <c r="L5691" s="195"/>
    </row>
    <row r="5692" spans="1:12" x14ac:dyDescent="0.45">
      <c r="A5692" s="462"/>
      <c r="B5692" s="441"/>
      <c r="C5692" s="194">
        <v>3</v>
      </c>
      <c r="D5692" s="80"/>
      <c r="E5692" s="97"/>
      <c r="F5692" s="97"/>
      <c r="G5692" s="97"/>
      <c r="H5692" s="97"/>
      <c r="I5692" s="97"/>
      <c r="J5692" s="97"/>
      <c r="K5692" s="97"/>
      <c r="L5692" s="195"/>
    </row>
    <row r="5693" spans="1:12" x14ac:dyDescent="0.45">
      <c r="A5693" s="462"/>
      <c r="B5693" s="441"/>
      <c r="C5693" s="194">
        <v>4</v>
      </c>
      <c r="D5693" s="80"/>
      <c r="E5693" s="97"/>
      <c r="F5693" s="97"/>
      <c r="G5693" s="97"/>
      <c r="H5693" s="97"/>
      <c r="I5693" s="97"/>
      <c r="J5693" s="97"/>
      <c r="K5693" s="97"/>
      <c r="L5693" s="195"/>
    </row>
    <row r="5694" spans="1:12" x14ac:dyDescent="0.45">
      <c r="A5694" s="462"/>
      <c r="B5694" s="441"/>
      <c r="C5694" s="194">
        <v>5</v>
      </c>
      <c r="D5694" s="80"/>
      <c r="E5694" s="97"/>
      <c r="F5694" s="97"/>
      <c r="G5694" s="97"/>
      <c r="H5694" s="97"/>
      <c r="I5694" s="97"/>
      <c r="J5694" s="97"/>
      <c r="K5694" s="97"/>
      <c r="L5694" s="195"/>
    </row>
    <row r="5695" spans="1:12" x14ac:dyDescent="0.45">
      <c r="A5695" s="462"/>
      <c r="B5695" s="441"/>
      <c r="C5695" s="194">
        <v>6</v>
      </c>
      <c r="D5695" s="80"/>
      <c r="E5695" s="97"/>
      <c r="F5695" s="97"/>
      <c r="G5695" s="97"/>
      <c r="H5695" s="97"/>
      <c r="I5695" s="97"/>
      <c r="J5695" s="97"/>
      <c r="K5695" s="97"/>
      <c r="L5695" s="195"/>
    </row>
    <row r="5696" spans="1:12" x14ac:dyDescent="0.45">
      <c r="A5696" s="462"/>
      <c r="B5696" s="441"/>
      <c r="C5696" s="194">
        <v>7</v>
      </c>
      <c r="D5696" s="80"/>
      <c r="E5696" s="97"/>
      <c r="F5696" s="97"/>
      <c r="G5696" s="97"/>
      <c r="H5696" s="97"/>
      <c r="I5696" s="97"/>
      <c r="J5696" s="97"/>
      <c r="K5696" s="97"/>
      <c r="L5696" s="195"/>
    </row>
    <row r="5697" spans="1:12" x14ac:dyDescent="0.45">
      <c r="A5697" s="462"/>
      <c r="B5697" s="441"/>
      <c r="C5697" s="194">
        <v>8</v>
      </c>
      <c r="D5697" s="80"/>
      <c r="E5697" s="97"/>
      <c r="F5697" s="97"/>
      <c r="G5697" s="97"/>
      <c r="H5697" s="97"/>
      <c r="I5697" s="97"/>
      <c r="J5697" s="97"/>
      <c r="K5697" s="97"/>
      <c r="L5697" s="195"/>
    </row>
    <row r="5698" spans="1:12" x14ac:dyDescent="0.45">
      <c r="A5698" s="462"/>
      <c r="B5698" s="441"/>
      <c r="C5698" s="194">
        <v>9</v>
      </c>
      <c r="D5698" s="80"/>
      <c r="E5698" s="97"/>
      <c r="F5698" s="97"/>
      <c r="G5698" s="97"/>
      <c r="H5698" s="97"/>
      <c r="I5698" s="97"/>
      <c r="J5698" s="97"/>
      <c r="K5698" s="97"/>
      <c r="L5698" s="195"/>
    </row>
    <row r="5699" spans="1:12" x14ac:dyDescent="0.45">
      <c r="A5699" s="462"/>
      <c r="B5699" s="441"/>
      <c r="C5699" s="194">
        <v>10</v>
      </c>
      <c r="D5699" s="80"/>
      <c r="E5699" s="97"/>
      <c r="F5699" s="97"/>
      <c r="G5699" s="97"/>
      <c r="H5699" s="97"/>
      <c r="I5699" s="97"/>
      <c r="J5699" s="97"/>
      <c r="K5699" s="97"/>
      <c r="L5699" s="195"/>
    </row>
    <row r="5700" spans="1:12" x14ac:dyDescent="0.45">
      <c r="A5700" s="462"/>
      <c r="B5700" s="441"/>
      <c r="C5700" s="194">
        <v>11</v>
      </c>
      <c r="D5700" s="81"/>
      <c r="E5700" s="98"/>
      <c r="F5700" s="98"/>
      <c r="G5700" s="98"/>
      <c r="H5700" s="98"/>
      <c r="I5700" s="98"/>
      <c r="J5700" s="98"/>
      <c r="K5700" s="98"/>
      <c r="L5700" s="196"/>
    </row>
    <row r="5701" spans="1:12" ht="14.65" thickBot="1" x14ac:dyDescent="0.5">
      <c r="A5701" s="462"/>
      <c r="B5701" s="442"/>
      <c r="C5701" s="197">
        <v>12</v>
      </c>
      <c r="D5701" s="82"/>
      <c r="E5701" s="99"/>
      <c r="F5701" s="99"/>
      <c r="G5701" s="99"/>
      <c r="H5701" s="99"/>
      <c r="I5701" s="99"/>
      <c r="J5701" s="99"/>
      <c r="K5701" s="99"/>
      <c r="L5701" s="198"/>
    </row>
    <row r="5702" spans="1:12" x14ac:dyDescent="0.45">
      <c r="A5702" s="462"/>
      <c r="B5702" s="440">
        <v>10</v>
      </c>
      <c r="C5702" s="192">
        <v>1</v>
      </c>
      <c r="D5702" s="79"/>
      <c r="E5702" s="96"/>
      <c r="F5702" s="96"/>
      <c r="G5702" s="96"/>
      <c r="H5702" s="96"/>
      <c r="I5702" s="96"/>
      <c r="J5702" s="96"/>
      <c r="K5702" s="96"/>
      <c r="L5702" s="193"/>
    </row>
    <row r="5703" spans="1:12" x14ac:dyDescent="0.45">
      <c r="A5703" s="462"/>
      <c r="B5703" s="441"/>
      <c r="C5703" s="194">
        <v>2</v>
      </c>
      <c r="D5703" s="80"/>
      <c r="E5703" s="97"/>
      <c r="F5703" s="97"/>
      <c r="G5703" s="97"/>
      <c r="H5703" s="97"/>
      <c r="I5703" s="97"/>
      <c r="J5703" s="97"/>
      <c r="K5703" s="97"/>
      <c r="L5703" s="195"/>
    </row>
    <row r="5704" spans="1:12" x14ac:dyDescent="0.45">
      <c r="A5704" s="462"/>
      <c r="B5704" s="441"/>
      <c r="C5704" s="194">
        <v>3</v>
      </c>
      <c r="D5704" s="80"/>
      <c r="E5704" s="97"/>
      <c r="F5704" s="97"/>
      <c r="G5704" s="97"/>
      <c r="H5704" s="97"/>
      <c r="I5704" s="97"/>
      <c r="J5704" s="97"/>
      <c r="K5704" s="97"/>
      <c r="L5704" s="195"/>
    </row>
    <row r="5705" spans="1:12" x14ac:dyDescent="0.45">
      <c r="A5705" s="462"/>
      <c r="B5705" s="441"/>
      <c r="C5705" s="194">
        <v>4</v>
      </c>
      <c r="D5705" s="80"/>
      <c r="E5705" s="97"/>
      <c r="F5705" s="97"/>
      <c r="G5705" s="97"/>
      <c r="H5705" s="97"/>
      <c r="I5705" s="97"/>
      <c r="J5705" s="97"/>
      <c r="K5705" s="97"/>
      <c r="L5705" s="195"/>
    </row>
    <row r="5706" spans="1:12" x14ac:dyDescent="0.45">
      <c r="A5706" s="462"/>
      <c r="B5706" s="441"/>
      <c r="C5706" s="194">
        <v>5</v>
      </c>
      <c r="D5706" s="80"/>
      <c r="E5706" s="97"/>
      <c r="F5706" s="97"/>
      <c r="G5706" s="97"/>
      <c r="H5706" s="97"/>
      <c r="I5706" s="97"/>
      <c r="J5706" s="97"/>
      <c r="K5706" s="97"/>
      <c r="L5706" s="195"/>
    </row>
    <row r="5707" spans="1:12" x14ac:dyDescent="0.45">
      <c r="A5707" s="462"/>
      <c r="B5707" s="441"/>
      <c r="C5707" s="194">
        <v>6</v>
      </c>
      <c r="D5707" s="80"/>
      <c r="E5707" s="97"/>
      <c r="F5707" s="97"/>
      <c r="G5707" s="97"/>
      <c r="H5707" s="97"/>
      <c r="I5707" s="97"/>
      <c r="J5707" s="97"/>
      <c r="K5707" s="97"/>
      <c r="L5707" s="195"/>
    </row>
    <row r="5708" spans="1:12" x14ac:dyDescent="0.45">
      <c r="A5708" s="462"/>
      <c r="B5708" s="441"/>
      <c r="C5708" s="194">
        <v>7</v>
      </c>
      <c r="D5708" s="80"/>
      <c r="E5708" s="97"/>
      <c r="F5708" s="97"/>
      <c r="G5708" s="97"/>
      <c r="H5708" s="97"/>
      <c r="I5708" s="97"/>
      <c r="J5708" s="97"/>
      <c r="K5708" s="97"/>
      <c r="L5708" s="195"/>
    </row>
    <row r="5709" spans="1:12" x14ac:dyDescent="0.45">
      <c r="A5709" s="462"/>
      <c r="B5709" s="441"/>
      <c r="C5709" s="194">
        <v>8</v>
      </c>
      <c r="D5709" s="80"/>
      <c r="E5709" s="97"/>
      <c r="F5709" s="97"/>
      <c r="G5709" s="97"/>
      <c r="H5709" s="97"/>
      <c r="I5709" s="97"/>
      <c r="J5709" s="97"/>
      <c r="K5709" s="97"/>
      <c r="L5709" s="195"/>
    </row>
    <row r="5710" spans="1:12" x14ac:dyDescent="0.45">
      <c r="A5710" s="462"/>
      <c r="B5710" s="441"/>
      <c r="C5710" s="194">
        <v>9</v>
      </c>
      <c r="D5710" s="80"/>
      <c r="E5710" s="97"/>
      <c r="F5710" s="97"/>
      <c r="G5710" s="97"/>
      <c r="H5710" s="97"/>
      <c r="I5710" s="97"/>
      <c r="J5710" s="97"/>
      <c r="K5710" s="97"/>
      <c r="L5710" s="195"/>
    </row>
    <row r="5711" spans="1:12" x14ac:dyDescent="0.45">
      <c r="A5711" s="462"/>
      <c r="B5711" s="441"/>
      <c r="C5711" s="194">
        <v>10</v>
      </c>
      <c r="D5711" s="80"/>
      <c r="E5711" s="97"/>
      <c r="F5711" s="97"/>
      <c r="G5711" s="97"/>
      <c r="H5711" s="97"/>
      <c r="I5711" s="97"/>
      <c r="J5711" s="97"/>
      <c r="K5711" s="97"/>
      <c r="L5711" s="195"/>
    </row>
    <row r="5712" spans="1:12" x14ac:dyDescent="0.45">
      <c r="A5712" s="462"/>
      <c r="B5712" s="441"/>
      <c r="C5712" s="194">
        <v>11</v>
      </c>
      <c r="D5712" s="81"/>
      <c r="E5712" s="98"/>
      <c r="F5712" s="98"/>
      <c r="G5712" s="98"/>
      <c r="H5712" s="98"/>
      <c r="I5712" s="98"/>
      <c r="J5712" s="98"/>
      <c r="K5712" s="98"/>
      <c r="L5712" s="196"/>
    </row>
    <row r="5713" spans="1:12" ht="14.65" thickBot="1" x14ac:dyDescent="0.5">
      <c r="A5713" s="462"/>
      <c r="B5713" s="442"/>
      <c r="C5713" s="197">
        <v>12</v>
      </c>
      <c r="D5713" s="82"/>
      <c r="E5713" s="99"/>
      <c r="F5713" s="99"/>
      <c r="G5713" s="99"/>
      <c r="H5713" s="99"/>
      <c r="I5713" s="99"/>
      <c r="J5713" s="99"/>
      <c r="K5713" s="99"/>
      <c r="L5713" s="198"/>
    </row>
    <row r="5714" spans="1:12" x14ac:dyDescent="0.45">
      <c r="A5714" s="462"/>
      <c r="B5714" s="440">
        <v>11</v>
      </c>
      <c r="C5714" s="192">
        <v>1</v>
      </c>
      <c r="D5714" s="79"/>
      <c r="E5714" s="96"/>
      <c r="F5714" s="96"/>
      <c r="G5714" s="96"/>
      <c r="H5714" s="96"/>
      <c r="I5714" s="96"/>
      <c r="J5714" s="96"/>
      <c r="K5714" s="96"/>
      <c r="L5714" s="193"/>
    </row>
    <row r="5715" spans="1:12" x14ac:dyDescent="0.45">
      <c r="A5715" s="462"/>
      <c r="B5715" s="441"/>
      <c r="C5715" s="194">
        <v>2</v>
      </c>
      <c r="D5715" s="80"/>
      <c r="E5715" s="97"/>
      <c r="F5715" s="97"/>
      <c r="G5715" s="97"/>
      <c r="H5715" s="97"/>
      <c r="I5715" s="97"/>
      <c r="J5715" s="97"/>
      <c r="K5715" s="97"/>
      <c r="L5715" s="195"/>
    </row>
    <row r="5716" spans="1:12" x14ac:dyDescent="0.45">
      <c r="A5716" s="462"/>
      <c r="B5716" s="441"/>
      <c r="C5716" s="194">
        <v>3</v>
      </c>
      <c r="D5716" s="80"/>
      <c r="E5716" s="97"/>
      <c r="F5716" s="97"/>
      <c r="G5716" s="97"/>
      <c r="H5716" s="97"/>
      <c r="I5716" s="97"/>
      <c r="J5716" s="97"/>
      <c r="K5716" s="97"/>
      <c r="L5716" s="195"/>
    </row>
    <row r="5717" spans="1:12" x14ac:dyDescent="0.45">
      <c r="A5717" s="462"/>
      <c r="B5717" s="441"/>
      <c r="C5717" s="194">
        <v>4</v>
      </c>
      <c r="D5717" s="80"/>
      <c r="E5717" s="97"/>
      <c r="F5717" s="97"/>
      <c r="G5717" s="97"/>
      <c r="H5717" s="97"/>
      <c r="I5717" s="97"/>
      <c r="J5717" s="97"/>
      <c r="K5717" s="97"/>
      <c r="L5717" s="195"/>
    </row>
    <row r="5718" spans="1:12" x14ac:dyDescent="0.45">
      <c r="A5718" s="462"/>
      <c r="B5718" s="441"/>
      <c r="C5718" s="194">
        <v>5</v>
      </c>
      <c r="D5718" s="80"/>
      <c r="E5718" s="97"/>
      <c r="F5718" s="97"/>
      <c r="G5718" s="97"/>
      <c r="H5718" s="97"/>
      <c r="I5718" s="97"/>
      <c r="J5718" s="97"/>
      <c r="K5718" s="97"/>
      <c r="L5718" s="195"/>
    </row>
    <row r="5719" spans="1:12" x14ac:dyDescent="0.45">
      <c r="A5719" s="462"/>
      <c r="B5719" s="441"/>
      <c r="C5719" s="194">
        <v>6</v>
      </c>
      <c r="D5719" s="80"/>
      <c r="E5719" s="97"/>
      <c r="F5719" s="97"/>
      <c r="G5719" s="97"/>
      <c r="H5719" s="97"/>
      <c r="I5719" s="97"/>
      <c r="J5719" s="97"/>
      <c r="K5719" s="97"/>
      <c r="L5719" s="195"/>
    </row>
    <row r="5720" spans="1:12" x14ac:dyDescent="0.45">
      <c r="A5720" s="462"/>
      <c r="B5720" s="441"/>
      <c r="C5720" s="194">
        <v>7</v>
      </c>
      <c r="D5720" s="80"/>
      <c r="E5720" s="97"/>
      <c r="F5720" s="97"/>
      <c r="G5720" s="97"/>
      <c r="H5720" s="97"/>
      <c r="I5720" s="97"/>
      <c r="J5720" s="97"/>
      <c r="K5720" s="97"/>
      <c r="L5720" s="195"/>
    </row>
    <row r="5721" spans="1:12" x14ac:dyDescent="0.45">
      <c r="A5721" s="462"/>
      <c r="B5721" s="441"/>
      <c r="C5721" s="194">
        <v>8</v>
      </c>
      <c r="D5721" s="80"/>
      <c r="E5721" s="97"/>
      <c r="F5721" s="97"/>
      <c r="G5721" s="97"/>
      <c r="H5721" s="97"/>
      <c r="I5721" s="97"/>
      <c r="J5721" s="97"/>
      <c r="K5721" s="97"/>
      <c r="L5721" s="195"/>
    </row>
    <row r="5722" spans="1:12" x14ac:dyDescent="0.45">
      <c r="A5722" s="462"/>
      <c r="B5722" s="441"/>
      <c r="C5722" s="194">
        <v>9</v>
      </c>
      <c r="D5722" s="80"/>
      <c r="E5722" s="97"/>
      <c r="F5722" s="97"/>
      <c r="G5722" s="97"/>
      <c r="H5722" s="97"/>
      <c r="I5722" s="97"/>
      <c r="J5722" s="97"/>
      <c r="K5722" s="97"/>
      <c r="L5722" s="195"/>
    </row>
    <row r="5723" spans="1:12" x14ac:dyDescent="0.45">
      <c r="A5723" s="462"/>
      <c r="B5723" s="441"/>
      <c r="C5723" s="194">
        <v>10</v>
      </c>
      <c r="D5723" s="80"/>
      <c r="E5723" s="97"/>
      <c r="F5723" s="97"/>
      <c r="G5723" s="97"/>
      <c r="H5723" s="97"/>
      <c r="I5723" s="97"/>
      <c r="J5723" s="97"/>
      <c r="K5723" s="97"/>
      <c r="L5723" s="195"/>
    </row>
    <row r="5724" spans="1:12" x14ac:dyDescent="0.45">
      <c r="A5724" s="462"/>
      <c r="B5724" s="441"/>
      <c r="C5724" s="194">
        <v>11</v>
      </c>
      <c r="D5724" s="81"/>
      <c r="E5724" s="98"/>
      <c r="F5724" s="98"/>
      <c r="G5724" s="98"/>
      <c r="H5724" s="98"/>
      <c r="I5724" s="98"/>
      <c r="J5724" s="98"/>
      <c r="K5724" s="98"/>
      <c r="L5724" s="196"/>
    </row>
    <row r="5725" spans="1:12" ht="14.65" thickBot="1" x14ac:dyDescent="0.5">
      <c r="A5725" s="462"/>
      <c r="B5725" s="442"/>
      <c r="C5725" s="197">
        <v>12</v>
      </c>
      <c r="D5725" s="82"/>
      <c r="E5725" s="99"/>
      <c r="F5725" s="99"/>
      <c r="G5725" s="99"/>
      <c r="H5725" s="99"/>
      <c r="I5725" s="99"/>
      <c r="J5725" s="99"/>
      <c r="K5725" s="99"/>
      <c r="L5725" s="198"/>
    </row>
    <row r="5726" spans="1:12" x14ac:dyDescent="0.45">
      <c r="A5726" s="462"/>
      <c r="B5726" s="440">
        <v>12</v>
      </c>
      <c r="C5726" s="192">
        <v>1</v>
      </c>
      <c r="D5726" s="79"/>
      <c r="E5726" s="96"/>
      <c r="F5726" s="96"/>
      <c r="G5726" s="96"/>
      <c r="H5726" s="96"/>
      <c r="I5726" s="96"/>
      <c r="J5726" s="96"/>
      <c r="K5726" s="96"/>
      <c r="L5726" s="193"/>
    </row>
    <row r="5727" spans="1:12" x14ac:dyDescent="0.45">
      <c r="A5727" s="462"/>
      <c r="B5727" s="441"/>
      <c r="C5727" s="194">
        <v>2</v>
      </c>
      <c r="D5727" s="80"/>
      <c r="E5727" s="97"/>
      <c r="F5727" s="97"/>
      <c r="G5727" s="97"/>
      <c r="H5727" s="97"/>
      <c r="I5727" s="97"/>
      <c r="J5727" s="97"/>
      <c r="K5727" s="97"/>
      <c r="L5727" s="195"/>
    </row>
    <row r="5728" spans="1:12" x14ac:dyDescent="0.45">
      <c r="A5728" s="462"/>
      <c r="B5728" s="441"/>
      <c r="C5728" s="194">
        <v>3</v>
      </c>
      <c r="D5728" s="80"/>
      <c r="E5728" s="97"/>
      <c r="F5728" s="97"/>
      <c r="G5728" s="97"/>
      <c r="H5728" s="97"/>
      <c r="I5728" s="97"/>
      <c r="J5728" s="97"/>
      <c r="K5728" s="97"/>
      <c r="L5728" s="195"/>
    </row>
    <row r="5729" spans="1:14" x14ac:dyDescent="0.45">
      <c r="A5729" s="462"/>
      <c r="B5729" s="441"/>
      <c r="C5729" s="194">
        <v>4</v>
      </c>
      <c r="D5729" s="80"/>
      <c r="E5729" s="97"/>
      <c r="F5729" s="97"/>
      <c r="G5729" s="97"/>
      <c r="H5729" s="97"/>
      <c r="I5729" s="97"/>
      <c r="J5729" s="97"/>
      <c r="K5729" s="97"/>
      <c r="L5729" s="195"/>
    </row>
    <row r="5730" spans="1:14" x14ac:dyDescent="0.45">
      <c r="A5730" s="462"/>
      <c r="B5730" s="441"/>
      <c r="C5730" s="194">
        <v>5</v>
      </c>
      <c r="D5730" s="80"/>
      <c r="E5730" s="97"/>
      <c r="F5730" s="97"/>
      <c r="G5730" s="97"/>
      <c r="H5730" s="97"/>
      <c r="I5730" s="97"/>
      <c r="J5730" s="97"/>
      <c r="K5730" s="97"/>
      <c r="L5730" s="195"/>
    </row>
    <row r="5731" spans="1:14" x14ac:dyDescent="0.45">
      <c r="A5731" s="462"/>
      <c r="B5731" s="441"/>
      <c r="C5731" s="194">
        <v>6</v>
      </c>
      <c r="D5731" s="80"/>
      <c r="E5731" s="97"/>
      <c r="F5731" s="97"/>
      <c r="G5731" s="97"/>
      <c r="H5731" s="97"/>
      <c r="I5731" s="97"/>
      <c r="J5731" s="97"/>
      <c r="K5731" s="97"/>
      <c r="L5731" s="195"/>
    </row>
    <row r="5732" spans="1:14" x14ac:dyDescent="0.45">
      <c r="A5732" s="462"/>
      <c r="B5732" s="441"/>
      <c r="C5732" s="194">
        <v>7</v>
      </c>
      <c r="D5732" s="80"/>
      <c r="E5732" s="97"/>
      <c r="F5732" s="97"/>
      <c r="G5732" s="97"/>
      <c r="H5732" s="97"/>
      <c r="I5732" s="97"/>
      <c r="J5732" s="97"/>
      <c r="K5732" s="97"/>
      <c r="L5732" s="195"/>
    </row>
    <row r="5733" spans="1:14" x14ac:dyDescent="0.45">
      <c r="A5733" s="462"/>
      <c r="B5733" s="441"/>
      <c r="C5733" s="194">
        <v>8</v>
      </c>
      <c r="D5733" s="80"/>
      <c r="E5733" s="97"/>
      <c r="F5733" s="97"/>
      <c r="G5733" s="97"/>
      <c r="H5733" s="97"/>
      <c r="I5733" s="97"/>
      <c r="J5733" s="97"/>
      <c r="K5733" s="97"/>
      <c r="L5733" s="195"/>
    </row>
    <row r="5734" spans="1:14" x14ac:dyDescent="0.45">
      <c r="A5734" s="462"/>
      <c r="B5734" s="441"/>
      <c r="C5734" s="194">
        <v>9</v>
      </c>
      <c r="D5734" s="80"/>
      <c r="E5734" s="97"/>
      <c r="F5734" s="97"/>
      <c r="G5734" s="97"/>
      <c r="H5734" s="97"/>
      <c r="I5734" s="97"/>
      <c r="J5734" s="97"/>
      <c r="K5734" s="97"/>
      <c r="L5734" s="195"/>
    </row>
    <row r="5735" spans="1:14" x14ac:dyDescent="0.45">
      <c r="A5735" s="462"/>
      <c r="B5735" s="441"/>
      <c r="C5735" s="194">
        <v>10</v>
      </c>
      <c r="D5735" s="80"/>
      <c r="E5735" s="97"/>
      <c r="F5735" s="97"/>
      <c r="G5735" s="97"/>
      <c r="H5735" s="97"/>
      <c r="I5735" s="97"/>
      <c r="J5735" s="97"/>
      <c r="K5735" s="97"/>
      <c r="L5735" s="195"/>
    </row>
    <row r="5736" spans="1:14" x14ac:dyDescent="0.45">
      <c r="A5736" s="462"/>
      <c r="B5736" s="441"/>
      <c r="C5736" s="194">
        <v>11</v>
      </c>
      <c r="D5736" s="81"/>
      <c r="E5736" s="98"/>
      <c r="F5736" s="98"/>
      <c r="G5736" s="98"/>
      <c r="H5736" s="98"/>
      <c r="I5736" s="98"/>
      <c r="J5736" s="98"/>
      <c r="K5736" s="98"/>
      <c r="L5736" s="196"/>
    </row>
    <row r="5737" spans="1:14" ht="14.65" thickBot="1" x14ac:dyDescent="0.5">
      <c r="A5737" s="463"/>
      <c r="B5737" s="442"/>
      <c r="C5737" s="199">
        <v>12</v>
      </c>
      <c r="D5737" s="82"/>
      <c r="E5737" s="99"/>
      <c r="F5737" s="99"/>
      <c r="G5737" s="99"/>
      <c r="H5737" s="99"/>
      <c r="I5737" s="99"/>
      <c r="J5737" s="99"/>
      <c r="K5737" s="99"/>
      <c r="L5737" s="198"/>
    </row>
    <row r="5739" spans="1:14" s="91" customFormat="1" x14ac:dyDescent="0.45"/>
    <row r="5740" spans="1:14" ht="14.65" thickBot="1" x14ac:dyDescent="0.5"/>
    <row r="5741" spans="1:14" ht="28.9" thickBot="1" x14ac:dyDescent="0.5">
      <c r="A5741" s="187" t="s">
        <v>76</v>
      </c>
      <c r="B5741" s="186">
        <v>37</v>
      </c>
      <c r="C5741" s="109"/>
      <c r="D5741" s="109"/>
    </row>
    <row r="5742" spans="1:14" x14ac:dyDescent="0.45">
      <c r="A5742" s="443" t="s">
        <v>27</v>
      </c>
      <c r="B5742" s="448">
        <f>Name37</f>
        <v>0</v>
      </c>
      <c r="C5742" s="449"/>
      <c r="D5742" s="450"/>
      <c r="I5742" s="204"/>
      <c r="J5742" s="204"/>
      <c r="K5742" s="204"/>
      <c r="L5742" s="204"/>
      <c r="M5742" s="204"/>
      <c r="N5742" s="204"/>
    </row>
    <row r="5743" spans="1:14" x14ac:dyDescent="0.45">
      <c r="A5743" s="444"/>
      <c r="B5743" s="448"/>
      <c r="C5743" s="449"/>
      <c r="D5743" s="450"/>
      <c r="I5743" s="204"/>
      <c r="J5743" s="204"/>
      <c r="K5743" s="204"/>
      <c r="L5743" s="204"/>
      <c r="M5743" s="204"/>
      <c r="N5743" s="204"/>
    </row>
    <row r="5744" spans="1:14" x14ac:dyDescent="0.45">
      <c r="A5744" s="445"/>
      <c r="B5744" s="388"/>
      <c r="C5744" s="451"/>
      <c r="D5744" s="452"/>
      <c r="I5744" s="204"/>
      <c r="J5744" s="204"/>
      <c r="K5744" s="204"/>
      <c r="L5744" s="204"/>
      <c r="M5744" s="204"/>
      <c r="N5744" s="204"/>
    </row>
    <row r="5745" spans="1:14" ht="14.45" customHeight="1" x14ac:dyDescent="0.45">
      <c r="A5745" s="444" t="s">
        <v>155</v>
      </c>
      <c r="B5745" s="453">
        <f>GapA37</f>
        <v>0</v>
      </c>
      <c r="C5745" s="454"/>
      <c r="D5745" s="455"/>
      <c r="I5745" s="204"/>
      <c r="J5745" s="204"/>
      <c r="K5745" s="204"/>
      <c r="L5745" s="204"/>
      <c r="M5745" s="204"/>
      <c r="N5745" s="204"/>
    </row>
    <row r="5746" spans="1:14" x14ac:dyDescent="0.45">
      <c r="A5746" s="444"/>
      <c r="B5746" s="448"/>
      <c r="C5746" s="449"/>
      <c r="D5746" s="450"/>
      <c r="I5746" s="204"/>
      <c r="J5746" s="204"/>
      <c r="K5746" s="204"/>
      <c r="L5746" s="204"/>
      <c r="M5746" s="204"/>
      <c r="N5746" s="204"/>
    </row>
    <row r="5747" spans="1:14" x14ac:dyDescent="0.45">
      <c r="A5747" s="445"/>
      <c r="B5747" s="388"/>
      <c r="C5747" s="451"/>
      <c r="D5747" s="452"/>
      <c r="I5747" s="204"/>
      <c r="J5747" s="204"/>
      <c r="K5747" s="204"/>
      <c r="L5747" s="204"/>
      <c r="M5747" s="204"/>
      <c r="N5747" s="204"/>
    </row>
    <row r="5748" spans="1:14" x14ac:dyDescent="0.45">
      <c r="A5748" s="444" t="s">
        <v>159</v>
      </c>
      <c r="B5748" s="453">
        <f>Objective37</f>
        <v>0</v>
      </c>
      <c r="C5748" s="454"/>
      <c r="D5748" s="455"/>
      <c r="I5748" s="204"/>
      <c r="J5748" s="204"/>
      <c r="K5748" s="204"/>
      <c r="L5748" s="204"/>
      <c r="M5748" s="204"/>
      <c r="N5748" s="204"/>
    </row>
    <row r="5749" spans="1:14" x14ac:dyDescent="0.45">
      <c r="A5749" s="444"/>
      <c r="B5749" s="448"/>
      <c r="C5749" s="449"/>
      <c r="D5749" s="450"/>
      <c r="I5749" s="204"/>
      <c r="J5749" s="204"/>
      <c r="K5749" s="204"/>
      <c r="L5749" s="204"/>
      <c r="M5749" s="204"/>
      <c r="N5749" s="204"/>
    </row>
    <row r="5750" spans="1:14" x14ac:dyDescent="0.45">
      <c r="A5750" s="445"/>
      <c r="B5750" s="388"/>
      <c r="C5750" s="451"/>
      <c r="D5750" s="452"/>
      <c r="I5750" s="204"/>
      <c r="J5750" s="204"/>
      <c r="K5750" s="204"/>
      <c r="L5750" s="204"/>
      <c r="M5750" s="204"/>
      <c r="N5750" s="204"/>
    </row>
    <row r="5751" spans="1:14" ht="14.45" customHeight="1" x14ac:dyDescent="0.45">
      <c r="A5751" s="446" t="s">
        <v>166</v>
      </c>
      <c r="B5751" s="454">
        <f>Capacity37</f>
        <v>0</v>
      </c>
      <c r="C5751" s="454"/>
      <c r="D5751" s="455"/>
      <c r="I5751" s="204"/>
      <c r="J5751" s="204"/>
      <c r="K5751" s="204"/>
      <c r="L5751" s="204"/>
      <c r="M5751" s="204"/>
      <c r="N5751" s="204"/>
    </row>
    <row r="5752" spans="1:14" x14ac:dyDescent="0.45">
      <c r="A5752" s="447"/>
      <c r="B5752" s="449"/>
      <c r="C5752" s="449"/>
      <c r="D5752" s="450"/>
      <c r="I5752" s="204"/>
      <c r="J5752" s="204"/>
      <c r="K5752" s="204"/>
      <c r="L5752" s="204"/>
      <c r="M5752" s="204"/>
      <c r="N5752" s="204"/>
    </row>
    <row r="5753" spans="1:14" ht="14.65" thickBot="1" x14ac:dyDescent="0.5">
      <c r="A5753" s="464"/>
      <c r="B5753" s="456"/>
      <c r="C5753" s="456"/>
      <c r="D5753" s="457"/>
      <c r="I5753" s="204"/>
      <c r="J5753" s="204"/>
      <c r="K5753" s="204"/>
      <c r="L5753" s="204"/>
      <c r="M5753" s="204"/>
      <c r="N5753" s="204"/>
    </row>
    <row r="5755" spans="1:14" ht="14.65" thickBot="1" x14ac:dyDescent="0.5">
      <c r="A5755" s="90"/>
      <c r="B5755" s="90"/>
      <c r="C5755" s="90"/>
      <c r="D5755" s="90"/>
      <c r="E5755" s="90"/>
      <c r="F5755" s="90"/>
      <c r="G5755" s="90"/>
      <c r="H5755" s="90"/>
      <c r="I5755" s="90"/>
      <c r="J5755" s="90"/>
      <c r="K5755" s="90"/>
      <c r="L5755" s="90"/>
      <c r="M5755" s="90"/>
      <c r="N5755" s="90"/>
    </row>
    <row r="5756" spans="1:14" ht="21.75" customHeight="1" x14ac:dyDescent="0.45">
      <c r="A5756" s="458" t="s">
        <v>135</v>
      </c>
      <c r="B5756" s="459"/>
      <c r="C5756" s="459"/>
      <c r="D5756" s="459"/>
      <c r="E5756" s="459"/>
      <c r="F5756" s="459"/>
      <c r="G5756" s="459"/>
      <c r="H5756" s="459"/>
      <c r="I5756" s="459"/>
      <c r="J5756" s="459"/>
      <c r="K5756" s="459"/>
      <c r="L5756" s="460"/>
    </row>
    <row r="5757" spans="1:14" ht="29" customHeight="1" thickBot="1" x14ac:dyDescent="0.5">
      <c r="A5757" s="93" t="s">
        <v>74</v>
      </c>
      <c r="B5757" s="94" t="s">
        <v>28</v>
      </c>
      <c r="C5757" s="95" t="s">
        <v>320</v>
      </c>
      <c r="D5757" s="95" t="s">
        <v>127</v>
      </c>
      <c r="E5757" s="114" t="s">
        <v>90</v>
      </c>
      <c r="F5757" s="95" t="s">
        <v>175</v>
      </c>
      <c r="G5757" s="95" t="s">
        <v>176</v>
      </c>
      <c r="H5757" s="95" t="s">
        <v>156</v>
      </c>
      <c r="I5757" s="95" t="s">
        <v>157</v>
      </c>
      <c r="J5757" s="189" t="s">
        <v>321</v>
      </c>
      <c r="K5757" s="190" t="s">
        <v>29</v>
      </c>
      <c r="L5757" s="191" t="s">
        <v>322</v>
      </c>
    </row>
    <row r="5758" spans="1:14" x14ac:dyDescent="0.45">
      <c r="A5758" s="461">
        <v>1</v>
      </c>
      <c r="B5758" s="440">
        <v>1</v>
      </c>
      <c r="C5758" s="192">
        <v>1</v>
      </c>
      <c r="D5758" s="79"/>
      <c r="E5758" s="96"/>
      <c r="F5758" s="96"/>
      <c r="G5758" s="96"/>
      <c r="H5758" s="96"/>
      <c r="I5758" s="96"/>
      <c r="J5758" s="96"/>
      <c r="K5758" s="96"/>
      <c r="L5758" s="193"/>
    </row>
    <row r="5759" spans="1:14" x14ac:dyDescent="0.45">
      <c r="A5759" s="462"/>
      <c r="B5759" s="441"/>
      <c r="C5759" s="194">
        <v>2</v>
      </c>
      <c r="D5759" s="80"/>
      <c r="E5759" s="97"/>
      <c r="F5759" s="97"/>
      <c r="G5759" s="97"/>
      <c r="H5759" s="97"/>
      <c r="I5759" s="97"/>
      <c r="J5759" s="97"/>
      <c r="K5759" s="97"/>
      <c r="L5759" s="195"/>
    </row>
    <row r="5760" spans="1:14" x14ac:dyDescent="0.45">
      <c r="A5760" s="462"/>
      <c r="B5760" s="441"/>
      <c r="C5760" s="194">
        <v>3</v>
      </c>
      <c r="D5760" s="80"/>
      <c r="E5760" s="97"/>
      <c r="F5760" s="97"/>
      <c r="G5760" s="97"/>
      <c r="H5760" s="97"/>
      <c r="I5760" s="97"/>
      <c r="J5760" s="97"/>
      <c r="K5760" s="97"/>
      <c r="L5760" s="195"/>
    </row>
    <row r="5761" spans="1:14" x14ac:dyDescent="0.45">
      <c r="A5761" s="462"/>
      <c r="B5761" s="441"/>
      <c r="C5761" s="194">
        <v>4</v>
      </c>
      <c r="D5761" s="80"/>
      <c r="E5761" s="97"/>
      <c r="F5761" s="97"/>
      <c r="G5761" s="97"/>
      <c r="H5761" s="97"/>
      <c r="I5761" s="97"/>
      <c r="J5761" s="97"/>
      <c r="K5761" s="97"/>
      <c r="L5761" s="195"/>
    </row>
    <row r="5762" spans="1:14" x14ac:dyDescent="0.45">
      <c r="A5762" s="462"/>
      <c r="B5762" s="441"/>
      <c r="C5762" s="194">
        <v>5</v>
      </c>
      <c r="D5762" s="80"/>
      <c r="E5762" s="97"/>
      <c r="F5762" s="97"/>
      <c r="G5762" s="97"/>
      <c r="H5762" s="97"/>
      <c r="I5762" s="97"/>
      <c r="J5762" s="97"/>
      <c r="K5762" s="97"/>
      <c r="L5762" s="195"/>
    </row>
    <row r="5763" spans="1:14" x14ac:dyDescent="0.45">
      <c r="A5763" s="462"/>
      <c r="B5763" s="441"/>
      <c r="C5763" s="194">
        <v>6</v>
      </c>
      <c r="D5763" s="80"/>
      <c r="E5763" s="97"/>
      <c r="F5763" s="97"/>
      <c r="G5763" s="97"/>
      <c r="H5763" s="97"/>
      <c r="I5763" s="97"/>
      <c r="J5763" s="97"/>
      <c r="K5763" s="97"/>
      <c r="L5763" s="195"/>
    </row>
    <row r="5764" spans="1:14" x14ac:dyDescent="0.45">
      <c r="A5764" s="462"/>
      <c r="B5764" s="441"/>
      <c r="C5764" s="194">
        <v>7</v>
      </c>
      <c r="D5764" s="80"/>
      <c r="E5764" s="97"/>
      <c r="F5764" s="97"/>
      <c r="G5764" s="97"/>
      <c r="H5764" s="97"/>
      <c r="I5764" s="97"/>
      <c r="J5764" s="97"/>
      <c r="K5764" s="97"/>
      <c r="L5764" s="195"/>
    </row>
    <row r="5765" spans="1:14" x14ac:dyDescent="0.45">
      <c r="A5765" s="462"/>
      <c r="B5765" s="441"/>
      <c r="C5765" s="194">
        <v>8</v>
      </c>
      <c r="D5765" s="80"/>
      <c r="E5765" s="97"/>
      <c r="F5765" s="97"/>
      <c r="G5765" s="97"/>
      <c r="H5765" s="97"/>
      <c r="I5765" s="97"/>
      <c r="J5765" s="97"/>
      <c r="K5765" s="97"/>
      <c r="L5765" s="195"/>
    </row>
    <row r="5766" spans="1:14" x14ac:dyDescent="0.45">
      <c r="A5766" s="462"/>
      <c r="B5766" s="441"/>
      <c r="C5766" s="194">
        <v>9</v>
      </c>
      <c r="D5766" s="80"/>
      <c r="E5766" s="97"/>
      <c r="F5766" s="97"/>
      <c r="G5766" s="97"/>
      <c r="H5766" s="97"/>
      <c r="I5766" s="97"/>
      <c r="J5766" s="97"/>
      <c r="K5766" s="97"/>
      <c r="L5766" s="195"/>
    </row>
    <row r="5767" spans="1:14" x14ac:dyDescent="0.45">
      <c r="A5767" s="462"/>
      <c r="B5767" s="441"/>
      <c r="C5767" s="194">
        <v>10</v>
      </c>
      <c r="D5767" s="80"/>
      <c r="E5767" s="97"/>
      <c r="F5767" s="97"/>
      <c r="G5767" s="97"/>
      <c r="H5767" s="97"/>
      <c r="I5767" s="97"/>
      <c r="J5767" s="97"/>
      <c r="K5767" s="97"/>
      <c r="L5767" s="195"/>
    </row>
    <row r="5768" spans="1:14" x14ac:dyDescent="0.45">
      <c r="A5768" s="462"/>
      <c r="B5768" s="441"/>
      <c r="C5768" s="194">
        <v>11</v>
      </c>
      <c r="D5768" s="81"/>
      <c r="E5768" s="98"/>
      <c r="F5768" s="98"/>
      <c r="G5768" s="98"/>
      <c r="H5768" s="98"/>
      <c r="I5768" s="98"/>
      <c r="J5768" s="98"/>
      <c r="K5768" s="98"/>
      <c r="L5768" s="196"/>
    </row>
    <row r="5769" spans="1:14" s="90" customFormat="1" ht="14.65" thickBot="1" x14ac:dyDescent="0.5">
      <c r="A5769" s="462"/>
      <c r="B5769" s="442"/>
      <c r="C5769" s="197">
        <v>12</v>
      </c>
      <c r="D5769" s="82"/>
      <c r="E5769" s="99"/>
      <c r="F5769" s="99"/>
      <c r="G5769" s="99"/>
      <c r="H5769" s="99"/>
      <c r="I5769" s="99"/>
      <c r="J5769" s="99"/>
      <c r="K5769" s="99"/>
      <c r="L5769" s="198"/>
      <c r="M5769" s="61"/>
      <c r="N5769" s="61"/>
    </row>
    <row r="5770" spans="1:14" x14ac:dyDescent="0.45">
      <c r="A5770" s="462"/>
      <c r="B5770" s="440">
        <v>2</v>
      </c>
      <c r="C5770" s="192">
        <v>1</v>
      </c>
      <c r="D5770" s="79"/>
      <c r="E5770" s="96"/>
      <c r="F5770" s="96"/>
      <c r="G5770" s="96"/>
      <c r="H5770" s="96"/>
      <c r="I5770" s="96"/>
      <c r="J5770" s="96"/>
      <c r="K5770" s="96"/>
      <c r="L5770" s="193"/>
    </row>
    <row r="5771" spans="1:14" x14ac:dyDescent="0.45">
      <c r="A5771" s="462"/>
      <c r="B5771" s="441"/>
      <c r="C5771" s="194">
        <v>2</v>
      </c>
      <c r="D5771" s="80"/>
      <c r="E5771" s="97"/>
      <c r="F5771" s="97"/>
      <c r="G5771" s="97"/>
      <c r="H5771" s="97"/>
      <c r="I5771" s="97"/>
      <c r="J5771" s="97"/>
      <c r="K5771" s="97"/>
      <c r="L5771" s="195"/>
    </row>
    <row r="5772" spans="1:14" x14ac:dyDescent="0.45">
      <c r="A5772" s="462"/>
      <c r="B5772" s="441"/>
      <c r="C5772" s="194">
        <v>3</v>
      </c>
      <c r="D5772" s="80"/>
      <c r="E5772" s="97"/>
      <c r="F5772" s="97"/>
      <c r="G5772" s="97"/>
      <c r="H5772" s="97"/>
      <c r="I5772" s="97"/>
      <c r="J5772" s="97"/>
      <c r="K5772" s="97"/>
      <c r="L5772" s="195"/>
    </row>
    <row r="5773" spans="1:14" x14ac:dyDescent="0.45">
      <c r="A5773" s="462"/>
      <c r="B5773" s="441"/>
      <c r="C5773" s="194">
        <v>4</v>
      </c>
      <c r="D5773" s="80"/>
      <c r="E5773" s="97"/>
      <c r="F5773" s="97"/>
      <c r="G5773" s="97"/>
      <c r="H5773" s="97"/>
      <c r="I5773" s="97"/>
      <c r="J5773" s="97"/>
      <c r="K5773" s="97"/>
      <c r="L5773" s="195"/>
    </row>
    <row r="5774" spans="1:14" x14ac:dyDescent="0.45">
      <c r="A5774" s="462"/>
      <c r="B5774" s="441"/>
      <c r="C5774" s="194">
        <v>5</v>
      </c>
      <c r="D5774" s="80"/>
      <c r="E5774" s="97"/>
      <c r="F5774" s="97"/>
      <c r="G5774" s="97"/>
      <c r="H5774" s="97"/>
      <c r="I5774" s="97"/>
      <c r="J5774" s="97"/>
      <c r="K5774" s="97"/>
      <c r="L5774" s="195"/>
    </row>
    <row r="5775" spans="1:14" x14ac:dyDescent="0.45">
      <c r="A5775" s="462"/>
      <c r="B5775" s="441"/>
      <c r="C5775" s="194">
        <v>6</v>
      </c>
      <c r="D5775" s="80"/>
      <c r="E5775" s="97"/>
      <c r="F5775" s="97"/>
      <c r="G5775" s="97"/>
      <c r="H5775" s="97"/>
      <c r="I5775" s="97"/>
      <c r="J5775" s="97"/>
      <c r="K5775" s="97"/>
      <c r="L5775" s="195"/>
    </row>
    <row r="5776" spans="1:14" x14ac:dyDescent="0.45">
      <c r="A5776" s="462"/>
      <c r="B5776" s="441"/>
      <c r="C5776" s="194">
        <v>7</v>
      </c>
      <c r="D5776" s="80"/>
      <c r="E5776" s="97"/>
      <c r="F5776" s="97"/>
      <c r="G5776" s="97"/>
      <c r="H5776" s="97"/>
      <c r="I5776" s="97"/>
      <c r="J5776" s="97"/>
      <c r="K5776" s="97"/>
      <c r="L5776" s="195"/>
    </row>
    <row r="5777" spans="1:12" x14ac:dyDescent="0.45">
      <c r="A5777" s="462"/>
      <c r="B5777" s="441"/>
      <c r="C5777" s="194">
        <v>8</v>
      </c>
      <c r="D5777" s="80"/>
      <c r="E5777" s="97"/>
      <c r="F5777" s="97"/>
      <c r="G5777" s="97"/>
      <c r="H5777" s="97"/>
      <c r="I5777" s="97"/>
      <c r="J5777" s="97"/>
      <c r="K5777" s="97"/>
      <c r="L5777" s="195"/>
    </row>
    <row r="5778" spans="1:12" x14ac:dyDescent="0.45">
      <c r="A5778" s="462"/>
      <c r="B5778" s="441"/>
      <c r="C5778" s="194">
        <v>9</v>
      </c>
      <c r="D5778" s="80"/>
      <c r="E5778" s="97"/>
      <c r="F5778" s="97"/>
      <c r="G5778" s="97"/>
      <c r="H5778" s="97"/>
      <c r="I5778" s="97"/>
      <c r="J5778" s="97"/>
      <c r="K5778" s="97"/>
      <c r="L5778" s="195"/>
    </row>
    <row r="5779" spans="1:12" x14ac:dyDescent="0.45">
      <c r="A5779" s="462"/>
      <c r="B5779" s="441"/>
      <c r="C5779" s="194">
        <v>10</v>
      </c>
      <c r="D5779" s="80"/>
      <c r="E5779" s="97"/>
      <c r="F5779" s="97"/>
      <c r="G5779" s="97"/>
      <c r="H5779" s="97"/>
      <c r="I5779" s="97"/>
      <c r="J5779" s="97"/>
      <c r="K5779" s="97"/>
      <c r="L5779" s="195"/>
    </row>
    <row r="5780" spans="1:12" x14ac:dyDescent="0.45">
      <c r="A5780" s="462"/>
      <c r="B5780" s="441"/>
      <c r="C5780" s="194">
        <v>11</v>
      </c>
      <c r="D5780" s="81"/>
      <c r="E5780" s="98"/>
      <c r="F5780" s="98"/>
      <c r="G5780" s="98"/>
      <c r="H5780" s="98"/>
      <c r="I5780" s="98"/>
      <c r="J5780" s="98"/>
      <c r="K5780" s="98"/>
      <c r="L5780" s="196"/>
    </row>
    <row r="5781" spans="1:12" ht="14.65" thickBot="1" x14ac:dyDescent="0.5">
      <c r="A5781" s="462"/>
      <c r="B5781" s="442"/>
      <c r="C5781" s="197">
        <v>12</v>
      </c>
      <c r="D5781" s="82"/>
      <c r="E5781" s="99"/>
      <c r="F5781" s="99"/>
      <c r="G5781" s="99"/>
      <c r="H5781" s="99"/>
      <c r="I5781" s="99"/>
      <c r="J5781" s="99"/>
      <c r="K5781" s="99"/>
      <c r="L5781" s="198"/>
    </row>
    <row r="5782" spans="1:12" x14ac:dyDescent="0.45">
      <c r="A5782" s="462"/>
      <c r="B5782" s="440">
        <v>3</v>
      </c>
      <c r="C5782" s="192">
        <v>1</v>
      </c>
      <c r="D5782" s="79"/>
      <c r="E5782" s="96"/>
      <c r="F5782" s="96"/>
      <c r="G5782" s="96"/>
      <c r="H5782" s="96"/>
      <c r="I5782" s="96"/>
      <c r="J5782" s="96"/>
      <c r="K5782" s="96"/>
      <c r="L5782" s="193"/>
    </row>
    <row r="5783" spans="1:12" x14ac:dyDescent="0.45">
      <c r="A5783" s="462"/>
      <c r="B5783" s="441"/>
      <c r="C5783" s="194">
        <v>2</v>
      </c>
      <c r="D5783" s="80"/>
      <c r="E5783" s="97"/>
      <c r="F5783" s="97"/>
      <c r="G5783" s="97"/>
      <c r="H5783" s="97"/>
      <c r="I5783" s="97"/>
      <c r="J5783" s="97"/>
      <c r="K5783" s="97"/>
      <c r="L5783" s="195"/>
    </row>
    <row r="5784" spans="1:12" x14ac:dyDescent="0.45">
      <c r="A5784" s="462"/>
      <c r="B5784" s="441"/>
      <c r="C5784" s="194">
        <v>3</v>
      </c>
      <c r="D5784" s="80"/>
      <c r="E5784" s="97"/>
      <c r="F5784" s="97"/>
      <c r="G5784" s="97"/>
      <c r="H5784" s="97"/>
      <c r="I5784" s="97"/>
      <c r="J5784" s="97"/>
      <c r="K5784" s="97"/>
      <c r="L5784" s="195"/>
    </row>
    <row r="5785" spans="1:12" x14ac:dyDescent="0.45">
      <c r="A5785" s="462"/>
      <c r="B5785" s="441"/>
      <c r="C5785" s="194">
        <v>4</v>
      </c>
      <c r="D5785" s="80"/>
      <c r="E5785" s="97"/>
      <c r="F5785" s="97"/>
      <c r="G5785" s="97"/>
      <c r="H5785" s="97"/>
      <c r="I5785" s="97"/>
      <c r="J5785" s="97"/>
      <c r="K5785" s="97"/>
      <c r="L5785" s="195"/>
    </row>
    <row r="5786" spans="1:12" x14ac:dyDescent="0.45">
      <c r="A5786" s="462"/>
      <c r="B5786" s="441"/>
      <c r="C5786" s="194">
        <v>5</v>
      </c>
      <c r="D5786" s="80"/>
      <c r="E5786" s="97"/>
      <c r="F5786" s="97"/>
      <c r="G5786" s="97"/>
      <c r="H5786" s="97"/>
      <c r="I5786" s="97"/>
      <c r="J5786" s="97"/>
      <c r="K5786" s="97"/>
      <c r="L5786" s="195"/>
    </row>
    <row r="5787" spans="1:12" x14ac:dyDescent="0.45">
      <c r="A5787" s="462"/>
      <c r="B5787" s="441"/>
      <c r="C5787" s="194">
        <v>6</v>
      </c>
      <c r="D5787" s="80"/>
      <c r="E5787" s="97"/>
      <c r="F5787" s="97"/>
      <c r="G5787" s="97"/>
      <c r="H5787" s="97"/>
      <c r="I5787" s="97"/>
      <c r="J5787" s="97"/>
      <c r="K5787" s="97"/>
      <c r="L5787" s="195"/>
    </row>
    <row r="5788" spans="1:12" x14ac:dyDescent="0.45">
      <c r="A5788" s="462"/>
      <c r="B5788" s="441"/>
      <c r="C5788" s="194">
        <v>7</v>
      </c>
      <c r="D5788" s="80"/>
      <c r="E5788" s="97"/>
      <c r="F5788" s="97"/>
      <c r="G5788" s="97"/>
      <c r="H5788" s="97"/>
      <c r="I5788" s="97"/>
      <c r="J5788" s="97"/>
      <c r="K5788" s="97"/>
      <c r="L5788" s="195"/>
    </row>
    <row r="5789" spans="1:12" x14ac:dyDescent="0.45">
      <c r="A5789" s="462"/>
      <c r="B5789" s="441"/>
      <c r="C5789" s="194">
        <v>8</v>
      </c>
      <c r="D5789" s="80"/>
      <c r="E5789" s="97"/>
      <c r="F5789" s="97"/>
      <c r="G5789" s="97"/>
      <c r="H5789" s="97"/>
      <c r="I5789" s="97"/>
      <c r="J5789" s="97"/>
      <c r="K5789" s="97"/>
      <c r="L5789" s="195"/>
    </row>
    <row r="5790" spans="1:12" x14ac:dyDescent="0.45">
      <c r="A5790" s="462"/>
      <c r="B5790" s="441"/>
      <c r="C5790" s="194">
        <v>9</v>
      </c>
      <c r="D5790" s="80"/>
      <c r="E5790" s="97"/>
      <c r="F5790" s="97"/>
      <c r="G5790" s="97"/>
      <c r="H5790" s="97"/>
      <c r="I5790" s="97"/>
      <c r="J5790" s="97"/>
      <c r="K5790" s="97"/>
      <c r="L5790" s="195"/>
    </row>
    <row r="5791" spans="1:12" x14ac:dyDescent="0.45">
      <c r="A5791" s="462"/>
      <c r="B5791" s="441"/>
      <c r="C5791" s="194">
        <v>10</v>
      </c>
      <c r="D5791" s="80"/>
      <c r="E5791" s="97"/>
      <c r="F5791" s="97"/>
      <c r="G5791" s="97"/>
      <c r="H5791" s="97"/>
      <c r="I5791" s="97"/>
      <c r="J5791" s="97"/>
      <c r="K5791" s="97"/>
      <c r="L5791" s="195"/>
    </row>
    <row r="5792" spans="1:12" x14ac:dyDescent="0.45">
      <c r="A5792" s="462"/>
      <c r="B5792" s="441"/>
      <c r="C5792" s="194">
        <v>11</v>
      </c>
      <c r="D5792" s="81"/>
      <c r="E5792" s="98"/>
      <c r="F5792" s="98"/>
      <c r="G5792" s="98"/>
      <c r="H5792" s="98"/>
      <c r="I5792" s="98"/>
      <c r="J5792" s="98"/>
      <c r="K5792" s="98"/>
      <c r="L5792" s="196"/>
    </row>
    <row r="5793" spans="1:12" ht="14.65" thickBot="1" x14ac:dyDescent="0.5">
      <c r="A5793" s="462"/>
      <c r="B5793" s="442"/>
      <c r="C5793" s="197">
        <v>12</v>
      </c>
      <c r="D5793" s="82"/>
      <c r="E5793" s="99"/>
      <c r="F5793" s="99"/>
      <c r="G5793" s="99"/>
      <c r="H5793" s="99"/>
      <c r="I5793" s="99"/>
      <c r="J5793" s="99"/>
      <c r="K5793" s="99"/>
      <c r="L5793" s="198"/>
    </row>
    <row r="5794" spans="1:12" x14ac:dyDescent="0.45">
      <c r="A5794" s="462"/>
      <c r="B5794" s="440">
        <v>4</v>
      </c>
      <c r="C5794" s="192">
        <v>1</v>
      </c>
      <c r="D5794" s="79"/>
      <c r="E5794" s="96"/>
      <c r="F5794" s="96"/>
      <c r="G5794" s="96"/>
      <c r="H5794" s="96"/>
      <c r="I5794" s="96"/>
      <c r="J5794" s="96"/>
      <c r="K5794" s="96"/>
      <c r="L5794" s="193"/>
    </row>
    <row r="5795" spans="1:12" x14ac:dyDescent="0.45">
      <c r="A5795" s="462"/>
      <c r="B5795" s="441"/>
      <c r="C5795" s="194">
        <v>2</v>
      </c>
      <c r="D5795" s="80"/>
      <c r="E5795" s="97"/>
      <c r="F5795" s="97"/>
      <c r="G5795" s="97"/>
      <c r="H5795" s="97"/>
      <c r="I5795" s="97"/>
      <c r="J5795" s="97"/>
      <c r="K5795" s="97"/>
      <c r="L5795" s="195"/>
    </row>
    <row r="5796" spans="1:12" x14ac:dyDescent="0.45">
      <c r="A5796" s="462"/>
      <c r="B5796" s="441"/>
      <c r="C5796" s="194">
        <v>3</v>
      </c>
      <c r="D5796" s="80"/>
      <c r="E5796" s="97"/>
      <c r="F5796" s="97"/>
      <c r="G5796" s="97"/>
      <c r="H5796" s="97"/>
      <c r="I5796" s="97"/>
      <c r="J5796" s="97"/>
      <c r="K5796" s="97"/>
      <c r="L5796" s="195"/>
    </row>
    <row r="5797" spans="1:12" x14ac:dyDescent="0.45">
      <c r="A5797" s="462"/>
      <c r="B5797" s="441"/>
      <c r="C5797" s="194">
        <v>4</v>
      </c>
      <c r="D5797" s="80"/>
      <c r="E5797" s="97"/>
      <c r="F5797" s="97"/>
      <c r="G5797" s="97"/>
      <c r="H5797" s="97"/>
      <c r="I5797" s="97"/>
      <c r="J5797" s="97"/>
      <c r="K5797" s="97"/>
      <c r="L5797" s="195"/>
    </row>
    <row r="5798" spans="1:12" x14ac:dyDescent="0.45">
      <c r="A5798" s="462"/>
      <c r="B5798" s="441"/>
      <c r="C5798" s="194">
        <v>5</v>
      </c>
      <c r="D5798" s="80"/>
      <c r="E5798" s="97"/>
      <c r="F5798" s="97"/>
      <c r="G5798" s="97"/>
      <c r="H5798" s="97"/>
      <c r="I5798" s="97"/>
      <c r="J5798" s="97"/>
      <c r="K5798" s="97"/>
      <c r="L5798" s="195"/>
    </row>
    <row r="5799" spans="1:12" x14ac:dyDescent="0.45">
      <c r="A5799" s="462"/>
      <c r="B5799" s="441"/>
      <c r="C5799" s="194">
        <v>6</v>
      </c>
      <c r="D5799" s="80"/>
      <c r="E5799" s="97"/>
      <c r="F5799" s="97"/>
      <c r="G5799" s="97"/>
      <c r="H5799" s="97"/>
      <c r="I5799" s="97"/>
      <c r="J5799" s="97"/>
      <c r="K5799" s="97"/>
      <c r="L5799" s="195"/>
    </row>
    <row r="5800" spans="1:12" x14ac:dyDescent="0.45">
      <c r="A5800" s="462"/>
      <c r="B5800" s="441"/>
      <c r="C5800" s="194">
        <v>7</v>
      </c>
      <c r="D5800" s="80"/>
      <c r="E5800" s="97"/>
      <c r="F5800" s="97"/>
      <c r="G5800" s="97"/>
      <c r="H5800" s="97"/>
      <c r="I5800" s="97"/>
      <c r="J5800" s="97"/>
      <c r="K5800" s="97"/>
      <c r="L5800" s="195"/>
    </row>
    <row r="5801" spans="1:12" x14ac:dyDescent="0.45">
      <c r="A5801" s="462"/>
      <c r="B5801" s="441"/>
      <c r="C5801" s="194">
        <v>8</v>
      </c>
      <c r="D5801" s="80"/>
      <c r="E5801" s="97"/>
      <c r="F5801" s="97"/>
      <c r="G5801" s="97"/>
      <c r="H5801" s="97"/>
      <c r="I5801" s="97"/>
      <c r="J5801" s="97"/>
      <c r="K5801" s="97"/>
      <c r="L5801" s="195"/>
    </row>
    <row r="5802" spans="1:12" x14ac:dyDescent="0.45">
      <c r="A5802" s="462"/>
      <c r="B5802" s="441"/>
      <c r="C5802" s="194">
        <v>9</v>
      </c>
      <c r="D5802" s="80"/>
      <c r="E5802" s="97"/>
      <c r="F5802" s="97"/>
      <c r="G5802" s="97"/>
      <c r="H5802" s="97"/>
      <c r="I5802" s="97"/>
      <c r="J5802" s="97"/>
      <c r="K5802" s="97"/>
      <c r="L5802" s="195"/>
    </row>
    <row r="5803" spans="1:12" x14ac:dyDescent="0.45">
      <c r="A5803" s="462"/>
      <c r="B5803" s="441"/>
      <c r="C5803" s="194">
        <v>10</v>
      </c>
      <c r="D5803" s="80"/>
      <c r="E5803" s="97"/>
      <c r="F5803" s="97"/>
      <c r="G5803" s="97"/>
      <c r="H5803" s="97"/>
      <c r="I5803" s="97"/>
      <c r="J5803" s="97"/>
      <c r="K5803" s="97"/>
      <c r="L5803" s="195"/>
    </row>
    <row r="5804" spans="1:12" x14ac:dyDescent="0.45">
      <c r="A5804" s="462"/>
      <c r="B5804" s="441"/>
      <c r="C5804" s="194">
        <v>11</v>
      </c>
      <c r="D5804" s="81"/>
      <c r="E5804" s="98"/>
      <c r="F5804" s="98"/>
      <c r="G5804" s="98"/>
      <c r="H5804" s="98"/>
      <c r="I5804" s="98"/>
      <c r="J5804" s="98"/>
      <c r="K5804" s="98"/>
      <c r="L5804" s="196"/>
    </row>
    <row r="5805" spans="1:12" ht="14.65" thickBot="1" x14ac:dyDescent="0.5">
      <c r="A5805" s="463"/>
      <c r="B5805" s="442"/>
      <c r="C5805" s="197">
        <v>12</v>
      </c>
      <c r="D5805" s="82"/>
      <c r="E5805" s="99"/>
      <c r="F5805" s="99"/>
      <c r="G5805" s="99"/>
      <c r="H5805" s="99"/>
      <c r="I5805" s="99"/>
      <c r="J5805" s="99"/>
      <c r="K5805" s="99"/>
      <c r="L5805" s="198"/>
    </row>
    <row r="5806" spans="1:12" x14ac:dyDescent="0.45">
      <c r="A5806" s="461">
        <v>2</v>
      </c>
      <c r="B5806" s="440">
        <v>5</v>
      </c>
      <c r="C5806" s="192">
        <v>1</v>
      </c>
      <c r="D5806" s="79"/>
      <c r="E5806" s="96"/>
      <c r="F5806" s="96"/>
      <c r="G5806" s="96"/>
      <c r="H5806" s="96"/>
      <c r="I5806" s="96"/>
      <c r="J5806" s="96"/>
      <c r="K5806" s="96"/>
      <c r="L5806" s="193"/>
    </row>
    <row r="5807" spans="1:12" x14ac:dyDescent="0.45">
      <c r="A5807" s="462"/>
      <c r="B5807" s="441"/>
      <c r="C5807" s="194">
        <v>2</v>
      </c>
      <c r="D5807" s="80"/>
      <c r="E5807" s="97"/>
      <c r="F5807" s="97"/>
      <c r="G5807" s="97"/>
      <c r="H5807" s="97"/>
      <c r="I5807" s="97"/>
      <c r="J5807" s="97"/>
      <c r="K5807" s="97"/>
      <c r="L5807" s="195"/>
    </row>
    <row r="5808" spans="1:12" x14ac:dyDescent="0.45">
      <c r="A5808" s="462"/>
      <c r="B5808" s="441"/>
      <c r="C5808" s="194">
        <v>3</v>
      </c>
      <c r="D5808" s="80"/>
      <c r="E5808" s="97"/>
      <c r="F5808" s="97"/>
      <c r="G5808" s="97"/>
      <c r="H5808" s="97"/>
      <c r="I5808" s="97"/>
      <c r="J5808" s="97"/>
      <c r="K5808" s="97"/>
      <c r="L5808" s="195"/>
    </row>
    <row r="5809" spans="1:12" x14ac:dyDescent="0.45">
      <c r="A5809" s="462"/>
      <c r="B5809" s="441"/>
      <c r="C5809" s="194">
        <v>4</v>
      </c>
      <c r="D5809" s="80"/>
      <c r="E5809" s="97"/>
      <c r="F5809" s="97"/>
      <c r="G5809" s="97"/>
      <c r="H5809" s="97"/>
      <c r="I5809" s="97"/>
      <c r="J5809" s="97"/>
      <c r="K5809" s="97"/>
      <c r="L5809" s="195"/>
    </row>
    <row r="5810" spans="1:12" x14ac:dyDescent="0.45">
      <c r="A5810" s="462"/>
      <c r="B5810" s="441"/>
      <c r="C5810" s="194">
        <v>5</v>
      </c>
      <c r="D5810" s="80"/>
      <c r="E5810" s="97"/>
      <c r="F5810" s="97"/>
      <c r="G5810" s="97"/>
      <c r="H5810" s="97"/>
      <c r="I5810" s="97"/>
      <c r="J5810" s="97"/>
      <c r="K5810" s="97"/>
      <c r="L5810" s="195"/>
    </row>
    <row r="5811" spans="1:12" x14ac:dyDescent="0.45">
      <c r="A5811" s="462"/>
      <c r="B5811" s="441"/>
      <c r="C5811" s="194">
        <v>6</v>
      </c>
      <c r="D5811" s="80"/>
      <c r="E5811" s="97"/>
      <c r="F5811" s="97"/>
      <c r="G5811" s="97"/>
      <c r="H5811" s="97"/>
      <c r="I5811" s="97"/>
      <c r="J5811" s="97"/>
      <c r="K5811" s="97"/>
      <c r="L5811" s="195"/>
    </row>
    <row r="5812" spans="1:12" x14ac:dyDescent="0.45">
      <c r="A5812" s="462"/>
      <c r="B5812" s="441"/>
      <c r="C5812" s="194">
        <v>7</v>
      </c>
      <c r="D5812" s="80"/>
      <c r="E5812" s="97"/>
      <c r="F5812" s="97"/>
      <c r="G5812" s="97"/>
      <c r="H5812" s="97"/>
      <c r="I5812" s="97"/>
      <c r="J5812" s="97"/>
      <c r="K5812" s="97"/>
      <c r="L5812" s="195"/>
    </row>
    <row r="5813" spans="1:12" x14ac:dyDescent="0.45">
      <c r="A5813" s="462"/>
      <c r="B5813" s="441"/>
      <c r="C5813" s="194">
        <v>8</v>
      </c>
      <c r="D5813" s="80"/>
      <c r="E5813" s="97"/>
      <c r="F5813" s="97"/>
      <c r="G5813" s="97"/>
      <c r="H5813" s="97"/>
      <c r="I5813" s="97"/>
      <c r="J5813" s="97"/>
      <c r="K5813" s="97"/>
      <c r="L5813" s="195"/>
    </row>
    <row r="5814" spans="1:12" x14ac:dyDescent="0.45">
      <c r="A5814" s="462"/>
      <c r="B5814" s="441"/>
      <c r="C5814" s="194">
        <v>9</v>
      </c>
      <c r="D5814" s="80"/>
      <c r="E5814" s="97"/>
      <c r="F5814" s="97"/>
      <c r="G5814" s="97"/>
      <c r="H5814" s="97"/>
      <c r="I5814" s="97"/>
      <c r="J5814" s="97"/>
      <c r="K5814" s="97"/>
      <c r="L5814" s="195"/>
    </row>
    <row r="5815" spans="1:12" x14ac:dyDescent="0.45">
      <c r="A5815" s="462"/>
      <c r="B5815" s="441"/>
      <c r="C5815" s="194">
        <v>10</v>
      </c>
      <c r="D5815" s="80"/>
      <c r="E5815" s="97"/>
      <c r="F5815" s="97"/>
      <c r="G5815" s="97"/>
      <c r="H5815" s="97"/>
      <c r="I5815" s="97"/>
      <c r="J5815" s="97"/>
      <c r="K5815" s="97"/>
      <c r="L5815" s="195"/>
    </row>
    <row r="5816" spans="1:12" x14ac:dyDescent="0.45">
      <c r="A5816" s="462"/>
      <c r="B5816" s="441"/>
      <c r="C5816" s="194">
        <v>11</v>
      </c>
      <c r="D5816" s="81"/>
      <c r="E5816" s="98"/>
      <c r="F5816" s="98"/>
      <c r="G5816" s="98"/>
      <c r="H5816" s="98"/>
      <c r="I5816" s="98"/>
      <c r="J5816" s="98"/>
      <c r="K5816" s="98"/>
      <c r="L5816" s="196"/>
    </row>
    <row r="5817" spans="1:12" ht="14.65" thickBot="1" x14ac:dyDescent="0.5">
      <c r="A5817" s="462"/>
      <c r="B5817" s="442"/>
      <c r="C5817" s="197">
        <v>12</v>
      </c>
      <c r="D5817" s="82"/>
      <c r="E5817" s="99"/>
      <c r="F5817" s="99"/>
      <c r="G5817" s="99"/>
      <c r="H5817" s="99"/>
      <c r="I5817" s="99"/>
      <c r="J5817" s="99"/>
      <c r="K5817" s="99"/>
      <c r="L5817" s="198"/>
    </row>
    <row r="5818" spans="1:12" x14ac:dyDescent="0.45">
      <c r="A5818" s="462"/>
      <c r="B5818" s="440">
        <v>6</v>
      </c>
      <c r="C5818" s="192">
        <v>1</v>
      </c>
      <c r="D5818" s="79"/>
      <c r="E5818" s="96"/>
      <c r="F5818" s="96"/>
      <c r="G5818" s="96"/>
      <c r="H5818" s="96"/>
      <c r="I5818" s="96"/>
      <c r="J5818" s="96"/>
      <c r="K5818" s="96"/>
      <c r="L5818" s="193"/>
    </row>
    <row r="5819" spans="1:12" x14ac:dyDescent="0.45">
      <c r="A5819" s="462"/>
      <c r="B5819" s="441"/>
      <c r="C5819" s="194">
        <v>2</v>
      </c>
      <c r="D5819" s="80"/>
      <c r="E5819" s="97"/>
      <c r="F5819" s="97"/>
      <c r="G5819" s="97"/>
      <c r="H5819" s="97"/>
      <c r="I5819" s="97"/>
      <c r="J5819" s="97"/>
      <c r="K5819" s="97"/>
      <c r="L5819" s="195"/>
    </row>
    <row r="5820" spans="1:12" x14ac:dyDescent="0.45">
      <c r="A5820" s="462"/>
      <c r="B5820" s="441"/>
      <c r="C5820" s="194">
        <v>3</v>
      </c>
      <c r="D5820" s="80"/>
      <c r="E5820" s="97"/>
      <c r="F5820" s="97"/>
      <c r="G5820" s="97"/>
      <c r="H5820" s="97"/>
      <c r="I5820" s="97"/>
      <c r="J5820" s="97"/>
      <c r="K5820" s="97"/>
      <c r="L5820" s="195"/>
    </row>
    <row r="5821" spans="1:12" x14ac:dyDescent="0.45">
      <c r="A5821" s="462"/>
      <c r="B5821" s="441"/>
      <c r="C5821" s="194">
        <v>4</v>
      </c>
      <c r="D5821" s="80"/>
      <c r="E5821" s="97"/>
      <c r="F5821" s="97"/>
      <c r="G5821" s="97"/>
      <c r="H5821" s="97"/>
      <c r="I5821" s="97"/>
      <c r="J5821" s="97"/>
      <c r="K5821" s="97"/>
      <c r="L5821" s="195"/>
    </row>
    <row r="5822" spans="1:12" x14ac:dyDescent="0.45">
      <c r="A5822" s="462"/>
      <c r="B5822" s="441"/>
      <c r="C5822" s="194">
        <v>5</v>
      </c>
      <c r="D5822" s="80"/>
      <c r="E5822" s="97"/>
      <c r="F5822" s="97"/>
      <c r="G5822" s="97"/>
      <c r="H5822" s="97"/>
      <c r="I5822" s="97"/>
      <c r="J5822" s="97"/>
      <c r="K5822" s="97"/>
      <c r="L5822" s="195"/>
    </row>
    <row r="5823" spans="1:12" x14ac:dyDescent="0.45">
      <c r="A5823" s="462"/>
      <c r="B5823" s="441"/>
      <c r="C5823" s="194">
        <v>6</v>
      </c>
      <c r="D5823" s="80"/>
      <c r="E5823" s="97"/>
      <c r="F5823" s="97"/>
      <c r="G5823" s="97"/>
      <c r="H5823" s="97"/>
      <c r="I5823" s="97"/>
      <c r="J5823" s="97"/>
      <c r="K5823" s="97"/>
      <c r="L5823" s="195"/>
    </row>
    <row r="5824" spans="1:12" x14ac:dyDescent="0.45">
      <c r="A5824" s="462"/>
      <c r="B5824" s="441"/>
      <c r="C5824" s="194">
        <v>7</v>
      </c>
      <c r="D5824" s="80"/>
      <c r="E5824" s="97"/>
      <c r="F5824" s="97"/>
      <c r="G5824" s="97"/>
      <c r="H5824" s="97"/>
      <c r="I5824" s="97"/>
      <c r="J5824" s="97"/>
      <c r="K5824" s="97"/>
      <c r="L5824" s="195"/>
    </row>
    <row r="5825" spans="1:12" x14ac:dyDescent="0.45">
      <c r="A5825" s="462"/>
      <c r="B5825" s="441"/>
      <c r="C5825" s="194">
        <v>8</v>
      </c>
      <c r="D5825" s="80"/>
      <c r="E5825" s="97"/>
      <c r="F5825" s="97"/>
      <c r="G5825" s="97"/>
      <c r="H5825" s="97"/>
      <c r="I5825" s="97"/>
      <c r="J5825" s="97"/>
      <c r="K5825" s="97"/>
      <c r="L5825" s="195"/>
    </row>
    <row r="5826" spans="1:12" x14ac:dyDescent="0.45">
      <c r="A5826" s="462"/>
      <c r="B5826" s="441"/>
      <c r="C5826" s="194">
        <v>9</v>
      </c>
      <c r="D5826" s="80"/>
      <c r="E5826" s="97"/>
      <c r="F5826" s="97"/>
      <c r="G5826" s="97"/>
      <c r="H5826" s="97"/>
      <c r="I5826" s="97"/>
      <c r="J5826" s="97"/>
      <c r="K5826" s="97"/>
      <c r="L5826" s="195"/>
    </row>
    <row r="5827" spans="1:12" x14ac:dyDescent="0.45">
      <c r="A5827" s="462"/>
      <c r="B5827" s="441"/>
      <c r="C5827" s="194">
        <v>10</v>
      </c>
      <c r="D5827" s="80"/>
      <c r="E5827" s="97"/>
      <c r="F5827" s="97"/>
      <c r="G5827" s="97"/>
      <c r="H5827" s="97"/>
      <c r="I5827" s="97"/>
      <c r="J5827" s="97"/>
      <c r="K5827" s="97"/>
      <c r="L5827" s="195"/>
    </row>
    <row r="5828" spans="1:12" x14ac:dyDescent="0.45">
      <c r="A5828" s="462"/>
      <c r="B5828" s="441"/>
      <c r="C5828" s="194">
        <v>11</v>
      </c>
      <c r="D5828" s="81"/>
      <c r="E5828" s="98"/>
      <c r="F5828" s="98"/>
      <c r="G5828" s="98"/>
      <c r="H5828" s="98"/>
      <c r="I5828" s="98"/>
      <c r="J5828" s="98"/>
      <c r="K5828" s="98"/>
      <c r="L5828" s="196"/>
    </row>
    <row r="5829" spans="1:12" ht="14.65" thickBot="1" x14ac:dyDescent="0.5">
      <c r="A5829" s="462"/>
      <c r="B5829" s="442"/>
      <c r="C5829" s="197">
        <v>12</v>
      </c>
      <c r="D5829" s="82"/>
      <c r="E5829" s="99"/>
      <c r="F5829" s="99"/>
      <c r="G5829" s="99"/>
      <c r="H5829" s="99"/>
      <c r="I5829" s="99"/>
      <c r="J5829" s="99"/>
      <c r="K5829" s="99"/>
      <c r="L5829" s="198"/>
    </row>
    <row r="5830" spans="1:12" x14ac:dyDescent="0.45">
      <c r="A5830" s="462"/>
      <c r="B5830" s="440">
        <v>7</v>
      </c>
      <c r="C5830" s="192">
        <v>1</v>
      </c>
      <c r="D5830" s="79"/>
      <c r="E5830" s="96"/>
      <c r="F5830" s="96"/>
      <c r="G5830" s="96"/>
      <c r="H5830" s="96"/>
      <c r="I5830" s="96"/>
      <c r="J5830" s="96"/>
      <c r="K5830" s="96"/>
      <c r="L5830" s="193"/>
    </row>
    <row r="5831" spans="1:12" x14ac:dyDescent="0.45">
      <c r="A5831" s="462"/>
      <c r="B5831" s="441"/>
      <c r="C5831" s="194">
        <v>2</v>
      </c>
      <c r="D5831" s="80"/>
      <c r="E5831" s="97"/>
      <c r="F5831" s="97"/>
      <c r="G5831" s="97"/>
      <c r="H5831" s="97"/>
      <c r="I5831" s="97"/>
      <c r="J5831" s="97"/>
      <c r="K5831" s="97"/>
      <c r="L5831" s="195"/>
    </row>
    <row r="5832" spans="1:12" x14ac:dyDescent="0.45">
      <c r="A5832" s="462"/>
      <c r="B5832" s="441"/>
      <c r="C5832" s="194">
        <v>3</v>
      </c>
      <c r="D5832" s="80"/>
      <c r="E5832" s="97"/>
      <c r="F5832" s="97"/>
      <c r="G5832" s="97"/>
      <c r="H5832" s="97"/>
      <c r="I5832" s="97"/>
      <c r="J5832" s="97"/>
      <c r="K5832" s="97"/>
      <c r="L5832" s="195"/>
    </row>
    <row r="5833" spans="1:12" x14ac:dyDescent="0.45">
      <c r="A5833" s="462"/>
      <c r="B5833" s="441"/>
      <c r="C5833" s="194">
        <v>4</v>
      </c>
      <c r="D5833" s="80"/>
      <c r="E5833" s="97"/>
      <c r="F5833" s="97"/>
      <c r="G5833" s="97"/>
      <c r="H5833" s="97"/>
      <c r="I5833" s="97"/>
      <c r="J5833" s="97"/>
      <c r="K5833" s="97"/>
      <c r="L5833" s="195"/>
    </row>
    <row r="5834" spans="1:12" x14ac:dyDescent="0.45">
      <c r="A5834" s="462"/>
      <c r="B5834" s="441"/>
      <c r="C5834" s="194">
        <v>5</v>
      </c>
      <c r="D5834" s="80"/>
      <c r="E5834" s="97"/>
      <c r="F5834" s="97"/>
      <c r="G5834" s="97"/>
      <c r="H5834" s="97"/>
      <c r="I5834" s="97"/>
      <c r="J5834" s="97"/>
      <c r="K5834" s="97"/>
      <c r="L5834" s="195"/>
    </row>
    <row r="5835" spans="1:12" x14ac:dyDescent="0.45">
      <c r="A5835" s="462"/>
      <c r="B5835" s="441"/>
      <c r="C5835" s="194">
        <v>6</v>
      </c>
      <c r="D5835" s="80"/>
      <c r="E5835" s="97"/>
      <c r="F5835" s="97"/>
      <c r="G5835" s="97"/>
      <c r="H5835" s="97"/>
      <c r="I5835" s="97"/>
      <c r="J5835" s="97"/>
      <c r="K5835" s="97"/>
      <c r="L5835" s="195"/>
    </row>
    <row r="5836" spans="1:12" x14ac:dyDescent="0.45">
      <c r="A5836" s="462"/>
      <c r="B5836" s="441"/>
      <c r="C5836" s="194">
        <v>7</v>
      </c>
      <c r="D5836" s="80"/>
      <c r="E5836" s="97"/>
      <c r="F5836" s="97"/>
      <c r="G5836" s="97"/>
      <c r="H5836" s="97"/>
      <c r="I5836" s="97"/>
      <c r="J5836" s="97"/>
      <c r="K5836" s="97"/>
      <c r="L5836" s="195"/>
    </row>
    <row r="5837" spans="1:12" x14ac:dyDescent="0.45">
      <c r="A5837" s="462"/>
      <c r="B5837" s="441"/>
      <c r="C5837" s="194">
        <v>8</v>
      </c>
      <c r="D5837" s="80"/>
      <c r="E5837" s="97"/>
      <c r="F5837" s="97"/>
      <c r="G5837" s="97"/>
      <c r="H5837" s="97"/>
      <c r="I5837" s="97"/>
      <c r="J5837" s="97"/>
      <c r="K5837" s="97"/>
      <c r="L5837" s="195"/>
    </row>
    <row r="5838" spans="1:12" x14ac:dyDescent="0.45">
      <c r="A5838" s="462"/>
      <c r="B5838" s="441"/>
      <c r="C5838" s="194">
        <v>9</v>
      </c>
      <c r="D5838" s="80"/>
      <c r="E5838" s="97"/>
      <c r="F5838" s="97"/>
      <c r="G5838" s="97"/>
      <c r="H5838" s="97"/>
      <c r="I5838" s="97"/>
      <c r="J5838" s="97"/>
      <c r="K5838" s="97"/>
      <c r="L5838" s="195"/>
    </row>
    <row r="5839" spans="1:12" x14ac:dyDescent="0.45">
      <c r="A5839" s="462"/>
      <c r="B5839" s="441"/>
      <c r="C5839" s="194">
        <v>10</v>
      </c>
      <c r="D5839" s="80"/>
      <c r="E5839" s="97"/>
      <c r="F5839" s="97"/>
      <c r="G5839" s="97"/>
      <c r="H5839" s="97"/>
      <c r="I5839" s="97"/>
      <c r="J5839" s="97"/>
      <c r="K5839" s="97"/>
      <c r="L5839" s="195"/>
    </row>
    <row r="5840" spans="1:12" x14ac:dyDescent="0.45">
      <c r="A5840" s="462"/>
      <c r="B5840" s="441"/>
      <c r="C5840" s="194">
        <v>11</v>
      </c>
      <c r="D5840" s="81"/>
      <c r="E5840" s="98"/>
      <c r="F5840" s="98"/>
      <c r="G5840" s="98"/>
      <c r="H5840" s="98"/>
      <c r="I5840" s="98"/>
      <c r="J5840" s="98"/>
      <c r="K5840" s="98"/>
      <c r="L5840" s="196"/>
    </row>
    <row r="5841" spans="1:12" ht="14.65" thickBot="1" x14ac:dyDescent="0.5">
      <c r="A5841" s="462"/>
      <c r="B5841" s="442"/>
      <c r="C5841" s="197">
        <v>12</v>
      </c>
      <c r="D5841" s="82"/>
      <c r="E5841" s="99"/>
      <c r="F5841" s="99"/>
      <c r="G5841" s="99"/>
      <c r="H5841" s="99"/>
      <c r="I5841" s="99"/>
      <c r="J5841" s="99"/>
      <c r="K5841" s="99"/>
      <c r="L5841" s="198"/>
    </row>
    <row r="5842" spans="1:12" x14ac:dyDescent="0.45">
      <c r="A5842" s="462"/>
      <c r="B5842" s="440">
        <v>8</v>
      </c>
      <c r="C5842" s="192">
        <v>1</v>
      </c>
      <c r="D5842" s="79"/>
      <c r="E5842" s="96"/>
      <c r="F5842" s="96"/>
      <c r="G5842" s="96"/>
      <c r="H5842" s="96"/>
      <c r="I5842" s="96"/>
      <c r="J5842" s="96"/>
      <c r="K5842" s="96"/>
      <c r="L5842" s="193"/>
    </row>
    <row r="5843" spans="1:12" x14ac:dyDescent="0.45">
      <c r="A5843" s="462"/>
      <c r="B5843" s="441"/>
      <c r="C5843" s="194">
        <v>2</v>
      </c>
      <c r="D5843" s="80"/>
      <c r="E5843" s="97"/>
      <c r="F5843" s="97"/>
      <c r="G5843" s="97"/>
      <c r="H5843" s="97"/>
      <c r="I5843" s="97"/>
      <c r="J5843" s="97"/>
      <c r="K5843" s="97"/>
      <c r="L5843" s="195"/>
    </row>
    <row r="5844" spans="1:12" x14ac:dyDescent="0.45">
      <c r="A5844" s="462"/>
      <c r="B5844" s="441"/>
      <c r="C5844" s="194">
        <v>3</v>
      </c>
      <c r="D5844" s="80"/>
      <c r="E5844" s="97"/>
      <c r="F5844" s="97"/>
      <c r="G5844" s="97"/>
      <c r="H5844" s="97"/>
      <c r="I5844" s="97"/>
      <c r="J5844" s="97"/>
      <c r="K5844" s="97"/>
      <c r="L5844" s="195"/>
    </row>
    <row r="5845" spans="1:12" x14ac:dyDescent="0.45">
      <c r="A5845" s="462"/>
      <c r="B5845" s="441"/>
      <c r="C5845" s="194">
        <v>4</v>
      </c>
      <c r="D5845" s="80"/>
      <c r="E5845" s="97"/>
      <c r="F5845" s="97"/>
      <c r="G5845" s="97"/>
      <c r="H5845" s="97"/>
      <c r="I5845" s="97"/>
      <c r="J5845" s="97"/>
      <c r="K5845" s="97"/>
      <c r="L5845" s="195"/>
    </row>
    <row r="5846" spans="1:12" x14ac:dyDescent="0.45">
      <c r="A5846" s="462"/>
      <c r="B5846" s="441"/>
      <c r="C5846" s="194">
        <v>5</v>
      </c>
      <c r="D5846" s="80"/>
      <c r="E5846" s="97"/>
      <c r="F5846" s="97"/>
      <c r="G5846" s="97"/>
      <c r="H5846" s="97"/>
      <c r="I5846" s="97"/>
      <c r="J5846" s="97"/>
      <c r="K5846" s="97"/>
      <c r="L5846" s="195"/>
    </row>
    <row r="5847" spans="1:12" x14ac:dyDescent="0.45">
      <c r="A5847" s="462"/>
      <c r="B5847" s="441"/>
      <c r="C5847" s="194">
        <v>6</v>
      </c>
      <c r="D5847" s="80"/>
      <c r="E5847" s="97"/>
      <c r="F5847" s="97"/>
      <c r="G5847" s="97"/>
      <c r="H5847" s="97"/>
      <c r="I5847" s="97"/>
      <c r="J5847" s="97"/>
      <c r="K5847" s="97"/>
      <c r="L5847" s="195"/>
    </row>
    <row r="5848" spans="1:12" x14ac:dyDescent="0.45">
      <c r="A5848" s="462"/>
      <c r="B5848" s="441"/>
      <c r="C5848" s="194">
        <v>7</v>
      </c>
      <c r="D5848" s="80"/>
      <c r="E5848" s="97"/>
      <c r="F5848" s="97"/>
      <c r="G5848" s="97"/>
      <c r="H5848" s="97"/>
      <c r="I5848" s="97"/>
      <c r="J5848" s="97"/>
      <c r="K5848" s="97"/>
      <c r="L5848" s="195"/>
    </row>
    <row r="5849" spans="1:12" x14ac:dyDescent="0.45">
      <c r="A5849" s="462"/>
      <c r="B5849" s="441"/>
      <c r="C5849" s="194">
        <v>8</v>
      </c>
      <c r="D5849" s="80"/>
      <c r="E5849" s="97"/>
      <c r="F5849" s="97"/>
      <c r="G5849" s="97"/>
      <c r="H5849" s="97"/>
      <c r="I5849" s="97"/>
      <c r="J5849" s="97"/>
      <c r="K5849" s="97"/>
      <c r="L5849" s="195"/>
    </row>
    <row r="5850" spans="1:12" x14ac:dyDescent="0.45">
      <c r="A5850" s="462"/>
      <c r="B5850" s="441"/>
      <c r="C5850" s="194">
        <v>9</v>
      </c>
      <c r="D5850" s="80"/>
      <c r="E5850" s="97"/>
      <c r="F5850" s="97"/>
      <c r="G5850" s="97"/>
      <c r="H5850" s="97"/>
      <c r="I5850" s="97"/>
      <c r="J5850" s="97"/>
      <c r="K5850" s="97"/>
      <c r="L5850" s="195"/>
    </row>
    <row r="5851" spans="1:12" x14ac:dyDescent="0.45">
      <c r="A5851" s="462"/>
      <c r="B5851" s="441"/>
      <c r="C5851" s="194">
        <v>10</v>
      </c>
      <c r="D5851" s="80"/>
      <c r="E5851" s="97"/>
      <c r="F5851" s="97"/>
      <c r="G5851" s="97"/>
      <c r="H5851" s="97"/>
      <c r="I5851" s="97"/>
      <c r="J5851" s="97"/>
      <c r="K5851" s="97"/>
      <c r="L5851" s="195"/>
    </row>
    <row r="5852" spans="1:12" x14ac:dyDescent="0.45">
      <c r="A5852" s="462"/>
      <c r="B5852" s="441"/>
      <c r="C5852" s="194">
        <v>11</v>
      </c>
      <c r="D5852" s="81"/>
      <c r="E5852" s="98"/>
      <c r="F5852" s="98"/>
      <c r="G5852" s="98"/>
      <c r="H5852" s="98"/>
      <c r="I5852" s="98"/>
      <c r="J5852" s="98"/>
      <c r="K5852" s="98"/>
      <c r="L5852" s="196"/>
    </row>
    <row r="5853" spans="1:12" ht="14.65" thickBot="1" x14ac:dyDescent="0.5">
      <c r="A5853" s="463"/>
      <c r="B5853" s="442"/>
      <c r="C5853" s="197">
        <v>12</v>
      </c>
      <c r="D5853" s="82"/>
      <c r="E5853" s="99"/>
      <c r="F5853" s="99"/>
      <c r="G5853" s="99"/>
      <c r="H5853" s="99"/>
      <c r="I5853" s="99"/>
      <c r="J5853" s="99"/>
      <c r="K5853" s="99"/>
      <c r="L5853" s="198"/>
    </row>
    <row r="5854" spans="1:12" x14ac:dyDescent="0.45">
      <c r="A5854" s="461">
        <v>3</v>
      </c>
      <c r="B5854" s="440">
        <v>9</v>
      </c>
      <c r="C5854" s="192">
        <v>1</v>
      </c>
      <c r="D5854" s="79"/>
      <c r="E5854" s="96"/>
      <c r="F5854" s="96"/>
      <c r="G5854" s="96"/>
      <c r="H5854" s="96"/>
      <c r="I5854" s="96"/>
      <c r="J5854" s="96"/>
      <c r="K5854" s="96"/>
      <c r="L5854" s="193"/>
    </row>
    <row r="5855" spans="1:12" x14ac:dyDescent="0.45">
      <c r="A5855" s="462"/>
      <c r="B5855" s="441"/>
      <c r="C5855" s="194">
        <v>2</v>
      </c>
      <c r="D5855" s="80"/>
      <c r="E5855" s="97"/>
      <c r="F5855" s="97"/>
      <c r="G5855" s="97"/>
      <c r="H5855" s="97"/>
      <c r="I5855" s="97"/>
      <c r="J5855" s="97"/>
      <c r="K5855" s="97"/>
      <c r="L5855" s="195"/>
    </row>
    <row r="5856" spans="1:12" x14ac:dyDescent="0.45">
      <c r="A5856" s="462"/>
      <c r="B5856" s="441"/>
      <c r="C5856" s="194">
        <v>3</v>
      </c>
      <c r="D5856" s="80"/>
      <c r="E5856" s="97"/>
      <c r="F5856" s="97"/>
      <c r="G5856" s="97"/>
      <c r="H5856" s="97"/>
      <c r="I5856" s="97"/>
      <c r="J5856" s="97"/>
      <c r="K5856" s="97"/>
      <c r="L5856" s="195"/>
    </row>
    <row r="5857" spans="1:12" x14ac:dyDescent="0.45">
      <c r="A5857" s="462"/>
      <c r="B5857" s="441"/>
      <c r="C5857" s="194">
        <v>4</v>
      </c>
      <c r="D5857" s="80"/>
      <c r="E5857" s="97"/>
      <c r="F5857" s="97"/>
      <c r="G5857" s="97"/>
      <c r="H5857" s="97"/>
      <c r="I5857" s="97"/>
      <c r="J5857" s="97"/>
      <c r="K5857" s="97"/>
      <c r="L5857" s="195"/>
    </row>
    <row r="5858" spans="1:12" x14ac:dyDescent="0.45">
      <c r="A5858" s="462"/>
      <c r="B5858" s="441"/>
      <c r="C5858" s="194">
        <v>5</v>
      </c>
      <c r="D5858" s="80"/>
      <c r="E5858" s="97"/>
      <c r="F5858" s="97"/>
      <c r="G5858" s="97"/>
      <c r="H5858" s="97"/>
      <c r="I5858" s="97"/>
      <c r="J5858" s="97"/>
      <c r="K5858" s="97"/>
      <c r="L5858" s="195"/>
    </row>
    <row r="5859" spans="1:12" x14ac:dyDescent="0.45">
      <c r="A5859" s="462"/>
      <c r="B5859" s="441"/>
      <c r="C5859" s="194">
        <v>6</v>
      </c>
      <c r="D5859" s="80"/>
      <c r="E5859" s="97"/>
      <c r="F5859" s="97"/>
      <c r="G5859" s="97"/>
      <c r="H5859" s="97"/>
      <c r="I5859" s="97"/>
      <c r="J5859" s="97"/>
      <c r="K5859" s="97"/>
      <c r="L5859" s="195"/>
    </row>
    <row r="5860" spans="1:12" x14ac:dyDescent="0.45">
      <c r="A5860" s="462"/>
      <c r="B5860" s="441"/>
      <c r="C5860" s="194">
        <v>7</v>
      </c>
      <c r="D5860" s="80"/>
      <c r="E5860" s="97"/>
      <c r="F5860" s="97"/>
      <c r="G5860" s="97"/>
      <c r="H5860" s="97"/>
      <c r="I5860" s="97"/>
      <c r="J5860" s="97"/>
      <c r="K5860" s="97"/>
      <c r="L5860" s="195"/>
    </row>
    <row r="5861" spans="1:12" x14ac:dyDescent="0.45">
      <c r="A5861" s="462"/>
      <c r="B5861" s="441"/>
      <c r="C5861" s="194">
        <v>8</v>
      </c>
      <c r="D5861" s="80"/>
      <c r="E5861" s="97"/>
      <c r="F5861" s="97"/>
      <c r="G5861" s="97"/>
      <c r="H5861" s="97"/>
      <c r="I5861" s="97"/>
      <c r="J5861" s="97"/>
      <c r="K5861" s="97"/>
      <c r="L5861" s="195"/>
    </row>
    <row r="5862" spans="1:12" x14ac:dyDescent="0.45">
      <c r="A5862" s="462"/>
      <c r="B5862" s="441"/>
      <c r="C5862" s="194">
        <v>9</v>
      </c>
      <c r="D5862" s="80"/>
      <c r="E5862" s="97"/>
      <c r="F5862" s="97"/>
      <c r="G5862" s="97"/>
      <c r="H5862" s="97"/>
      <c r="I5862" s="97"/>
      <c r="J5862" s="97"/>
      <c r="K5862" s="97"/>
      <c r="L5862" s="195"/>
    </row>
    <row r="5863" spans="1:12" x14ac:dyDescent="0.45">
      <c r="A5863" s="462"/>
      <c r="B5863" s="441"/>
      <c r="C5863" s="194">
        <v>10</v>
      </c>
      <c r="D5863" s="80"/>
      <c r="E5863" s="97"/>
      <c r="F5863" s="97"/>
      <c r="G5863" s="97"/>
      <c r="H5863" s="97"/>
      <c r="I5863" s="97"/>
      <c r="J5863" s="97"/>
      <c r="K5863" s="97"/>
      <c r="L5863" s="195"/>
    </row>
    <row r="5864" spans="1:12" x14ac:dyDescent="0.45">
      <c r="A5864" s="462"/>
      <c r="B5864" s="441"/>
      <c r="C5864" s="194">
        <v>11</v>
      </c>
      <c r="D5864" s="81"/>
      <c r="E5864" s="98"/>
      <c r="F5864" s="98"/>
      <c r="G5864" s="98"/>
      <c r="H5864" s="98"/>
      <c r="I5864" s="98"/>
      <c r="J5864" s="98"/>
      <c r="K5864" s="98"/>
      <c r="L5864" s="196"/>
    </row>
    <row r="5865" spans="1:12" ht="14.65" thickBot="1" x14ac:dyDescent="0.5">
      <c r="A5865" s="462"/>
      <c r="B5865" s="442"/>
      <c r="C5865" s="197">
        <v>12</v>
      </c>
      <c r="D5865" s="82"/>
      <c r="E5865" s="99"/>
      <c r="F5865" s="99"/>
      <c r="G5865" s="99"/>
      <c r="H5865" s="99"/>
      <c r="I5865" s="99"/>
      <c r="J5865" s="99"/>
      <c r="K5865" s="99"/>
      <c r="L5865" s="198"/>
    </row>
    <row r="5866" spans="1:12" x14ac:dyDescent="0.45">
      <c r="A5866" s="462"/>
      <c r="B5866" s="440">
        <v>10</v>
      </c>
      <c r="C5866" s="192">
        <v>1</v>
      </c>
      <c r="D5866" s="79"/>
      <c r="E5866" s="96"/>
      <c r="F5866" s="96"/>
      <c r="G5866" s="96"/>
      <c r="H5866" s="96"/>
      <c r="I5866" s="96"/>
      <c r="J5866" s="96"/>
      <c r="K5866" s="96"/>
      <c r="L5866" s="193"/>
    </row>
    <row r="5867" spans="1:12" x14ac:dyDescent="0.45">
      <c r="A5867" s="462"/>
      <c r="B5867" s="441"/>
      <c r="C5867" s="194">
        <v>2</v>
      </c>
      <c r="D5867" s="80"/>
      <c r="E5867" s="97"/>
      <c r="F5867" s="97"/>
      <c r="G5867" s="97"/>
      <c r="H5867" s="97"/>
      <c r="I5867" s="97"/>
      <c r="J5867" s="97"/>
      <c r="K5867" s="97"/>
      <c r="L5867" s="195"/>
    </row>
    <row r="5868" spans="1:12" x14ac:dyDescent="0.45">
      <c r="A5868" s="462"/>
      <c r="B5868" s="441"/>
      <c r="C5868" s="194">
        <v>3</v>
      </c>
      <c r="D5868" s="80"/>
      <c r="E5868" s="97"/>
      <c r="F5868" s="97"/>
      <c r="G5868" s="97"/>
      <c r="H5868" s="97"/>
      <c r="I5868" s="97"/>
      <c r="J5868" s="97"/>
      <c r="K5868" s="97"/>
      <c r="L5868" s="195"/>
    </row>
    <row r="5869" spans="1:12" x14ac:dyDescent="0.45">
      <c r="A5869" s="462"/>
      <c r="B5869" s="441"/>
      <c r="C5869" s="194">
        <v>4</v>
      </c>
      <c r="D5869" s="80"/>
      <c r="E5869" s="97"/>
      <c r="F5869" s="97"/>
      <c r="G5869" s="97"/>
      <c r="H5869" s="97"/>
      <c r="I5869" s="97"/>
      <c r="J5869" s="97"/>
      <c r="K5869" s="97"/>
      <c r="L5869" s="195"/>
    </row>
    <row r="5870" spans="1:12" x14ac:dyDescent="0.45">
      <c r="A5870" s="462"/>
      <c r="B5870" s="441"/>
      <c r="C5870" s="194">
        <v>5</v>
      </c>
      <c r="D5870" s="80"/>
      <c r="E5870" s="97"/>
      <c r="F5870" s="97"/>
      <c r="G5870" s="97"/>
      <c r="H5870" s="97"/>
      <c r="I5870" s="97"/>
      <c r="J5870" s="97"/>
      <c r="K5870" s="97"/>
      <c r="L5870" s="195"/>
    </row>
    <row r="5871" spans="1:12" x14ac:dyDescent="0.45">
      <c r="A5871" s="462"/>
      <c r="B5871" s="441"/>
      <c r="C5871" s="194">
        <v>6</v>
      </c>
      <c r="D5871" s="80"/>
      <c r="E5871" s="97"/>
      <c r="F5871" s="97"/>
      <c r="G5871" s="97"/>
      <c r="H5871" s="97"/>
      <c r="I5871" s="97"/>
      <c r="J5871" s="97"/>
      <c r="K5871" s="97"/>
      <c r="L5871" s="195"/>
    </row>
    <row r="5872" spans="1:12" x14ac:dyDescent="0.45">
      <c r="A5872" s="462"/>
      <c r="B5872" s="441"/>
      <c r="C5872" s="194">
        <v>7</v>
      </c>
      <c r="D5872" s="80"/>
      <c r="E5872" s="97"/>
      <c r="F5872" s="97"/>
      <c r="G5872" s="97"/>
      <c r="H5872" s="97"/>
      <c r="I5872" s="97"/>
      <c r="J5872" s="97"/>
      <c r="K5872" s="97"/>
      <c r="L5872" s="195"/>
    </row>
    <row r="5873" spans="1:12" x14ac:dyDescent="0.45">
      <c r="A5873" s="462"/>
      <c r="B5873" s="441"/>
      <c r="C5873" s="194">
        <v>8</v>
      </c>
      <c r="D5873" s="80"/>
      <c r="E5873" s="97"/>
      <c r="F5873" s="97"/>
      <c r="G5873" s="97"/>
      <c r="H5873" s="97"/>
      <c r="I5873" s="97"/>
      <c r="J5873" s="97"/>
      <c r="K5873" s="97"/>
      <c r="L5873" s="195"/>
    </row>
    <row r="5874" spans="1:12" x14ac:dyDescent="0.45">
      <c r="A5874" s="462"/>
      <c r="B5874" s="441"/>
      <c r="C5874" s="194">
        <v>9</v>
      </c>
      <c r="D5874" s="80"/>
      <c r="E5874" s="97"/>
      <c r="F5874" s="97"/>
      <c r="G5874" s="97"/>
      <c r="H5874" s="97"/>
      <c r="I5874" s="97"/>
      <c r="J5874" s="97"/>
      <c r="K5874" s="97"/>
      <c r="L5874" s="195"/>
    </row>
    <row r="5875" spans="1:12" x14ac:dyDescent="0.45">
      <c r="A5875" s="462"/>
      <c r="B5875" s="441"/>
      <c r="C5875" s="194">
        <v>10</v>
      </c>
      <c r="D5875" s="80"/>
      <c r="E5875" s="97"/>
      <c r="F5875" s="97"/>
      <c r="G5875" s="97"/>
      <c r="H5875" s="97"/>
      <c r="I5875" s="97"/>
      <c r="J5875" s="97"/>
      <c r="K5875" s="97"/>
      <c r="L5875" s="195"/>
    </row>
    <row r="5876" spans="1:12" x14ac:dyDescent="0.45">
      <c r="A5876" s="462"/>
      <c r="B5876" s="441"/>
      <c r="C5876" s="194">
        <v>11</v>
      </c>
      <c r="D5876" s="81"/>
      <c r="E5876" s="98"/>
      <c r="F5876" s="98"/>
      <c r="G5876" s="98"/>
      <c r="H5876" s="98"/>
      <c r="I5876" s="98"/>
      <c r="J5876" s="98"/>
      <c r="K5876" s="98"/>
      <c r="L5876" s="196"/>
    </row>
    <row r="5877" spans="1:12" ht="14.65" thickBot="1" x14ac:dyDescent="0.5">
      <c r="A5877" s="462"/>
      <c r="B5877" s="442"/>
      <c r="C5877" s="197">
        <v>12</v>
      </c>
      <c r="D5877" s="82"/>
      <c r="E5877" s="99"/>
      <c r="F5877" s="99"/>
      <c r="G5877" s="99"/>
      <c r="H5877" s="99"/>
      <c r="I5877" s="99"/>
      <c r="J5877" s="99"/>
      <c r="K5877" s="99"/>
      <c r="L5877" s="198"/>
    </row>
    <row r="5878" spans="1:12" x14ac:dyDescent="0.45">
      <c r="A5878" s="462"/>
      <c r="B5878" s="440">
        <v>11</v>
      </c>
      <c r="C5878" s="192">
        <v>1</v>
      </c>
      <c r="D5878" s="79"/>
      <c r="E5878" s="96"/>
      <c r="F5878" s="96"/>
      <c r="G5878" s="96"/>
      <c r="H5878" s="96"/>
      <c r="I5878" s="96"/>
      <c r="J5878" s="96"/>
      <c r="K5878" s="96"/>
      <c r="L5878" s="193"/>
    </row>
    <row r="5879" spans="1:12" x14ac:dyDescent="0.45">
      <c r="A5879" s="462"/>
      <c r="B5879" s="441"/>
      <c r="C5879" s="194">
        <v>2</v>
      </c>
      <c r="D5879" s="80"/>
      <c r="E5879" s="97"/>
      <c r="F5879" s="97"/>
      <c r="G5879" s="97"/>
      <c r="H5879" s="97"/>
      <c r="I5879" s="97"/>
      <c r="J5879" s="97"/>
      <c r="K5879" s="97"/>
      <c r="L5879" s="195"/>
    </row>
    <row r="5880" spans="1:12" x14ac:dyDescent="0.45">
      <c r="A5880" s="462"/>
      <c r="B5880" s="441"/>
      <c r="C5880" s="194">
        <v>3</v>
      </c>
      <c r="D5880" s="80"/>
      <c r="E5880" s="97"/>
      <c r="F5880" s="97"/>
      <c r="G5880" s="97"/>
      <c r="H5880" s="97"/>
      <c r="I5880" s="97"/>
      <c r="J5880" s="97"/>
      <c r="K5880" s="97"/>
      <c r="L5880" s="195"/>
    </row>
    <row r="5881" spans="1:12" x14ac:dyDescent="0.45">
      <c r="A5881" s="462"/>
      <c r="B5881" s="441"/>
      <c r="C5881" s="194">
        <v>4</v>
      </c>
      <c r="D5881" s="80"/>
      <c r="E5881" s="97"/>
      <c r="F5881" s="97"/>
      <c r="G5881" s="97"/>
      <c r="H5881" s="97"/>
      <c r="I5881" s="97"/>
      <c r="J5881" s="97"/>
      <c r="K5881" s="97"/>
      <c r="L5881" s="195"/>
    </row>
    <row r="5882" spans="1:12" x14ac:dyDescent="0.45">
      <c r="A5882" s="462"/>
      <c r="B5882" s="441"/>
      <c r="C5882" s="194">
        <v>5</v>
      </c>
      <c r="D5882" s="80"/>
      <c r="E5882" s="97"/>
      <c r="F5882" s="97"/>
      <c r="G5882" s="97"/>
      <c r="H5882" s="97"/>
      <c r="I5882" s="97"/>
      <c r="J5882" s="97"/>
      <c r="K5882" s="97"/>
      <c r="L5882" s="195"/>
    </row>
    <row r="5883" spans="1:12" x14ac:dyDescent="0.45">
      <c r="A5883" s="462"/>
      <c r="B5883" s="441"/>
      <c r="C5883" s="194">
        <v>6</v>
      </c>
      <c r="D5883" s="80"/>
      <c r="E5883" s="97"/>
      <c r="F5883" s="97"/>
      <c r="G5883" s="97"/>
      <c r="H5883" s="97"/>
      <c r="I5883" s="97"/>
      <c r="J5883" s="97"/>
      <c r="K5883" s="97"/>
      <c r="L5883" s="195"/>
    </row>
    <row r="5884" spans="1:12" x14ac:dyDescent="0.45">
      <c r="A5884" s="462"/>
      <c r="B5884" s="441"/>
      <c r="C5884" s="194">
        <v>7</v>
      </c>
      <c r="D5884" s="80"/>
      <c r="E5884" s="97"/>
      <c r="F5884" s="97"/>
      <c r="G5884" s="97"/>
      <c r="H5884" s="97"/>
      <c r="I5884" s="97"/>
      <c r="J5884" s="97"/>
      <c r="K5884" s="97"/>
      <c r="L5884" s="195"/>
    </row>
    <row r="5885" spans="1:12" x14ac:dyDescent="0.45">
      <c r="A5885" s="462"/>
      <c r="B5885" s="441"/>
      <c r="C5885" s="194">
        <v>8</v>
      </c>
      <c r="D5885" s="80"/>
      <c r="E5885" s="97"/>
      <c r="F5885" s="97"/>
      <c r="G5885" s="97"/>
      <c r="H5885" s="97"/>
      <c r="I5885" s="97"/>
      <c r="J5885" s="97"/>
      <c r="K5885" s="97"/>
      <c r="L5885" s="195"/>
    </row>
    <row r="5886" spans="1:12" x14ac:dyDescent="0.45">
      <c r="A5886" s="462"/>
      <c r="B5886" s="441"/>
      <c r="C5886" s="194">
        <v>9</v>
      </c>
      <c r="D5886" s="80"/>
      <c r="E5886" s="97"/>
      <c r="F5886" s="97"/>
      <c r="G5886" s="97"/>
      <c r="H5886" s="97"/>
      <c r="I5886" s="97"/>
      <c r="J5886" s="97"/>
      <c r="K5886" s="97"/>
      <c r="L5886" s="195"/>
    </row>
    <row r="5887" spans="1:12" x14ac:dyDescent="0.45">
      <c r="A5887" s="462"/>
      <c r="B5887" s="441"/>
      <c r="C5887" s="194">
        <v>10</v>
      </c>
      <c r="D5887" s="80"/>
      <c r="E5887" s="97"/>
      <c r="F5887" s="97"/>
      <c r="G5887" s="97"/>
      <c r="H5887" s="97"/>
      <c r="I5887" s="97"/>
      <c r="J5887" s="97"/>
      <c r="K5887" s="97"/>
      <c r="L5887" s="195"/>
    </row>
    <row r="5888" spans="1:12" x14ac:dyDescent="0.45">
      <c r="A5888" s="462"/>
      <c r="B5888" s="441"/>
      <c r="C5888" s="194">
        <v>11</v>
      </c>
      <c r="D5888" s="81"/>
      <c r="E5888" s="98"/>
      <c r="F5888" s="98"/>
      <c r="G5888" s="98"/>
      <c r="H5888" s="98"/>
      <c r="I5888" s="98"/>
      <c r="J5888" s="98"/>
      <c r="K5888" s="98"/>
      <c r="L5888" s="196"/>
    </row>
    <row r="5889" spans="1:12" ht="14.65" thickBot="1" x14ac:dyDescent="0.5">
      <c r="A5889" s="462"/>
      <c r="B5889" s="442"/>
      <c r="C5889" s="197">
        <v>12</v>
      </c>
      <c r="D5889" s="82"/>
      <c r="E5889" s="99"/>
      <c r="F5889" s="99"/>
      <c r="G5889" s="99"/>
      <c r="H5889" s="99"/>
      <c r="I5889" s="99"/>
      <c r="J5889" s="99"/>
      <c r="K5889" s="99"/>
      <c r="L5889" s="198"/>
    </row>
    <row r="5890" spans="1:12" x14ac:dyDescent="0.45">
      <c r="A5890" s="462"/>
      <c r="B5890" s="440">
        <v>12</v>
      </c>
      <c r="C5890" s="192">
        <v>1</v>
      </c>
      <c r="D5890" s="79"/>
      <c r="E5890" s="96"/>
      <c r="F5890" s="96"/>
      <c r="G5890" s="96"/>
      <c r="H5890" s="96"/>
      <c r="I5890" s="96"/>
      <c r="J5890" s="96"/>
      <c r="K5890" s="96"/>
      <c r="L5890" s="193"/>
    </row>
    <row r="5891" spans="1:12" x14ac:dyDescent="0.45">
      <c r="A5891" s="462"/>
      <c r="B5891" s="441"/>
      <c r="C5891" s="194">
        <v>2</v>
      </c>
      <c r="D5891" s="80"/>
      <c r="E5891" s="97"/>
      <c r="F5891" s="97"/>
      <c r="G5891" s="97"/>
      <c r="H5891" s="97"/>
      <c r="I5891" s="97"/>
      <c r="J5891" s="97"/>
      <c r="K5891" s="97"/>
      <c r="L5891" s="195"/>
    </row>
    <row r="5892" spans="1:12" x14ac:dyDescent="0.45">
      <c r="A5892" s="462"/>
      <c r="B5892" s="441"/>
      <c r="C5892" s="194">
        <v>3</v>
      </c>
      <c r="D5892" s="80"/>
      <c r="E5892" s="97"/>
      <c r="F5892" s="97"/>
      <c r="G5892" s="97"/>
      <c r="H5892" s="97"/>
      <c r="I5892" s="97"/>
      <c r="J5892" s="97"/>
      <c r="K5892" s="97"/>
      <c r="L5892" s="195"/>
    </row>
    <row r="5893" spans="1:12" x14ac:dyDescent="0.45">
      <c r="A5893" s="462"/>
      <c r="B5893" s="441"/>
      <c r="C5893" s="194">
        <v>4</v>
      </c>
      <c r="D5893" s="80"/>
      <c r="E5893" s="97"/>
      <c r="F5893" s="97"/>
      <c r="G5893" s="97"/>
      <c r="H5893" s="97"/>
      <c r="I5893" s="97"/>
      <c r="J5893" s="97"/>
      <c r="K5893" s="97"/>
      <c r="L5893" s="195"/>
    </row>
    <row r="5894" spans="1:12" x14ac:dyDescent="0.45">
      <c r="A5894" s="462"/>
      <c r="B5894" s="441"/>
      <c r="C5894" s="194">
        <v>5</v>
      </c>
      <c r="D5894" s="80"/>
      <c r="E5894" s="97"/>
      <c r="F5894" s="97"/>
      <c r="G5894" s="97"/>
      <c r="H5894" s="97"/>
      <c r="I5894" s="97"/>
      <c r="J5894" s="97"/>
      <c r="K5894" s="97"/>
      <c r="L5894" s="195"/>
    </row>
    <row r="5895" spans="1:12" x14ac:dyDescent="0.45">
      <c r="A5895" s="462"/>
      <c r="B5895" s="441"/>
      <c r="C5895" s="194">
        <v>6</v>
      </c>
      <c r="D5895" s="80"/>
      <c r="E5895" s="97"/>
      <c r="F5895" s="97"/>
      <c r="G5895" s="97"/>
      <c r="H5895" s="97"/>
      <c r="I5895" s="97"/>
      <c r="J5895" s="97"/>
      <c r="K5895" s="97"/>
      <c r="L5895" s="195"/>
    </row>
    <row r="5896" spans="1:12" x14ac:dyDescent="0.45">
      <c r="A5896" s="462"/>
      <c r="B5896" s="441"/>
      <c r="C5896" s="194">
        <v>7</v>
      </c>
      <c r="D5896" s="80"/>
      <c r="E5896" s="97"/>
      <c r="F5896" s="97"/>
      <c r="G5896" s="97"/>
      <c r="H5896" s="97"/>
      <c r="I5896" s="97"/>
      <c r="J5896" s="97"/>
      <c r="K5896" s="97"/>
      <c r="L5896" s="195"/>
    </row>
    <row r="5897" spans="1:12" x14ac:dyDescent="0.45">
      <c r="A5897" s="462"/>
      <c r="B5897" s="441"/>
      <c r="C5897" s="194">
        <v>8</v>
      </c>
      <c r="D5897" s="80"/>
      <c r="E5897" s="97"/>
      <c r="F5897" s="97"/>
      <c r="G5897" s="97"/>
      <c r="H5897" s="97"/>
      <c r="I5897" s="97"/>
      <c r="J5897" s="97"/>
      <c r="K5897" s="97"/>
      <c r="L5897" s="195"/>
    </row>
    <row r="5898" spans="1:12" x14ac:dyDescent="0.45">
      <c r="A5898" s="462"/>
      <c r="B5898" s="441"/>
      <c r="C5898" s="194">
        <v>9</v>
      </c>
      <c r="D5898" s="80"/>
      <c r="E5898" s="97"/>
      <c r="F5898" s="97"/>
      <c r="G5898" s="97"/>
      <c r="H5898" s="97"/>
      <c r="I5898" s="97"/>
      <c r="J5898" s="97"/>
      <c r="K5898" s="97"/>
      <c r="L5898" s="195"/>
    </row>
    <row r="5899" spans="1:12" x14ac:dyDescent="0.45">
      <c r="A5899" s="462"/>
      <c r="B5899" s="441"/>
      <c r="C5899" s="194">
        <v>10</v>
      </c>
      <c r="D5899" s="80"/>
      <c r="E5899" s="97"/>
      <c r="F5899" s="97"/>
      <c r="G5899" s="97"/>
      <c r="H5899" s="97"/>
      <c r="I5899" s="97"/>
      <c r="J5899" s="97"/>
      <c r="K5899" s="97"/>
      <c r="L5899" s="195"/>
    </row>
    <row r="5900" spans="1:12" x14ac:dyDescent="0.45">
      <c r="A5900" s="462"/>
      <c r="B5900" s="441"/>
      <c r="C5900" s="194">
        <v>11</v>
      </c>
      <c r="D5900" s="81"/>
      <c r="E5900" s="98"/>
      <c r="F5900" s="98"/>
      <c r="G5900" s="98"/>
      <c r="H5900" s="98"/>
      <c r="I5900" s="98"/>
      <c r="J5900" s="98"/>
      <c r="K5900" s="98"/>
      <c r="L5900" s="196"/>
    </row>
    <row r="5901" spans="1:12" ht="14.65" thickBot="1" x14ac:dyDescent="0.5">
      <c r="A5901" s="463"/>
      <c r="B5901" s="442"/>
      <c r="C5901" s="199">
        <v>12</v>
      </c>
      <c r="D5901" s="82"/>
      <c r="E5901" s="99"/>
      <c r="F5901" s="99"/>
      <c r="G5901" s="99"/>
      <c r="H5901" s="99"/>
      <c r="I5901" s="99"/>
      <c r="J5901" s="99"/>
      <c r="K5901" s="99"/>
      <c r="L5901" s="198"/>
    </row>
    <row r="5903" spans="1:12" s="91" customFormat="1" x14ac:dyDescent="0.45"/>
    <row r="5904" spans="1:12" ht="14.65" thickBot="1" x14ac:dyDescent="0.5"/>
    <row r="5905" spans="1:14" ht="28.9" thickBot="1" x14ac:dyDescent="0.5">
      <c r="A5905" s="187" t="s">
        <v>76</v>
      </c>
      <c r="B5905" s="186">
        <v>38</v>
      </c>
      <c r="C5905" s="109"/>
      <c r="D5905" s="109"/>
    </row>
    <row r="5906" spans="1:14" x14ac:dyDescent="0.45">
      <c r="A5906" s="443" t="s">
        <v>27</v>
      </c>
      <c r="B5906" s="448">
        <f>Name38</f>
        <v>0</v>
      </c>
      <c r="C5906" s="449"/>
      <c r="D5906" s="450"/>
      <c r="I5906" s="204"/>
      <c r="J5906" s="204"/>
      <c r="K5906" s="204"/>
      <c r="L5906" s="204"/>
      <c r="M5906" s="204"/>
      <c r="N5906" s="204"/>
    </row>
    <row r="5907" spans="1:14" x14ac:dyDescent="0.45">
      <c r="A5907" s="444"/>
      <c r="B5907" s="448"/>
      <c r="C5907" s="449"/>
      <c r="D5907" s="450"/>
      <c r="I5907" s="204"/>
      <c r="J5907" s="204"/>
      <c r="K5907" s="204"/>
      <c r="L5907" s="204"/>
      <c r="M5907" s="204"/>
      <c r="N5907" s="204"/>
    </row>
    <row r="5908" spans="1:14" x14ac:dyDescent="0.45">
      <c r="A5908" s="445"/>
      <c r="B5908" s="388"/>
      <c r="C5908" s="451"/>
      <c r="D5908" s="452"/>
      <c r="I5908" s="204"/>
      <c r="J5908" s="204"/>
      <c r="K5908" s="204"/>
      <c r="L5908" s="204"/>
      <c r="M5908" s="204"/>
      <c r="N5908" s="204"/>
    </row>
    <row r="5909" spans="1:14" ht="14.45" customHeight="1" x14ac:dyDescent="0.45">
      <c r="A5909" s="444" t="s">
        <v>155</v>
      </c>
      <c r="B5909" s="453">
        <f>GapA38</f>
        <v>0</v>
      </c>
      <c r="C5909" s="454"/>
      <c r="D5909" s="455"/>
      <c r="I5909" s="204"/>
      <c r="J5909" s="204"/>
      <c r="K5909" s="204"/>
      <c r="L5909" s="204"/>
      <c r="M5909" s="204"/>
      <c r="N5909" s="204"/>
    </row>
    <row r="5910" spans="1:14" x14ac:dyDescent="0.45">
      <c r="A5910" s="444"/>
      <c r="B5910" s="448"/>
      <c r="C5910" s="449"/>
      <c r="D5910" s="450"/>
      <c r="I5910" s="204"/>
      <c r="J5910" s="204"/>
      <c r="K5910" s="204"/>
      <c r="L5910" s="204"/>
      <c r="M5910" s="204"/>
      <c r="N5910" s="204"/>
    </row>
    <row r="5911" spans="1:14" x14ac:dyDescent="0.45">
      <c r="A5911" s="445"/>
      <c r="B5911" s="388"/>
      <c r="C5911" s="451"/>
      <c r="D5911" s="452"/>
      <c r="I5911" s="204"/>
      <c r="J5911" s="204"/>
      <c r="K5911" s="204"/>
      <c r="L5911" s="204"/>
      <c r="M5911" s="204"/>
      <c r="N5911" s="204"/>
    </row>
    <row r="5912" spans="1:14" x14ac:dyDescent="0.45">
      <c r="A5912" s="444" t="s">
        <v>159</v>
      </c>
      <c r="B5912" s="453">
        <f>Objective38</f>
        <v>0</v>
      </c>
      <c r="C5912" s="454"/>
      <c r="D5912" s="455"/>
      <c r="I5912" s="204"/>
      <c r="J5912" s="204"/>
      <c r="K5912" s="204"/>
      <c r="L5912" s="204"/>
      <c r="M5912" s="204"/>
      <c r="N5912" s="204"/>
    </row>
    <row r="5913" spans="1:14" x14ac:dyDescent="0.45">
      <c r="A5913" s="444"/>
      <c r="B5913" s="448"/>
      <c r="C5913" s="449"/>
      <c r="D5913" s="450"/>
      <c r="I5913" s="204"/>
      <c r="J5913" s="204"/>
      <c r="K5913" s="204"/>
      <c r="L5913" s="204"/>
      <c r="M5913" s="204"/>
      <c r="N5913" s="204"/>
    </row>
    <row r="5914" spans="1:14" x14ac:dyDescent="0.45">
      <c r="A5914" s="445"/>
      <c r="B5914" s="388"/>
      <c r="C5914" s="451"/>
      <c r="D5914" s="452"/>
      <c r="I5914" s="204"/>
      <c r="J5914" s="204"/>
      <c r="K5914" s="204"/>
      <c r="L5914" s="204"/>
      <c r="M5914" s="204"/>
      <c r="N5914" s="204"/>
    </row>
    <row r="5915" spans="1:14" ht="14.45" customHeight="1" x14ac:dyDescent="0.45">
      <c r="A5915" s="446" t="s">
        <v>166</v>
      </c>
      <c r="B5915" s="454">
        <f>Capacity38</f>
        <v>0</v>
      </c>
      <c r="C5915" s="454"/>
      <c r="D5915" s="455"/>
      <c r="I5915" s="204"/>
      <c r="J5915" s="204"/>
      <c r="K5915" s="204"/>
      <c r="L5915" s="204"/>
      <c r="M5915" s="204"/>
      <c r="N5915" s="204"/>
    </row>
    <row r="5916" spans="1:14" x14ac:dyDescent="0.45">
      <c r="A5916" s="447"/>
      <c r="B5916" s="449"/>
      <c r="C5916" s="449"/>
      <c r="D5916" s="450"/>
      <c r="I5916" s="204"/>
      <c r="J5916" s="204"/>
      <c r="K5916" s="204"/>
      <c r="L5916" s="204"/>
      <c r="M5916" s="204"/>
      <c r="N5916" s="204"/>
    </row>
    <row r="5917" spans="1:14" ht="14.65" thickBot="1" x14ac:dyDescent="0.5">
      <c r="A5917" s="464"/>
      <c r="B5917" s="456"/>
      <c r="C5917" s="456"/>
      <c r="D5917" s="457"/>
      <c r="I5917" s="204"/>
      <c r="J5917" s="204"/>
      <c r="K5917" s="204"/>
      <c r="L5917" s="204"/>
      <c r="M5917" s="204"/>
      <c r="N5917" s="204"/>
    </row>
    <row r="5919" spans="1:14" ht="14.65" thickBot="1" x14ac:dyDescent="0.5">
      <c r="A5919" s="90"/>
      <c r="B5919" s="90"/>
      <c r="C5919" s="90"/>
      <c r="D5919" s="90"/>
      <c r="E5919" s="90"/>
      <c r="F5919" s="90"/>
      <c r="G5919" s="90"/>
      <c r="H5919" s="90"/>
      <c r="I5919" s="90"/>
      <c r="J5919" s="90"/>
      <c r="K5919" s="90"/>
      <c r="L5919" s="90"/>
      <c r="M5919" s="90"/>
      <c r="N5919" s="90"/>
    </row>
    <row r="5920" spans="1:14" ht="21.75" customHeight="1" x14ac:dyDescent="0.45">
      <c r="A5920" s="458" t="s">
        <v>135</v>
      </c>
      <c r="B5920" s="459"/>
      <c r="C5920" s="459"/>
      <c r="D5920" s="459"/>
      <c r="E5920" s="459"/>
      <c r="F5920" s="459"/>
      <c r="G5920" s="459"/>
      <c r="H5920" s="459"/>
      <c r="I5920" s="459"/>
      <c r="J5920" s="459"/>
      <c r="K5920" s="459"/>
      <c r="L5920" s="460"/>
    </row>
    <row r="5921" spans="1:14" ht="29" customHeight="1" thickBot="1" x14ac:dyDescent="0.5">
      <c r="A5921" s="93" t="s">
        <v>74</v>
      </c>
      <c r="B5921" s="94" t="s">
        <v>28</v>
      </c>
      <c r="C5921" s="95" t="s">
        <v>320</v>
      </c>
      <c r="D5921" s="95" t="s">
        <v>127</v>
      </c>
      <c r="E5921" s="114" t="s">
        <v>90</v>
      </c>
      <c r="F5921" s="95" t="s">
        <v>175</v>
      </c>
      <c r="G5921" s="95" t="s">
        <v>176</v>
      </c>
      <c r="H5921" s="95" t="s">
        <v>156</v>
      </c>
      <c r="I5921" s="95" t="s">
        <v>157</v>
      </c>
      <c r="J5921" s="189" t="s">
        <v>321</v>
      </c>
      <c r="K5921" s="190" t="s">
        <v>29</v>
      </c>
      <c r="L5921" s="191" t="s">
        <v>322</v>
      </c>
    </row>
    <row r="5922" spans="1:14" x14ac:dyDescent="0.45">
      <c r="A5922" s="461">
        <v>1</v>
      </c>
      <c r="B5922" s="440">
        <v>1</v>
      </c>
      <c r="C5922" s="192">
        <v>1</v>
      </c>
      <c r="D5922" s="79"/>
      <c r="E5922" s="96"/>
      <c r="F5922" s="96"/>
      <c r="G5922" s="96"/>
      <c r="H5922" s="96"/>
      <c r="I5922" s="96"/>
      <c r="J5922" s="96"/>
      <c r="K5922" s="96"/>
      <c r="L5922" s="193"/>
    </row>
    <row r="5923" spans="1:14" x14ac:dyDescent="0.45">
      <c r="A5923" s="462"/>
      <c r="B5923" s="441"/>
      <c r="C5923" s="194">
        <v>2</v>
      </c>
      <c r="D5923" s="80"/>
      <c r="E5923" s="97"/>
      <c r="F5923" s="97"/>
      <c r="G5923" s="97"/>
      <c r="H5923" s="97"/>
      <c r="I5923" s="97"/>
      <c r="J5923" s="97"/>
      <c r="K5923" s="97"/>
      <c r="L5923" s="195"/>
    </row>
    <row r="5924" spans="1:14" x14ac:dyDescent="0.45">
      <c r="A5924" s="462"/>
      <c r="B5924" s="441"/>
      <c r="C5924" s="194">
        <v>3</v>
      </c>
      <c r="D5924" s="80"/>
      <c r="E5924" s="97"/>
      <c r="F5924" s="97"/>
      <c r="G5924" s="97"/>
      <c r="H5924" s="97"/>
      <c r="I5924" s="97"/>
      <c r="J5924" s="97"/>
      <c r="K5924" s="97"/>
      <c r="L5924" s="195"/>
    </row>
    <row r="5925" spans="1:14" x14ac:dyDescent="0.45">
      <c r="A5925" s="462"/>
      <c r="B5925" s="441"/>
      <c r="C5925" s="194">
        <v>4</v>
      </c>
      <c r="D5925" s="80"/>
      <c r="E5925" s="97"/>
      <c r="F5925" s="97"/>
      <c r="G5925" s="97"/>
      <c r="H5925" s="97"/>
      <c r="I5925" s="97"/>
      <c r="J5925" s="97"/>
      <c r="K5925" s="97"/>
      <c r="L5925" s="195"/>
    </row>
    <row r="5926" spans="1:14" x14ac:dyDescent="0.45">
      <c r="A5926" s="462"/>
      <c r="B5926" s="441"/>
      <c r="C5926" s="194">
        <v>5</v>
      </c>
      <c r="D5926" s="80"/>
      <c r="E5926" s="97"/>
      <c r="F5926" s="97"/>
      <c r="G5926" s="97"/>
      <c r="H5926" s="97"/>
      <c r="I5926" s="97"/>
      <c r="J5926" s="97"/>
      <c r="K5926" s="97"/>
      <c r="L5926" s="195"/>
    </row>
    <row r="5927" spans="1:14" x14ac:dyDescent="0.45">
      <c r="A5927" s="462"/>
      <c r="B5927" s="441"/>
      <c r="C5927" s="194">
        <v>6</v>
      </c>
      <c r="D5927" s="80"/>
      <c r="E5927" s="97"/>
      <c r="F5927" s="97"/>
      <c r="G5927" s="97"/>
      <c r="H5927" s="97"/>
      <c r="I5927" s="97"/>
      <c r="J5927" s="97"/>
      <c r="K5927" s="97"/>
      <c r="L5927" s="195"/>
    </row>
    <row r="5928" spans="1:14" x14ac:dyDescent="0.45">
      <c r="A5928" s="462"/>
      <c r="B5928" s="441"/>
      <c r="C5928" s="194">
        <v>7</v>
      </c>
      <c r="D5928" s="80"/>
      <c r="E5928" s="97"/>
      <c r="F5928" s="97"/>
      <c r="G5928" s="97"/>
      <c r="H5928" s="97"/>
      <c r="I5928" s="97"/>
      <c r="J5928" s="97"/>
      <c r="K5928" s="97"/>
      <c r="L5928" s="195"/>
    </row>
    <row r="5929" spans="1:14" x14ac:dyDescent="0.45">
      <c r="A5929" s="462"/>
      <c r="B5929" s="441"/>
      <c r="C5929" s="194">
        <v>8</v>
      </c>
      <c r="D5929" s="80"/>
      <c r="E5929" s="97"/>
      <c r="F5929" s="97"/>
      <c r="G5929" s="97"/>
      <c r="H5929" s="97"/>
      <c r="I5929" s="97"/>
      <c r="J5929" s="97"/>
      <c r="K5929" s="97"/>
      <c r="L5929" s="195"/>
    </row>
    <row r="5930" spans="1:14" x14ac:dyDescent="0.45">
      <c r="A5930" s="462"/>
      <c r="B5930" s="441"/>
      <c r="C5930" s="194">
        <v>9</v>
      </c>
      <c r="D5930" s="80"/>
      <c r="E5930" s="97"/>
      <c r="F5930" s="97"/>
      <c r="G5930" s="97"/>
      <c r="H5930" s="97"/>
      <c r="I5930" s="97"/>
      <c r="J5930" s="97"/>
      <c r="K5930" s="97"/>
      <c r="L5930" s="195"/>
    </row>
    <row r="5931" spans="1:14" x14ac:dyDescent="0.45">
      <c r="A5931" s="462"/>
      <c r="B5931" s="441"/>
      <c r="C5931" s="194">
        <v>10</v>
      </c>
      <c r="D5931" s="80"/>
      <c r="E5931" s="97"/>
      <c r="F5931" s="97"/>
      <c r="G5931" s="97"/>
      <c r="H5931" s="97"/>
      <c r="I5931" s="97"/>
      <c r="J5931" s="97"/>
      <c r="K5931" s="97"/>
      <c r="L5931" s="195"/>
    </row>
    <row r="5932" spans="1:14" x14ac:dyDescent="0.45">
      <c r="A5932" s="462"/>
      <c r="B5932" s="441"/>
      <c r="C5932" s="194">
        <v>11</v>
      </c>
      <c r="D5932" s="81"/>
      <c r="E5932" s="98"/>
      <c r="F5932" s="98"/>
      <c r="G5932" s="98"/>
      <c r="H5932" s="98"/>
      <c r="I5932" s="98"/>
      <c r="J5932" s="98"/>
      <c r="K5932" s="98"/>
      <c r="L5932" s="196"/>
    </row>
    <row r="5933" spans="1:14" s="90" customFormat="1" ht="14.65" thickBot="1" x14ac:dyDescent="0.5">
      <c r="A5933" s="462"/>
      <c r="B5933" s="442"/>
      <c r="C5933" s="197">
        <v>12</v>
      </c>
      <c r="D5933" s="82"/>
      <c r="E5933" s="99"/>
      <c r="F5933" s="99"/>
      <c r="G5933" s="99"/>
      <c r="H5933" s="99"/>
      <c r="I5933" s="99"/>
      <c r="J5933" s="99"/>
      <c r="K5933" s="99"/>
      <c r="L5933" s="198"/>
      <c r="M5933" s="61"/>
      <c r="N5933" s="61"/>
    </row>
    <row r="5934" spans="1:14" x14ac:dyDescent="0.45">
      <c r="A5934" s="462"/>
      <c r="B5934" s="440">
        <v>2</v>
      </c>
      <c r="C5934" s="192">
        <v>1</v>
      </c>
      <c r="D5934" s="79"/>
      <c r="E5934" s="96"/>
      <c r="F5934" s="96"/>
      <c r="G5934" s="96"/>
      <c r="H5934" s="96"/>
      <c r="I5934" s="96"/>
      <c r="J5934" s="96"/>
      <c r="K5934" s="96"/>
      <c r="L5934" s="193"/>
    </row>
    <row r="5935" spans="1:14" x14ac:dyDescent="0.45">
      <c r="A5935" s="462"/>
      <c r="B5935" s="441"/>
      <c r="C5935" s="194">
        <v>2</v>
      </c>
      <c r="D5935" s="80"/>
      <c r="E5935" s="97"/>
      <c r="F5935" s="97"/>
      <c r="G5935" s="97"/>
      <c r="H5935" s="97"/>
      <c r="I5935" s="97"/>
      <c r="J5935" s="97"/>
      <c r="K5935" s="97"/>
      <c r="L5935" s="195"/>
    </row>
    <row r="5936" spans="1:14" x14ac:dyDescent="0.45">
      <c r="A5936" s="462"/>
      <c r="B5936" s="441"/>
      <c r="C5936" s="194">
        <v>3</v>
      </c>
      <c r="D5936" s="80"/>
      <c r="E5936" s="97"/>
      <c r="F5936" s="97"/>
      <c r="G5936" s="97"/>
      <c r="H5936" s="97"/>
      <c r="I5936" s="97"/>
      <c r="J5936" s="97"/>
      <c r="K5936" s="97"/>
      <c r="L5936" s="195"/>
    </row>
    <row r="5937" spans="1:12" x14ac:dyDescent="0.45">
      <c r="A5937" s="462"/>
      <c r="B5937" s="441"/>
      <c r="C5937" s="194">
        <v>4</v>
      </c>
      <c r="D5937" s="80"/>
      <c r="E5937" s="97"/>
      <c r="F5937" s="97"/>
      <c r="G5937" s="97"/>
      <c r="H5937" s="97"/>
      <c r="I5937" s="97"/>
      <c r="J5937" s="97"/>
      <c r="K5937" s="97"/>
      <c r="L5937" s="195"/>
    </row>
    <row r="5938" spans="1:12" x14ac:dyDescent="0.45">
      <c r="A5938" s="462"/>
      <c r="B5938" s="441"/>
      <c r="C5938" s="194">
        <v>5</v>
      </c>
      <c r="D5938" s="80"/>
      <c r="E5938" s="97"/>
      <c r="F5938" s="97"/>
      <c r="G5938" s="97"/>
      <c r="H5938" s="97"/>
      <c r="I5938" s="97"/>
      <c r="J5938" s="97"/>
      <c r="K5938" s="97"/>
      <c r="L5938" s="195"/>
    </row>
    <row r="5939" spans="1:12" x14ac:dyDescent="0.45">
      <c r="A5939" s="462"/>
      <c r="B5939" s="441"/>
      <c r="C5939" s="194">
        <v>6</v>
      </c>
      <c r="D5939" s="80"/>
      <c r="E5939" s="97"/>
      <c r="F5939" s="97"/>
      <c r="G5939" s="97"/>
      <c r="H5939" s="97"/>
      <c r="I5939" s="97"/>
      <c r="J5939" s="97"/>
      <c r="K5939" s="97"/>
      <c r="L5939" s="195"/>
    </row>
    <row r="5940" spans="1:12" x14ac:dyDescent="0.45">
      <c r="A5940" s="462"/>
      <c r="B5940" s="441"/>
      <c r="C5940" s="194">
        <v>7</v>
      </c>
      <c r="D5940" s="80"/>
      <c r="E5940" s="97"/>
      <c r="F5940" s="97"/>
      <c r="G5940" s="97"/>
      <c r="H5940" s="97"/>
      <c r="I5940" s="97"/>
      <c r="J5940" s="97"/>
      <c r="K5940" s="97"/>
      <c r="L5940" s="195"/>
    </row>
    <row r="5941" spans="1:12" x14ac:dyDescent="0.45">
      <c r="A5941" s="462"/>
      <c r="B5941" s="441"/>
      <c r="C5941" s="194">
        <v>8</v>
      </c>
      <c r="D5941" s="80"/>
      <c r="E5941" s="97"/>
      <c r="F5941" s="97"/>
      <c r="G5941" s="97"/>
      <c r="H5941" s="97"/>
      <c r="I5941" s="97"/>
      <c r="J5941" s="97"/>
      <c r="K5941" s="97"/>
      <c r="L5941" s="195"/>
    </row>
    <row r="5942" spans="1:12" x14ac:dyDescent="0.45">
      <c r="A5942" s="462"/>
      <c r="B5942" s="441"/>
      <c r="C5942" s="194">
        <v>9</v>
      </c>
      <c r="D5942" s="80"/>
      <c r="E5942" s="97"/>
      <c r="F5942" s="97"/>
      <c r="G5942" s="97"/>
      <c r="H5942" s="97"/>
      <c r="I5942" s="97"/>
      <c r="J5942" s="97"/>
      <c r="K5942" s="97"/>
      <c r="L5942" s="195"/>
    </row>
    <row r="5943" spans="1:12" x14ac:dyDescent="0.45">
      <c r="A5943" s="462"/>
      <c r="B5943" s="441"/>
      <c r="C5943" s="194">
        <v>10</v>
      </c>
      <c r="D5943" s="80"/>
      <c r="E5943" s="97"/>
      <c r="F5943" s="97"/>
      <c r="G5943" s="97"/>
      <c r="H5943" s="97"/>
      <c r="I5943" s="97"/>
      <c r="J5943" s="97"/>
      <c r="K5943" s="97"/>
      <c r="L5943" s="195"/>
    </row>
    <row r="5944" spans="1:12" x14ac:dyDescent="0.45">
      <c r="A5944" s="462"/>
      <c r="B5944" s="441"/>
      <c r="C5944" s="194">
        <v>11</v>
      </c>
      <c r="D5944" s="81"/>
      <c r="E5944" s="98"/>
      <c r="F5944" s="98"/>
      <c r="G5944" s="98"/>
      <c r="H5944" s="98"/>
      <c r="I5944" s="98"/>
      <c r="J5944" s="98"/>
      <c r="K5944" s="98"/>
      <c r="L5944" s="196"/>
    </row>
    <row r="5945" spans="1:12" ht="14.65" thickBot="1" x14ac:dyDescent="0.5">
      <c r="A5945" s="462"/>
      <c r="B5945" s="442"/>
      <c r="C5945" s="197">
        <v>12</v>
      </c>
      <c r="D5945" s="82"/>
      <c r="E5945" s="99"/>
      <c r="F5945" s="99"/>
      <c r="G5945" s="99"/>
      <c r="H5945" s="99"/>
      <c r="I5945" s="99"/>
      <c r="J5945" s="99"/>
      <c r="K5945" s="99"/>
      <c r="L5945" s="198"/>
    </row>
    <row r="5946" spans="1:12" x14ac:dyDescent="0.45">
      <c r="A5946" s="462"/>
      <c r="B5946" s="440">
        <v>3</v>
      </c>
      <c r="C5946" s="192">
        <v>1</v>
      </c>
      <c r="D5946" s="79"/>
      <c r="E5946" s="96"/>
      <c r="F5946" s="96"/>
      <c r="G5946" s="96"/>
      <c r="H5946" s="96"/>
      <c r="I5946" s="96"/>
      <c r="J5946" s="96"/>
      <c r="K5946" s="96"/>
      <c r="L5946" s="193"/>
    </row>
    <row r="5947" spans="1:12" x14ac:dyDescent="0.45">
      <c r="A5947" s="462"/>
      <c r="B5947" s="441"/>
      <c r="C5947" s="194">
        <v>2</v>
      </c>
      <c r="D5947" s="80"/>
      <c r="E5947" s="97"/>
      <c r="F5947" s="97"/>
      <c r="G5947" s="97"/>
      <c r="H5947" s="97"/>
      <c r="I5947" s="97"/>
      <c r="J5947" s="97"/>
      <c r="K5947" s="97"/>
      <c r="L5947" s="195"/>
    </row>
    <row r="5948" spans="1:12" x14ac:dyDescent="0.45">
      <c r="A5948" s="462"/>
      <c r="B5948" s="441"/>
      <c r="C5948" s="194">
        <v>3</v>
      </c>
      <c r="D5948" s="80"/>
      <c r="E5948" s="97"/>
      <c r="F5948" s="97"/>
      <c r="G5948" s="97"/>
      <c r="H5948" s="97"/>
      <c r="I5948" s="97"/>
      <c r="J5948" s="97"/>
      <c r="K5948" s="97"/>
      <c r="L5948" s="195"/>
    </row>
    <row r="5949" spans="1:12" x14ac:dyDescent="0.45">
      <c r="A5949" s="462"/>
      <c r="B5949" s="441"/>
      <c r="C5949" s="194">
        <v>4</v>
      </c>
      <c r="D5949" s="80"/>
      <c r="E5949" s="97"/>
      <c r="F5949" s="97"/>
      <c r="G5949" s="97"/>
      <c r="H5949" s="97"/>
      <c r="I5949" s="97"/>
      <c r="J5949" s="97"/>
      <c r="K5949" s="97"/>
      <c r="L5949" s="195"/>
    </row>
    <row r="5950" spans="1:12" x14ac:dyDescent="0.45">
      <c r="A5950" s="462"/>
      <c r="B5950" s="441"/>
      <c r="C5950" s="194">
        <v>5</v>
      </c>
      <c r="D5950" s="80"/>
      <c r="E5950" s="97"/>
      <c r="F5950" s="97"/>
      <c r="G5950" s="97"/>
      <c r="H5950" s="97"/>
      <c r="I5950" s="97"/>
      <c r="J5950" s="97"/>
      <c r="K5950" s="97"/>
      <c r="L5950" s="195"/>
    </row>
    <row r="5951" spans="1:12" x14ac:dyDescent="0.45">
      <c r="A5951" s="462"/>
      <c r="B5951" s="441"/>
      <c r="C5951" s="194">
        <v>6</v>
      </c>
      <c r="D5951" s="80"/>
      <c r="E5951" s="97"/>
      <c r="F5951" s="97"/>
      <c r="G5951" s="97"/>
      <c r="H5951" s="97"/>
      <c r="I5951" s="97"/>
      <c r="J5951" s="97"/>
      <c r="K5951" s="97"/>
      <c r="L5951" s="195"/>
    </row>
    <row r="5952" spans="1:12" x14ac:dyDescent="0.45">
      <c r="A5952" s="462"/>
      <c r="B5952" s="441"/>
      <c r="C5952" s="194">
        <v>7</v>
      </c>
      <c r="D5952" s="80"/>
      <c r="E5952" s="97"/>
      <c r="F5952" s="97"/>
      <c r="G5952" s="97"/>
      <c r="H5952" s="97"/>
      <c r="I5952" s="97"/>
      <c r="J5952" s="97"/>
      <c r="K5952" s="97"/>
      <c r="L5952" s="195"/>
    </row>
    <row r="5953" spans="1:12" x14ac:dyDescent="0.45">
      <c r="A5953" s="462"/>
      <c r="B5953" s="441"/>
      <c r="C5953" s="194">
        <v>8</v>
      </c>
      <c r="D5953" s="80"/>
      <c r="E5953" s="97"/>
      <c r="F5953" s="97"/>
      <c r="G5953" s="97"/>
      <c r="H5953" s="97"/>
      <c r="I5953" s="97"/>
      <c r="J5953" s="97"/>
      <c r="K5953" s="97"/>
      <c r="L5953" s="195"/>
    </row>
    <row r="5954" spans="1:12" x14ac:dyDescent="0.45">
      <c r="A5954" s="462"/>
      <c r="B5954" s="441"/>
      <c r="C5954" s="194">
        <v>9</v>
      </c>
      <c r="D5954" s="80"/>
      <c r="E5954" s="97"/>
      <c r="F5954" s="97"/>
      <c r="G5954" s="97"/>
      <c r="H5954" s="97"/>
      <c r="I5954" s="97"/>
      <c r="J5954" s="97"/>
      <c r="K5954" s="97"/>
      <c r="L5954" s="195"/>
    </row>
    <row r="5955" spans="1:12" x14ac:dyDescent="0.45">
      <c r="A5955" s="462"/>
      <c r="B5955" s="441"/>
      <c r="C5955" s="194">
        <v>10</v>
      </c>
      <c r="D5955" s="80"/>
      <c r="E5955" s="97"/>
      <c r="F5955" s="97"/>
      <c r="G5955" s="97"/>
      <c r="H5955" s="97"/>
      <c r="I5955" s="97"/>
      <c r="J5955" s="97"/>
      <c r="K5955" s="97"/>
      <c r="L5955" s="195"/>
    </row>
    <row r="5956" spans="1:12" x14ac:dyDescent="0.45">
      <c r="A5956" s="462"/>
      <c r="B5956" s="441"/>
      <c r="C5956" s="194">
        <v>11</v>
      </c>
      <c r="D5956" s="81"/>
      <c r="E5956" s="98"/>
      <c r="F5956" s="98"/>
      <c r="G5956" s="98"/>
      <c r="H5956" s="98"/>
      <c r="I5956" s="98"/>
      <c r="J5956" s="98"/>
      <c r="K5956" s="98"/>
      <c r="L5956" s="196"/>
    </row>
    <row r="5957" spans="1:12" ht="14.65" thickBot="1" x14ac:dyDescent="0.5">
      <c r="A5957" s="462"/>
      <c r="B5957" s="442"/>
      <c r="C5957" s="197">
        <v>12</v>
      </c>
      <c r="D5957" s="82"/>
      <c r="E5957" s="99"/>
      <c r="F5957" s="99"/>
      <c r="G5957" s="99"/>
      <c r="H5957" s="99"/>
      <c r="I5957" s="99"/>
      <c r="J5957" s="99"/>
      <c r="K5957" s="99"/>
      <c r="L5957" s="198"/>
    </row>
    <row r="5958" spans="1:12" x14ac:dyDescent="0.45">
      <c r="A5958" s="462"/>
      <c r="B5958" s="440">
        <v>4</v>
      </c>
      <c r="C5958" s="192">
        <v>1</v>
      </c>
      <c r="D5958" s="79"/>
      <c r="E5958" s="96"/>
      <c r="F5958" s="96"/>
      <c r="G5958" s="96"/>
      <c r="H5958" s="96"/>
      <c r="I5958" s="96"/>
      <c r="J5958" s="96"/>
      <c r="K5958" s="96"/>
      <c r="L5958" s="193"/>
    </row>
    <row r="5959" spans="1:12" x14ac:dyDescent="0.45">
      <c r="A5959" s="462"/>
      <c r="B5959" s="441"/>
      <c r="C5959" s="194">
        <v>2</v>
      </c>
      <c r="D5959" s="80"/>
      <c r="E5959" s="97"/>
      <c r="F5959" s="97"/>
      <c r="G5959" s="97"/>
      <c r="H5959" s="97"/>
      <c r="I5959" s="97"/>
      <c r="J5959" s="97"/>
      <c r="K5959" s="97"/>
      <c r="L5959" s="195"/>
    </row>
    <row r="5960" spans="1:12" x14ac:dyDescent="0.45">
      <c r="A5960" s="462"/>
      <c r="B5960" s="441"/>
      <c r="C5960" s="194">
        <v>3</v>
      </c>
      <c r="D5960" s="80"/>
      <c r="E5960" s="97"/>
      <c r="F5960" s="97"/>
      <c r="G5960" s="97"/>
      <c r="H5960" s="97"/>
      <c r="I5960" s="97"/>
      <c r="J5960" s="97"/>
      <c r="K5960" s="97"/>
      <c r="L5960" s="195"/>
    </row>
    <row r="5961" spans="1:12" x14ac:dyDescent="0.45">
      <c r="A5961" s="462"/>
      <c r="B5961" s="441"/>
      <c r="C5961" s="194">
        <v>4</v>
      </c>
      <c r="D5961" s="80"/>
      <c r="E5961" s="97"/>
      <c r="F5961" s="97"/>
      <c r="G5961" s="97"/>
      <c r="H5961" s="97"/>
      <c r="I5961" s="97"/>
      <c r="J5961" s="97"/>
      <c r="K5961" s="97"/>
      <c r="L5961" s="195"/>
    </row>
    <row r="5962" spans="1:12" x14ac:dyDescent="0.45">
      <c r="A5962" s="462"/>
      <c r="B5962" s="441"/>
      <c r="C5962" s="194">
        <v>5</v>
      </c>
      <c r="D5962" s="80"/>
      <c r="E5962" s="97"/>
      <c r="F5962" s="97"/>
      <c r="G5962" s="97"/>
      <c r="H5962" s="97"/>
      <c r="I5962" s="97"/>
      <c r="J5962" s="97"/>
      <c r="K5962" s="97"/>
      <c r="L5962" s="195"/>
    </row>
    <row r="5963" spans="1:12" x14ac:dyDescent="0.45">
      <c r="A5963" s="462"/>
      <c r="B5963" s="441"/>
      <c r="C5963" s="194">
        <v>6</v>
      </c>
      <c r="D5963" s="80"/>
      <c r="E5963" s="97"/>
      <c r="F5963" s="97"/>
      <c r="G5963" s="97"/>
      <c r="H5963" s="97"/>
      <c r="I5963" s="97"/>
      <c r="J5963" s="97"/>
      <c r="K5963" s="97"/>
      <c r="L5963" s="195"/>
    </row>
    <row r="5964" spans="1:12" x14ac:dyDescent="0.45">
      <c r="A5964" s="462"/>
      <c r="B5964" s="441"/>
      <c r="C5964" s="194">
        <v>7</v>
      </c>
      <c r="D5964" s="80"/>
      <c r="E5964" s="97"/>
      <c r="F5964" s="97"/>
      <c r="G5964" s="97"/>
      <c r="H5964" s="97"/>
      <c r="I5964" s="97"/>
      <c r="J5964" s="97"/>
      <c r="K5964" s="97"/>
      <c r="L5964" s="195"/>
    </row>
    <row r="5965" spans="1:12" x14ac:dyDescent="0.45">
      <c r="A5965" s="462"/>
      <c r="B5965" s="441"/>
      <c r="C5965" s="194">
        <v>8</v>
      </c>
      <c r="D5965" s="80"/>
      <c r="E5965" s="97"/>
      <c r="F5965" s="97"/>
      <c r="G5965" s="97"/>
      <c r="H5965" s="97"/>
      <c r="I5965" s="97"/>
      <c r="J5965" s="97"/>
      <c r="K5965" s="97"/>
      <c r="L5965" s="195"/>
    </row>
    <row r="5966" spans="1:12" x14ac:dyDescent="0.45">
      <c r="A5966" s="462"/>
      <c r="B5966" s="441"/>
      <c r="C5966" s="194">
        <v>9</v>
      </c>
      <c r="D5966" s="80"/>
      <c r="E5966" s="97"/>
      <c r="F5966" s="97"/>
      <c r="G5966" s="97"/>
      <c r="H5966" s="97"/>
      <c r="I5966" s="97"/>
      <c r="J5966" s="97"/>
      <c r="K5966" s="97"/>
      <c r="L5966" s="195"/>
    </row>
    <row r="5967" spans="1:12" x14ac:dyDescent="0.45">
      <c r="A5967" s="462"/>
      <c r="B5967" s="441"/>
      <c r="C5967" s="194">
        <v>10</v>
      </c>
      <c r="D5967" s="80"/>
      <c r="E5967" s="97"/>
      <c r="F5967" s="97"/>
      <c r="G5967" s="97"/>
      <c r="H5967" s="97"/>
      <c r="I5967" s="97"/>
      <c r="J5967" s="97"/>
      <c r="K5967" s="97"/>
      <c r="L5967" s="195"/>
    </row>
    <row r="5968" spans="1:12" x14ac:dyDescent="0.45">
      <c r="A5968" s="462"/>
      <c r="B5968" s="441"/>
      <c r="C5968" s="194">
        <v>11</v>
      </c>
      <c r="D5968" s="81"/>
      <c r="E5968" s="98"/>
      <c r="F5968" s="98"/>
      <c r="G5968" s="98"/>
      <c r="H5968" s="98"/>
      <c r="I5968" s="98"/>
      <c r="J5968" s="98"/>
      <c r="K5968" s="98"/>
      <c r="L5968" s="196"/>
    </row>
    <row r="5969" spans="1:12" ht="14.65" thickBot="1" x14ac:dyDescent="0.5">
      <c r="A5969" s="463"/>
      <c r="B5969" s="442"/>
      <c r="C5969" s="197">
        <v>12</v>
      </c>
      <c r="D5969" s="82"/>
      <c r="E5969" s="99"/>
      <c r="F5969" s="99"/>
      <c r="G5969" s="99"/>
      <c r="H5969" s="99"/>
      <c r="I5969" s="99"/>
      <c r="J5969" s="99"/>
      <c r="K5969" s="99"/>
      <c r="L5969" s="198"/>
    </row>
    <row r="5970" spans="1:12" x14ac:dyDescent="0.45">
      <c r="A5970" s="461">
        <v>2</v>
      </c>
      <c r="B5970" s="440">
        <v>5</v>
      </c>
      <c r="C5970" s="192">
        <v>1</v>
      </c>
      <c r="D5970" s="79"/>
      <c r="E5970" s="96"/>
      <c r="F5970" s="96"/>
      <c r="G5970" s="96"/>
      <c r="H5970" s="96"/>
      <c r="I5970" s="96"/>
      <c r="J5970" s="96"/>
      <c r="K5970" s="96"/>
      <c r="L5970" s="193"/>
    </row>
    <row r="5971" spans="1:12" x14ac:dyDescent="0.45">
      <c r="A5971" s="462"/>
      <c r="B5971" s="441"/>
      <c r="C5971" s="194">
        <v>2</v>
      </c>
      <c r="D5971" s="80"/>
      <c r="E5971" s="97"/>
      <c r="F5971" s="97"/>
      <c r="G5971" s="97"/>
      <c r="H5971" s="97"/>
      <c r="I5971" s="97"/>
      <c r="J5971" s="97"/>
      <c r="K5971" s="97"/>
      <c r="L5971" s="195"/>
    </row>
    <row r="5972" spans="1:12" x14ac:dyDescent="0.45">
      <c r="A5972" s="462"/>
      <c r="B5972" s="441"/>
      <c r="C5972" s="194">
        <v>3</v>
      </c>
      <c r="D5972" s="80"/>
      <c r="E5972" s="97"/>
      <c r="F5972" s="97"/>
      <c r="G5972" s="97"/>
      <c r="H5972" s="97"/>
      <c r="I5972" s="97"/>
      <c r="J5972" s="97"/>
      <c r="K5972" s="97"/>
      <c r="L5972" s="195"/>
    </row>
    <row r="5973" spans="1:12" x14ac:dyDescent="0.45">
      <c r="A5973" s="462"/>
      <c r="B5973" s="441"/>
      <c r="C5973" s="194">
        <v>4</v>
      </c>
      <c r="D5973" s="80"/>
      <c r="E5973" s="97"/>
      <c r="F5973" s="97"/>
      <c r="G5973" s="97"/>
      <c r="H5973" s="97"/>
      <c r="I5973" s="97"/>
      <c r="J5973" s="97"/>
      <c r="K5973" s="97"/>
      <c r="L5973" s="195"/>
    </row>
    <row r="5974" spans="1:12" x14ac:dyDescent="0.45">
      <c r="A5974" s="462"/>
      <c r="B5974" s="441"/>
      <c r="C5974" s="194">
        <v>5</v>
      </c>
      <c r="D5974" s="80"/>
      <c r="E5974" s="97"/>
      <c r="F5974" s="97"/>
      <c r="G5974" s="97"/>
      <c r="H5974" s="97"/>
      <c r="I5974" s="97"/>
      <c r="J5974" s="97"/>
      <c r="K5974" s="97"/>
      <c r="L5974" s="195"/>
    </row>
    <row r="5975" spans="1:12" x14ac:dyDescent="0.45">
      <c r="A5975" s="462"/>
      <c r="B5975" s="441"/>
      <c r="C5975" s="194">
        <v>6</v>
      </c>
      <c r="D5975" s="80"/>
      <c r="E5975" s="97"/>
      <c r="F5975" s="97"/>
      <c r="G5975" s="97"/>
      <c r="H5975" s="97"/>
      <c r="I5975" s="97"/>
      <c r="J5975" s="97"/>
      <c r="K5975" s="97"/>
      <c r="L5975" s="195"/>
    </row>
    <row r="5976" spans="1:12" x14ac:dyDescent="0.45">
      <c r="A5976" s="462"/>
      <c r="B5976" s="441"/>
      <c r="C5976" s="194">
        <v>7</v>
      </c>
      <c r="D5976" s="80"/>
      <c r="E5976" s="97"/>
      <c r="F5976" s="97"/>
      <c r="G5976" s="97"/>
      <c r="H5976" s="97"/>
      <c r="I5976" s="97"/>
      <c r="J5976" s="97"/>
      <c r="K5976" s="97"/>
      <c r="L5976" s="195"/>
    </row>
    <row r="5977" spans="1:12" x14ac:dyDescent="0.45">
      <c r="A5977" s="462"/>
      <c r="B5977" s="441"/>
      <c r="C5977" s="194">
        <v>8</v>
      </c>
      <c r="D5977" s="80"/>
      <c r="E5977" s="97"/>
      <c r="F5977" s="97"/>
      <c r="G5977" s="97"/>
      <c r="H5977" s="97"/>
      <c r="I5977" s="97"/>
      <c r="J5977" s="97"/>
      <c r="K5977" s="97"/>
      <c r="L5977" s="195"/>
    </row>
    <row r="5978" spans="1:12" x14ac:dyDescent="0.45">
      <c r="A5978" s="462"/>
      <c r="B5978" s="441"/>
      <c r="C5978" s="194">
        <v>9</v>
      </c>
      <c r="D5978" s="80"/>
      <c r="E5978" s="97"/>
      <c r="F5978" s="97"/>
      <c r="G5978" s="97"/>
      <c r="H5978" s="97"/>
      <c r="I5978" s="97"/>
      <c r="J5978" s="97"/>
      <c r="K5978" s="97"/>
      <c r="L5978" s="195"/>
    </row>
    <row r="5979" spans="1:12" x14ac:dyDescent="0.45">
      <c r="A5979" s="462"/>
      <c r="B5979" s="441"/>
      <c r="C5979" s="194">
        <v>10</v>
      </c>
      <c r="D5979" s="80"/>
      <c r="E5979" s="97"/>
      <c r="F5979" s="97"/>
      <c r="G5979" s="97"/>
      <c r="H5979" s="97"/>
      <c r="I5979" s="97"/>
      <c r="J5979" s="97"/>
      <c r="K5979" s="97"/>
      <c r="L5979" s="195"/>
    </row>
    <row r="5980" spans="1:12" x14ac:dyDescent="0.45">
      <c r="A5980" s="462"/>
      <c r="B5980" s="441"/>
      <c r="C5980" s="194">
        <v>11</v>
      </c>
      <c r="D5980" s="81"/>
      <c r="E5980" s="98"/>
      <c r="F5980" s="98"/>
      <c r="G5980" s="98"/>
      <c r="H5980" s="98"/>
      <c r="I5980" s="98"/>
      <c r="J5980" s="98"/>
      <c r="K5980" s="98"/>
      <c r="L5980" s="196"/>
    </row>
    <row r="5981" spans="1:12" ht="14.65" thickBot="1" x14ac:dyDescent="0.5">
      <c r="A5981" s="462"/>
      <c r="B5981" s="442"/>
      <c r="C5981" s="197">
        <v>12</v>
      </c>
      <c r="D5981" s="82"/>
      <c r="E5981" s="99"/>
      <c r="F5981" s="99"/>
      <c r="G5981" s="99"/>
      <c r="H5981" s="99"/>
      <c r="I5981" s="99"/>
      <c r="J5981" s="99"/>
      <c r="K5981" s="99"/>
      <c r="L5981" s="198"/>
    </row>
    <row r="5982" spans="1:12" x14ac:dyDescent="0.45">
      <c r="A5982" s="462"/>
      <c r="B5982" s="440">
        <v>6</v>
      </c>
      <c r="C5982" s="192">
        <v>1</v>
      </c>
      <c r="D5982" s="79"/>
      <c r="E5982" s="96"/>
      <c r="F5982" s="96"/>
      <c r="G5982" s="96"/>
      <c r="H5982" s="96"/>
      <c r="I5982" s="96"/>
      <c r="J5982" s="96"/>
      <c r="K5982" s="96"/>
      <c r="L5982" s="193"/>
    </row>
    <row r="5983" spans="1:12" x14ac:dyDescent="0.45">
      <c r="A5983" s="462"/>
      <c r="B5983" s="441"/>
      <c r="C5983" s="194">
        <v>2</v>
      </c>
      <c r="D5983" s="80"/>
      <c r="E5983" s="97"/>
      <c r="F5983" s="97"/>
      <c r="G5983" s="97"/>
      <c r="H5983" s="97"/>
      <c r="I5983" s="97"/>
      <c r="J5983" s="97"/>
      <c r="K5983" s="97"/>
      <c r="L5983" s="195"/>
    </row>
    <row r="5984" spans="1:12" x14ac:dyDescent="0.45">
      <c r="A5984" s="462"/>
      <c r="B5984" s="441"/>
      <c r="C5984" s="194">
        <v>3</v>
      </c>
      <c r="D5984" s="80"/>
      <c r="E5984" s="97"/>
      <c r="F5984" s="97"/>
      <c r="G5984" s="97"/>
      <c r="H5984" s="97"/>
      <c r="I5984" s="97"/>
      <c r="J5984" s="97"/>
      <c r="K5984" s="97"/>
      <c r="L5984" s="195"/>
    </row>
    <row r="5985" spans="1:12" x14ac:dyDescent="0.45">
      <c r="A5985" s="462"/>
      <c r="B5985" s="441"/>
      <c r="C5985" s="194">
        <v>4</v>
      </c>
      <c r="D5985" s="80"/>
      <c r="E5985" s="97"/>
      <c r="F5985" s="97"/>
      <c r="G5985" s="97"/>
      <c r="H5985" s="97"/>
      <c r="I5985" s="97"/>
      <c r="J5985" s="97"/>
      <c r="K5985" s="97"/>
      <c r="L5985" s="195"/>
    </row>
    <row r="5986" spans="1:12" x14ac:dyDescent="0.45">
      <c r="A5986" s="462"/>
      <c r="B5986" s="441"/>
      <c r="C5986" s="194">
        <v>5</v>
      </c>
      <c r="D5986" s="80"/>
      <c r="E5986" s="97"/>
      <c r="F5986" s="97"/>
      <c r="G5986" s="97"/>
      <c r="H5986" s="97"/>
      <c r="I5986" s="97"/>
      <c r="J5986" s="97"/>
      <c r="K5986" s="97"/>
      <c r="L5986" s="195"/>
    </row>
    <row r="5987" spans="1:12" x14ac:dyDescent="0.45">
      <c r="A5987" s="462"/>
      <c r="B5987" s="441"/>
      <c r="C5987" s="194">
        <v>6</v>
      </c>
      <c r="D5987" s="80"/>
      <c r="E5987" s="97"/>
      <c r="F5987" s="97"/>
      <c r="G5987" s="97"/>
      <c r="H5987" s="97"/>
      <c r="I5987" s="97"/>
      <c r="J5987" s="97"/>
      <c r="K5987" s="97"/>
      <c r="L5987" s="195"/>
    </row>
    <row r="5988" spans="1:12" x14ac:dyDescent="0.45">
      <c r="A5988" s="462"/>
      <c r="B5988" s="441"/>
      <c r="C5988" s="194">
        <v>7</v>
      </c>
      <c r="D5988" s="80"/>
      <c r="E5988" s="97"/>
      <c r="F5988" s="97"/>
      <c r="G5988" s="97"/>
      <c r="H5988" s="97"/>
      <c r="I5988" s="97"/>
      <c r="J5988" s="97"/>
      <c r="K5988" s="97"/>
      <c r="L5988" s="195"/>
    </row>
    <row r="5989" spans="1:12" x14ac:dyDescent="0.45">
      <c r="A5989" s="462"/>
      <c r="B5989" s="441"/>
      <c r="C5989" s="194">
        <v>8</v>
      </c>
      <c r="D5989" s="80"/>
      <c r="E5989" s="97"/>
      <c r="F5989" s="97"/>
      <c r="G5989" s="97"/>
      <c r="H5989" s="97"/>
      <c r="I5989" s="97"/>
      <c r="J5989" s="97"/>
      <c r="K5989" s="97"/>
      <c r="L5989" s="195"/>
    </row>
    <row r="5990" spans="1:12" x14ac:dyDescent="0.45">
      <c r="A5990" s="462"/>
      <c r="B5990" s="441"/>
      <c r="C5990" s="194">
        <v>9</v>
      </c>
      <c r="D5990" s="80"/>
      <c r="E5990" s="97"/>
      <c r="F5990" s="97"/>
      <c r="G5990" s="97"/>
      <c r="H5990" s="97"/>
      <c r="I5990" s="97"/>
      <c r="J5990" s="97"/>
      <c r="K5990" s="97"/>
      <c r="L5990" s="195"/>
    </row>
    <row r="5991" spans="1:12" x14ac:dyDescent="0.45">
      <c r="A5991" s="462"/>
      <c r="B5991" s="441"/>
      <c r="C5991" s="194">
        <v>10</v>
      </c>
      <c r="D5991" s="80"/>
      <c r="E5991" s="97"/>
      <c r="F5991" s="97"/>
      <c r="G5991" s="97"/>
      <c r="H5991" s="97"/>
      <c r="I5991" s="97"/>
      <c r="J5991" s="97"/>
      <c r="K5991" s="97"/>
      <c r="L5991" s="195"/>
    </row>
    <row r="5992" spans="1:12" x14ac:dyDescent="0.45">
      <c r="A5992" s="462"/>
      <c r="B5992" s="441"/>
      <c r="C5992" s="194">
        <v>11</v>
      </c>
      <c r="D5992" s="81"/>
      <c r="E5992" s="98"/>
      <c r="F5992" s="98"/>
      <c r="G5992" s="98"/>
      <c r="H5992" s="98"/>
      <c r="I5992" s="98"/>
      <c r="J5992" s="98"/>
      <c r="K5992" s="98"/>
      <c r="L5992" s="196"/>
    </row>
    <row r="5993" spans="1:12" ht="14.65" thickBot="1" x14ac:dyDescent="0.5">
      <c r="A5993" s="462"/>
      <c r="B5993" s="442"/>
      <c r="C5993" s="197">
        <v>12</v>
      </c>
      <c r="D5993" s="82"/>
      <c r="E5993" s="99"/>
      <c r="F5993" s="99"/>
      <c r="G5993" s="99"/>
      <c r="H5993" s="99"/>
      <c r="I5993" s="99"/>
      <c r="J5993" s="99"/>
      <c r="K5993" s="99"/>
      <c r="L5993" s="198"/>
    </row>
    <row r="5994" spans="1:12" x14ac:dyDescent="0.45">
      <c r="A5994" s="462"/>
      <c r="B5994" s="440">
        <v>7</v>
      </c>
      <c r="C5994" s="192">
        <v>1</v>
      </c>
      <c r="D5994" s="79"/>
      <c r="E5994" s="96"/>
      <c r="F5994" s="96"/>
      <c r="G5994" s="96"/>
      <c r="H5994" s="96"/>
      <c r="I5994" s="96"/>
      <c r="J5994" s="96"/>
      <c r="K5994" s="96"/>
      <c r="L5994" s="193"/>
    </row>
    <row r="5995" spans="1:12" x14ac:dyDescent="0.45">
      <c r="A5995" s="462"/>
      <c r="B5995" s="441"/>
      <c r="C5995" s="194">
        <v>2</v>
      </c>
      <c r="D5995" s="80"/>
      <c r="E5995" s="97"/>
      <c r="F5995" s="97"/>
      <c r="G5995" s="97"/>
      <c r="H5995" s="97"/>
      <c r="I5995" s="97"/>
      <c r="J5995" s="97"/>
      <c r="K5995" s="97"/>
      <c r="L5995" s="195"/>
    </row>
    <row r="5996" spans="1:12" x14ac:dyDescent="0.45">
      <c r="A5996" s="462"/>
      <c r="B5996" s="441"/>
      <c r="C5996" s="194">
        <v>3</v>
      </c>
      <c r="D5996" s="80"/>
      <c r="E5996" s="97"/>
      <c r="F5996" s="97"/>
      <c r="G5996" s="97"/>
      <c r="H5996" s="97"/>
      <c r="I5996" s="97"/>
      <c r="J5996" s="97"/>
      <c r="K5996" s="97"/>
      <c r="L5996" s="195"/>
    </row>
    <row r="5997" spans="1:12" x14ac:dyDescent="0.45">
      <c r="A5997" s="462"/>
      <c r="B5997" s="441"/>
      <c r="C5997" s="194">
        <v>4</v>
      </c>
      <c r="D5997" s="80"/>
      <c r="E5997" s="97"/>
      <c r="F5997" s="97"/>
      <c r="G5997" s="97"/>
      <c r="H5997" s="97"/>
      <c r="I5997" s="97"/>
      <c r="J5997" s="97"/>
      <c r="K5997" s="97"/>
      <c r="L5997" s="195"/>
    </row>
    <row r="5998" spans="1:12" x14ac:dyDescent="0.45">
      <c r="A5998" s="462"/>
      <c r="B5998" s="441"/>
      <c r="C5998" s="194">
        <v>5</v>
      </c>
      <c r="D5998" s="80"/>
      <c r="E5998" s="97"/>
      <c r="F5998" s="97"/>
      <c r="G5998" s="97"/>
      <c r="H5998" s="97"/>
      <c r="I5998" s="97"/>
      <c r="J5998" s="97"/>
      <c r="K5998" s="97"/>
      <c r="L5998" s="195"/>
    </row>
    <row r="5999" spans="1:12" x14ac:dyDescent="0.45">
      <c r="A5999" s="462"/>
      <c r="B5999" s="441"/>
      <c r="C5999" s="194">
        <v>6</v>
      </c>
      <c r="D5999" s="80"/>
      <c r="E5999" s="97"/>
      <c r="F5999" s="97"/>
      <c r="G5999" s="97"/>
      <c r="H5999" s="97"/>
      <c r="I5999" s="97"/>
      <c r="J5999" s="97"/>
      <c r="K5999" s="97"/>
      <c r="L5999" s="195"/>
    </row>
    <row r="6000" spans="1:12" x14ac:dyDescent="0.45">
      <c r="A6000" s="462"/>
      <c r="B6000" s="441"/>
      <c r="C6000" s="194">
        <v>7</v>
      </c>
      <c r="D6000" s="80"/>
      <c r="E6000" s="97"/>
      <c r="F6000" s="97"/>
      <c r="G6000" s="97"/>
      <c r="H6000" s="97"/>
      <c r="I6000" s="97"/>
      <c r="J6000" s="97"/>
      <c r="K6000" s="97"/>
      <c r="L6000" s="195"/>
    </row>
    <row r="6001" spans="1:12" x14ac:dyDescent="0.45">
      <c r="A6001" s="462"/>
      <c r="B6001" s="441"/>
      <c r="C6001" s="194">
        <v>8</v>
      </c>
      <c r="D6001" s="80"/>
      <c r="E6001" s="97"/>
      <c r="F6001" s="97"/>
      <c r="G6001" s="97"/>
      <c r="H6001" s="97"/>
      <c r="I6001" s="97"/>
      <c r="J6001" s="97"/>
      <c r="K6001" s="97"/>
      <c r="L6001" s="195"/>
    </row>
    <row r="6002" spans="1:12" x14ac:dyDescent="0.45">
      <c r="A6002" s="462"/>
      <c r="B6002" s="441"/>
      <c r="C6002" s="194">
        <v>9</v>
      </c>
      <c r="D6002" s="80"/>
      <c r="E6002" s="97"/>
      <c r="F6002" s="97"/>
      <c r="G6002" s="97"/>
      <c r="H6002" s="97"/>
      <c r="I6002" s="97"/>
      <c r="J6002" s="97"/>
      <c r="K6002" s="97"/>
      <c r="L6002" s="195"/>
    </row>
    <row r="6003" spans="1:12" x14ac:dyDescent="0.45">
      <c r="A6003" s="462"/>
      <c r="B6003" s="441"/>
      <c r="C6003" s="194">
        <v>10</v>
      </c>
      <c r="D6003" s="80"/>
      <c r="E6003" s="97"/>
      <c r="F6003" s="97"/>
      <c r="G6003" s="97"/>
      <c r="H6003" s="97"/>
      <c r="I6003" s="97"/>
      <c r="J6003" s="97"/>
      <c r="K6003" s="97"/>
      <c r="L6003" s="195"/>
    </row>
    <row r="6004" spans="1:12" x14ac:dyDescent="0.45">
      <c r="A6004" s="462"/>
      <c r="B6004" s="441"/>
      <c r="C6004" s="194">
        <v>11</v>
      </c>
      <c r="D6004" s="81"/>
      <c r="E6004" s="98"/>
      <c r="F6004" s="98"/>
      <c r="G6004" s="98"/>
      <c r="H6004" s="98"/>
      <c r="I6004" s="98"/>
      <c r="J6004" s="98"/>
      <c r="K6004" s="98"/>
      <c r="L6004" s="196"/>
    </row>
    <row r="6005" spans="1:12" ht="14.65" thickBot="1" x14ac:dyDescent="0.5">
      <c r="A6005" s="462"/>
      <c r="B6005" s="442"/>
      <c r="C6005" s="197">
        <v>12</v>
      </c>
      <c r="D6005" s="82"/>
      <c r="E6005" s="99"/>
      <c r="F6005" s="99"/>
      <c r="G6005" s="99"/>
      <c r="H6005" s="99"/>
      <c r="I6005" s="99"/>
      <c r="J6005" s="99"/>
      <c r="K6005" s="99"/>
      <c r="L6005" s="198"/>
    </row>
    <row r="6006" spans="1:12" x14ac:dyDescent="0.45">
      <c r="A6006" s="462"/>
      <c r="B6006" s="440">
        <v>8</v>
      </c>
      <c r="C6006" s="192">
        <v>1</v>
      </c>
      <c r="D6006" s="79"/>
      <c r="E6006" s="96"/>
      <c r="F6006" s="96"/>
      <c r="G6006" s="96"/>
      <c r="H6006" s="96"/>
      <c r="I6006" s="96"/>
      <c r="J6006" s="96"/>
      <c r="K6006" s="96"/>
      <c r="L6006" s="193"/>
    </row>
    <row r="6007" spans="1:12" x14ac:dyDescent="0.45">
      <c r="A6007" s="462"/>
      <c r="B6007" s="441"/>
      <c r="C6007" s="194">
        <v>2</v>
      </c>
      <c r="D6007" s="80"/>
      <c r="E6007" s="97"/>
      <c r="F6007" s="97"/>
      <c r="G6007" s="97"/>
      <c r="H6007" s="97"/>
      <c r="I6007" s="97"/>
      <c r="J6007" s="97"/>
      <c r="K6007" s="97"/>
      <c r="L6007" s="195"/>
    </row>
    <row r="6008" spans="1:12" x14ac:dyDescent="0.45">
      <c r="A6008" s="462"/>
      <c r="B6008" s="441"/>
      <c r="C6008" s="194">
        <v>3</v>
      </c>
      <c r="D6008" s="80"/>
      <c r="E6008" s="97"/>
      <c r="F6008" s="97"/>
      <c r="G6008" s="97"/>
      <c r="H6008" s="97"/>
      <c r="I6008" s="97"/>
      <c r="J6008" s="97"/>
      <c r="K6008" s="97"/>
      <c r="L6008" s="195"/>
    </row>
    <row r="6009" spans="1:12" x14ac:dyDescent="0.45">
      <c r="A6009" s="462"/>
      <c r="B6009" s="441"/>
      <c r="C6009" s="194">
        <v>4</v>
      </c>
      <c r="D6009" s="80"/>
      <c r="E6009" s="97"/>
      <c r="F6009" s="97"/>
      <c r="G6009" s="97"/>
      <c r="H6009" s="97"/>
      <c r="I6009" s="97"/>
      <c r="J6009" s="97"/>
      <c r="K6009" s="97"/>
      <c r="L6009" s="195"/>
    </row>
    <row r="6010" spans="1:12" x14ac:dyDescent="0.45">
      <c r="A6010" s="462"/>
      <c r="B6010" s="441"/>
      <c r="C6010" s="194">
        <v>5</v>
      </c>
      <c r="D6010" s="80"/>
      <c r="E6010" s="97"/>
      <c r="F6010" s="97"/>
      <c r="G6010" s="97"/>
      <c r="H6010" s="97"/>
      <c r="I6010" s="97"/>
      <c r="J6010" s="97"/>
      <c r="K6010" s="97"/>
      <c r="L6010" s="195"/>
    </row>
    <row r="6011" spans="1:12" x14ac:dyDescent="0.45">
      <c r="A6011" s="462"/>
      <c r="B6011" s="441"/>
      <c r="C6011" s="194">
        <v>6</v>
      </c>
      <c r="D6011" s="80"/>
      <c r="E6011" s="97"/>
      <c r="F6011" s="97"/>
      <c r="G6011" s="97"/>
      <c r="H6011" s="97"/>
      <c r="I6011" s="97"/>
      <c r="J6011" s="97"/>
      <c r="K6011" s="97"/>
      <c r="L6011" s="195"/>
    </row>
    <row r="6012" spans="1:12" x14ac:dyDescent="0.45">
      <c r="A6012" s="462"/>
      <c r="B6012" s="441"/>
      <c r="C6012" s="194">
        <v>7</v>
      </c>
      <c r="D6012" s="80"/>
      <c r="E6012" s="97"/>
      <c r="F6012" s="97"/>
      <c r="G6012" s="97"/>
      <c r="H6012" s="97"/>
      <c r="I6012" s="97"/>
      <c r="J6012" s="97"/>
      <c r="K6012" s="97"/>
      <c r="L6012" s="195"/>
    </row>
    <row r="6013" spans="1:12" x14ac:dyDescent="0.45">
      <c r="A6013" s="462"/>
      <c r="B6013" s="441"/>
      <c r="C6013" s="194">
        <v>8</v>
      </c>
      <c r="D6013" s="80"/>
      <c r="E6013" s="97"/>
      <c r="F6013" s="97"/>
      <c r="G6013" s="97"/>
      <c r="H6013" s="97"/>
      <c r="I6013" s="97"/>
      <c r="J6013" s="97"/>
      <c r="K6013" s="97"/>
      <c r="L6013" s="195"/>
    </row>
    <row r="6014" spans="1:12" x14ac:dyDescent="0.45">
      <c r="A6014" s="462"/>
      <c r="B6014" s="441"/>
      <c r="C6014" s="194">
        <v>9</v>
      </c>
      <c r="D6014" s="80"/>
      <c r="E6014" s="97"/>
      <c r="F6014" s="97"/>
      <c r="G6014" s="97"/>
      <c r="H6014" s="97"/>
      <c r="I6014" s="97"/>
      <c r="J6014" s="97"/>
      <c r="K6014" s="97"/>
      <c r="L6014" s="195"/>
    </row>
    <row r="6015" spans="1:12" x14ac:dyDescent="0.45">
      <c r="A6015" s="462"/>
      <c r="B6015" s="441"/>
      <c r="C6015" s="194">
        <v>10</v>
      </c>
      <c r="D6015" s="80"/>
      <c r="E6015" s="97"/>
      <c r="F6015" s="97"/>
      <c r="G6015" s="97"/>
      <c r="H6015" s="97"/>
      <c r="I6015" s="97"/>
      <c r="J6015" s="97"/>
      <c r="K6015" s="97"/>
      <c r="L6015" s="195"/>
    </row>
    <row r="6016" spans="1:12" x14ac:dyDescent="0.45">
      <c r="A6016" s="462"/>
      <c r="B6016" s="441"/>
      <c r="C6016" s="194">
        <v>11</v>
      </c>
      <c r="D6016" s="81"/>
      <c r="E6016" s="98"/>
      <c r="F6016" s="98"/>
      <c r="G6016" s="98"/>
      <c r="H6016" s="98"/>
      <c r="I6016" s="98"/>
      <c r="J6016" s="98"/>
      <c r="K6016" s="98"/>
      <c r="L6016" s="196"/>
    </row>
    <row r="6017" spans="1:12" ht="14.65" thickBot="1" x14ac:dyDescent="0.5">
      <c r="A6017" s="463"/>
      <c r="B6017" s="442"/>
      <c r="C6017" s="197">
        <v>12</v>
      </c>
      <c r="D6017" s="82"/>
      <c r="E6017" s="99"/>
      <c r="F6017" s="99"/>
      <c r="G6017" s="99"/>
      <c r="H6017" s="99"/>
      <c r="I6017" s="99"/>
      <c r="J6017" s="99"/>
      <c r="K6017" s="99"/>
      <c r="L6017" s="198"/>
    </row>
    <row r="6018" spans="1:12" x14ac:dyDescent="0.45">
      <c r="A6018" s="461">
        <v>3</v>
      </c>
      <c r="B6018" s="440">
        <v>9</v>
      </c>
      <c r="C6018" s="192">
        <v>1</v>
      </c>
      <c r="D6018" s="79"/>
      <c r="E6018" s="96"/>
      <c r="F6018" s="96"/>
      <c r="G6018" s="96"/>
      <c r="H6018" s="96"/>
      <c r="I6018" s="96"/>
      <c r="J6018" s="96"/>
      <c r="K6018" s="96"/>
      <c r="L6018" s="193"/>
    </row>
    <row r="6019" spans="1:12" x14ac:dyDescent="0.45">
      <c r="A6019" s="462"/>
      <c r="B6019" s="441"/>
      <c r="C6019" s="194">
        <v>2</v>
      </c>
      <c r="D6019" s="80"/>
      <c r="E6019" s="97"/>
      <c r="F6019" s="97"/>
      <c r="G6019" s="97"/>
      <c r="H6019" s="97"/>
      <c r="I6019" s="97"/>
      <c r="J6019" s="97"/>
      <c r="K6019" s="97"/>
      <c r="L6019" s="195"/>
    </row>
    <row r="6020" spans="1:12" x14ac:dyDescent="0.45">
      <c r="A6020" s="462"/>
      <c r="B6020" s="441"/>
      <c r="C6020" s="194">
        <v>3</v>
      </c>
      <c r="D6020" s="80"/>
      <c r="E6020" s="97"/>
      <c r="F6020" s="97"/>
      <c r="G6020" s="97"/>
      <c r="H6020" s="97"/>
      <c r="I6020" s="97"/>
      <c r="J6020" s="97"/>
      <c r="K6020" s="97"/>
      <c r="L6020" s="195"/>
    </row>
    <row r="6021" spans="1:12" x14ac:dyDescent="0.45">
      <c r="A6021" s="462"/>
      <c r="B6021" s="441"/>
      <c r="C6021" s="194">
        <v>4</v>
      </c>
      <c r="D6021" s="80"/>
      <c r="E6021" s="97"/>
      <c r="F6021" s="97"/>
      <c r="G6021" s="97"/>
      <c r="H6021" s="97"/>
      <c r="I6021" s="97"/>
      <c r="J6021" s="97"/>
      <c r="K6021" s="97"/>
      <c r="L6021" s="195"/>
    </row>
    <row r="6022" spans="1:12" x14ac:dyDescent="0.45">
      <c r="A6022" s="462"/>
      <c r="B6022" s="441"/>
      <c r="C6022" s="194">
        <v>5</v>
      </c>
      <c r="D6022" s="80"/>
      <c r="E6022" s="97"/>
      <c r="F6022" s="97"/>
      <c r="G6022" s="97"/>
      <c r="H6022" s="97"/>
      <c r="I6022" s="97"/>
      <c r="J6022" s="97"/>
      <c r="K6022" s="97"/>
      <c r="L6022" s="195"/>
    </row>
    <row r="6023" spans="1:12" x14ac:dyDescent="0.45">
      <c r="A6023" s="462"/>
      <c r="B6023" s="441"/>
      <c r="C6023" s="194">
        <v>6</v>
      </c>
      <c r="D6023" s="80"/>
      <c r="E6023" s="97"/>
      <c r="F6023" s="97"/>
      <c r="G6023" s="97"/>
      <c r="H6023" s="97"/>
      <c r="I6023" s="97"/>
      <c r="J6023" s="97"/>
      <c r="K6023" s="97"/>
      <c r="L6023" s="195"/>
    </row>
    <row r="6024" spans="1:12" x14ac:dyDescent="0.45">
      <c r="A6024" s="462"/>
      <c r="B6024" s="441"/>
      <c r="C6024" s="194">
        <v>7</v>
      </c>
      <c r="D6024" s="80"/>
      <c r="E6024" s="97"/>
      <c r="F6024" s="97"/>
      <c r="G6024" s="97"/>
      <c r="H6024" s="97"/>
      <c r="I6024" s="97"/>
      <c r="J6024" s="97"/>
      <c r="K6024" s="97"/>
      <c r="L6024" s="195"/>
    </row>
    <row r="6025" spans="1:12" x14ac:dyDescent="0.45">
      <c r="A6025" s="462"/>
      <c r="B6025" s="441"/>
      <c r="C6025" s="194">
        <v>8</v>
      </c>
      <c r="D6025" s="80"/>
      <c r="E6025" s="97"/>
      <c r="F6025" s="97"/>
      <c r="G6025" s="97"/>
      <c r="H6025" s="97"/>
      <c r="I6025" s="97"/>
      <c r="J6025" s="97"/>
      <c r="K6025" s="97"/>
      <c r="L6025" s="195"/>
    </row>
    <row r="6026" spans="1:12" x14ac:dyDescent="0.45">
      <c r="A6026" s="462"/>
      <c r="B6026" s="441"/>
      <c r="C6026" s="194">
        <v>9</v>
      </c>
      <c r="D6026" s="80"/>
      <c r="E6026" s="97"/>
      <c r="F6026" s="97"/>
      <c r="G6026" s="97"/>
      <c r="H6026" s="97"/>
      <c r="I6026" s="97"/>
      <c r="J6026" s="97"/>
      <c r="K6026" s="97"/>
      <c r="L6026" s="195"/>
    </row>
    <row r="6027" spans="1:12" x14ac:dyDescent="0.45">
      <c r="A6027" s="462"/>
      <c r="B6027" s="441"/>
      <c r="C6027" s="194">
        <v>10</v>
      </c>
      <c r="D6027" s="80"/>
      <c r="E6027" s="97"/>
      <c r="F6027" s="97"/>
      <c r="G6027" s="97"/>
      <c r="H6027" s="97"/>
      <c r="I6027" s="97"/>
      <c r="J6027" s="97"/>
      <c r="K6027" s="97"/>
      <c r="L6027" s="195"/>
    </row>
    <row r="6028" spans="1:12" x14ac:dyDescent="0.45">
      <c r="A6028" s="462"/>
      <c r="B6028" s="441"/>
      <c r="C6028" s="194">
        <v>11</v>
      </c>
      <c r="D6028" s="81"/>
      <c r="E6028" s="98"/>
      <c r="F6028" s="98"/>
      <c r="G6028" s="98"/>
      <c r="H6028" s="98"/>
      <c r="I6028" s="98"/>
      <c r="J6028" s="98"/>
      <c r="K6028" s="98"/>
      <c r="L6028" s="196"/>
    </row>
    <row r="6029" spans="1:12" ht="14.65" thickBot="1" x14ac:dyDescent="0.5">
      <c r="A6029" s="462"/>
      <c r="B6029" s="442"/>
      <c r="C6029" s="197">
        <v>12</v>
      </c>
      <c r="D6029" s="82"/>
      <c r="E6029" s="99"/>
      <c r="F6029" s="99"/>
      <c r="G6029" s="99"/>
      <c r="H6029" s="99"/>
      <c r="I6029" s="99"/>
      <c r="J6029" s="99"/>
      <c r="K6029" s="99"/>
      <c r="L6029" s="198"/>
    </row>
    <row r="6030" spans="1:12" x14ac:dyDescent="0.45">
      <c r="A6030" s="462"/>
      <c r="B6030" s="440">
        <v>10</v>
      </c>
      <c r="C6030" s="192">
        <v>1</v>
      </c>
      <c r="D6030" s="79"/>
      <c r="E6030" s="96"/>
      <c r="F6030" s="96"/>
      <c r="G6030" s="96"/>
      <c r="H6030" s="96"/>
      <c r="I6030" s="96"/>
      <c r="J6030" s="96"/>
      <c r="K6030" s="96"/>
      <c r="L6030" s="193"/>
    </row>
    <row r="6031" spans="1:12" x14ac:dyDescent="0.45">
      <c r="A6031" s="462"/>
      <c r="B6031" s="441"/>
      <c r="C6031" s="194">
        <v>2</v>
      </c>
      <c r="D6031" s="80"/>
      <c r="E6031" s="97"/>
      <c r="F6031" s="97"/>
      <c r="G6031" s="97"/>
      <c r="H6031" s="97"/>
      <c r="I6031" s="97"/>
      <c r="J6031" s="97"/>
      <c r="K6031" s="97"/>
      <c r="L6031" s="195"/>
    </row>
    <row r="6032" spans="1:12" x14ac:dyDescent="0.45">
      <c r="A6032" s="462"/>
      <c r="B6032" s="441"/>
      <c r="C6032" s="194">
        <v>3</v>
      </c>
      <c r="D6032" s="80"/>
      <c r="E6032" s="97"/>
      <c r="F6032" s="97"/>
      <c r="G6032" s="97"/>
      <c r="H6032" s="97"/>
      <c r="I6032" s="97"/>
      <c r="J6032" s="97"/>
      <c r="K6032" s="97"/>
      <c r="L6032" s="195"/>
    </row>
    <row r="6033" spans="1:12" x14ac:dyDescent="0.45">
      <c r="A6033" s="462"/>
      <c r="B6033" s="441"/>
      <c r="C6033" s="194">
        <v>4</v>
      </c>
      <c r="D6033" s="80"/>
      <c r="E6033" s="97"/>
      <c r="F6033" s="97"/>
      <c r="G6033" s="97"/>
      <c r="H6033" s="97"/>
      <c r="I6033" s="97"/>
      <c r="J6033" s="97"/>
      <c r="K6033" s="97"/>
      <c r="L6033" s="195"/>
    </row>
    <row r="6034" spans="1:12" x14ac:dyDescent="0.45">
      <c r="A6034" s="462"/>
      <c r="B6034" s="441"/>
      <c r="C6034" s="194">
        <v>5</v>
      </c>
      <c r="D6034" s="80"/>
      <c r="E6034" s="97"/>
      <c r="F6034" s="97"/>
      <c r="G6034" s="97"/>
      <c r="H6034" s="97"/>
      <c r="I6034" s="97"/>
      <c r="J6034" s="97"/>
      <c r="K6034" s="97"/>
      <c r="L6034" s="195"/>
    </row>
    <row r="6035" spans="1:12" x14ac:dyDescent="0.45">
      <c r="A6035" s="462"/>
      <c r="B6035" s="441"/>
      <c r="C6035" s="194">
        <v>6</v>
      </c>
      <c r="D6035" s="80"/>
      <c r="E6035" s="97"/>
      <c r="F6035" s="97"/>
      <c r="G6035" s="97"/>
      <c r="H6035" s="97"/>
      <c r="I6035" s="97"/>
      <c r="J6035" s="97"/>
      <c r="K6035" s="97"/>
      <c r="L6035" s="195"/>
    </row>
    <row r="6036" spans="1:12" x14ac:dyDescent="0.45">
      <c r="A6036" s="462"/>
      <c r="B6036" s="441"/>
      <c r="C6036" s="194">
        <v>7</v>
      </c>
      <c r="D6036" s="80"/>
      <c r="E6036" s="97"/>
      <c r="F6036" s="97"/>
      <c r="G6036" s="97"/>
      <c r="H6036" s="97"/>
      <c r="I6036" s="97"/>
      <c r="J6036" s="97"/>
      <c r="K6036" s="97"/>
      <c r="L6036" s="195"/>
    </row>
    <row r="6037" spans="1:12" x14ac:dyDescent="0.45">
      <c r="A6037" s="462"/>
      <c r="B6037" s="441"/>
      <c r="C6037" s="194">
        <v>8</v>
      </c>
      <c r="D6037" s="80"/>
      <c r="E6037" s="97"/>
      <c r="F6037" s="97"/>
      <c r="G6037" s="97"/>
      <c r="H6037" s="97"/>
      <c r="I6037" s="97"/>
      <c r="J6037" s="97"/>
      <c r="K6037" s="97"/>
      <c r="L6037" s="195"/>
    </row>
    <row r="6038" spans="1:12" x14ac:dyDescent="0.45">
      <c r="A6038" s="462"/>
      <c r="B6038" s="441"/>
      <c r="C6038" s="194">
        <v>9</v>
      </c>
      <c r="D6038" s="80"/>
      <c r="E6038" s="97"/>
      <c r="F6038" s="97"/>
      <c r="G6038" s="97"/>
      <c r="H6038" s="97"/>
      <c r="I6038" s="97"/>
      <c r="J6038" s="97"/>
      <c r="K6038" s="97"/>
      <c r="L6038" s="195"/>
    </row>
    <row r="6039" spans="1:12" x14ac:dyDescent="0.45">
      <c r="A6039" s="462"/>
      <c r="B6039" s="441"/>
      <c r="C6039" s="194">
        <v>10</v>
      </c>
      <c r="D6039" s="80"/>
      <c r="E6039" s="97"/>
      <c r="F6039" s="97"/>
      <c r="G6039" s="97"/>
      <c r="H6039" s="97"/>
      <c r="I6039" s="97"/>
      <c r="J6039" s="97"/>
      <c r="K6039" s="97"/>
      <c r="L6039" s="195"/>
    </row>
    <row r="6040" spans="1:12" x14ac:dyDescent="0.45">
      <c r="A6040" s="462"/>
      <c r="B6040" s="441"/>
      <c r="C6040" s="194">
        <v>11</v>
      </c>
      <c r="D6040" s="81"/>
      <c r="E6040" s="98"/>
      <c r="F6040" s="98"/>
      <c r="G6040" s="98"/>
      <c r="H6040" s="98"/>
      <c r="I6040" s="98"/>
      <c r="J6040" s="98"/>
      <c r="K6040" s="98"/>
      <c r="L6040" s="196"/>
    </row>
    <row r="6041" spans="1:12" ht="14.65" thickBot="1" x14ac:dyDescent="0.5">
      <c r="A6041" s="462"/>
      <c r="B6041" s="442"/>
      <c r="C6041" s="197">
        <v>12</v>
      </c>
      <c r="D6041" s="82"/>
      <c r="E6041" s="99"/>
      <c r="F6041" s="99"/>
      <c r="G6041" s="99"/>
      <c r="H6041" s="99"/>
      <c r="I6041" s="99"/>
      <c r="J6041" s="99"/>
      <c r="K6041" s="99"/>
      <c r="L6041" s="198"/>
    </row>
    <row r="6042" spans="1:12" x14ac:dyDescent="0.45">
      <c r="A6042" s="462"/>
      <c r="B6042" s="440">
        <v>11</v>
      </c>
      <c r="C6042" s="192">
        <v>1</v>
      </c>
      <c r="D6042" s="79"/>
      <c r="E6042" s="96"/>
      <c r="F6042" s="96"/>
      <c r="G6042" s="96"/>
      <c r="H6042" s="96"/>
      <c r="I6042" s="96"/>
      <c r="J6042" s="96"/>
      <c r="K6042" s="96"/>
      <c r="L6042" s="193"/>
    </row>
    <row r="6043" spans="1:12" x14ac:dyDescent="0.45">
      <c r="A6043" s="462"/>
      <c r="B6043" s="441"/>
      <c r="C6043" s="194">
        <v>2</v>
      </c>
      <c r="D6043" s="80"/>
      <c r="E6043" s="97"/>
      <c r="F6043" s="97"/>
      <c r="G6043" s="97"/>
      <c r="H6043" s="97"/>
      <c r="I6043" s="97"/>
      <c r="J6043" s="97"/>
      <c r="K6043" s="97"/>
      <c r="L6043" s="195"/>
    </row>
    <row r="6044" spans="1:12" x14ac:dyDescent="0.45">
      <c r="A6044" s="462"/>
      <c r="B6044" s="441"/>
      <c r="C6044" s="194">
        <v>3</v>
      </c>
      <c r="D6044" s="80"/>
      <c r="E6044" s="97"/>
      <c r="F6044" s="97"/>
      <c r="G6044" s="97"/>
      <c r="H6044" s="97"/>
      <c r="I6044" s="97"/>
      <c r="J6044" s="97"/>
      <c r="K6044" s="97"/>
      <c r="L6044" s="195"/>
    </row>
    <row r="6045" spans="1:12" x14ac:dyDescent="0.45">
      <c r="A6045" s="462"/>
      <c r="B6045" s="441"/>
      <c r="C6045" s="194">
        <v>4</v>
      </c>
      <c r="D6045" s="80"/>
      <c r="E6045" s="97"/>
      <c r="F6045" s="97"/>
      <c r="G6045" s="97"/>
      <c r="H6045" s="97"/>
      <c r="I6045" s="97"/>
      <c r="J6045" s="97"/>
      <c r="K6045" s="97"/>
      <c r="L6045" s="195"/>
    </row>
    <row r="6046" spans="1:12" x14ac:dyDescent="0.45">
      <c r="A6046" s="462"/>
      <c r="B6046" s="441"/>
      <c r="C6046" s="194">
        <v>5</v>
      </c>
      <c r="D6046" s="80"/>
      <c r="E6046" s="97"/>
      <c r="F6046" s="97"/>
      <c r="G6046" s="97"/>
      <c r="H6046" s="97"/>
      <c r="I6046" s="97"/>
      <c r="J6046" s="97"/>
      <c r="K6046" s="97"/>
      <c r="L6046" s="195"/>
    </row>
    <row r="6047" spans="1:12" x14ac:dyDescent="0.45">
      <c r="A6047" s="462"/>
      <c r="B6047" s="441"/>
      <c r="C6047" s="194">
        <v>6</v>
      </c>
      <c r="D6047" s="80"/>
      <c r="E6047" s="97"/>
      <c r="F6047" s="97"/>
      <c r="G6047" s="97"/>
      <c r="H6047" s="97"/>
      <c r="I6047" s="97"/>
      <c r="J6047" s="97"/>
      <c r="K6047" s="97"/>
      <c r="L6047" s="195"/>
    </row>
    <row r="6048" spans="1:12" x14ac:dyDescent="0.45">
      <c r="A6048" s="462"/>
      <c r="B6048" s="441"/>
      <c r="C6048" s="194">
        <v>7</v>
      </c>
      <c r="D6048" s="80"/>
      <c r="E6048" s="97"/>
      <c r="F6048" s="97"/>
      <c r="G6048" s="97"/>
      <c r="H6048" s="97"/>
      <c r="I6048" s="97"/>
      <c r="J6048" s="97"/>
      <c r="K6048" s="97"/>
      <c r="L6048" s="195"/>
    </row>
    <row r="6049" spans="1:12" x14ac:dyDescent="0.45">
      <c r="A6049" s="462"/>
      <c r="B6049" s="441"/>
      <c r="C6049" s="194">
        <v>8</v>
      </c>
      <c r="D6049" s="80"/>
      <c r="E6049" s="97"/>
      <c r="F6049" s="97"/>
      <c r="G6049" s="97"/>
      <c r="H6049" s="97"/>
      <c r="I6049" s="97"/>
      <c r="J6049" s="97"/>
      <c r="K6049" s="97"/>
      <c r="L6049" s="195"/>
    </row>
    <row r="6050" spans="1:12" x14ac:dyDescent="0.45">
      <c r="A6050" s="462"/>
      <c r="B6050" s="441"/>
      <c r="C6050" s="194">
        <v>9</v>
      </c>
      <c r="D6050" s="80"/>
      <c r="E6050" s="97"/>
      <c r="F6050" s="97"/>
      <c r="G6050" s="97"/>
      <c r="H6050" s="97"/>
      <c r="I6050" s="97"/>
      <c r="J6050" s="97"/>
      <c r="K6050" s="97"/>
      <c r="L6050" s="195"/>
    </row>
    <row r="6051" spans="1:12" x14ac:dyDescent="0.45">
      <c r="A6051" s="462"/>
      <c r="B6051" s="441"/>
      <c r="C6051" s="194">
        <v>10</v>
      </c>
      <c r="D6051" s="80"/>
      <c r="E6051" s="97"/>
      <c r="F6051" s="97"/>
      <c r="G6051" s="97"/>
      <c r="H6051" s="97"/>
      <c r="I6051" s="97"/>
      <c r="J6051" s="97"/>
      <c r="K6051" s="97"/>
      <c r="L6051" s="195"/>
    </row>
    <row r="6052" spans="1:12" x14ac:dyDescent="0.45">
      <c r="A6052" s="462"/>
      <c r="B6052" s="441"/>
      <c r="C6052" s="194">
        <v>11</v>
      </c>
      <c r="D6052" s="81"/>
      <c r="E6052" s="98"/>
      <c r="F6052" s="98"/>
      <c r="G6052" s="98"/>
      <c r="H6052" s="98"/>
      <c r="I6052" s="98"/>
      <c r="J6052" s="98"/>
      <c r="K6052" s="98"/>
      <c r="L6052" s="196"/>
    </row>
    <row r="6053" spans="1:12" ht="14.65" thickBot="1" x14ac:dyDescent="0.5">
      <c r="A6053" s="462"/>
      <c r="B6053" s="442"/>
      <c r="C6053" s="197">
        <v>12</v>
      </c>
      <c r="D6053" s="82"/>
      <c r="E6053" s="99"/>
      <c r="F6053" s="99"/>
      <c r="G6053" s="99"/>
      <c r="H6053" s="99"/>
      <c r="I6053" s="99"/>
      <c r="J6053" s="99"/>
      <c r="K6053" s="99"/>
      <c r="L6053" s="198"/>
    </row>
    <row r="6054" spans="1:12" x14ac:dyDescent="0.45">
      <c r="A6054" s="462"/>
      <c r="B6054" s="440">
        <v>12</v>
      </c>
      <c r="C6054" s="192">
        <v>1</v>
      </c>
      <c r="D6054" s="79"/>
      <c r="E6054" s="96"/>
      <c r="F6054" s="96"/>
      <c r="G6054" s="96"/>
      <c r="H6054" s="96"/>
      <c r="I6054" s="96"/>
      <c r="J6054" s="96"/>
      <c r="K6054" s="96"/>
      <c r="L6054" s="193"/>
    </row>
    <row r="6055" spans="1:12" x14ac:dyDescent="0.45">
      <c r="A6055" s="462"/>
      <c r="B6055" s="441"/>
      <c r="C6055" s="194">
        <v>2</v>
      </c>
      <c r="D6055" s="80"/>
      <c r="E6055" s="97"/>
      <c r="F6055" s="97"/>
      <c r="G6055" s="97"/>
      <c r="H6055" s="97"/>
      <c r="I6055" s="97"/>
      <c r="J6055" s="97"/>
      <c r="K6055" s="97"/>
      <c r="L6055" s="195"/>
    </row>
    <row r="6056" spans="1:12" x14ac:dyDescent="0.45">
      <c r="A6056" s="462"/>
      <c r="B6056" s="441"/>
      <c r="C6056" s="194">
        <v>3</v>
      </c>
      <c r="D6056" s="80"/>
      <c r="E6056" s="97"/>
      <c r="F6056" s="97"/>
      <c r="G6056" s="97"/>
      <c r="H6056" s="97"/>
      <c r="I6056" s="97"/>
      <c r="J6056" s="97"/>
      <c r="K6056" s="97"/>
      <c r="L6056" s="195"/>
    </row>
    <row r="6057" spans="1:12" x14ac:dyDescent="0.45">
      <c r="A6057" s="462"/>
      <c r="B6057" s="441"/>
      <c r="C6057" s="194">
        <v>4</v>
      </c>
      <c r="D6057" s="80"/>
      <c r="E6057" s="97"/>
      <c r="F6057" s="97"/>
      <c r="G6057" s="97"/>
      <c r="H6057" s="97"/>
      <c r="I6057" s="97"/>
      <c r="J6057" s="97"/>
      <c r="K6057" s="97"/>
      <c r="L6057" s="195"/>
    </row>
    <row r="6058" spans="1:12" x14ac:dyDescent="0.45">
      <c r="A6058" s="462"/>
      <c r="B6058" s="441"/>
      <c r="C6058" s="194">
        <v>5</v>
      </c>
      <c r="D6058" s="80"/>
      <c r="E6058" s="97"/>
      <c r="F6058" s="97"/>
      <c r="G6058" s="97"/>
      <c r="H6058" s="97"/>
      <c r="I6058" s="97"/>
      <c r="J6058" s="97"/>
      <c r="K6058" s="97"/>
      <c r="L6058" s="195"/>
    </row>
    <row r="6059" spans="1:12" x14ac:dyDescent="0.45">
      <c r="A6059" s="462"/>
      <c r="B6059" s="441"/>
      <c r="C6059" s="194">
        <v>6</v>
      </c>
      <c r="D6059" s="80"/>
      <c r="E6059" s="97"/>
      <c r="F6059" s="97"/>
      <c r="G6059" s="97"/>
      <c r="H6059" s="97"/>
      <c r="I6059" s="97"/>
      <c r="J6059" s="97"/>
      <c r="K6059" s="97"/>
      <c r="L6059" s="195"/>
    </row>
    <row r="6060" spans="1:12" x14ac:dyDescent="0.45">
      <c r="A6060" s="462"/>
      <c r="B6060" s="441"/>
      <c r="C6060" s="194">
        <v>7</v>
      </c>
      <c r="D6060" s="80"/>
      <c r="E6060" s="97"/>
      <c r="F6060" s="97"/>
      <c r="G6060" s="97"/>
      <c r="H6060" s="97"/>
      <c r="I6060" s="97"/>
      <c r="J6060" s="97"/>
      <c r="K6060" s="97"/>
      <c r="L6060" s="195"/>
    </row>
    <row r="6061" spans="1:12" x14ac:dyDescent="0.45">
      <c r="A6061" s="462"/>
      <c r="B6061" s="441"/>
      <c r="C6061" s="194">
        <v>8</v>
      </c>
      <c r="D6061" s="80"/>
      <c r="E6061" s="97"/>
      <c r="F6061" s="97"/>
      <c r="G6061" s="97"/>
      <c r="H6061" s="97"/>
      <c r="I6061" s="97"/>
      <c r="J6061" s="97"/>
      <c r="K6061" s="97"/>
      <c r="L6061" s="195"/>
    </row>
    <row r="6062" spans="1:12" x14ac:dyDescent="0.45">
      <c r="A6062" s="462"/>
      <c r="B6062" s="441"/>
      <c r="C6062" s="194">
        <v>9</v>
      </c>
      <c r="D6062" s="80"/>
      <c r="E6062" s="97"/>
      <c r="F6062" s="97"/>
      <c r="G6062" s="97"/>
      <c r="H6062" s="97"/>
      <c r="I6062" s="97"/>
      <c r="J6062" s="97"/>
      <c r="K6062" s="97"/>
      <c r="L6062" s="195"/>
    </row>
    <row r="6063" spans="1:12" x14ac:dyDescent="0.45">
      <c r="A6063" s="462"/>
      <c r="B6063" s="441"/>
      <c r="C6063" s="194">
        <v>10</v>
      </c>
      <c r="D6063" s="80"/>
      <c r="E6063" s="97"/>
      <c r="F6063" s="97"/>
      <c r="G6063" s="97"/>
      <c r="H6063" s="97"/>
      <c r="I6063" s="97"/>
      <c r="J6063" s="97"/>
      <c r="K6063" s="97"/>
      <c r="L6063" s="195"/>
    </row>
    <row r="6064" spans="1:12" x14ac:dyDescent="0.45">
      <c r="A6064" s="462"/>
      <c r="B6064" s="441"/>
      <c r="C6064" s="194">
        <v>11</v>
      </c>
      <c r="D6064" s="81"/>
      <c r="E6064" s="98"/>
      <c r="F6064" s="98"/>
      <c r="G6064" s="98"/>
      <c r="H6064" s="98"/>
      <c r="I6064" s="98"/>
      <c r="J6064" s="98"/>
      <c r="K6064" s="98"/>
      <c r="L6064" s="196"/>
    </row>
    <row r="6065" spans="1:12" ht="14.65" thickBot="1" x14ac:dyDescent="0.5">
      <c r="A6065" s="463"/>
      <c r="B6065" s="442"/>
      <c r="C6065" s="199">
        <v>12</v>
      </c>
      <c r="D6065" s="82"/>
      <c r="E6065" s="99"/>
      <c r="F6065" s="99"/>
      <c r="G6065" s="99"/>
      <c r="H6065" s="99"/>
      <c r="I6065" s="99"/>
      <c r="J6065" s="99"/>
      <c r="K6065" s="99"/>
      <c r="L6065" s="198"/>
    </row>
    <row r="6067" spans="1:12" s="91" customFormat="1" x14ac:dyDescent="0.45"/>
    <row r="6068" spans="1:12" ht="14.65" thickBot="1" x14ac:dyDescent="0.5"/>
    <row r="6069" spans="1:12" ht="28.9" thickBot="1" x14ac:dyDescent="0.5">
      <c r="A6069" s="187" t="s">
        <v>76</v>
      </c>
      <c r="B6069" s="186">
        <v>39</v>
      </c>
      <c r="C6069" s="109"/>
      <c r="D6069" s="109"/>
    </row>
    <row r="6070" spans="1:12" x14ac:dyDescent="0.45">
      <c r="A6070" s="443" t="s">
        <v>27</v>
      </c>
      <c r="B6070" s="448">
        <f>Name39</f>
        <v>0</v>
      </c>
      <c r="C6070" s="449"/>
      <c r="D6070" s="450"/>
      <c r="I6070" s="204"/>
      <c r="J6070" s="204"/>
      <c r="K6070" s="204"/>
      <c r="L6070" s="204"/>
    </row>
    <row r="6071" spans="1:12" x14ac:dyDescent="0.45">
      <c r="A6071" s="444"/>
      <c r="B6071" s="448"/>
      <c r="C6071" s="449"/>
      <c r="D6071" s="450"/>
      <c r="I6071" s="204"/>
      <c r="J6071" s="204"/>
      <c r="K6071" s="204"/>
      <c r="L6071" s="204"/>
    </row>
    <row r="6072" spans="1:12" x14ac:dyDescent="0.45">
      <c r="A6072" s="445"/>
      <c r="B6072" s="388"/>
      <c r="C6072" s="451"/>
      <c r="D6072" s="452"/>
      <c r="I6072" s="204"/>
      <c r="J6072" s="204"/>
      <c r="K6072" s="204"/>
      <c r="L6072" s="204"/>
    </row>
    <row r="6073" spans="1:12" ht="14.45" customHeight="1" x14ac:dyDescent="0.45">
      <c r="A6073" s="444" t="s">
        <v>155</v>
      </c>
      <c r="B6073" s="453">
        <f>GapA39</f>
        <v>0</v>
      </c>
      <c r="C6073" s="454"/>
      <c r="D6073" s="455"/>
      <c r="I6073" s="204"/>
      <c r="J6073" s="204"/>
      <c r="K6073" s="204"/>
      <c r="L6073" s="204"/>
    </row>
    <row r="6074" spans="1:12" x14ac:dyDescent="0.45">
      <c r="A6074" s="444"/>
      <c r="B6074" s="448"/>
      <c r="C6074" s="449"/>
      <c r="D6074" s="450"/>
      <c r="I6074" s="204"/>
      <c r="J6074" s="204"/>
      <c r="K6074" s="204"/>
      <c r="L6074" s="204"/>
    </row>
    <row r="6075" spans="1:12" x14ac:dyDescent="0.45">
      <c r="A6075" s="445"/>
      <c r="B6075" s="388"/>
      <c r="C6075" s="451"/>
      <c r="D6075" s="452"/>
      <c r="I6075" s="204"/>
      <c r="J6075" s="204"/>
      <c r="K6075" s="204"/>
      <c r="L6075" s="204"/>
    </row>
    <row r="6076" spans="1:12" x14ac:dyDescent="0.45">
      <c r="A6076" s="444" t="s">
        <v>159</v>
      </c>
      <c r="B6076" s="453">
        <f>Objective39</f>
        <v>0</v>
      </c>
      <c r="C6076" s="454"/>
      <c r="D6076" s="455"/>
      <c r="I6076" s="204"/>
      <c r="J6076" s="204"/>
      <c r="K6076" s="204"/>
      <c r="L6076" s="204"/>
    </row>
    <row r="6077" spans="1:12" x14ac:dyDescent="0.45">
      <c r="A6077" s="444"/>
      <c r="B6077" s="448"/>
      <c r="C6077" s="449"/>
      <c r="D6077" s="450"/>
      <c r="I6077" s="204"/>
      <c r="J6077" s="204"/>
      <c r="K6077" s="204"/>
      <c r="L6077" s="204"/>
    </row>
    <row r="6078" spans="1:12" x14ac:dyDescent="0.45">
      <c r="A6078" s="445"/>
      <c r="B6078" s="388"/>
      <c r="C6078" s="451"/>
      <c r="D6078" s="452"/>
      <c r="I6078" s="204"/>
      <c r="J6078" s="204"/>
      <c r="K6078" s="204"/>
      <c r="L6078" s="204"/>
    </row>
    <row r="6079" spans="1:12" ht="14.45" customHeight="1" x14ac:dyDescent="0.45">
      <c r="A6079" s="446" t="s">
        <v>166</v>
      </c>
      <c r="B6079" s="454">
        <f>Capacity39</f>
        <v>0</v>
      </c>
      <c r="C6079" s="454"/>
      <c r="D6079" s="455"/>
      <c r="I6079" s="204"/>
      <c r="J6079" s="204"/>
      <c r="K6079" s="204"/>
      <c r="L6079" s="204"/>
    </row>
    <row r="6080" spans="1:12" x14ac:dyDescent="0.45">
      <c r="A6080" s="447"/>
      <c r="B6080" s="449"/>
      <c r="C6080" s="449"/>
      <c r="D6080" s="450"/>
      <c r="I6080" s="204"/>
      <c r="J6080" s="204"/>
      <c r="K6080" s="204"/>
      <c r="L6080" s="204"/>
    </row>
    <row r="6081" spans="1:14" ht="14.65" thickBot="1" x14ac:dyDescent="0.5">
      <c r="A6081" s="464"/>
      <c r="B6081" s="456"/>
      <c r="C6081" s="456"/>
      <c r="D6081" s="457"/>
      <c r="I6081" s="204"/>
      <c r="J6081" s="204"/>
      <c r="K6081" s="204"/>
      <c r="L6081" s="204"/>
    </row>
    <row r="6083" spans="1:14" ht="14.65" thickBot="1" x14ac:dyDescent="0.5">
      <c r="A6083" s="90"/>
      <c r="B6083" s="90"/>
      <c r="C6083" s="90"/>
      <c r="D6083" s="90"/>
      <c r="E6083" s="90"/>
      <c r="F6083" s="90"/>
      <c r="G6083" s="90"/>
      <c r="H6083" s="90"/>
      <c r="I6083" s="90"/>
      <c r="J6083" s="90"/>
      <c r="K6083" s="90"/>
      <c r="L6083" s="90"/>
      <c r="M6083" s="204"/>
      <c r="N6083" s="204"/>
    </row>
    <row r="6084" spans="1:14" ht="21.75" customHeight="1" x14ac:dyDescent="0.45">
      <c r="A6084" s="458" t="s">
        <v>135</v>
      </c>
      <c r="B6084" s="459"/>
      <c r="C6084" s="459"/>
      <c r="D6084" s="459"/>
      <c r="E6084" s="459"/>
      <c r="F6084" s="459"/>
      <c r="G6084" s="459"/>
      <c r="H6084" s="459"/>
      <c r="I6084" s="459"/>
      <c r="J6084" s="459"/>
      <c r="K6084" s="459"/>
      <c r="L6084" s="460"/>
    </row>
    <row r="6085" spans="1:14" ht="29" customHeight="1" thickBot="1" x14ac:dyDescent="0.5">
      <c r="A6085" s="93" t="s">
        <v>74</v>
      </c>
      <c r="B6085" s="94" t="s">
        <v>28</v>
      </c>
      <c r="C6085" s="95" t="s">
        <v>320</v>
      </c>
      <c r="D6085" s="95" t="s">
        <v>127</v>
      </c>
      <c r="E6085" s="114" t="s">
        <v>90</v>
      </c>
      <c r="F6085" s="95" t="s">
        <v>175</v>
      </c>
      <c r="G6085" s="95" t="s">
        <v>176</v>
      </c>
      <c r="H6085" s="95" t="s">
        <v>156</v>
      </c>
      <c r="I6085" s="95" t="s">
        <v>157</v>
      </c>
      <c r="J6085" s="189" t="s">
        <v>321</v>
      </c>
      <c r="K6085" s="190" t="s">
        <v>29</v>
      </c>
      <c r="L6085" s="191" t="s">
        <v>322</v>
      </c>
    </row>
    <row r="6086" spans="1:14" x14ac:dyDescent="0.45">
      <c r="A6086" s="461">
        <v>1</v>
      </c>
      <c r="B6086" s="440">
        <v>1</v>
      </c>
      <c r="C6086" s="192">
        <v>1</v>
      </c>
      <c r="D6086" s="79"/>
      <c r="E6086" s="96"/>
      <c r="F6086" s="96"/>
      <c r="G6086" s="96"/>
      <c r="H6086" s="96"/>
      <c r="I6086" s="96"/>
      <c r="J6086" s="96"/>
      <c r="K6086" s="96"/>
      <c r="L6086" s="193"/>
    </row>
    <row r="6087" spans="1:14" x14ac:dyDescent="0.45">
      <c r="A6087" s="462"/>
      <c r="B6087" s="441"/>
      <c r="C6087" s="194">
        <v>2</v>
      </c>
      <c r="D6087" s="80"/>
      <c r="E6087" s="97"/>
      <c r="F6087" s="97"/>
      <c r="G6087" s="97"/>
      <c r="H6087" s="97"/>
      <c r="I6087" s="97"/>
      <c r="J6087" s="97"/>
      <c r="K6087" s="97"/>
      <c r="L6087" s="195"/>
    </row>
    <row r="6088" spans="1:14" x14ac:dyDescent="0.45">
      <c r="A6088" s="462"/>
      <c r="B6088" s="441"/>
      <c r="C6088" s="194">
        <v>3</v>
      </c>
      <c r="D6088" s="80"/>
      <c r="E6088" s="97"/>
      <c r="F6088" s="97"/>
      <c r="G6088" s="97"/>
      <c r="H6088" s="97"/>
      <c r="I6088" s="97"/>
      <c r="J6088" s="97"/>
      <c r="K6088" s="97"/>
      <c r="L6088" s="195"/>
    </row>
    <row r="6089" spans="1:14" x14ac:dyDescent="0.45">
      <c r="A6089" s="462"/>
      <c r="B6089" s="441"/>
      <c r="C6089" s="194">
        <v>4</v>
      </c>
      <c r="D6089" s="80"/>
      <c r="E6089" s="97"/>
      <c r="F6089" s="97"/>
      <c r="G6089" s="97"/>
      <c r="H6089" s="97"/>
      <c r="I6089" s="97"/>
      <c r="J6089" s="97"/>
      <c r="K6089" s="97"/>
      <c r="L6089" s="195"/>
    </row>
    <row r="6090" spans="1:14" x14ac:dyDescent="0.45">
      <c r="A6090" s="462"/>
      <c r="B6090" s="441"/>
      <c r="C6090" s="194">
        <v>5</v>
      </c>
      <c r="D6090" s="80"/>
      <c r="E6090" s="97"/>
      <c r="F6090" s="97"/>
      <c r="G6090" s="97"/>
      <c r="H6090" s="97"/>
      <c r="I6090" s="97"/>
      <c r="J6090" s="97"/>
      <c r="K6090" s="97"/>
      <c r="L6090" s="195"/>
    </row>
    <row r="6091" spans="1:14" x14ac:dyDescent="0.45">
      <c r="A6091" s="462"/>
      <c r="B6091" s="441"/>
      <c r="C6091" s="194">
        <v>6</v>
      </c>
      <c r="D6091" s="80"/>
      <c r="E6091" s="97"/>
      <c r="F6091" s="97"/>
      <c r="G6091" s="97"/>
      <c r="H6091" s="97"/>
      <c r="I6091" s="97"/>
      <c r="J6091" s="97"/>
      <c r="K6091" s="97"/>
      <c r="L6091" s="195"/>
    </row>
    <row r="6092" spans="1:14" x14ac:dyDescent="0.45">
      <c r="A6092" s="462"/>
      <c r="B6092" s="441"/>
      <c r="C6092" s="194">
        <v>7</v>
      </c>
      <c r="D6092" s="80"/>
      <c r="E6092" s="97"/>
      <c r="F6092" s="97"/>
      <c r="G6092" s="97"/>
      <c r="H6092" s="97"/>
      <c r="I6092" s="97"/>
      <c r="J6092" s="97"/>
      <c r="K6092" s="97"/>
      <c r="L6092" s="195"/>
    </row>
    <row r="6093" spans="1:14" x14ac:dyDescent="0.45">
      <c r="A6093" s="462"/>
      <c r="B6093" s="441"/>
      <c r="C6093" s="194">
        <v>8</v>
      </c>
      <c r="D6093" s="80"/>
      <c r="E6093" s="97"/>
      <c r="F6093" s="97"/>
      <c r="G6093" s="97"/>
      <c r="H6093" s="97"/>
      <c r="I6093" s="97"/>
      <c r="J6093" s="97"/>
      <c r="K6093" s="97"/>
      <c r="L6093" s="195"/>
    </row>
    <row r="6094" spans="1:14" x14ac:dyDescent="0.45">
      <c r="A6094" s="462"/>
      <c r="B6094" s="441"/>
      <c r="C6094" s="194">
        <v>9</v>
      </c>
      <c r="D6094" s="80"/>
      <c r="E6094" s="97"/>
      <c r="F6094" s="97"/>
      <c r="G6094" s="97"/>
      <c r="H6094" s="97"/>
      <c r="I6094" s="97"/>
      <c r="J6094" s="97"/>
      <c r="K6094" s="97"/>
      <c r="L6094" s="195"/>
    </row>
    <row r="6095" spans="1:14" x14ac:dyDescent="0.45">
      <c r="A6095" s="462"/>
      <c r="B6095" s="441"/>
      <c r="C6095" s="194">
        <v>10</v>
      </c>
      <c r="D6095" s="80"/>
      <c r="E6095" s="97"/>
      <c r="F6095" s="97"/>
      <c r="G6095" s="97"/>
      <c r="H6095" s="97"/>
      <c r="I6095" s="97"/>
      <c r="J6095" s="97"/>
      <c r="K6095" s="97"/>
      <c r="L6095" s="195"/>
    </row>
    <row r="6096" spans="1:14" x14ac:dyDescent="0.45">
      <c r="A6096" s="462"/>
      <c r="B6096" s="441"/>
      <c r="C6096" s="194">
        <v>11</v>
      </c>
      <c r="D6096" s="81"/>
      <c r="E6096" s="98"/>
      <c r="F6096" s="98"/>
      <c r="G6096" s="98"/>
      <c r="H6096" s="98"/>
      <c r="I6096" s="98"/>
      <c r="J6096" s="98"/>
      <c r="K6096" s="98"/>
      <c r="L6096" s="196"/>
    </row>
    <row r="6097" spans="1:14" s="90" customFormat="1" ht="14.65" thickBot="1" x14ac:dyDescent="0.5">
      <c r="A6097" s="462"/>
      <c r="B6097" s="442"/>
      <c r="C6097" s="197">
        <v>12</v>
      </c>
      <c r="D6097" s="82"/>
      <c r="E6097" s="99"/>
      <c r="F6097" s="99"/>
      <c r="G6097" s="99"/>
      <c r="H6097" s="99"/>
      <c r="I6097" s="99"/>
      <c r="J6097" s="99"/>
      <c r="K6097" s="99"/>
      <c r="L6097" s="198"/>
      <c r="M6097" s="61"/>
      <c r="N6097" s="61"/>
    </row>
    <row r="6098" spans="1:14" x14ac:dyDescent="0.45">
      <c r="A6098" s="462"/>
      <c r="B6098" s="440">
        <v>2</v>
      </c>
      <c r="C6098" s="192">
        <v>1</v>
      </c>
      <c r="D6098" s="79"/>
      <c r="E6098" s="96"/>
      <c r="F6098" s="96"/>
      <c r="G6098" s="96"/>
      <c r="H6098" s="96"/>
      <c r="I6098" s="96"/>
      <c r="J6098" s="96"/>
      <c r="K6098" s="96"/>
      <c r="L6098" s="193"/>
    </row>
    <row r="6099" spans="1:14" x14ac:dyDescent="0.45">
      <c r="A6099" s="462"/>
      <c r="B6099" s="441"/>
      <c r="C6099" s="194">
        <v>2</v>
      </c>
      <c r="D6099" s="80"/>
      <c r="E6099" s="97"/>
      <c r="F6099" s="97"/>
      <c r="G6099" s="97"/>
      <c r="H6099" s="97"/>
      <c r="I6099" s="97"/>
      <c r="J6099" s="97"/>
      <c r="K6099" s="97"/>
      <c r="L6099" s="195"/>
    </row>
    <row r="6100" spans="1:14" x14ac:dyDescent="0.45">
      <c r="A6100" s="462"/>
      <c r="B6100" s="441"/>
      <c r="C6100" s="194">
        <v>3</v>
      </c>
      <c r="D6100" s="80"/>
      <c r="E6100" s="97"/>
      <c r="F6100" s="97"/>
      <c r="G6100" s="97"/>
      <c r="H6100" s="97"/>
      <c r="I6100" s="97"/>
      <c r="J6100" s="97"/>
      <c r="K6100" s="97"/>
      <c r="L6100" s="195"/>
    </row>
    <row r="6101" spans="1:14" x14ac:dyDescent="0.45">
      <c r="A6101" s="462"/>
      <c r="B6101" s="441"/>
      <c r="C6101" s="194">
        <v>4</v>
      </c>
      <c r="D6101" s="80"/>
      <c r="E6101" s="97"/>
      <c r="F6101" s="97"/>
      <c r="G6101" s="97"/>
      <c r="H6101" s="97"/>
      <c r="I6101" s="97"/>
      <c r="J6101" s="97"/>
      <c r="K6101" s="97"/>
      <c r="L6101" s="195"/>
    </row>
    <row r="6102" spans="1:14" x14ac:dyDescent="0.45">
      <c r="A6102" s="462"/>
      <c r="B6102" s="441"/>
      <c r="C6102" s="194">
        <v>5</v>
      </c>
      <c r="D6102" s="80"/>
      <c r="E6102" s="97"/>
      <c r="F6102" s="97"/>
      <c r="G6102" s="97"/>
      <c r="H6102" s="97"/>
      <c r="I6102" s="97"/>
      <c r="J6102" s="97"/>
      <c r="K6102" s="97"/>
      <c r="L6102" s="195"/>
    </row>
    <row r="6103" spans="1:14" x14ac:dyDescent="0.45">
      <c r="A6103" s="462"/>
      <c r="B6103" s="441"/>
      <c r="C6103" s="194">
        <v>6</v>
      </c>
      <c r="D6103" s="80"/>
      <c r="E6103" s="97"/>
      <c r="F6103" s="97"/>
      <c r="G6103" s="97"/>
      <c r="H6103" s="97"/>
      <c r="I6103" s="97"/>
      <c r="J6103" s="97"/>
      <c r="K6103" s="97"/>
      <c r="L6103" s="195"/>
    </row>
    <row r="6104" spans="1:14" x14ac:dyDescent="0.45">
      <c r="A6104" s="462"/>
      <c r="B6104" s="441"/>
      <c r="C6104" s="194">
        <v>7</v>
      </c>
      <c r="D6104" s="80"/>
      <c r="E6104" s="97"/>
      <c r="F6104" s="97"/>
      <c r="G6104" s="97"/>
      <c r="H6104" s="97"/>
      <c r="I6104" s="97"/>
      <c r="J6104" s="97"/>
      <c r="K6104" s="97"/>
      <c r="L6104" s="195"/>
    </row>
    <row r="6105" spans="1:14" x14ac:dyDescent="0.45">
      <c r="A6105" s="462"/>
      <c r="B6105" s="441"/>
      <c r="C6105" s="194">
        <v>8</v>
      </c>
      <c r="D6105" s="80"/>
      <c r="E6105" s="97"/>
      <c r="F6105" s="97"/>
      <c r="G6105" s="97"/>
      <c r="H6105" s="97"/>
      <c r="I6105" s="97"/>
      <c r="J6105" s="97"/>
      <c r="K6105" s="97"/>
      <c r="L6105" s="195"/>
    </row>
    <row r="6106" spans="1:14" x14ac:dyDescent="0.45">
      <c r="A6106" s="462"/>
      <c r="B6106" s="441"/>
      <c r="C6106" s="194">
        <v>9</v>
      </c>
      <c r="D6106" s="80"/>
      <c r="E6106" s="97"/>
      <c r="F6106" s="97"/>
      <c r="G6106" s="97"/>
      <c r="H6106" s="97"/>
      <c r="I6106" s="97"/>
      <c r="J6106" s="97"/>
      <c r="K6106" s="97"/>
      <c r="L6106" s="195"/>
    </row>
    <row r="6107" spans="1:14" x14ac:dyDescent="0.45">
      <c r="A6107" s="462"/>
      <c r="B6107" s="441"/>
      <c r="C6107" s="194">
        <v>10</v>
      </c>
      <c r="D6107" s="80"/>
      <c r="E6107" s="97"/>
      <c r="F6107" s="97"/>
      <c r="G6107" s="97"/>
      <c r="H6107" s="97"/>
      <c r="I6107" s="97"/>
      <c r="J6107" s="97"/>
      <c r="K6107" s="97"/>
      <c r="L6107" s="195"/>
    </row>
    <row r="6108" spans="1:14" x14ac:dyDescent="0.45">
      <c r="A6108" s="462"/>
      <c r="B6108" s="441"/>
      <c r="C6108" s="194">
        <v>11</v>
      </c>
      <c r="D6108" s="81"/>
      <c r="E6108" s="98"/>
      <c r="F6108" s="98"/>
      <c r="G6108" s="98"/>
      <c r="H6108" s="98"/>
      <c r="I6108" s="98"/>
      <c r="J6108" s="98"/>
      <c r="K6108" s="98"/>
      <c r="L6108" s="196"/>
    </row>
    <row r="6109" spans="1:14" ht="14.65" thickBot="1" x14ac:dyDescent="0.5">
      <c r="A6109" s="462"/>
      <c r="B6109" s="442"/>
      <c r="C6109" s="197">
        <v>12</v>
      </c>
      <c r="D6109" s="82"/>
      <c r="E6109" s="99"/>
      <c r="F6109" s="99"/>
      <c r="G6109" s="99"/>
      <c r="H6109" s="99"/>
      <c r="I6109" s="99"/>
      <c r="J6109" s="99"/>
      <c r="K6109" s="99"/>
      <c r="L6109" s="198"/>
    </row>
    <row r="6110" spans="1:14" x14ac:dyDescent="0.45">
      <c r="A6110" s="462"/>
      <c r="B6110" s="440">
        <v>3</v>
      </c>
      <c r="C6110" s="192">
        <v>1</v>
      </c>
      <c r="D6110" s="79"/>
      <c r="E6110" s="96"/>
      <c r="F6110" s="96"/>
      <c r="G6110" s="96"/>
      <c r="H6110" s="96"/>
      <c r="I6110" s="96"/>
      <c r="J6110" s="96"/>
      <c r="K6110" s="96"/>
      <c r="L6110" s="193"/>
    </row>
    <row r="6111" spans="1:14" x14ac:dyDescent="0.45">
      <c r="A6111" s="462"/>
      <c r="B6111" s="441"/>
      <c r="C6111" s="194">
        <v>2</v>
      </c>
      <c r="D6111" s="80"/>
      <c r="E6111" s="97"/>
      <c r="F6111" s="97"/>
      <c r="G6111" s="97"/>
      <c r="H6111" s="97"/>
      <c r="I6111" s="97"/>
      <c r="J6111" s="97"/>
      <c r="K6111" s="97"/>
      <c r="L6111" s="195"/>
    </row>
    <row r="6112" spans="1:14" x14ac:dyDescent="0.45">
      <c r="A6112" s="462"/>
      <c r="B6112" s="441"/>
      <c r="C6112" s="194">
        <v>3</v>
      </c>
      <c r="D6112" s="80"/>
      <c r="E6112" s="97"/>
      <c r="F6112" s="97"/>
      <c r="G6112" s="97"/>
      <c r="H6112" s="97"/>
      <c r="I6112" s="97"/>
      <c r="J6112" s="97"/>
      <c r="K6112" s="97"/>
      <c r="L6112" s="195"/>
    </row>
    <row r="6113" spans="1:12" x14ac:dyDescent="0.45">
      <c r="A6113" s="462"/>
      <c r="B6113" s="441"/>
      <c r="C6113" s="194">
        <v>4</v>
      </c>
      <c r="D6113" s="80"/>
      <c r="E6113" s="97"/>
      <c r="F6113" s="97"/>
      <c r="G6113" s="97"/>
      <c r="H6113" s="97"/>
      <c r="I6113" s="97"/>
      <c r="J6113" s="97"/>
      <c r="K6113" s="97"/>
      <c r="L6113" s="195"/>
    </row>
    <row r="6114" spans="1:12" x14ac:dyDescent="0.45">
      <c r="A6114" s="462"/>
      <c r="B6114" s="441"/>
      <c r="C6114" s="194">
        <v>5</v>
      </c>
      <c r="D6114" s="80"/>
      <c r="E6114" s="97"/>
      <c r="F6114" s="97"/>
      <c r="G6114" s="97"/>
      <c r="H6114" s="97"/>
      <c r="I6114" s="97"/>
      <c r="J6114" s="97"/>
      <c r="K6114" s="97"/>
      <c r="L6114" s="195"/>
    </row>
    <row r="6115" spans="1:12" x14ac:dyDescent="0.45">
      <c r="A6115" s="462"/>
      <c r="B6115" s="441"/>
      <c r="C6115" s="194">
        <v>6</v>
      </c>
      <c r="D6115" s="80"/>
      <c r="E6115" s="97"/>
      <c r="F6115" s="97"/>
      <c r="G6115" s="97"/>
      <c r="H6115" s="97"/>
      <c r="I6115" s="97"/>
      <c r="J6115" s="97"/>
      <c r="K6115" s="97"/>
      <c r="L6115" s="195"/>
    </row>
    <row r="6116" spans="1:12" x14ac:dyDescent="0.45">
      <c r="A6116" s="462"/>
      <c r="B6116" s="441"/>
      <c r="C6116" s="194">
        <v>7</v>
      </c>
      <c r="D6116" s="80"/>
      <c r="E6116" s="97"/>
      <c r="F6116" s="97"/>
      <c r="G6116" s="97"/>
      <c r="H6116" s="97"/>
      <c r="I6116" s="97"/>
      <c r="J6116" s="97"/>
      <c r="K6116" s="97"/>
      <c r="L6116" s="195"/>
    </row>
    <row r="6117" spans="1:12" x14ac:dyDescent="0.45">
      <c r="A6117" s="462"/>
      <c r="B6117" s="441"/>
      <c r="C6117" s="194">
        <v>8</v>
      </c>
      <c r="D6117" s="80"/>
      <c r="E6117" s="97"/>
      <c r="F6117" s="97"/>
      <c r="G6117" s="97"/>
      <c r="H6117" s="97"/>
      <c r="I6117" s="97"/>
      <c r="J6117" s="97"/>
      <c r="K6117" s="97"/>
      <c r="L6117" s="195"/>
    </row>
    <row r="6118" spans="1:12" x14ac:dyDescent="0.45">
      <c r="A6118" s="462"/>
      <c r="B6118" s="441"/>
      <c r="C6118" s="194">
        <v>9</v>
      </c>
      <c r="D6118" s="80"/>
      <c r="E6118" s="97"/>
      <c r="F6118" s="97"/>
      <c r="G6118" s="97"/>
      <c r="H6118" s="97"/>
      <c r="I6118" s="97"/>
      <c r="J6118" s="97"/>
      <c r="K6118" s="97"/>
      <c r="L6118" s="195"/>
    </row>
    <row r="6119" spans="1:12" x14ac:dyDescent="0.45">
      <c r="A6119" s="462"/>
      <c r="B6119" s="441"/>
      <c r="C6119" s="194">
        <v>10</v>
      </c>
      <c r="D6119" s="80"/>
      <c r="E6119" s="97"/>
      <c r="F6119" s="97"/>
      <c r="G6119" s="97"/>
      <c r="H6119" s="97"/>
      <c r="I6119" s="97"/>
      <c r="J6119" s="97"/>
      <c r="K6119" s="97"/>
      <c r="L6119" s="195"/>
    </row>
    <row r="6120" spans="1:12" x14ac:dyDescent="0.45">
      <c r="A6120" s="462"/>
      <c r="B6120" s="441"/>
      <c r="C6120" s="194">
        <v>11</v>
      </c>
      <c r="D6120" s="81"/>
      <c r="E6120" s="98"/>
      <c r="F6120" s="98"/>
      <c r="G6120" s="98"/>
      <c r="H6120" s="98"/>
      <c r="I6120" s="98"/>
      <c r="J6120" s="98"/>
      <c r="K6120" s="98"/>
      <c r="L6120" s="196"/>
    </row>
    <row r="6121" spans="1:12" ht="14.65" thickBot="1" x14ac:dyDescent="0.5">
      <c r="A6121" s="462"/>
      <c r="B6121" s="442"/>
      <c r="C6121" s="197">
        <v>12</v>
      </c>
      <c r="D6121" s="82"/>
      <c r="E6121" s="99"/>
      <c r="F6121" s="99"/>
      <c r="G6121" s="99"/>
      <c r="H6121" s="99"/>
      <c r="I6121" s="99"/>
      <c r="J6121" s="99"/>
      <c r="K6121" s="99"/>
      <c r="L6121" s="198"/>
    </row>
    <row r="6122" spans="1:12" x14ac:dyDescent="0.45">
      <c r="A6122" s="462"/>
      <c r="B6122" s="440">
        <v>4</v>
      </c>
      <c r="C6122" s="192">
        <v>1</v>
      </c>
      <c r="D6122" s="79"/>
      <c r="E6122" s="96"/>
      <c r="F6122" s="96"/>
      <c r="G6122" s="96"/>
      <c r="H6122" s="96"/>
      <c r="I6122" s="96"/>
      <c r="J6122" s="96"/>
      <c r="K6122" s="96"/>
      <c r="L6122" s="193"/>
    </row>
    <row r="6123" spans="1:12" x14ac:dyDescent="0.45">
      <c r="A6123" s="462"/>
      <c r="B6123" s="441"/>
      <c r="C6123" s="194">
        <v>2</v>
      </c>
      <c r="D6123" s="80"/>
      <c r="E6123" s="97"/>
      <c r="F6123" s="97"/>
      <c r="G6123" s="97"/>
      <c r="H6123" s="97"/>
      <c r="I6123" s="97"/>
      <c r="J6123" s="97"/>
      <c r="K6123" s="97"/>
      <c r="L6123" s="195"/>
    </row>
    <row r="6124" spans="1:12" x14ac:dyDescent="0.45">
      <c r="A6124" s="462"/>
      <c r="B6124" s="441"/>
      <c r="C6124" s="194">
        <v>3</v>
      </c>
      <c r="D6124" s="80"/>
      <c r="E6124" s="97"/>
      <c r="F6124" s="97"/>
      <c r="G6124" s="97"/>
      <c r="H6124" s="97"/>
      <c r="I6124" s="97"/>
      <c r="J6124" s="97"/>
      <c r="K6124" s="97"/>
      <c r="L6124" s="195"/>
    </row>
    <row r="6125" spans="1:12" x14ac:dyDescent="0.45">
      <c r="A6125" s="462"/>
      <c r="B6125" s="441"/>
      <c r="C6125" s="194">
        <v>4</v>
      </c>
      <c r="D6125" s="80"/>
      <c r="E6125" s="97"/>
      <c r="F6125" s="97"/>
      <c r="G6125" s="97"/>
      <c r="H6125" s="97"/>
      <c r="I6125" s="97"/>
      <c r="J6125" s="97"/>
      <c r="K6125" s="97"/>
      <c r="L6125" s="195"/>
    </row>
    <row r="6126" spans="1:12" x14ac:dyDescent="0.45">
      <c r="A6126" s="462"/>
      <c r="B6126" s="441"/>
      <c r="C6126" s="194">
        <v>5</v>
      </c>
      <c r="D6126" s="80"/>
      <c r="E6126" s="97"/>
      <c r="F6126" s="97"/>
      <c r="G6126" s="97"/>
      <c r="H6126" s="97"/>
      <c r="I6126" s="97"/>
      <c r="J6126" s="97"/>
      <c r="K6126" s="97"/>
      <c r="L6126" s="195"/>
    </row>
    <row r="6127" spans="1:12" x14ac:dyDescent="0.45">
      <c r="A6127" s="462"/>
      <c r="B6127" s="441"/>
      <c r="C6127" s="194">
        <v>6</v>
      </c>
      <c r="D6127" s="80"/>
      <c r="E6127" s="97"/>
      <c r="F6127" s="97"/>
      <c r="G6127" s="97"/>
      <c r="H6127" s="97"/>
      <c r="I6127" s="97"/>
      <c r="J6127" s="97"/>
      <c r="K6127" s="97"/>
      <c r="L6127" s="195"/>
    </row>
    <row r="6128" spans="1:12" x14ac:dyDescent="0.45">
      <c r="A6128" s="462"/>
      <c r="B6128" s="441"/>
      <c r="C6128" s="194">
        <v>7</v>
      </c>
      <c r="D6128" s="80"/>
      <c r="E6128" s="97"/>
      <c r="F6128" s="97"/>
      <c r="G6128" s="97"/>
      <c r="H6128" s="97"/>
      <c r="I6128" s="97"/>
      <c r="J6128" s="97"/>
      <c r="K6128" s="97"/>
      <c r="L6128" s="195"/>
    </row>
    <row r="6129" spans="1:12" x14ac:dyDescent="0.45">
      <c r="A6129" s="462"/>
      <c r="B6129" s="441"/>
      <c r="C6129" s="194">
        <v>8</v>
      </c>
      <c r="D6129" s="80"/>
      <c r="E6129" s="97"/>
      <c r="F6129" s="97"/>
      <c r="G6129" s="97"/>
      <c r="H6129" s="97"/>
      <c r="I6129" s="97"/>
      <c r="J6129" s="97"/>
      <c r="K6129" s="97"/>
      <c r="L6129" s="195"/>
    </row>
    <row r="6130" spans="1:12" x14ac:dyDescent="0.45">
      <c r="A6130" s="462"/>
      <c r="B6130" s="441"/>
      <c r="C6130" s="194">
        <v>9</v>
      </c>
      <c r="D6130" s="80"/>
      <c r="E6130" s="97"/>
      <c r="F6130" s="97"/>
      <c r="G6130" s="97"/>
      <c r="H6130" s="97"/>
      <c r="I6130" s="97"/>
      <c r="J6130" s="97"/>
      <c r="K6130" s="97"/>
      <c r="L6130" s="195"/>
    </row>
    <row r="6131" spans="1:12" x14ac:dyDescent="0.45">
      <c r="A6131" s="462"/>
      <c r="B6131" s="441"/>
      <c r="C6131" s="194">
        <v>10</v>
      </c>
      <c r="D6131" s="80"/>
      <c r="E6131" s="97"/>
      <c r="F6131" s="97"/>
      <c r="G6131" s="97"/>
      <c r="H6131" s="97"/>
      <c r="I6131" s="97"/>
      <c r="J6131" s="97"/>
      <c r="K6131" s="97"/>
      <c r="L6131" s="195"/>
    </row>
    <row r="6132" spans="1:12" x14ac:dyDescent="0.45">
      <c r="A6132" s="462"/>
      <c r="B6132" s="441"/>
      <c r="C6132" s="194">
        <v>11</v>
      </c>
      <c r="D6132" s="81"/>
      <c r="E6132" s="98"/>
      <c r="F6132" s="98"/>
      <c r="G6132" s="98"/>
      <c r="H6132" s="98"/>
      <c r="I6132" s="98"/>
      <c r="J6132" s="98"/>
      <c r="K6132" s="98"/>
      <c r="L6132" s="196"/>
    </row>
    <row r="6133" spans="1:12" ht="14.65" thickBot="1" x14ac:dyDescent="0.5">
      <c r="A6133" s="463"/>
      <c r="B6133" s="442"/>
      <c r="C6133" s="197">
        <v>12</v>
      </c>
      <c r="D6133" s="82"/>
      <c r="E6133" s="99"/>
      <c r="F6133" s="99"/>
      <c r="G6133" s="99"/>
      <c r="H6133" s="99"/>
      <c r="I6133" s="99"/>
      <c r="J6133" s="99"/>
      <c r="K6133" s="99"/>
      <c r="L6133" s="198"/>
    </row>
    <row r="6134" spans="1:12" x14ac:dyDescent="0.45">
      <c r="A6134" s="461">
        <v>2</v>
      </c>
      <c r="B6134" s="440">
        <v>5</v>
      </c>
      <c r="C6134" s="192">
        <v>1</v>
      </c>
      <c r="D6134" s="79"/>
      <c r="E6134" s="96"/>
      <c r="F6134" s="96"/>
      <c r="G6134" s="96"/>
      <c r="H6134" s="96"/>
      <c r="I6134" s="96"/>
      <c r="J6134" s="96"/>
      <c r="K6134" s="96"/>
      <c r="L6134" s="193"/>
    </row>
    <row r="6135" spans="1:12" x14ac:dyDescent="0.45">
      <c r="A6135" s="462"/>
      <c r="B6135" s="441"/>
      <c r="C6135" s="194">
        <v>2</v>
      </c>
      <c r="D6135" s="80"/>
      <c r="E6135" s="97"/>
      <c r="F6135" s="97"/>
      <c r="G6135" s="97"/>
      <c r="H6135" s="97"/>
      <c r="I6135" s="97"/>
      <c r="J6135" s="97"/>
      <c r="K6135" s="97"/>
      <c r="L6135" s="195"/>
    </row>
    <row r="6136" spans="1:12" x14ac:dyDescent="0.45">
      <c r="A6136" s="462"/>
      <c r="B6136" s="441"/>
      <c r="C6136" s="194">
        <v>3</v>
      </c>
      <c r="D6136" s="80"/>
      <c r="E6136" s="97"/>
      <c r="F6136" s="97"/>
      <c r="G6136" s="97"/>
      <c r="H6136" s="97"/>
      <c r="I6136" s="97"/>
      <c r="J6136" s="97"/>
      <c r="K6136" s="97"/>
      <c r="L6136" s="195"/>
    </row>
    <row r="6137" spans="1:12" x14ac:dyDescent="0.45">
      <c r="A6137" s="462"/>
      <c r="B6137" s="441"/>
      <c r="C6137" s="194">
        <v>4</v>
      </c>
      <c r="D6137" s="80"/>
      <c r="E6137" s="97"/>
      <c r="F6137" s="97"/>
      <c r="G6137" s="97"/>
      <c r="H6137" s="97"/>
      <c r="I6137" s="97"/>
      <c r="J6137" s="97"/>
      <c r="K6137" s="97"/>
      <c r="L6137" s="195"/>
    </row>
    <row r="6138" spans="1:12" x14ac:dyDescent="0.45">
      <c r="A6138" s="462"/>
      <c r="B6138" s="441"/>
      <c r="C6138" s="194">
        <v>5</v>
      </c>
      <c r="D6138" s="80"/>
      <c r="E6138" s="97"/>
      <c r="F6138" s="97"/>
      <c r="G6138" s="97"/>
      <c r="H6138" s="97"/>
      <c r="I6138" s="97"/>
      <c r="J6138" s="97"/>
      <c r="K6138" s="97"/>
      <c r="L6138" s="195"/>
    </row>
    <row r="6139" spans="1:12" x14ac:dyDescent="0.45">
      <c r="A6139" s="462"/>
      <c r="B6139" s="441"/>
      <c r="C6139" s="194">
        <v>6</v>
      </c>
      <c r="D6139" s="80"/>
      <c r="E6139" s="97"/>
      <c r="F6139" s="97"/>
      <c r="G6139" s="97"/>
      <c r="H6139" s="97"/>
      <c r="I6139" s="97"/>
      <c r="J6139" s="97"/>
      <c r="K6139" s="97"/>
      <c r="L6139" s="195"/>
    </row>
    <row r="6140" spans="1:12" x14ac:dyDescent="0.45">
      <c r="A6140" s="462"/>
      <c r="B6140" s="441"/>
      <c r="C6140" s="194">
        <v>7</v>
      </c>
      <c r="D6140" s="80"/>
      <c r="E6140" s="97"/>
      <c r="F6140" s="97"/>
      <c r="G6140" s="97"/>
      <c r="H6140" s="97"/>
      <c r="I6140" s="97"/>
      <c r="J6140" s="97"/>
      <c r="K6140" s="97"/>
      <c r="L6140" s="195"/>
    </row>
    <row r="6141" spans="1:12" x14ac:dyDescent="0.45">
      <c r="A6141" s="462"/>
      <c r="B6141" s="441"/>
      <c r="C6141" s="194">
        <v>8</v>
      </c>
      <c r="D6141" s="80"/>
      <c r="E6141" s="97"/>
      <c r="F6141" s="97"/>
      <c r="G6141" s="97"/>
      <c r="H6141" s="97"/>
      <c r="I6141" s="97"/>
      <c r="J6141" s="97"/>
      <c r="K6141" s="97"/>
      <c r="L6141" s="195"/>
    </row>
    <row r="6142" spans="1:12" x14ac:dyDescent="0.45">
      <c r="A6142" s="462"/>
      <c r="B6142" s="441"/>
      <c r="C6142" s="194">
        <v>9</v>
      </c>
      <c r="D6142" s="80"/>
      <c r="E6142" s="97"/>
      <c r="F6142" s="97"/>
      <c r="G6142" s="97"/>
      <c r="H6142" s="97"/>
      <c r="I6142" s="97"/>
      <c r="J6142" s="97"/>
      <c r="K6142" s="97"/>
      <c r="L6142" s="195"/>
    </row>
    <row r="6143" spans="1:12" x14ac:dyDescent="0.45">
      <c r="A6143" s="462"/>
      <c r="B6143" s="441"/>
      <c r="C6143" s="194">
        <v>10</v>
      </c>
      <c r="D6143" s="80"/>
      <c r="E6143" s="97"/>
      <c r="F6143" s="97"/>
      <c r="G6143" s="97"/>
      <c r="H6143" s="97"/>
      <c r="I6143" s="97"/>
      <c r="J6143" s="97"/>
      <c r="K6143" s="97"/>
      <c r="L6143" s="195"/>
    </row>
    <row r="6144" spans="1:12" x14ac:dyDescent="0.45">
      <c r="A6144" s="462"/>
      <c r="B6144" s="441"/>
      <c r="C6144" s="194">
        <v>11</v>
      </c>
      <c r="D6144" s="81"/>
      <c r="E6144" s="98"/>
      <c r="F6144" s="98"/>
      <c r="G6144" s="98"/>
      <c r="H6144" s="98"/>
      <c r="I6144" s="98"/>
      <c r="J6144" s="98"/>
      <c r="K6144" s="98"/>
      <c r="L6144" s="196"/>
    </row>
    <row r="6145" spans="1:12" ht="14.65" thickBot="1" x14ac:dyDescent="0.5">
      <c r="A6145" s="462"/>
      <c r="B6145" s="442"/>
      <c r="C6145" s="197">
        <v>12</v>
      </c>
      <c r="D6145" s="82"/>
      <c r="E6145" s="99"/>
      <c r="F6145" s="99"/>
      <c r="G6145" s="99"/>
      <c r="H6145" s="99"/>
      <c r="I6145" s="99"/>
      <c r="J6145" s="99"/>
      <c r="K6145" s="99"/>
      <c r="L6145" s="198"/>
    </row>
    <row r="6146" spans="1:12" x14ac:dyDescent="0.45">
      <c r="A6146" s="462"/>
      <c r="B6146" s="440">
        <v>6</v>
      </c>
      <c r="C6146" s="192">
        <v>1</v>
      </c>
      <c r="D6146" s="79"/>
      <c r="E6146" s="96"/>
      <c r="F6146" s="96"/>
      <c r="G6146" s="96"/>
      <c r="H6146" s="96"/>
      <c r="I6146" s="96"/>
      <c r="J6146" s="96"/>
      <c r="K6146" s="96"/>
      <c r="L6146" s="193"/>
    </row>
    <row r="6147" spans="1:12" x14ac:dyDescent="0.45">
      <c r="A6147" s="462"/>
      <c r="B6147" s="441"/>
      <c r="C6147" s="194">
        <v>2</v>
      </c>
      <c r="D6147" s="80"/>
      <c r="E6147" s="97"/>
      <c r="F6147" s="97"/>
      <c r="G6147" s="97"/>
      <c r="H6147" s="97"/>
      <c r="I6147" s="97"/>
      <c r="J6147" s="97"/>
      <c r="K6147" s="97"/>
      <c r="L6147" s="195"/>
    </row>
    <row r="6148" spans="1:12" x14ac:dyDescent="0.45">
      <c r="A6148" s="462"/>
      <c r="B6148" s="441"/>
      <c r="C6148" s="194">
        <v>3</v>
      </c>
      <c r="D6148" s="80"/>
      <c r="E6148" s="97"/>
      <c r="F6148" s="97"/>
      <c r="G6148" s="97"/>
      <c r="H6148" s="97"/>
      <c r="I6148" s="97"/>
      <c r="J6148" s="97"/>
      <c r="K6148" s="97"/>
      <c r="L6148" s="195"/>
    </row>
    <row r="6149" spans="1:12" x14ac:dyDescent="0.45">
      <c r="A6149" s="462"/>
      <c r="B6149" s="441"/>
      <c r="C6149" s="194">
        <v>4</v>
      </c>
      <c r="D6149" s="80"/>
      <c r="E6149" s="97"/>
      <c r="F6149" s="97"/>
      <c r="G6149" s="97"/>
      <c r="H6149" s="97"/>
      <c r="I6149" s="97"/>
      <c r="J6149" s="97"/>
      <c r="K6149" s="97"/>
      <c r="L6149" s="195"/>
    </row>
    <row r="6150" spans="1:12" x14ac:dyDescent="0.45">
      <c r="A6150" s="462"/>
      <c r="B6150" s="441"/>
      <c r="C6150" s="194">
        <v>5</v>
      </c>
      <c r="D6150" s="80"/>
      <c r="E6150" s="97"/>
      <c r="F6150" s="97"/>
      <c r="G6150" s="97"/>
      <c r="H6150" s="97"/>
      <c r="I6150" s="97"/>
      <c r="J6150" s="97"/>
      <c r="K6150" s="97"/>
      <c r="L6150" s="195"/>
    </row>
    <row r="6151" spans="1:12" x14ac:dyDescent="0.45">
      <c r="A6151" s="462"/>
      <c r="B6151" s="441"/>
      <c r="C6151" s="194">
        <v>6</v>
      </c>
      <c r="D6151" s="80"/>
      <c r="E6151" s="97"/>
      <c r="F6151" s="97"/>
      <c r="G6151" s="97"/>
      <c r="H6151" s="97"/>
      <c r="I6151" s="97"/>
      <c r="J6151" s="97"/>
      <c r="K6151" s="97"/>
      <c r="L6151" s="195"/>
    </row>
    <row r="6152" spans="1:12" x14ac:dyDescent="0.45">
      <c r="A6152" s="462"/>
      <c r="B6152" s="441"/>
      <c r="C6152" s="194">
        <v>7</v>
      </c>
      <c r="D6152" s="80"/>
      <c r="E6152" s="97"/>
      <c r="F6152" s="97"/>
      <c r="G6152" s="97"/>
      <c r="H6152" s="97"/>
      <c r="I6152" s="97"/>
      <c r="J6152" s="97"/>
      <c r="K6152" s="97"/>
      <c r="L6152" s="195"/>
    </row>
    <row r="6153" spans="1:12" x14ac:dyDescent="0.45">
      <c r="A6153" s="462"/>
      <c r="B6153" s="441"/>
      <c r="C6153" s="194">
        <v>8</v>
      </c>
      <c r="D6153" s="80"/>
      <c r="E6153" s="97"/>
      <c r="F6153" s="97"/>
      <c r="G6153" s="97"/>
      <c r="H6153" s="97"/>
      <c r="I6153" s="97"/>
      <c r="J6153" s="97"/>
      <c r="K6153" s="97"/>
      <c r="L6153" s="195"/>
    </row>
    <row r="6154" spans="1:12" x14ac:dyDescent="0.45">
      <c r="A6154" s="462"/>
      <c r="B6154" s="441"/>
      <c r="C6154" s="194">
        <v>9</v>
      </c>
      <c r="D6154" s="80"/>
      <c r="E6154" s="97"/>
      <c r="F6154" s="97"/>
      <c r="G6154" s="97"/>
      <c r="H6154" s="97"/>
      <c r="I6154" s="97"/>
      <c r="J6154" s="97"/>
      <c r="K6154" s="97"/>
      <c r="L6154" s="195"/>
    </row>
    <row r="6155" spans="1:12" x14ac:dyDescent="0.45">
      <c r="A6155" s="462"/>
      <c r="B6155" s="441"/>
      <c r="C6155" s="194">
        <v>10</v>
      </c>
      <c r="D6155" s="80"/>
      <c r="E6155" s="97"/>
      <c r="F6155" s="97"/>
      <c r="G6155" s="97"/>
      <c r="H6155" s="97"/>
      <c r="I6155" s="97"/>
      <c r="J6155" s="97"/>
      <c r="K6155" s="97"/>
      <c r="L6155" s="195"/>
    </row>
    <row r="6156" spans="1:12" x14ac:dyDescent="0.45">
      <c r="A6156" s="462"/>
      <c r="B6156" s="441"/>
      <c r="C6156" s="194">
        <v>11</v>
      </c>
      <c r="D6156" s="81"/>
      <c r="E6156" s="98"/>
      <c r="F6156" s="98"/>
      <c r="G6156" s="98"/>
      <c r="H6156" s="98"/>
      <c r="I6156" s="98"/>
      <c r="J6156" s="98"/>
      <c r="K6156" s="98"/>
      <c r="L6156" s="196"/>
    </row>
    <row r="6157" spans="1:12" ht="14.65" thickBot="1" x14ac:dyDescent="0.5">
      <c r="A6157" s="462"/>
      <c r="B6157" s="442"/>
      <c r="C6157" s="197">
        <v>12</v>
      </c>
      <c r="D6157" s="82"/>
      <c r="E6157" s="99"/>
      <c r="F6157" s="99"/>
      <c r="G6157" s="99"/>
      <c r="H6157" s="99"/>
      <c r="I6157" s="99"/>
      <c r="J6157" s="99"/>
      <c r="K6157" s="99"/>
      <c r="L6157" s="198"/>
    </row>
    <row r="6158" spans="1:12" x14ac:dyDescent="0.45">
      <c r="A6158" s="462"/>
      <c r="B6158" s="440">
        <v>7</v>
      </c>
      <c r="C6158" s="192">
        <v>1</v>
      </c>
      <c r="D6158" s="79"/>
      <c r="E6158" s="96"/>
      <c r="F6158" s="96"/>
      <c r="G6158" s="96"/>
      <c r="H6158" s="96"/>
      <c r="I6158" s="96"/>
      <c r="J6158" s="96"/>
      <c r="K6158" s="96"/>
      <c r="L6158" s="193"/>
    </row>
    <row r="6159" spans="1:12" x14ac:dyDescent="0.45">
      <c r="A6159" s="462"/>
      <c r="B6159" s="441"/>
      <c r="C6159" s="194">
        <v>2</v>
      </c>
      <c r="D6159" s="80"/>
      <c r="E6159" s="97"/>
      <c r="F6159" s="97"/>
      <c r="G6159" s="97"/>
      <c r="H6159" s="97"/>
      <c r="I6159" s="97"/>
      <c r="J6159" s="97"/>
      <c r="K6159" s="97"/>
      <c r="L6159" s="195"/>
    </row>
    <row r="6160" spans="1:12" x14ac:dyDescent="0.45">
      <c r="A6160" s="462"/>
      <c r="B6160" s="441"/>
      <c r="C6160" s="194">
        <v>3</v>
      </c>
      <c r="D6160" s="80"/>
      <c r="E6160" s="97"/>
      <c r="F6160" s="97"/>
      <c r="G6160" s="97"/>
      <c r="H6160" s="97"/>
      <c r="I6160" s="97"/>
      <c r="J6160" s="97"/>
      <c r="K6160" s="97"/>
      <c r="L6160" s="195"/>
    </row>
    <row r="6161" spans="1:12" x14ac:dyDescent="0.45">
      <c r="A6161" s="462"/>
      <c r="B6161" s="441"/>
      <c r="C6161" s="194">
        <v>4</v>
      </c>
      <c r="D6161" s="80"/>
      <c r="E6161" s="97"/>
      <c r="F6161" s="97"/>
      <c r="G6161" s="97"/>
      <c r="H6161" s="97"/>
      <c r="I6161" s="97"/>
      <c r="J6161" s="97"/>
      <c r="K6161" s="97"/>
      <c r="L6161" s="195"/>
    </row>
    <row r="6162" spans="1:12" x14ac:dyDescent="0.45">
      <c r="A6162" s="462"/>
      <c r="B6162" s="441"/>
      <c r="C6162" s="194">
        <v>5</v>
      </c>
      <c r="D6162" s="80"/>
      <c r="E6162" s="97"/>
      <c r="F6162" s="97"/>
      <c r="G6162" s="97"/>
      <c r="H6162" s="97"/>
      <c r="I6162" s="97"/>
      <c r="J6162" s="97"/>
      <c r="K6162" s="97"/>
      <c r="L6162" s="195"/>
    </row>
    <row r="6163" spans="1:12" x14ac:dyDescent="0.45">
      <c r="A6163" s="462"/>
      <c r="B6163" s="441"/>
      <c r="C6163" s="194">
        <v>6</v>
      </c>
      <c r="D6163" s="80"/>
      <c r="E6163" s="97"/>
      <c r="F6163" s="97"/>
      <c r="G6163" s="97"/>
      <c r="H6163" s="97"/>
      <c r="I6163" s="97"/>
      <c r="J6163" s="97"/>
      <c r="K6163" s="97"/>
      <c r="L6163" s="195"/>
    </row>
    <row r="6164" spans="1:12" x14ac:dyDescent="0.45">
      <c r="A6164" s="462"/>
      <c r="B6164" s="441"/>
      <c r="C6164" s="194">
        <v>7</v>
      </c>
      <c r="D6164" s="80"/>
      <c r="E6164" s="97"/>
      <c r="F6164" s="97"/>
      <c r="G6164" s="97"/>
      <c r="H6164" s="97"/>
      <c r="I6164" s="97"/>
      <c r="J6164" s="97"/>
      <c r="K6164" s="97"/>
      <c r="L6164" s="195"/>
    </row>
    <row r="6165" spans="1:12" x14ac:dyDescent="0.45">
      <c r="A6165" s="462"/>
      <c r="B6165" s="441"/>
      <c r="C6165" s="194">
        <v>8</v>
      </c>
      <c r="D6165" s="80"/>
      <c r="E6165" s="97"/>
      <c r="F6165" s="97"/>
      <c r="G6165" s="97"/>
      <c r="H6165" s="97"/>
      <c r="I6165" s="97"/>
      <c r="J6165" s="97"/>
      <c r="K6165" s="97"/>
      <c r="L6165" s="195"/>
    </row>
    <row r="6166" spans="1:12" x14ac:dyDescent="0.45">
      <c r="A6166" s="462"/>
      <c r="B6166" s="441"/>
      <c r="C6166" s="194">
        <v>9</v>
      </c>
      <c r="D6166" s="80"/>
      <c r="E6166" s="97"/>
      <c r="F6166" s="97"/>
      <c r="G6166" s="97"/>
      <c r="H6166" s="97"/>
      <c r="I6166" s="97"/>
      <c r="J6166" s="97"/>
      <c r="K6166" s="97"/>
      <c r="L6166" s="195"/>
    </row>
    <row r="6167" spans="1:12" x14ac:dyDescent="0.45">
      <c r="A6167" s="462"/>
      <c r="B6167" s="441"/>
      <c r="C6167" s="194">
        <v>10</v>
      </c>
      <c r="D6167" s="80"/>
      <c r="E6167" s="97"/>
      <c r="F6167" s="97"/>
      <c r="G6167" s="97"/>
      <c r="H6167" s="97"/>
      <c r="I6167" s="97"/>
      <c r="J6167" s="97"/>
      <c r="K6167" s="97"/>
      <c r="L6167" s="195"/>
    </row>
    <row r="6168" spans="1:12" x14ac:dyDescent="0.45">
      <c r="A6168" s="462"/>
      <c r="B6168" s="441"/>
      <c r="C6168" s="194">
        <v>11</v>
      </c>
      <c r="D6168" s="81"/>
      <c r="E6168" s="98"/>
      <c r="F6168" s="98"/>
      <c r="G6168" s="98"/>
      <c r="H6168" s="98"/>
      <c r="I6168" s="98"/>
      <c r="J6168" s="98"/>
      <c r="K6168" s="98"/>
      <c r="L6168" s="196"/>
    </row>
    <row r="6169" spans="1:12" ht="14.65" thickBot="1" x14ac:dyDescent="0.5">
      <c r="A6169" s="462"/>
      <c r="B6169" s="442"/>
      <c r="C6169" s="197">
        <v>12</v>
      </c>
      <c r="D6169" s="82"/>
      <c r="E6169" s="99"/>
      <c r="F6169" s="99"/>
      <c r="G6169" s="99"/>
      <c r="H6169" s="99"/>
      <c r="I6169" s="99"/>
      <c r="J6169" s="99"/>
      <c r="K6169" s="99"/>
      <c r="L6169" s="198"/>
    </row>
    <row r="6170" spans="1:12" x14ac:dyDescent="0.45">
      <c r="A6170" s="462"/>
      <c r="B6170" s="440">
        <v>8</v>
      </c>
      <c r="C6170" s="192">
        <v>1</v>
      </c>
      <c r="D6170" s="79"/>
      <c r="E6170" s="96"/>
      <c r="F6170" s="96"/>
      <c r="G6170" s="96"/>
      <c r="H6170" s="96"/>
      <c r="I6170" s="96"/>
      <c r="J6170" s="96"/>
      <c r="K6170" s="96"/>
      <c r="L6170" s="193"/>
    </row>
    <row r="6171" spans="1:12" x14ac:dyDescent="0.45">
      <c r="A6171" s="462"/>
      <c r="B6171" s="441"/>
      <c r="C6171" s="194">
        <v>2</v>
      </c>
      <c r="D6171" s="80"/>
      <c r="E6171" s="97"/>
      <c r="F6171" s="97"/>
      <c r="G6171" s="97"/>
      <c r="H6171" s="97"/>
      <c r="I6171" s="97"/>
      <c r="J6171" s="97"/>
      <c r="K6171" s="97"/>
      <c r="L6171" s="195"/>
    </row>
    <row r="6172" spans="1:12" x14ac:dyDescent="0.45">
      <c r="A6172" s="462"/>
      <c r="B6172" s="441"/>
      <c r="C6172" s="194">
        <v>3</v>
      </c>
      <c r="D6172" s="80"/>
      <c r="E6172" s="97"/>
      <c r="F6172" s="97"/>
      <c r="G6172" s="97"/>
      <c r="H6172" s="97"/>
      <c r="I6172" s="97"/>
      <c r="J6172" s="97"/>
      <c r="K6172" s="97"/>
      <c r="L6172" s="195"/>
    </row>
    <row r="6173" spans="1:12" x14ac:dyDescent="0.45">
      <c r="A6173" s="462"/>
      <c r="B6173" s="441"/>
      <c r="C6173" s="194">
        <v>4</v>
      </c>
      <c r="D6173" s="80"/>
      <c r="E6173" s="97"/>
      <c r="F6173" s="97"/>
      <c r="G6173" s="97"/>
      <c r="H6173" s="97"/>
      <c r="I6173" s="97"/>
      <c r="J6173" s="97"/>
      <c r="K6173" s="97"/>
      <c r="L6173" s="195"/>
    </row>
    <row r="6174" spans="1:12" x14ac:dyDescent="0.45">
      <c r="A6174" s="462"/>
      <c r="B6174" s="441"/>
      <c r="C6174" s="194">
        <v>5</v>
      </c>
      <c r="D6174" s="80"/>
      <c r="E6174" s="97"/>
      <c r="F6174" s="97"/>
      <c r="G6174" s="97"/>
      <c r="H6174" s="97"/>
      <c r="I6174" s="97"/>
      <c r="J6174" s="97"/>
      <c r="K6174" s="97"/>
      <c r="L6174" s="195"/>
    </row>
    <row r="6175" spans="1:12" x14ac:dyDescent="0.45">
      <c r="A6175" s="462"/>
      <c r="B6175" s="441"/>
      <c r="C6175" s="194">
        <v>6</v>
      </c>
      <c r="D6175" s="80"/>
      <c r="E6175" s="97"/>
      <c r="F6175" s="97"/>
      <c r="G6175" s="97"/>
      <c r="H6175" s="97"/>
      <c r="I6175" s="97"/>
      <c r="J6175" s="97"/>
      <c r="K6175" s="97"/>
      <c r="L6175" s="195"/>
    </row>
    <row r="6176" spans="1:12" x14ac:dyDescent="0.45">
      <c r="A6176" s="462"/>
      <c r="B6176" s="441"/>
      <c r="C6176" s="194">
        <v>7</v>
      </c>
      <c r="D6176" s="80"/>
      <c r="E6176" s="97"/>
      <c r="F6176" s="97"/>
      <c r="G6176" s="97"/>
      <c r="H6176" s="97"/>
      <c r="I6176" s="97"/>
      <c r="J6176" s="97"/>
      <c r="K6176" s="97"/>
      <c r="L6176" s="195"/>
    </row>
    <row r="6177" spans="1:12" x14ac:dyDescent="0.45">
      <c r="A6177" s="462"/>
      <c r="B6177" s="441"/>
      <c r="C6177" s="194">
        <v>8</v>
      </c>
      <c r="D6177" s="80"/>
      <c r="E6177" s="97"/>
      <c r="F6177" s="97"/>
      <c r="G6177" s="97"/>
      <c r="H6177" s="97"/>
      <c r="I6177" s="97"/>
      <c r="J6177" s="97"/>
      <c r="K6177" s="97"/>
      <c r="L6177" s="195"/>
    </row>
    <row r="6178" spans="1:12" x14ac:dyDescent="0.45">
      <c r="A6178" s="462"/>
      <c r="B6178" s="441"/>
      <c r="C6178" s="194">
        <v>9</v>
      </c>
      <c r="D6178" s="80"/>
      <c r="E6178" s="97"/>
      <c r="F6178" s="97"/>
      <c r="G6178" s="97"/>
      <c r="H6178" s="97"/>
      <c r="I6178" s="97"/>
      <c r="J6178" s="97"/>
      <c r="K6178" s="97"/>
      <c r="L6178" s="195"/>
    </row>
    <row r="6179" spans="1:12" x14ac:dyDescent="0.45">
      <c r="A6179" s="462"/>
      <c r="B6179" s="441"/>
      <c r="C6179" s="194">
        <v>10</v>
      </c>
      <c r="D6179" s="80"/>
      <c r="E6179" s="97"/>
      <c r="F6179" s="97"/>
      <c r="G6179" s="97"/>
      <c r="H6179" s="97"/>
      <c r="I6179" s="97"/>
      <c r="J6179" s="97"/>
      <c r="K6179" s="97"/>
      <c r="L6179" s="195"/>
    </row>
    <row r="6180" spans="1:12" x14ac:dyDescent="0.45">
      <c r="A6180" s="462"/>
      <c r="B6180" s="441"/>
      <c r="C6180" s="194">
        <v>11</v>
      </c>
      <c r="D6180" s="81"/>
      <c r="E6180" s="98"/>
      <c r="F6180" s="98"/>
      <c r="G6180" s="98"/>
      <c r="H6180" s="98"/>
      <c r="I6180" s="98"/>
      <c r="J6180" s="98"/>
      <c r="K6180" s="98"/>
      <c r="L6180" s="196"/>
    </row>
    <row r="6181" spans="1:12" ht="14.65" thickBot="1" x14ac:dyDescent="0.5">
      <c r="A6181" s="463"/>
      <c r="B6181" s="442"/>
      <c r="C6181" s="197">
        <v>12</v>
      </c>
      <c r="D6181" s="82"/>
      <c r="E6181" s="99"/>
      <c r="F6181" s="99"/>
      <c r="G6181" s="99"/>
      <c r="H6181" s="99"/>
      <c r="I6181" s="99"/>
      <c r="J6181" s="99"/>
      <c r="K6181" s="99"/>
      <c r="L6181" s="198"/>
    </row>
    <row r="6182" spans="1:12" x14ac:dyDescent="0.45">
      <c r="A6182" s="461">
        <v>3</v>
      </c>
      <c r="B6182" s="440">
        <v>9</v>
      </c>
      <c r="C6182" s="192">
        <v>1</v>
      </c>
      <c r="D6182" s="79"/>
      <c r="E6182" s="96"/>
      <c r="F6182" s="96"/>
      <c r="G6182" s="96"/>
      <c r="H6182" s="96"/>
      <c r="I6182" s="96"/>
      <c r="J6182" s="96"/>
      <c r="K6182" s="96"/>
      <c r="L6182" s="193"/>
    </row>
    <row r="6183" spans="1:12" x14ac:dyDescent="0.45">
      <c r="A6183" s="462"/>
      <c r="B6183" s="441"/>
      <c r="C6183" s="194">
        <v>2</v>
      </c>
      <c r="D6183" s="80"/>
      <c r="E6183" s="97"/>
      <c r="F6183" s="97"/>
      <c r="G6183" s="97"/>
      <c r="H6183" s="97"/>
      <c r="I6183" s="97"/>
      <c r="J6183" s="97"/>
      <c r="K6183" s="97"/>
      <c r="L6183" s="195"/>
    </row>
    <row r="6184" spans="1:12" x14ac:dyDescent="0.45">
      <c r="A6184" s="462"/>
      <c r="B6184" s="441"/>
      <c r="C6184" s="194">
        <v>3</v>
      </c>
      <c r="D6184" s="80"/>
      <c r="E6184" s="97"/>
      <c r="F6184" s="97"/>
      <c r="G6184" s="97"/>
      <c r="H6184" s="97"/>
      <c r="I6184" s="97"/>
      <c r="J6184" s="97"/>
      <c r="K6184" s="97"/>
      <c r="L6184" s="195"/>
    </row>
    <row r="6185" spans="1:12" x14ac:dyDescent="0.45">
      <c r="A6185" s="462"/>
      <c r="B6185" s="441"/>
      <c r="C6185" s="194">
        <v>4</v>
      </c>
      <c r="D6185" s="80"/>
      <c r="E6185" s="97"/>
      <c r="F6185" s="97"/>
      <c r="G6185" s="97"/>
      <c r="H6185" s="97"/>
      <c r="I6185" s="97"/>
      <c r="J6185" s="97"/>
      <c r="K6185" s="97"/>
      <c r="L6185" s="195"/>
    </row>
    <row r="6186" spans="1:12" x14ac:dyDescent="0.45">
      <c r="A6186" s="462"/>
      <c r="B6186" s="441"/>
      <c r="C6186" s="194">
        <v>5</v>
      </c>
      <c r="D6186" s="80"/>
      <c r="E6186" s="97"/>
      <c r="F6186" s="97"/>
      <c r="G6186" s="97"/>
      <c r="H6186" s="97"/>
      <c r="I6186" s="97"/>
      <c r="J6186" s="97"/>
      <c r="K6186" s="97"/>
      <c r="L6186" s="195"/>
    </row>
    <row r="6187" spans="1:12" x14ac:dyDescent="0.45">
      <c r="A6187" s="462"/>
      <c r="B6187" s="441"/>
      <c r="C6187" s="194">
        <v>6</v>
      </c>
      <c r="D6187" s="80"/>
      <c r="E6187" s="97"/>
      <c r="F6187" s="97"/>
      <c r="G6187" s="97"/>
      <c r="H6187" s="97"/>
      <c r="I6187" s="97"/>
      <c r="J6187" s="97"/>
      <c r="K6187" s="97"/>
      <c r="L6187" s="195"/>
    </row>
    <row r="6188" spans="1:12" x14ac:dyDescent="0.45">
      <c r="A6188" s="462"/>
      <c r="B6188" s="441"/>
      <c r="C6188" s="194">
        <v>7</v>
      </c>
      <c r="D6188" s="80"/>
      <c r="E6188" s="97"/>
      <c r="F6188" s="97"/>
      <c r="G6188" s="97"/>
      <c r="H6188" s="97"/>
      <c r="I6188" s="97"/>
      <c r="J6188" s="97"/>
      <c r="K6188" s="97"/>
      <c r="L6188" s="195"/>
    </row>
    <row r="6189" spans="1:12" x14ac:dyDescent="0.45">
      <c r="A6189" s="462"/>
      <c r="B6189" s="441"/>
      <c r="C6189" s="194">
        <v>8</v>
      </c>
      <c r="D6189" s="80"/>
      <c r="E6189" s="97"/>
      <c r="F6189" s="97"/>
      <c r="G6189" s="97"/>
      <c r="H6189" s="97"/>
      <c r="I6189" s="97"/>
      <c r="J6189" s="97"/>
      <c r="K6189" s="97"/>
      <c r="L6189" s="195"/>
    </row>
    <row r="6190" spans="1:12" x14ac:dyDescent="0.45">
      <c r="A6190" s="462"/>
      <c r="B6190" s="441"/>
      <c r="C6190" s="194">
        <v>9</v>
      </c>
      <c r="D6190" s="80"/>
      <c r="E6190" s="97"/>
      <c r="F6190" s="97"/>
      <c r="G6190" s="97"/>
      <c r="H6190" s="97"/>
      <c r="I6190" s="97"/>
      <c r="J6190" s="97"/>
      <c r="K6190" s="97"/>
      <c r="L6190" s="195"/>
    </row>
    <row r="6191" spans="1:12" x14ac:dyDescent="0.45">
      <c r="A6191" s="462"/>
      <c r="B6191" s="441"/>
      <c r="C6191" s="194">
        <v>10</v>
      </c>
      <c r="D6191" s="80"/>
      <c r="E6191" s="97"/>
      <c r="F6191" s="97"/>
      <c r="G6191" s="97"/>
      <c r="H6191" s="97"/>
      <c r="I6191" s="97"/>
      <c r="J6191" s="97"/>
      <c r="K6191" s="97"/>
      <c r="L6191" s="195"/>
    </row>
    <row r="6192" spans="1:12" x14ac:dyDescent="0.45">
      <c r="A6192" s="462"/>
      <c r="B6192" s="441"/>
      <c r="C6192" s="194">
        <v>11</v>
      </c>
      <c r="D6192" s="81"/>
      <c r="E6192" s="98"/>
      <c r="F6192" s="98"/>
      <c r="G6192" s="98"/>
      <c r="H6192" s="98"/>
      <c r="I6192" s="98"/>
      <c r="J6192" s="98"/>
      <c r="K6192" s="98"/>
      <c r="L6192" s="196"/>
    </row>
    <row r="6193" spans="1:12" ht="14.65" thickBot="1" x14ac:dyDescent="0.5">
      <c r="A6193" s="462"/>
      <c r="B6193" s="442"/>
      <c r="C6193" s="197">
        <v>12</v>
      </c>
      <c r="D6193" s="82"/>
      <c r="E6193" s="99"/>
      <c r="F6193" s="99"/>
      <c r="G6193" s="99"/>
      <c r="H6193" s="99"/>
      <c r="I6193" s="99"/>
      <c r="J6193" s="99"/>
      <c r="K6193" s="99"/>
      <c r="L6193" s="198"/>
    </row>
    <row r="6194" spans="1:12" x14ac:dyDescent="0.45">
      <c r="A6194" s="462"/>
      <c r="B6194" s="440">
        <v>10</v>
      </c>
      <c r="C6194" s="192">
        <v>1</v>
      </c>
      <c r="D6194" s="79"/>
      <c r="E6194" s="96"/>
      <c r="F6194" s="96"/>
      <c r="G6194" s="96"/>
      <c r="H6194" s="96"/>
      <c r="I6194" s="96"/>
      <c r="J6194" s="96"/>
      <c r="K6194" s="96"/>
      <c r="L6194" s="193"/>
    </row>
    <row r="6195" spans="1:12" x14ac:dyDescent="0.45">
      <c r="A6195" s="462"/>
      <c r="B6195" s="441"/>
      <c r="C6195" s="194">
        <v>2</v>
      </c>
      <c r="D6195" s="80"/>
      <c r="E6195" s="97"/>
      <c r="F6195" s="97"/>
      <c r="G6195" s="97"/>
      <c r="H6195" s="97"/>
      <c r="I6195" s="97"/>
      <c r="J6195" s="97"/>
      <c r="K6195" s="97"/>
      <c r="L6195" s="195"/>
    </row>
    <row r="6196" spans="1:12" x14ac:dyDescent="0.45">
      <c r="A6196" s="462"/>
      <c r="B6196" s="441"/>
      <c r="C6196" s="194">
        <v>3</v>
      </c>
      <c r="D6196" s="80"/>
      <c r="E6196" s="97"/>
      <c r="F6196" s="97"/>
      <c r="G6196" s="97"/>
      <c r="H6196" s="97"/>
      <c r="I6196" s="97"/>
      <c r="J6196" s="97"/>
      <c r="K6196" s="97"/>
      <c r="L6196" s="195"/>
    </row>
    <row r="6197" spans="1:12" x14ac:dyDescent="0.45">
      <c r="A6197" s="462"/>
      <c r="B6197" s="441"/>
      <c r="C6197" s="194">
        <v>4</v>
      </c>
      <c r="D6197" s="80"/>
      <c r="E6197" s="97"/>
      <c r="F6197" s="97"/>
      <c r="G6197" s="97"/>
      <c r="H6197" s="97"/>
      <c r="I6197" s="97"/>
      <c r="J6197" s="97"/>
      <c r="K6197" s="97"/>
      <c r="L6197" s="195"/>
    </row>
    <row r="6198" spans="1:12" x14ac:dyDescent="0.45">
      <c r="A6198" s="462"/>
      <c r="B6198" s="441"/>
      <c r="C6198" s="194">
        <v>5</v>
      </c>
      <c r="D6198" s="80"/>
      <c r="E6198" s="97"/>
      <c r="F6198" s="97"/>
      <c r="G6198" s="97"/>
      <c r="H6198" s="97"/>
      <c r="I6198" s="97"/>
      <c r="J6198" s="97"/>
      <c r="K6198" s="97"/>
      <c r="L6198" s="195"/>
    </row>
    <row r="6199" spans="1:12" x14ac:dyDescent="0.45">
      <c r="A6199" s="462"/>
      <c r="B6199" s="441"/>
      <c r="C6199" s="194">
        <v>6</v>
      </c>
      <c r="D6199" s="80"/>
      <c r="E6199" s="97"/>
      <c r="F6199" s="97"/>
      <c r="G6199" s="97"/>
      <c r="H6199" s="97"/>
      <c r="I6199" s="97"/>
      <c r="J6199" s="97"/>
      <c r="K6199" s="97"/>
      <c r="L6199" s="195"/>
    </row>
    <row r="6200" spans="1:12" x14ac:dyDescent="0.45">
      <c r="A6200" s="462"/>
      <c r="B6200" s="441"/>
      <c r="C6200" s="194">
        <v>7</v>
      </c>
      <c r="D6200" s="80"/>
      <c r="E6200" s="97"/>
      <c r="F6200" s="97"/>
      <c r="G6200" s="97"/>
      <c r="H6200" s="97"/>
      <c r="I6200" s="97"/>
      <c r="J6200" s="97"/>
      <c r="K6200" s="97"/>
      <c r="L6200" s="195"/>
    </row>
    <row r="6201" spans="1:12" x14ac:dyDescent="0.45">
      <c r="A6201" s="462"/>
      <c r="B6201" s="441"/>
      <c r="C6201" s="194">
        <v>8</v>
      </c>
      <c r="D6201" s="80"/>
      <c r="E6201" s="97"/>
      <c r="F6201" s="97"/>
      <c r="G6201" s="97"/>
      <c r="H6201" s="97"/>
      <c r="I6201" s="97"/>
      <c r="J6201" s="97"/>
      <c r="K6201" s="97"/>
      <c r="L6201" s="195"/>
    </row>
    <row r="6202" spans="1:12" x14ac:dyDescent="0.45">
      <c r="A6202" s="462"/>
      <c r="B6202" s="441"/>
      <c r="C6202" s="194">
        <v>9</v>
      </c>
      <c r="D6202" s="80"/>
      <c r="E6202" s="97"/>
      <c r="F6202" s="97"/>
      <c r="G6202" s="97"/>
      <c r="H6202" s="97"/>
      <c r="I6202" s="97"/>
      <c r="J6202" s="97"/>
      <c r="K6202" s="97"/>
      <c r="L6202" s="195"/>
    </row>
    <row r="6203" spans="1:12" x14ac:dyDescent="0.45">
      <c r="A6203" s="462"/>
      <c r="B6203" s="441"/>
      <c r="C6203" s="194">
        <v>10</v>
      </c>
      <c r="D6203" s="80"/>
      <c r="E6203" s="97"/>
      <c r="F6203" s="97"/>
      <c r="G6203" s="97"/>
      <c r="H6203" s="97"/>
      <c r="I6203" s="97"/>
      <c r="J6203" s="97"/>
      <c r="K6203" s="97"/>
      <c r="L6203" s="195"/>
    </row>
    <row r="6204" spans="1:12" x14ac:dyDescent="0.45">
      <c r="A6204" s="462"/>
      <c r="B6204" s="441"/>
      <c r="C6204" s="194">
        <v>11</v>
      </c>
      <c r="D6204" s="81"/>
      <c r="E6204" s="98"/>
      <c r="F6204" s="98"/>
      <c r="G6204" s="98"/>
      <c r="H6204" s="98"/>
      <c r="I6204" s="98"/>
      <c r="J6204" s="98"/>
      <c r="K6204" s="98"/>
      <c r="L6204" s="196"/>
    </row>
    <row r="6205" spans="1:12" ht="14.65" thickBot="1" x14ac:dyDescent="0.5">
      <c r="A6205" s="462"/>
      <c r="B6205" s="442"/>
      <c r="C6205" s="197">
        <v>12</v>
      </c>
      <c r="D6205" s="82"/>
      <c r="E6205" s="99"/>
      <c r="F6205" s="99"/>
      <c r="G6205" s="99"/>
      <c r="H6205" s="99"/>
      <c r="I6205" s="99"/>
      <c r="J6205" s="99"/>
      <c r="K6205" s="99"/>
      <c r="L6205" s="198"/>
    </row>
    <row r="6206" spans="1:12" x14ac:dyDescent="0.45">
      <c r="A6206" s="462"/>
      <c r="B6206" s="440">
        <v>11</v>
      </c>
      <c r="C6206" s="192">
        <v>1</v>
      </c>
      <c r="D6206" s="79"/>
      <c r="E6206" s="96"/>
      <c r="F6206" s="96"/>
      <c r="G6206" s="96"/>
      <c r="H6206" s="96"/>
      <c r="I6206" s="96"/>
      <c r="J6206" s="96"/>
      <c r="K6206" s="96"/>
      <c r="L6206" s="193"/>
    </row>
    <row r="6207" spans="1:12" x14ac:dyDescent="0.45">
      <c r="A6207" s="462"/>
      <c r="B6207" s="441"/>
      <c r="C6207" s="194">
        <v>2</v>
      </c>
      <c r="D6207" s="80"/>
      <c r="E6207" s="97"/>
      <c r="F6207" s="97"/>
      <c r="G6207" s="97"/>
      <c r="H6207" s="97"/>
      <c r="I6207" s="97"/>
      <c r="J6207" s="97"/>
      <c r="K6207" s="97"/>
      <c r="L6207" s="195"/>
    </row>
    <row r="6208" spans="1:12" x14ac:dyDescent="0.45">
      <c r="A6208" s="462"/>
      <c r="B6208" s="441"/>
      <c r="C6208" s="194">
        <v>3</v>
      </c>
      <c r="D6208" s="80"/>
      <c r="E6208" s="97"/>
      <c r="F6208" s="97"/>
      <c r="G6208" s="97"/>
      <c r="H6208" s="97"/>
      <c r="I6208" s="97"/>
      <c r="J6208" s="97"/>
      <c r="K6208" s="97"/>
      <c r="L6208" s="195"/>
    </row>
    <row r="6209" spans="1:12" x14ac:dyDescent="0.45">
      <c r="A6209" s="462"/>
      <c r="B6209" s="441"/>
      <c r="C6209" s="194">
        <v>4</v>
      </c>
      <c r="D6209" s="80"/>
      <c r="E6209" s="97"/>
      <c r="F6209" s="97"/>
      <c r="G6209" s="97"/>
      <c r="H6209" s="97"/>
      <c r="I6209" s="97"/>
      <c r="J6209" s="97"/>
      <c r="K6209" s="97"/>
      <c r="L6209" s="195"/>
    </row>
    <row r="6210" spans="1:12" x14ac:dyDescent="0.45">
      <c r="A6210" s="462"/>
      <c r="B6210" s="441"/>
      <c r="C6210" s="194">
        <v>5</v>
      </c>
      <c r="D6210" s="80"/>
      <c r="E6210" s="97"/>
      <c r="F6210" s="97"/>
      <c r="G6210" s="97"/>
      <c r="H6210" s="97"/>
      <c r="I6210" s="97"/>
      <c r="J6210" s="97"/>
      <c r="K6210" s="97"/>
      <c r="L6210" s="195"/>
    </row>
    <row r="6211" spans="1:12" x14ac:dyDescent="0.45">
      <c r="A6211" s="462"/>
      <c r="B6211" s="441"/>
      <c r="C6211" s="194">
        <v>6</v>
      </c>
      <c r="D6211" s="80"/>
      <c r="E6211" s="97"/>
      <c r="F6211" s="97"/>
      <c r="G6211" s="97"/>
      <c r="H6211" s="97"/>
      <c r="I6211" s="97"/>
      <c r="J6211" s="97"/>
      <c r="K6211" s="97"/>
      <c r="L6211" s="195"/>
    </row>
    <row r="6212" spans="1:12" x14ac:dyDescent="0.45">
      <c r="A6212" s="462"/>
      <c r="B6212" s="441"/>
      <c r="C6212" s="194">
        <v>7</v>
      </c>
      <c r="D6212" s="80"/>
      <c r="E6212" s="97"/>
      <c r="F6212" s="97"/>
      <c r="G6212" s="97"/>
      <c r="H6212" s="97"/>
      <c r="I6212" s="97"/>
      <c r="J6212" s="97"/>
      <c r="K6212" s="97"/>
      <c r="L6212" s="195"/>
    </row>
    <row r="6213" spans="1:12" x14ac:dyDescent="0.45">
      <c r="A6213" s="462"/>
      <c r="B6213" s="441"/>
      <c r="C6213" s="194">
        <v>8</v>
      </c>
      <c r="D6213" s="80"/>
      <c r="E6213" s="97"/>
      <c r="F6213" s="97"/>
      <c r="G6213" s="97"/>
      <c r="H6213" s="97"/>
      <c r="I6213" s="97"/>
      <c r="J6213" s="97"/>
      <c r="K6213" s="97"/>
      <c r="L6213" s="195"/>
    </row>
    <row r="6214" spans="1:12" x14ac:dyDescent="0.45">
      <c r="A6214" s="462"/>
      <c r="B6214" s="441"/>
      <c r="C6214" s="194">
        <v>9</v>
      </c>
      <c r="D6214" s="80"/>
      <c r="E6214" s="97"/>
      <c r="F6214" s="97"/>
      <c r="G6214" s="97"/>
      <c r="H6214" s="97"/>
      <c r="I6214" s="97"/>
      <c r="J6214" s="97"/>
      <c r="K6214" s="97"/>
      <c r="L6214" s="195"/>
    </row>
    <row r="6215" spans="1:12" x14ac:dyDescent="0.45">
      <c r="A6215" s="462"/>
      <c r="B6215" s="441"/>
      <c r="C6215" s="194">
        <v>10</v>
      </c>
      <c r="D6215" s="80"/>
      <c r="E6215" s="97"/>
      <c r="F6215" s="97"/>
      <c r="G6215" s="97"/>
      <c r="H6215" s="97"/>
      <c r="I6215" s="97"/>
      <c r="J6215" s="97"/>
      <c r="K6215" s="97"/>
      <c r="L6215" s="195"/>
    </row>
    <row r="6216" spans="1:12" x14ac:dyDescent="0.45">
      <c r="A6216" s="462"/>
      <c r="B6216" s="441"/>
      <c r="C6216" s="194">
        <v>11</v>
      </c>
      <c r="D6216" s="81"/>
      <c r="E6216" s="98"/>
      <c r="F6216" s="98"/>
      <c r="G6216" s="98"/>
      <c r="H6216" s="98"/>
      <c r="I6216" s="98"/>
      <c r="J6216" s="98"/>
      <c r="K6216" s="98"/>
      <c r="L6216" s="196"/>
    </row>
    <row r="6217" spans="1:12" ht="14.65" thickBot="1" x14ac:dyDescent="0.5">
      <c r="A6217" s="462"/>
      <c r="B6217" s="442"/>
      <c r="C6217" s="197">
        <v>12</v>
      </c>
      <c r="D6217" s="82"/>
      <c r="E6217" s="99"/>
      <c r="F6217" s="99"/>
      <c r="G6217" s="99"/>
      <c r="H6217" s="99"/>
      <c r="I6217" s="99"/>
      <c r="J6217" s="99"/>
      <c r="K6217" s="99"/>
      <c r="L6217" s="198"/>
    </row>
    <row r="6218" spans="1:12" x14ac:dyDescent="0.45">
      <c r="A6218" s="462"/>
      <c r="B6218" s="440">
        <v>12</v>
      </c>
      <c r="C6218" s="192">
        <v>1</v>
      </c>
      <c r="D6218" s="79"/>
      <c r="E6218" s="96"/>
      <c r="F6218" s="96"/>
      <c r="G6218" s="96"/>
      <c r="H6218" s="96"/>
      <c r="I6218" s="96"/>
      <c r="J6218" s="96"/>
      <c r="K6218" s="96"/>
      <c r="L6218" s="193"/>
    </row>
    <row r="6219" spans="1:12" x14ac:dyDescent="0.45">
      <c r="A6219" s="462"/>
      <c r="B6219" s="441"/>
      <c r="C6219" s="194">
        <v>2</v>
      </c>
      <c r="D6219" s="80"/>
      <c r="E6219" s="97"/>
      <c r="F6219" s="97"/>
      <c r="G6219" s="97"/>
      <c r="H6219" s="97"/>
      <c r="I6219" s="97"/>
      <c r="J6219" s="97"/>
      <c r="K6219" s="97"/>
      <c r="L6219" s="195"/>
    </row>
    <row r="6220" spans="1:12" x14ac:dyDescent="0.45">
      <c r="A6220" s="462"/>
      <c r="B6220" s="441"/>
      <c r="C6220" s="194">
        <v>3</v>
      </c>
      <c r="D6220" s="80"/>
      <c r="E6220" s="97"/>
      <c r="F6220" s="97"/>
      <c r="G6220" s="97"/>
      <c r="H6220" s="97"/>
      <c r="I6220" s="97"/>
      <c r="J6220" s="97"/>
      <c r="K6220" s="97"/>
      <c r="L6220" s="195"/>
    </row>
    <row r="6221" spans="1:12" x14ac:dyDescent="0.45">
      <c r="A6221" s="462"/>
      <c r="B6221" s="441"/>
      <c r="C6221" s="194">
        <v>4</v>
      </c>
      <c r="D6221" s="80"/>
      <c r="E6221" s="97"/>
      <c r="F6221" s="97"/>
      <c r="G6221" s="97"/>
      <c r="H6221" s="97"/>
      <c r="I6221" s="97"/>
      <c r="J6221" s="97"/>
      <c r="K6221" s="97"/>
      <c r="L6221" s="195"/>
    </row>
    <row r="6222" spans="1:12" x14ac:dyDescent="0.45">
      <c r="A6222" s="462"/>
      <c r="B6222" s="441"/>
      <c r="C6222" s="194">
        <v>5</v>
      </c>
      <c r="D6222" s="80"/>
      <c r="E6222" s="97"/>
      <c r="F6222" s="97"/>
      <c r="G6222" s="97"/>
      <c r="H6222" s="97"/>
      <c r="I6222" s="97"/>
      <c r="J6222" s="97"/>
      <c r="K6222" s="97"/>
      <c r="L6222" s="195"/>
    </row>
    <row r="6223" spans="1:12" x14ac:dyDescent="0.45">
      <c r="A6223" s="462"/>
      <c r="B6223" s="441"/>
      <c r="C6223" s="194">
        <v>6</v>
      </c>
      <c r="D6223" s="80"/>
      <c r="E6223" s="97"/>
      <c r="F6223" s="97"/>
      <c r="G6223" s="97"/>
      <c r="H6223" s="97"/>
      <c r="I6223" s="97"/>
      <c r="J6223" s="97"/>
      <c r="K6223" s="97"/>
      <c r="L6223" s="195"/>
    </row>
    <row r="6224" spans="1:12" x14ac:dyDescent="0.45">
      <c r="A6224" s="462"/>
      <c r="B6224" s="441"/>
      <c r="C6224" s="194">
        <v>7</v>
      </c>
      <c r="D6224" s="80"/>
      <c r="E6224" s="97"/>
      <c r="F6224" s="97"/>
      <c r="G6224" s="97"/>
      <c r="H6224" s="97"/>
      <c r="I6224" s="97"/>
      <c r="J6224" s="97"/>
      <c r="K6224" s="97"/>
      <c r="L6224" s="195"/>
    </row>
    <row r="6225" spans="1:12" x14ac:dyDescent="0.45">
      <c r="A6225" s="462"/>
      <c r="B6225" s="441"/>
      <c r="C6225" s="194">
        <v>8</v>
      </c>
      <c r="D6225" s="80"/>
      <c r="E6225" s="97"/>
      <c r="F6225" s="97"/>
      <c r="G6225" s="97"/>
      <c r="H6225" s="97"/>
      <c r="I6225" s="97"/>
      <c r="J6225" s="97"/>
      <c r="K6225" s="97"/>
      <c r="L6225" s="195"/>
    </row>
    <row r="6226" spans="1:12" x14ac:dyDescent="0.45">
      <c r="A6226" s="462"/>
      <c r="B6226" s="441"/>
      <c r="C6226" s="194">
        <v>9</v>
      </c>
      <c r="D6226" s="80"/>
      <c r="E6226" s="97"/>
      <c r="F6226" s="97"/>
      <c r="G6226" s="97"/>
      <c r="H6226" s="97"/>
      <c r="I6226" s="97"/>
      <c r="J6226" s="97"/>
      <c r="K6226" s="97"/>
      <c r="L6226" s="195"/>
    </row>
    <row r="6227" spans="1:12" x14ac:dyDescent="0.45">
      <c r="A6227" s="462"/>
      <c r="B6227" s="441"/>
      <c r="C6227" s="194">
        <v>10</v>
      </c>
      <c r="D6227" s="80"/>
      <c r="E6227" s="97"/>
      <c r="F6227" s="97"/>
      <c r="G6227" s="97"/>
      <c r="H6227" s="97"/>
      <c r="I6227" s="97"/>
      <c r="J6227" s="97"/>
      <c r="K6227" s="97"/>
      <c r="L6227" s="195"/>
    </row>
    <row r="6228" spans="1:12" x14ac:dyDescent="0.45">
      <c r="A6228" s="462"/>
      <c r="B6228" s="441"/>
      <c r="C6228" s="194">
        <v>11</v>
      </c>
      <c r="D6228" s="81"/>
      <c r="E6228" s="98"/>
      <c r="F6228" s="98"/>
      <c r="G6228" s="98"/>
      <c r="H6228" s="98"/>
      <c r="I6228" s="98"/>
      <c r="J6228" s="98"/>
      <c r="K6228" s="98"/>
      <c r="L6228" s="196"/>
    </row>
    <row r="6229" spans="1:12" ht="14.65" thickBot="1" x14ac:dyDescent="0.5">
      <c r="A6229" s="463"/>
      <c r="B6229" s="442"/>
      <c r="C6229" s="199">
        <v>12</v>
      </c>
      <c r="D6229" s="82"/>
      <c r="E6229" s="99"/>
      <c r="F6229" s="99"/>
      <c r="G6229" s="99"/>
      <c r="H6229" s="99"/>
      <c r="I6229" s="99"/>
      <c r="J6229" s="99"/>
      <c r="K6229" s="99"/>
      <c r="L6229" s="198"/>
    </row>
    <row r="6231" spans="1:12" s="91" customFormat="1" x14ac:dyDescent="0.45"/>
    <row r="6232" spans="1:12" ht="14.65" thickBot="1" x14ac:dyDescent="0.5"/>
    <row r="6233" spans="1:12" ht="28.9" thickBot="1" x14ac:dyDescent="0.5">
      <c r="A6233" s="187" t="s">
        <v>76</v>
      </c>
      <c r="B6233" s="186">
        <v>40</v>
      </c>
      <c r="C6233" s="109"/>
      <c r="D6233" s="109"/>
    </row>
    <row r="6234" spans="1:12" x14ac:dyDescent="0.45">
      <c r="A6234" s="443" t="s">
        <v>27</v>
      </c>
      <c r="B6234" s="448">
        <f>Name40</f>
        <v>0</v>
      </c>
      <c r="C6234" s="449"/>
      <c r="D6234" s="450"/>
      <c r="I6234" s="204"/>
      <c r="J6234" s="204"/>
      <c r="K6234" s="204"/>
      <c r="L6234" s="204"/>
    </row>
    <row r="6235" spans="1:12" x14ac:dyDescent="0.45">
      <c r="A6235" s="444"/>
      <c r="B6235" s="448"/>
      <c r="C6235" s="449"/>
      <c r="D6235" s="450"/>
      <c r="I6235" s="204"/>
      <c r="J6235" s="204"/>
      <c r="K6235" s="204"/>
      <c r="L6235" s="204"/>
    </row>
    <row r="6236" spans="1:12" x14ac:dyDescent="0.45">
      <c r="A6236" s="445"/>
      <c r="B6236" s="388"/>
      <c r="C6236" s="451"/>
      <c r="D6236" s="452"/>
      <c r="I6236" s="204"/>
      <c r="J6236" s="204"/>
      <c r="K6236" s="204"/>
      <c r="L6236" s="204"/>
    </row>
    <row r="6237" spans="1:12" ht="14.45" customHeight="1" x14ac:dyDescent="0.45">
      <c r="A6237" s="444" t="s">
        <v>155</v>
      </c>
      <c r="B6237" s="453">
        <f>GapA40</f>
        <v>0</v>
      </c>
      <c r="C6237" s="454"/>
      <c r="D6237" s="455"/>
      <c r="I6237" s="204"/>
      <c r="J6237" s="204"/>
      <c r="K6237" s="204"/>
      <c r="L6237" s="204"/>
    </row>
    <row r="6238" spans="1:12" x14ac:dyDescent="0.45">
      <c r="A6238" s="444"/>
      <c r="B6238" s="448"/>
      <c r="C6238" s="449"/>
      <c r="D6238" s="450"/>
      <c r="I6238" s="204"/>
      <c r="J6238" s="204"/>
      <c r="K6238" s="204"/>
      <c r="L6238" s="204"/>
    </row>
    <row r="6239" spans="1:12" x14ac:dyDescent="0.45">
      <c r="A6239" s="445"/>
      <c r="B6239" s="388"/>
      <c r="C6239" s="451"/>
      <c r="D6239" s="452"/>
      <c r="I6239" s="204"/>
      <c r="J6239" s="204"/>
      <c r="K6239" s="204"/>
      <c r="L6239" s="204"/>
    </row>
    <row r="6240" spans="1:12" x14ac:dyDescent="0.45">
      <c r="A6240" s="444" t="s">
        <v>159</v>
      </c>
      <c r="B6240" s="453">
        <f>Objective40</f>
        <v>0</v>
      </c>
      <c r="C6240" s="454"/>
      <c r="D6240" s="455"/>
      <c r="I6240" s="204"/>
      <c r="J6240" s="204"/>
      <c r="K6240" s="204"/>
      <c r="L6240" s="204"/>
    </row>
    <row r="6241" spans="1:14" x14ac:dyDescent="0.45">
      <c r="A6241" s="444"/>
      <c r="B6241" s="448"/>
      <c r="C6241" s="449"/>
      <c r="D6241" s="450"/>
      <c r="I6241" s="204"/>
      <c r="J6241" s="204"/>
      <c r="K6241" s="204"/>
      <c r="L6241" s="204"/>
    </row>
    <row r="6242" spans="1:14" x14ac:dyDescent="0.45">
      <c r="A6242" s="445"/>
      <c r="B6242" s="388"/>
      <c r="C6242" s="451"/>
      <c r="D6242" s="452"/>
      <c r="I6242" s="204"/>
      <c r="J6242" s="204"/>
      <c r="K6242" s="204"/>
      <c r="L6242" s="204"/>
    </row>
    <row r="6243" spans="1:14" ht="14.45" customHeight="1" x14ac:dyDescent="0.45">
      <c r="A6243" s="446" t="s">
        <v>166</v>
      </c>
      <c r="B6243" s="454">
        <f>Capacity40</f>
        <v>0</v>
      </c>
      <c r="C6243" s="454"/>
      <c r="D6243" s="455"/>
      <c r="I6243" s="204"/>
      <c r="J6243" s="204"/>
      <c r="K6243" s="204"/>
      <c r="L6243" s="204"/>
    </row>
    <row r="6244" spans="1:14" x14ac:dyDescent="0.45">
      <c r="A6244" s="447"/>
      <c r="B6244" s="449"/>
      <c r="C6244" s="449"/>
      <c r="D6244" s="450"/>
      <c r="I6244" s="204"/>
      <c r="J6244" s="204"/>
      <c r="K6244" s="204"/>
      <c r="L6244" s="204"/>
    </row>
    <row r="6245" spans="1:14" ht="14.65" thickBot="1" x14ac:dyDescent="0.5">
      <c r="A6245" s="464"/>
      <c r="B6245" s="456"/>
      <c r="C6245" s="456"/>
      <c r="D6245" s="457"/>
      <c r="I6245" s="204"/>
      <c r="J6245" s="204"/>
      <c r="K6245" s="204"/>
      <c r="L6245" s="204"/>
    </row>
    <row r="6247" spans="1:14" ht="14.65" thickBot="1" x14ac:dyDescent="0.5">
      <c r="A6247" s="90"/>
      <c r="B6247" s="90"/>
      <c r="C6247" s="90"/>
      <c r="D6247" s="90"/>
      <c r="E6247" s="90"/>
      <c r="F6247" s="90"/>
      <c r="G6247" s="90"/>
      <c r="H6247" s="90"/>
      <c r="I6247" s="90"/>
      <c r="J6247" s="90"/>
      <c r="K6247" s="90"/>
      <c r="L6247" s="90"/>
      <c r="M6247" s="204"/>
      <c r="N6247" s="204"/>
    </row>
    <row r="6248" spans="1:14" ht="21.75" customHeight="1" x14ac:dyDescent="0.45">
      <c r="A6248" s="458" t="s">
        <v>135</v>
      </c>
      <c r="B6248" s="459"/>
      <c r="C6248" s="459"/>
      <c r="D6248" s="459"/>
      <c r="E6248" s="459"/>
      <c r="F6248" s="459"/>
      <c r="G6248" s="459"/>
      <c r="H6248" s="459"/>
      <c r="I6248" s="459"/>
      <c r="J6248" s="459"/>
      <c r="K6248" s="459"/>
      <c r="L6248" s="460"/>
    </row>
    <row r="6249" spans="1:14" ht="29" customHeight="1" thickBot="1" x14ac:dyDescent="0.5">
      <c r="A6249" s="93" t="s">
        <v>74</v>
      </c>
      <c r="B6249" s="94" t="s">
        <v>28</v>
      </c>
      <c r="C6249" s="95" t="s">
        <v>320</v>
      </c>
      <c r="D6249" s="95" t="s">
        <v>127</v>
      </c>
      <c r="E6249" s="114" t="s">
        <v>90</v>
      </c>
      <c r="F6249" s="95" t="s">
        <v>175</v>
      </c>
      <c r="G6249" s="95" t="s">
        <v>176</v>
      </c>
      <c r="H6249" s="95" t="s">
        <v>156</v>
      </c>
      <c r="I6249" s="95" t="s">
        <v>157</v>
      </c>
      <c r="J6249" s="189" t="s">
        <v>321</v>
      </c>
      <c r="K6249" s="190" t="s">
        <v>29</v>
      </c>
      <c r="L6249" s="191" t="s">
        <v>322</v>
      </c>
    </row>
    <row r="6250" spans="1:14" x14ac:dyDescent="0.45">
      <c r="A6250" s="461">
        <v>1</v>
      </c>
      <c r="B6250" s="440">
        <v>1</v>
      </c>
      <c r="C6250" s="192">
        <v>1</v>
      </c>
      <c r="D6250" s="79"/>
      <c r="E6250" s="96"/>
      <c r="F6250" s="96"/>
      <c r="G6250" s="96"/>
      <c r="H6250" s="96"/>
      <c r="I6250" s="96"/>
      <c r="J6250" s="96"/>
      <c r="K6250" s="96"/>
      <c r="L6250" s="193"/>
    </row>
    <row r="6251" spans="1:14" x14ac:dyDescent="0.45">
      <c r="A6251" s="462"/>
      <c r="B6251" s="441"/>
      <c r="C6251" s="194">
        <v>2</v>
      </c>
      <c r="D6251" s="80"/>
      <c r="E6251" s="97"/>
      <c r="F6251" s="97"/>
      <c r="G6251" s="97"/>
      <c r="H6251" s="97"/>
      <c r="I6251" s="97"/>
      <c r="J6251" s="97"/>
      <c r="K6251" s="97"/>
      <c r="L6251" s="195"/>
    </row>
    <row r="6252" spans="1:14" x14ac:dyDescent="0.45">
      <c r="A6252" s="462"/>
      <c r="B6252" s="441"/>
      <c r="C6252" s="194">
        <v>3</v>
      </c>
      <c r="D6252" s="80"/>
      <c r="E6252" s="97"/>
      <c r="F6252" s="97"/>
      <c r="G6252" s="97"/>
      <c r="H6252" s="97"/>
      <c r="I6252" s="97"/>
      <c r="J6252" s="97"/>
      <c r="K6252" s="97"/>
      <c r="L6252" s="195"/>
    </row>
    <row r="6253" spans="1:14" x14ac:dyDescent="0.45">
      <c r="A6253" s="462"/>
      <c r="B6253" s="441"/>
      <c r="C6253" s="194">
        <v>4</v>
      </c>
      <c r="D6253" s="80"/>
      <c r="E6253" s="97"/>
      <c r="F6253" s="97"/>
      <c r="G6253" s="97"/>
      <c r="H6253" s="97"/>
      <c r="I6253" s="97"/>
      <c r="J6253" s="97"/>
      <c r="K6253" s="97"/>
      <c r="L6253" s="195"/>
    </row>
    <row r="6254" spans="1:14" x14ac:dyDescent="0.45">
      <c r="A6254" s="462"/>
      <c r="B6254" s="441"/>
      <c r="C6254" s="194">
        <v>5</v>
      </c>
      <c r="D6254" s="80"/>
      <c r="E6254" s="97"/>
      <c r="F6254" s="97"/>
      <c r="G6254" s="97"/>
      <c r="H6254" s="97"/>
      <c r="I6254" s="97"/>
      <c r="J6254" s="97"/>
      <c r="K6254" s="97"/>
      <c r="L6254" s="195"/>
    </row>
    <row r="6255" spans="1:14" x14ac:dyDescent="0.45">
      <c r="A6255" s="462"/>
      <c r="B6255" s="441"/>
      <c r="C6255" s="194">
        <v>6</v>
      </c>
      <c r="D6255" s="80"/>
      <c r="E6255" s="97"/>
      <c r="F6255" s="97"/>
      <c r="G6255" s="97"/>
      <c r="H6255" s="97"/>
      <c r="I6255" s="97"/>
      <c r="J6255" s="97"/>
      <c r="K6255" s="97"/>
      <c r="L6255" s="195"/>
    </row>
    <row r="6256" spans="1:14" x14ac:dyDescent="0.45">
      <c r="A6256" s="462"/>
      <c r="B6256" s="441"/>
      <c r="C6256" s="194">
        <v>7</v>
      </c>
      <c r="D6256" s="80"/>
      <c r="E6256" s="97"/>
      <c r="F6256" s="97"/>
      <c r="G6256" s="97"/>
      <c r="H6256" s="97"/>
      <c r="I6256" s="97"/>
      <c r="J6256" s="97"/>
      <c r="K6256" s="97"/>
      <c r="L6256" s="195"/>
    </row>
    <row r="6257" spans="1:14" x14ac:dyDescent="0.45">
      <c r="A6257" s="462"/>
      <c r="B6257" s="441"/>
      <c r="C6257" s="194">
        <v>8</v>
      </c>
      <c r="D6257" s="80"/>
      <c r="E6257" s="97"/>
      <c r="F6257" s="97"/>
      <c r="G6257" s="97"/>
      <c r="H6257" s="97"/>
      <c r="I6257" s="97"/>
      <c r="J6257" s="97"/>
      <c r="K6257" s="97"/>
      <c r="L6257" s="195"/>
    </row>
    <row r="6258" spans="1:14" x14ac:dyDescent="0.45">
      <c r="A6258" s="462"/>
      <c r="B6258" s="441"/>
      <c r="C6258" s="194">
        <v>9</v>
      </c>
      <c r="D6258" s="80"/>
      <c r="E6258" s="97"/>
      <c r="F6258" s="97"/>
      <c r="G6258" s="97"/>
      <c r="H6258" s="97"/>
      <c r="I6258" s="97"/>
      <c r="J6258" s="97"/>
      <c r="K6258" s="97"/>
      <c r="L6258" s="195"/>
    </row>
    <row r="6259" spans="1:14" x14ac:dyDescent="0.45">
      <c r="A6259" s="462"/>
      <c r="B6259" s="441"/>
      <c r="C6259" s="194">
        <v>10</v>
      </c>
      <c r="D6259" s="80"/>
      <c r="E6259" s="97"/>
      <c r="F6259" s="97"/>
      <c r="G6259" s="97"/>
      <c r="H6259" s="97"/>
      <c r="I6259" s="97"/>
      <c r="J6259" s="97"/>
      <c r="K6259" s="97"/>
      <c r="L6259" s="195"/>
    </row>
    <row r="6260" spans="1:14" x14ac:dyDescent="0.45">
      <c r="A6260" s="462"/>
      <c r="B6260" s="441"/>
      <c r="C6260" s="194">
        <v>11</v>
      </c>
      <c r="D6260" s="81"/>
      <c r="E6260" s="98"/>
      <c r="F6260" s="98"/>
      <c r="G6260" s="98"/>
      <c r="H6260" s="98"/>
      <c r="I6260" s="98"/>
      <c r="J6260" s="98"/>
      <c r="K6260" s="98"/>
      <c r="L6260" s="196"/>
    </row>
    <row r="6261" spans="1:14" s="90" customFormat="1" ht="14.65" thickBot="1" x14ac:dyDescent="0.5">
      <c r="A6261" s="462"/>
      <c r="B6261" s="442"/>
      <c r="C6261" s="197">
        <v>12</v>
      </c>
      <c r="D6261" s="82"/>
      <c r="E6261" s="99"/>
      <c r="F6261" s="99"/>
      <c r="G6261" s="99"/>
      <c r="H6261" s="99"/>
      <c r="I6261" s="99"/>
      <c r="J6261" s="99"/>
      <c r="K6261" s="99"/>
      <c r="L6261" s="198"/>
      <c r="M6261" s="61"/>
      <c r="N6261" s="61"/>
    </row>
    <row r="6262" spans="1:14" x14ac:dyDescent="0.45">
      <c r="A6262" s="462"/>
      <c r="B6262" s="440">
        <v>2</v>
      </c>
      <c r="C6262" s="192">
        <v>1</v>
      </c>
      <c r="D6262" s="79"/>
      <c r="E6262" s="96"/>
      <c r="F6262" s="96"/>
      <c r="G6262" s="96"/>
      <c r="H6262" s="96"/>
      <c r="I6262" s="96"/>
      <c r="J6262" s="96"/>
      <c r="K6262" s="96"/>
      <c r="L6262" s="193"/>
    </row>
    <row r="6263" spans="1:14" x14ac:dyDescent="0.45">
      <c r="A6263" s="462"/>
      <c r="B6263" s="441"/>
      <c r="C6263" s="194">
        <v>2</v>
      </c>
      <c r="D6263" s="80"/>
      <c r="E6263" s="97"/>
      <c r="F6263" s="97"/>
      <c r="G6263" s="97"/>
      <c r="H6263" s="97"/>
      <c r="I6263" s="97"/>
      <c r="J6263" s="97"/>
      <c r="K6263" s="97"/>
      <c r="L6263" s="195"/>
    </row>
    <row r="6264" spans="1:14" x14ac:dyDescent="0.45">
      <c r="A6264" s="462"/>
      <c r="B6264" s="441"/>
      <c r="C6264" s="194">
        <v>3</v>
      </c>
      <c r="D6264" s="80"/>
      <c r="E6264" s="97"/>
      <c r="F6264" s="97"/>
      <c r="G6264" s="97"/>
      <c r="H6264" s="97"/>
      <c r="I6264" s="97"/>
      <c r="J6264" s="97"/>
      <c r="K6264" s="97"/>
      <c r="L6264" s="195"/>
    </row>
    <row r="6265" spans="1:14" x14ac:dyDescent="0.45">
      <c r="A6265" s="462"/>
      <c r="B6265" s="441"/>
      <c r="C6265" s="194">
        <v>4</v>
      </c>
      <c r="D6265" s="80"/>
      <c r="E6265" s="97"/>
      <c r="F6265" s="97"/>
      <c r="G6265" s="97"/>
      <c r="H6265" s="97"/>
      <c r="I6265" s="97"/>
      <c r="J6265" s="97"/>
      <c r="K6265" s="97"/>
      <c r="L6265" s="195"/>
    </row>
    <row r="6266" spans="1:14" x14ac:dyDescent="0.45">
      <c r="A6266" s="462"/>
      <c r="B6266" s="441"/>
      <c r="C6266" s="194">
        <v>5</v>
      </c>
      <c r="D6266" s="80"/>
      <c r="E6266" s="97"/>
      <c r="F6266" s="97"/>
      <c r="G6266" s="97"/>
      <c r="H6266" s="97"/>
      <c r="I6266" s="97"/>
      <c r="J6266" s="97"/>
      <c r="K6266" s="97"/>
      <c r="L6266" s="195"/>
    </row>
    <row r="6267" spans="1:14" x14ac:dyDescent="0.45">
      <c r="A6267" s="462"/>
      <c r="B6267" s="441"/>
      <c r="C6267" s="194">
        <v>6</v>
      </c>
      <c r="D6267" s="80"/>
      <c r="E6267" s="97"/>
      <c r="F6267" s="97"/>
      <c r="G6267" s="97"/>
      <c r="H6267" s="97"/>
      <c r="I6267" s="97"/>
      <c r="J6267" s="97"/>
      <c r="K6267" s="97"/>
      <c r="L6267" s="195"/>
    </row>
    <row r="6268" spans="1:14" x14ac:dyDescent="0.45">
      <c r="A6268" s="462"/>
      <c r="B6268" s="441"/>
      <c r="C6268" s="194">
        <v>7</v>
      </c>
      <c r="D6268" s="80"/>
      <c r="E6268" s="97"/>
      <c r="F6268" s="97"/>
      <c r="G6268" s="97"/>
      <c r="H6268" s="97"/>
      <c r="I6268" s="97"/>
      <c r="J6268" s="97"/>
      <c r="K6268" s="97"/>
      <c r="L6268" s="195"/>
    </row>
    <row r="6269" spans="1:14" x14ac:dyDescent="0.45">
      <c r="A6269" s="462"/>
      <c r="B6269" s="441"/>
      <c r="C6269" s="194">
        <v>8</v>
      </c>
      <c r="D6269" s="80"/>
      <c r="E6269" s="97"/>
      <c r="F6269" s="97"/>
      <c r="G6269" s="97"/>
      <c r="H6269" s="97"/>
      <c r="I6269" s="97"/>
      <c r="J6269" s="97"/>
      <c r="K6269" s="97"/>
      <c r="L6269" s="195"/>
    </row>
    <row r="6270" spans="1:14" x14ac:dyDescent="0.45">
      <c r="A6270" s="462"/>
      <c r="B6270" s="441"/>
      <c r="C6270" s="194">
        <v>9</v>
      </c>
      <c r="D6270" s="80"/>
      <c r="E6270" s="97"/>
      <c r="F6270" s="97"/>
      <c r="G6270" s="97"/>
      <c r="H6270" s="97"/>
      <c r="I6270" s="97"/>
      <c r="J6270" s="97"/>
      <c r="K6270" s="97"/>
      <c r="L6270" s="195"/>
    </row>
    <row r="6271" spans="1:14" x14ac:dyDescent="0.45">
      <c r="A6271" s="462"/>
      <c r="B6271" s="441"/>
      <c r="C6271" s="194">
        <v>10</v>
      </c>
      <c r="D6271" s="80"/>
      <c r="E6271" s="97"/>
      <c r="F6271" s="97"/>
      <c r="G6271" s="97"/>
      <c r="H6271" s="97"/>
      <c r="I6271" s="97"/>
      <c r="J6271" s="97"/>
      <c r="K6271" s="97"/>
      <c r="L6271" s="195"/>
    </row>
    <row r="6272" spans="1:14" x14ac:dyDescent="0.45">
      <c r="A6272" s="462"/>
      <c r="B6272" s="441"/>
      <c r="C6272" s="194">
        <v>11</v>
      </c>
      <c r="D6272" s="81"/>
      <c r="E6272" s="98"/>
      <c r="F6272" s="98"/>
      <c r="G6272" s="98"/>
      <c r="H6272" s="98"/>
      <c r="I6272" s="98"/>
      <c r="J6272" s="98"/>
      <c r="K6272" s="98"/>
      <c r="L6272" s="196"/>
    </row>
    <row r="6273" spans="1:12" ht="14.65" thickBot="1" x14ac:dyDescent="0.5">
      <c r="A6273" s="462"/>
      <c r="B6273" s="442"/>
      <c r="C6273" s="197">
        <v>12</v>
      </c>
      <c r="D6273" s="82"/>
      <c r="E6273" s="99"/>
      <c r="F6273" s="99"/>
      <c r="G6273" s="99"/>
      <c r="H6273" s="99"/>
      <c r="I6273" s="99"/>
      <c r="J6273" s="99"/>
      <c r="K6273" s="99"/>
      <c r="L6273" s="198"/>
    </row>
    <row r="6274" spans="1:12" x14ac:dyDescent="0.45">
      <c r="A6274" s="462"/>
      <c r="B6274" s="440">
        <v>3</v>
      </c>
      <c r="C6274" s="192">
        <v>1</v>
      </c>
      <c r="D6274" s="79"/>
      <c r="E6274" s="96"/>
      <c r="F6274" s="96"/>
      <c r="G6274" s="96"/>
      <c r="H6274" s="96"/>
      <c r="I6274" s="96"/>
      <c r="J6274" s="96"/>
      <c r="K6274" s="96"/>
      <c r="L6274" s="193"/>
    </row>
    <row r="6275" spans="1:12" x14ac:dyDescent="0.45">
      <c r="A6275" s="462"/>
      <c r="B6275" s="441"/>
      <c r="C6275" s="194">
        <v>2</v>
      </c>
      <c r="D6275" s="80"/>
      <c r="E6275" s="97"/>
      <c r="F6275" s="97"/>
      <c r="G6275" s="97"/>
      <c r="H6275" s="97"/>
      <c r="I6275" s="97"/>
      <c r="J6275" s="97"/>
      <c r="K6275" s="97"/>
      <c r="L6275" s="195"/>
    </row>
    <row r="6276" spans="1:12" x14ac:dyDescent="0.45">
      <c r="A6276" s="462"/>
      <c r="B6276" s="441"/>
      <c r="C6276" s="194">
        <v>3</v>
      </c>
      <c r="D6276" s="80"/>
      <c r="E6276" s="97"/>
      <c r="F6276" s="97"/>
      <c r="G6276" s="97"/>
      <c r="H6276" s="97"/>
      <c r="I6276" s="97"/>
      <c r="J6276" s="97"/>
      <c r="K6276" s="97"/>
      <c r="L6276" s="195"/>
    </row>
    <row r="6277" spans="1:12" x14ac:dyDescent="0.45">
      <c r="A6277" s="462"/>
      <c r="B6277" s="441"/>
      <c r="C6277" s="194">
        <v>4</v>
      </c>
      <c r="D6277" s="80"/>
      <c r="E6277" s="97"/>
      <c r="F6277" s="97"/>
      <c r="G6277" s="97"/>
      <c r="H6277" s="97"/>
      <c r="I6277" s="97"/>
      <c r="J6277" s="97"/>
      <c r="K6277" s="97"/>
      <c r="L6277" s="195"/>
    </row>
    <row r="6278" spans="1:12" x14ac:dyDescent="0.45">
      <c r="A6278" s="462"/>
      <c r="B6278" s="441"/>
      <c r="C6278" s="194">
        <v>5</v>
      </c>
      <c r="D6278" s="80"/>
      <c r="E6278" s="97"/>
      <c r="F6278" s="97"/>
      <c r="G6278" s="97"/>
      <c r="H6278" s="97"/>
      <c r="I6278" s="97"/>
      <c r="J6278" s="97"/>
      <c r="K6278" s="97"/>
      <c r="L6278" s="195"/>
    </row>
    <row r="6279" spans="1:12" x14ac:dyDescent="0.45">
      <c r="A6279" s="462"/>
      <c r="B6279" s="441"/>
      <c r="C6279" s="194">
        <v>6</v>
      </c>
      <c r="D6279" s="80"/>
      <c r="E6279" s="97"/>
      <c r="F6279" s="97"/>
      <c r="G6279" s="97"/>
      <c r="H6279" s="97"/>
      <c r="I6279" s="97"/>
      <c r="J6279" s="97"/>
      <c r="K6279" s="97"/>
      <c r="L6279" s="195"/>
    </row>
    <row r="6280" spans="1:12" x14ac:dyDescent="0.45">
      <c r="A6280" s="462"/>
      <c r="B6280" s="441"/>
      <c r="C6280" s="194">
        <v>7</v>
      </c>
      <c r="D6280" s="80"/>
      <c r="E6280" s="97"/>
      <c r="F6280" s="97"/>
      <c r="G6280" s="97"/>
      <c r="H6280" s="97"/>
      <c r="I6280" s="97"/>
      <c r="J6280" s="97"/>
      <c r="K6280" s="97"/>
      <c r="L6280" s="195"/>
    </row>
    <row r="6281" spans="1:12" x14ac:dyDescent="0.45">
      <c r="A6281" s="462"/>
      <c r="B6281" s="441"/>
      <c r="C6281" s="194">
        <v>8</v>
      </c>
      <c r="D6281" s="80"/>
      <c r="E6281" s="97"/>
      <c r="F6281" s="97"/>
      <c r="G6281" s="97"/>
      <c r="H6281" s="97"/>
      <c r="I6281" s="97"/>
      <c r="J6281" s="97"/>
      <c r="K6281" s="97"/>
      <c r="L6281" s="195"/>
    </row>
    <row r="6282" spans="1:12" x14ac:dyDescent="0.45">
      <c r="A6282" s="462"/>
      <c r="B6282" s="441"/>
      <c r="C6282" s="194">
        <v>9</v>
      </c>
      <c r="D6282" s="80"/>
      <c r="E6282" s="97"/>
      <c r="F6282" s="97"/>
      <c r="G6282" s="97"/>
      <c r="H6282" s="97"/>
      <c r="I6282" s="97"/>
      <c r="J6282" s="97"/>
      <c r="K6282" s="97"/>
      <c r="L6282" s="195"/>
    </row>
    <row r="6283" spans="1:12" x14ac:dyDescent="0.45">
      <c r="A6283" s="462"/>
      <c r="B6283" s="441"/>
      <c r="C6283" s="194">
        <v>10</v>
      </c>
      <c r="D6283" s="80"/>
      <c r="E6283" s="97"/>
      <c r="F6283" s="97"/>
      <c r="G6283" s="97"/>
      <c r="H6283" s="97"/>
      <c r="I6283" s="97"/>
      <c r="J6283" s="97"/>
      <c r="K6283" s="97"/>
      <c r="L6283" s="195"/>
    </row>
    <row r="6284" spans="1:12" x14ac:dyDescent="0.45">
      <c r="A6284" s="462"/>
      <c r="B6284" s="441"/>
      <c r="C6284" s="194">
        <v>11</v>
      </c>
      <c r="D6284" s="81"/>
      <c r="E6284" s="98"/>
      <c r="F6284" s="98"/>
      <c r="G6284" s="98"/>
      <c r="H6284" s="98"/>
      <c r="I6284" s="98"/>
      <c r="J6284" s="98"/>
      <c r="K6284" s="98"/>
      <c r="L6284" s="196"/>
    </row>
    <row r="6285" spans="1:12" ht="14.65" thickBot="1" x14ac:dyDescent="0.5">
      <c r="A6285" s="462"/>
      <c r="B6285" s="442"/>
      <c r="C6285" s="197">
        <v>12</v>
      </c>
      <c r="D6285" s="82"/>
      <c r="E6285" s="99"/>
      <c r="F6285" s="99"/>
      <c r="G6285" s="99"/>
      <c r="H6285" s="99"/>
      <c r="I6285" s="99"/>
      <c r="J6285" s="99"/>
      <c r="K6285" s="99"/>
      <c r="L6285" s="198"/>
    </row>
    <row r="6286" spans="1:12" x14ac:dyDescent="0.45">
      <c r="A6286" s="462"/>
      <c r="B6286" s="440">
        <v>4</v>
      </c>
      <c r="C6286" s="192">
        <v>1</v>
      </c>
      <c r="D6286" s="79"/>
      <c r="E6286" s="96"/>
      <c r="F6286" s="96"/>
      <c r="G6286" s="96"/>
      <c r="H6286" s="96"/>
      <c r="I6286" s="96"/>
      <c r="J6286" s="96"/>
      <c r="K6286" s="96"/>
      <c r="L6286" s="193"/>
    </row>
    <row r="6287" spans="1:12" x14ac:dyDescent="0.45">
      <c r="A6287" s="462"/>
      <c r="B6287" s="441"/>
      <c r="C6287" s="194">
        <v>2</v>
      </c>
      <c r="D6287" s="80"/>
      <c r="E6287" s="97"/>
      <c r="F6287" s="97"/>
      <c r="G6287" s="97"/>
      <c r="H6287" s="97"/>
      <c r="I6287" s="97"/>
      <c r="J6287" s="97"/>
      <c r="K6287" s="97"/>
      <c r="L6287" s="195"/>
    </row>
    <row r="6288" spans="1:12" x14ac:dyDescent="0.45">
      <c r="A6288" s="462"/>
      <c r="B6288" s="441"/>
      <c r="C6288" s="194">
        <v>3</v>
      </c>
      <c r="D6288" s="80"/>
      <c r="E6288" s="97"/>
      <c r="F6288" s="97"/>
      <c r="G6288" s="97"/>
      <c r="H6288" s="97"/>
      <c r="I6288" s="97"/>
      <c r="J6288" s="97"/>
      <c r="K6288" s="97"/>
      <c r="L6288" s="195"/>
    </row>
    <row r="6289" spans="1:12" x14ac:dyDescent="0.45">
      <c r="A6289" s="462"/>
      <c r="B6289" s="441"/>
      <c r="C6289" s="194">
        <v>4</v>
      </c>
      <c r="D6289" s="80"/>
      <c r="E6289" s="97"/>
      <c r="F6289" s="97"/>
      <c r="G6289" s="97"/>
      <c r="H6289" s="97"/>
      <c r="I6289" s="97"/>
      <c r="J6289" s="97"/>
      <c r="K6289" s="97"/>
      <c r="L6289" s="195"/>
    </row>
    <row r="6290" spans="1:12" x14ac:dyDescent="0.45">
      <c r="A6290" s="462"/>
      <c r="B6290" s="441"/>
      <c r="C6290" s="194">
        <v>5</v>
      </c>
      <c r="D6290" s="80"/>
      <c r="E6290" s="97"/>
      <c r="F6290" s="97"/>
      <c r="G6290" s="97"/>
      <c r="H6290" s="97"/>
      <c r="I6290" s="97"/>
      <c r="J6290" s="97"/>
      <c r="K6290" s="97"/>
      <c r="L6290" s="195"/>
    </row>
    <row r="6291" spans="1:12" x14ac:dyDescent="0.45">
      <c r="A6291" s="462"/>
      <c r="B6291" s="441"/>
      <c r="C6291" s="194">
        <v>6</v>
      </c>
      <c r="D6291" s="80"/>
      <c r="E6291" s="97"/>
      <c r="F6291" s="97"/>
      <c r="G6291" s="97"/>
      <c r="H6291" s="97"/>
      <c r="I6291" s="97"/>
      <c r="J6291" s="97"/>
      <c r="K6291" s="97"/>
      <c r="L6291" s="195"/>
    </row>
    <row r="6292" spans="1:12" x14ac:dyDescent="0.45">
      <c r="A6292" s="462"/>
      <c r="B6292" s="441"/>
      <c r="C6292" s="194">
        <v>7</v>
      </c>
      <c r="D6292" s="80"/>
      <c r="E6292" s="97"/>
      <c r="F6292" s="97"/>
      <c r="G6292" s="97"/>
      <c r="H6292" s="97"/>
      <c r="I6292" s="97"/>
      <c r="J6292" s="97"/>
      <c r="K6292" s="97"/>
      <c r="L6292" s="195"/>
    </row>
    <row r="6293" spans="1:12" x14ac:dyDescent="0.45">
      <c r="A6293" s="462"/>
      <c r="B6293" s="441"/>
      <c r="C6293" s="194">
        <v>8</v>
      </c>
      <c r="D6293" s="80"/>
      <c r="E6293" s="97"/>
      <c r="F6293" s="97"/>
      <c r="G6293" s="97"/>
      <c r="H6293" s="97"/>
      <c r="I6293" s="97"/>
      <c r="J6293" s="97"/>
      <c r="K6293" s="97"/>
      <c r="L6293" s="195"/>
    </row>
    <row r="6294" spans="1:12" x14ac:dyDescent="0.45">
      <c r="A6294" s="462"/>
      <c r="B6294" s="441"/>
      <c r="C6294" s="194">
        <v>9</v>
      </c>
      <c r="D6294" s="80"/>
      <c r="E6294" s="97"/>
      <c r="F6294" s="97"/>
      <c r="G6294" s="97"/>
      <c r="H6294" s="97"/>
      <c r="I6294" s="97"/>
      <c r="J6294" s="97"/>
      <c r="K6294" s="97"/>
      <c r="L6294" s="195"/>
    </row>
    <row r="6295" spans="1:12" x14ac:dyDescent="0.45">
      <c r="A6295" s="462"/>
      <c r="B6295" s="441"/>
      <c r="C6295" s="194">
        <v>10</v>
      </c>
      <c r="D6295" s="80"/>
      <c r="E6295" s="97"/>
      <c r="F6295" s="97"/>
      <c r="G6295" s="97"/>
      <c r="H6295" s="97"/>
      <c r="I6295" s="97"/>
      <c r="J6295" s="97"/>
      <c r="K6295" s="97"/>
      <c r="L6295" s="195"/>
    </row>
    <row r="6296" spans="1:12" x14ac:dyDescent="0.45">
      <c r="A6296" s="462"/>
      <c r="B6296" s="441"/>
      <c r="C6296" s="194">
        <v>11</v>
      </c>
      <c r="D6296" s="81"/>
      <c r="E6296" s="98"/>
      <c r="F6296" s="98"/>
      <c r="G6296" s="98"/>
      <c r="H6296" s="98"/>
      <c r="I6296" s="98"/>
      <c r="J6296" s="98"/>
      <c r="K6296" s="98"/>
      <c r="L6296" s="196"/>
    </row>
    <row r="6297" spans="1:12" ht="14.65" thickBot="1" x14ac:dyDescent="0.5">
      <c r="A6297" s="463"/>
      <c r="B6297" s="442"/>
      <c r="C6297" s="197">
        <v>12</v>
      </c>
      <c r="D6297" s="82"/>
      <c r="E6297" s="99"/>
      <c r="F6297" s="99"/>
      <c r="G6297" s="99"/>
      <c r="H6297" s="99"/>
      <c r="I6297" s="99"/>
      <c r="J6297" s="99"/>
      <c r="K6297" s="99"/>
      <c r="L6297" s="198"/>
    </row>
    <row r="6298" spans="1:12" x14ac:dyDescent="0.45">
      <c r="A6298" s="461">
        <v>2</v>
      </c>
      <c r="B6298" s="440">
        <v>5</v>
      </c>
      <c r="C6298" s="192">
        <v>1</v>
      </c>
      <c r="D6298" s="79"/>
      <c r="E6298" s="96"/>
      <c r="F6298" s="96"/>
      <c r="G6298" s="96"/>
      <c r="H6298" s="96"/>
      <c r="I6298" s="96"/>
      <c r="J6298" s="96"/>
      <c r="K6298" s="96"/>
      <c r="L6298" s="193"/>
    </row>
    <row r="6299" spans="1:12" x14ac:dyDescent="0.45">
      <c r="A6299" s="462"/>
      <c r="B6299" s="441"/>
      <c r="C6299" s="194">
        <v>2</v>
      </c>
      <c r="D6299" s="80"/>
      <c r="E6299" s="97"/>
      <c r="F6299" s="97"/>
      <c r="G6299" s="97"/>
      <c r="H6299" s="97"/>
      <c r="I6299" s="97"/>
      <c r="J6299" s="97"/>
      <c r="K6299" s="97"/>
      <c r="L6299" s="195"/>
    </row>
    <row r="6300" spans="1:12" x14ac:dyDescent="0.45">
      <c r="A6300" s="462"/>
      <c r="B6300" s="441"/>
      <c r="C6300" s="194">
        <v>3</v>
      </c>
      <c r="D6300" s="80"/>
      <c r="E6300" s="97"/>
      <c r="F6300" s="97"/>
      <c r="G6300" s="97"/>
      <c r="H6300" s="97"/>
      <c r="I6300" s="97"/>
      <c r="J6300" s="97"/>
      <c r="K6300" s="97"/>
      <c r="L6300" s="195"/>
    </row>
    <row r="6301" spans="1:12" x14ac:dyDescent="0.45">
      <c r="A6301" s="462"/>
      <c r="B6301" s="441"/>
      <c r="C6301" s="194">
        <v>4</v>
      </c>
      <c r="D6301" s="80"/>
      <c r="E6301" s="97"/>
      <c r="F6301" s="97"/>
      <c r="G6301" s="97"/>
      <c r="H6301" s="97"/>
      <c r="I6301" s="97"/>
      <c r="J6301" s="97"/>
      <c r="K6301" s="97"/>
      <c r="L6301" s="195"/>
    </row>
    <row r="6302" spans="1:12" x14ac:dyDescent="0.45">
      <c r="A6302" s="462"/>
      <c r="B6302" s="441"/>
      <c r="C6302" s="194">
        <v>5</v>
      </c>
      <c r="D6302" s="80"/>
      <c r="E6302" s="97"/>
      <c r="F6302" s="97"/>
      <c r="G6302" s="97"/>
      <c r="H6302" s="97"/>
      <c r="I6302" s="97"/>
      <c r="J6302" s="97"/>
      <c r="K6302" s="97"/>
      <c r="L6302" s="195"/>
    </row>
    <row r="6303" spans="1:12" x14ac:dyDescent="0.45">
      <c r="A6303" s="462"/>
      <c r="B6303" s="441"/>
      <c r="C6303" s="194">
        <v>6</v>
      </c>
      <c r="D6303" s="80"/>
      <c r="E6303" s="97"/>
      <c r="F6303" s="97"/>
      <c r="G6303" s="97"/>
      <c r="H6303" s="97"/>
      <c r="I6303" s="97"/>
      <c r="J6303" s="97"/>
      <c r="K6303" s="97"/>
      <c r="L6303" s="195"/>
    </row>
    <row r="6304" spans="1:12" x14ac:dyDescent="0.45">
      <c r="A6304" s="462"/>
      <c r="B6304" s="441"/>
      <c r="C6304" s="194">
        <v>7</v>
      </c>
      <c r="D6304" s="80"/>
      <c r="E6304" s="97"/>
      <c r="F6304" s="97"/>
      <c r="G6304" s="97"/>
      <c r="H6304" s="97"/>
      <c r="I6304" s="97"/>
      <c r="J6304" s="97"/>
      <c r="K6304" s="97"/>
      <c r="L6304" s="195"/>
    </row>
    <row r="6305" spans="1:12" x14ac:dyDescent="0.45">
      <c r="A6305" s="462"/>
      <c r="B6305" s="441"/>
      <c r="C6305" s="194">
        <v>8</v>
      </c>
      <c r="D6305" s="80"/>
      <c r="E6305" s="97"/>
      <c r="F6305" s="97"/>
      <c r="G6305" s="97"/>
      <c r="H6305" s="97"/>
      <c r="I6305" s="97"/>
      <c r="J6305" s="97"/>
      <c r="K6305" s="97"/>
      <c r="L6305" s="195"/>
    </row>
    <row r="6306" spans="1:12" x14ac:dyDescent="0.45">
      <c r="A6306" s="462"/>
      <c r="B6306" s="441"/>
      <c r="C6306" s="194">
        <v>9</v>
      </c>
      <c r="D6306" s="80"/>
      <c r="E6306" s="97"/>
      <c r="F6306" s="97"/>
      <c r="G6306" s="97"/>
      <c r="H6306" s="97"/>
      <c r="I6306" s="97"/>
      <c r="J6306" s="97"/>
      <c r="K6306" s="97"/>
      <c r="L6306" s="195"/>
    </row>
    <row r="6307" spans="1:12" x14ac:dyDescent="0.45">
      <c r="A6307" s="462"/>
      <c r="B6307" s="441"/>
      <c r="C6307" s="194">
        <v>10</v>
      </c>
      <c r="D6307" s="80"/>
      <c r="E6307" s="97"/>
      <c r="F6307" s="97"/>
      <c r="G6307" s="97"/>
      <c r="H6307" s="97"/>
      <c r="I6307" s="97"/>
      <c r="J6307" s="97"/>
      <c r="K6307" s="97"/>
      <c r="L6307" s="195"/>
    </row>
    <row r="6308" spans="1:12" x14ac:dyDescent="0.45">
      <c r="A6308" s="462"/>
      <c r="B6308" s="441"/>
      <c r="C6308" s="194">
        <v>11</v>
      </c>
      <c r="D6308" s="81"/>
      <c r="E6308" s="98"/>
      <c r="F6308" s="98"/>
      <c r="G6308" s="98"/>
      <c r="H6308" s="98"/>
      <c r="I6308" s="98"/>
      <c r="J6308" s="98"/>
      <c r="K6308" s="98"/>
      <c r="L6308" s="196"/>
    </row>
    <row r="6309" spans="1:12" ht="14.65" thickBot="1" x14ac:dyDescent="0.5">
      <c r="A6309" s="462"/>
      <c r="B6309" s="442"/>
      <c r="C6309" s="197">
        <v>12</v>
      </c>
      <c r="D6309" s="82"/>
      <c r="E6309" s="99"/>
      <c r="F6309" s="99"/>
      <c r="G6309" s="99"/>
      <c r="H6309" s="99"/>
      <c r="I6309" s="99"/>
      <c r="J6309" s="99"/>
      <c r="K6309" s="99"/>
      <c r="L6309" s="198"/>
    </row>
    <row r="6310" spans="1:12" x14ac:dyDescent="0.45">
      <c r="A6310" s="462"/>
      <c r="B6310" s="440">
        <v>6</v>
      </c>
      <c r="C6310" s="192">
        <v>1</v>
      </c>
      <c r="D6310" s="79"/>
      <c r="E6310" s="96"/>
      <c r="F6310" s="96"/>
      <c r="G6310" s="96"/>
      <c r="H6310" s="96"/>
      <c r="I6310" s="96"/>
      <c r="J6310" s="96"/>
      <c r="K6310" s="96"/>
      <c r="L6310" s="193"/>
    </row>
    <row r="6311" spans="1:12" x14ac:dyDescent="0.45">
      <c r="A6311" s="462"/>
      <c r="B6311" s="441"/>
      <c r="C6311" s="194">
        <v>2</v>
      </c>
      <c r="D6311" s="80"/>
      <c r="E6311" s="97"/>
      <c r="F6311" s="97"/>
      <c r="G6311" s="97"/>
      <c r="H6311" s="97"/>
      <c r="I6311" s="97"/>
      <c r="J6311" s="97"/>
      <c r="K6311" s="97"/>
      <c r="L6311" s="195"/>
    </row>
    <row r="6312" spans="1:12" x14ac:dyDescent="0.45">
      <c r="A6312" s="462"/>
      <c r="B6312" s="441"/>
      <c r="C6312" s="194">
        <v>3</v>
      </c>
      <c r="D6312" s="80"/>
      <c r="E6312" s="97"/>
      <c r="F6312" s="97"/>
      <c r="G6312" s="97"/>
      <c r="H6312" s="97"/>
      <c r="I6312" s="97"/>
      <c r="J6312" s="97"/>
      <c r="K6312" s="97"/>
      <c r="L6312" s="195"/>
    </row>
    <row r="6313" spans="1:12" x14ac:dyDescent="0.45">
      <c r="A6313" s="462"/>
      <c r="B6313" s="441"/>
      <c r="C6313" s="194">
        <v>4</v>
      </c>
      <c r="D6313" s="80"/>
      <c r="E6313" s="97"/>
      <c r="F6313" s="97"/>
      <c r="G6313" s="97"/>
      <c r="H6313" s="97"/>
      <c r="I6313" s="97"/>
      <c r="J6313" s="97"/>
      <c r="K6313" s="97"/>
      <c r="L6313" s="195"/>
    </row>
    <row r="6314" spans="1:12" x14ac:dyDescent="0.45">
      <c r="A6314" s="462"/>
      <c r="B6314" s="441"/>
      <c r="C6314" s="194">
        <v>5</v>
      </c>
      <c r="D6314" s="80"/>
      <c r="E6314" s="97"/>
      <c r="F6314" s="97"/>
      <c r="G6314" s="97"/>
      <c r="H6314" s="97"/>
      <c r="I6314" s="97"/>
      <c r="J6314" s="97"/>
      <c r="K6314" s="97"/>
      <c r="L6314" s="195"/>
    </row>
    <row r="6315" spans="1:12" x14ac:dyDescent="0.45">
      <c r="A6315" s="462"/>
      <c r="B6315" s="441"/>
      <c r="C6315" s="194">
        <v>6</v>
      </c>
      <c r="D6315" s="80"/>
      <c r="E6315" s="97"/>
      <c r="F6315" s="97"/>
      <c r="G6315" s="97"/>
      <c r="H6315" s="97"/>
      <c r="I6315" s="97"/>
      <c r="J6315" s="97"/>
      <c r="K6315" s="97"/>
      <c r="L6315" s="195"/>
    </row>
    <row r="6316" spans="1:12" x14ac:dyDescent="0.45">
      <c r="A6316" s="462"/>
      <c r="B6316" s="441"/>
      <c r="C6316" s="194">
        <v>7</v>
      </c>
      <c r="D6316" s="80"/>
      <c r="E6316" s="97"/>
      <c r="F6316" s="97"/>
      <c r="G6316" s="97"/>
      <c r="H6316" s="97"/>
      <c r="I6316" s="97"/>
      <c r="J6316" s="97"/>
      <c r="K6316" s="97"/>
      <c r="L6316" s="195"/>
    </row>
    <row r="6317" spans="1:12" x14ac:dyDescent="0.45">
      <c r="A6317" s="462"/>
      <c r="B6317" s="441"/>
      <c r="C6317" s="194">
        <v>8</v>
      </c>
      <c r="D6317" s="80"/>
      <c r="E6317" s="97"/>
      <c r="F6317" s="97"/>
      <c r="G6317" s="97"/>
      <c r="H6317" s="97"/>
      <c r="I6317" s="97"/>
      <c r="J6317" s="97"/>
      <c r="K6317" s="97"/>
      <c r="L6317" s="195"/>
    </row>
    <row r="6318" spans="1:12" x14ac:dyDescent="0.45">
      <c r="A6318" s="462"/>
      <c r="B6318" s="441"/>
      <c r="C6318" s="194">
        <v>9</v>
      </c>
      <c r="D6318" s="80"/>
      <c r="E6318" s="97"/>
      <c r="F6318" s="97"/>
      <c r="G6318" s="97"/>
      <c r="H6318" s="97"/>
      <c r="I6318" s="97"/>
      <c r="J6318" s="97"/>
      <c r="K6318" s="97"/>
      <c r="L6318" s="195"/>
    </row>
    <row r="6319" spans="1:12" x14ac:dyDescent="0.45">
      <c r="A6319" s="462"/>
      <c r="B6319" s="441"/>
      <c r="C6319" s="194">
        <v>10</v>
      </c>
      <c r="D6319" s="80"/>
      <c r="E6319" s="97"/>
      <c r="F6319" s="97"/>
      <c r="G6319" s="97"/>
      <c r="H6319" s="97"/>
      <c r="I6319" s="97"/>
      <c r="J6319" s="97"/>
      <c r="K6319" s="97"/>
      <c r="L6319" s="195"/>
    </row>
    <row r="6320" spans="1:12" x14ac:dyDescent="0.45">
      <c r="A6320" s="462"/>
      <c r="B6320" s="441"/>
      <c r="C6320" s="194">
        <v>11</v>
      </c>
      <c r="D6320" s="81"/>
      <c r="E6320" s="98"/>
      <c r="F6320" s="98"/>
      <c r="G6320" s="98"/>
      <c r="H6320" s="98"/>
      <c r="I6320" s="98"/>
      <c r="J6320" s="98"/>
      <c r="K6320" s="98"/>
      <c r="L6320" s="196"/>
    </row>
    <row r="6321" spans="1:12" ht="14.65" thickBot="1" x14ac:dyDescent="0.5">
      <c r="A6321" s="462"/>
      <c r="B6321" s="442"/>
      <c r="C6321" s="197">
        <v>12</v>
      </c>
      <c r="D6321" s="82"/>
      <c r="E6321" s="99"/>
      <c r="F6321" s="99"/>
      <c r="G6321" s="99"/>
      <c r="H6321" s="99"/>
      <c r="I6321" s="99"/>
      <c r="J6321" s="99"/>
      <c r="K6321" s="99"/>
      <c r="L6321" s="198"/>
    </row>
    <row r="6322" spans="1:12" x14ac:dyDescent="0.45">
      <c r="A6322" s="462"/>
      <c r="B6322" s="440">
        <v>7</v>
      </c>
      <c r="C6322" s="192">
        <v>1</v>
      </c>
      <c r="D6322" s="79"/>
      <c r="E6322" s="96"/>
      <c r="F6322" s="96"/>
      <c r="G6322" s="96"/>
      <c r="H6322" s="96"/>
      <c r="I6322" s="96"/>
      <c r="J6322" s="96"/>
      <c r="K6322" s="96"/>
      <c r="L6322" s="193"/>
    </row>
    <row r="6323" spans="1:12" x14ac:dyDescent="0.45">
      <c r="A6323" s="462"/>
      <c r="B6323" s="441"/>
      <c r="C6323" s="194">
        <v>2</v>
      </c>
      <c r="D6323" s="80"/>
      <c r="E6323" s="97"/>
      <c r="F6323" s="97"/>
      <c r="G6323" s="97"/>
      <c r="H6323" s="97"/>
      <c r="I6323" s="97"/>
      <c r="J6323" s="97"/>
      <c r="K6323" s="97"/>
      <c r="L6323" s="195"/>
    </row>
    <row r="6324" spans="1:12" x14ac:dyDescent="0.45">
      <c r="A6324" s="462"/>
      <c r="B6324" s="441"/>
      <c r="C6324" s="194">
        <v>3</v>
      </c>
      <c r="D6324" s="80"/>
      <c r="E6324" s="97"/>
      <c r="F6324" s="97"/>
      <c r="G6324" s="97"/>
      <c r="H6324" s="97"/>
      <c r="I6324" s="97"/>
      <c r="J6324" s="97"/>
      <c r="K6324" s="97"/>
      <c r="L6324" s="195"/>
    </row>
    <row r="6325" spans="1:12" x14ac:dyDescent="0.45">
      <c r="A6325" s="462"/>
      <c r="B6325" s="441"/>
      <c r="C6325" s="194">
        <v>4</v>
      </c>
      <c r="D6325" s="80"/>
      <c r="E6325" s="97"/>
      <c r="F6325" s="97"/>
      <c r="G6325" s="97"/>
      <c r="H6325" s="97"/>
      <c r="I6325" s="97"/>
      <c r="J6325" s="97"/>
      <c r="K6325" s="97"/>
      <c r="L6325" s="195"/>
    </row>
    <row r="6326" spans="1:12" x14ac:dyDescent="0.45">
      <c r="A6326" s="462"/>
      <c r="B6326" s="441"/>
      <c r="C6326" s="194">
        <v>5</v>
      </c>
      <c r="D6326" s="80"/>
      <c r="E6326" s="97"/>
      <c r="F6326" s="97"/>
      <c r="G6326" s="97"/>
      <c r="H6326" s="97"/>
      <c r="I6326" s="97"/>
      <c r="J6326" s="97"/>
      <c r="K6326" s="97"/>
      <c r="L6326" s="195"/>
    </row>
    <row r="6327" spans="1:12" x14ac:dyDescent="0.45">
      <c r="A6327" s="462"/>
      <c r="B6327" s="441"/>
      <c r="C6327" s="194">
        <v>6</v>
      </c>
      <c r="D6327" s="80"/>
      <c r="E6327" s="97"/>
      <c r="F6327" s="97"/>
      <c r="G6327" s="97"/>
      <c r="H6327" s="97"/>
      <c r="I6327" s="97"/>
      <c r="J6327" s="97"/>
      <c r="K6327" s="97"/>
      <c r="L6327" s="195"/>
    </row>
    <row r="6328" spans="1:12" x14ac:dyDescent="0.45">
      <c r="A6328" s="462"/>
      <c r="B6328" s="441"/>
      <c r="C6328" s="194">
        <v>7</v>
      </c>
      <c r="D6328" s="80"/>
      <c r="E6328" s="97"/>
      <c r="F6328" s="97"/>
      <c r="G6328" s="97"/>
      <c r="H6328" s="97"/>
      <c r="I6328" s="97"/>
      <c r="J6328" s="97"/>
      <c r="K6328" s="97"/>
      <c r="L6328" s="195"/>
    </row>
    <row r="6329" spans="1:12" x14ac:dyDescent="0.45">
      <c r="A6329" s="462"/>
      <c r="B6329" s="441"/>
      <c r="C6329" s="194">
        <v>8</v>
      </c>
      <c r="D6329" s="80"/>
      <c r="E6329" s="97"/>
      <c r="F6329" s="97"/>
      <c r="G6329" s="97"/>
      <c r="H6329" s="97"/>
      <c r="I6329" s="97"/>
      <c r="J6329" s="97"/>
      <c r="K6329" s="97"/>
      <c r="L6329" s="195"/>
    </row>
    <row r="6330" spans="1:12" x14ac:dyDescent="0.45">
      <c r="A6330" s="462"/>
      <c r="B6330" s="441"/>
      <c r="C6330" s="194">
        <v>9</v>
      </c>
      <c r="D6330" s="80"/>
      <c r="E6330" s="97"/>
      <c r="F6330" s="97"/>
      <c r="G6330" s="97"/>
      <c r="H6330" s="97"/>
      <c r="I6330" s="97"/>
      <c r="J6330" s="97"/>
      <c r="K6330" s="97"/>
      <c r="L6330" s="195"/>
    </row>
    <row r="6331" spans="1:12" x14ac:dyDescent="0.45">
      <c r="A6331" s="462"/>
      <c r="B6331" s="441"/>
      <c r="C6331" s="194">
        <v>10</v>
      </c>
      <c r="D6331" s="80"/>
      <c r="E6331" s="97"/>
      <c r="F6331" s="97"/>
      <c r="G6331" s="97"/>
      <c r="H6331" s="97"/>
      <c r="I6331" s="97"/>
      <c r="J6331" s="97"/>
      <c r="K6331" s="97"/>
      <c r="L6331" s="195"/>
    </row>
    <row r="6332" spans="1:12" x14ac:dyDescent="0.45">
      <c r="A6332" s="462"/>
      <c r="B6332" s="441"/>
      <c r="C6332" s="194">
        <v>11</v>
      </c>
      <c r="D6332" s="81"/>
      <c r="E6332" s="98"/>
      <c r="F6332" s="98"/>
      <c r="G6332" s="98"/>
      <c r="H6332" s="98"/>
      <c r="I6332" s="98"/>
      <c r="J6332" s="98"/>
      <c r="K6332" s="98"/>
      <c r="L6332" s="196"/>
    </row>
    <row r="6333" spans="1:12" ht="14.65" thickBot="1" x14ac:dyDescent="0.5">
      <c r="A6333" s="462"/>
      <c r="B6333" s="442"/>
      <c r="C6333" s="197">
        <v>12</v>
      </c>
      <c r="D6333" s="82"/>
      <c r="E6333" s="99"/>
      <c r="F6333" s="99"/>
      <c r="G6333" s="99"/>
      <c r="H6333" s="99"/>
      <c r="I6333" s="99"/>
      <c r="J6333" s="99"/>
      <c r="K6333" s="99"/>
      <c r="L6333" s="198"/>
    </row>
    <row r="6334" spans="1:12" x14ac:dyDescent="0.45">
      <c r="A6334" s="462"/>
      <c r="B6334" s="440">
        <v>8</v>
      </c>
      <c r="C6334" s="192">
        <v>1</v>
      </c>
      <c r="D6334" s="79"/>
      <c r="E6334" s="96"/>
      <c r="F6334" s="96"/>
      <c r="G6334" s="96"/>
      <c r="H6334" s="96"/>
      <c r="I6334" s="96"/>
      <c r="J6334" s="96"/>
      <c r="K6334" s="96"/>
      <c r="L6334" s="193"/>
    </row>
    <row r="6335" spans="1:12" x14ac:dyDescent="0.45">
      <c r="A6335" s="462"/>
      <c r="B6335" s="441"/>
      <c r="C6335" s="194">
        <v>2</v>
      </c>
      <c r="D6335" s="80"/>
      <c r="E6335" s="97"/>
      <c r="F6335" s="97"/>
      <c r="G6335" s="97"/>
      <c r="H6335" s="97"/>
      <c r="I6335" s="97"/>
      <c r="J6335" s="97"/>
      <c r="K6335" s="97"/>
      <c r="L6335" s="195"/>
    </row>
    <row r="6336" spans="1:12" x14ac:dyDescent="0.45">
      <c r="A6336" s="462"/>
      <c r="B6336" s="441"/>
      <c r="C6336" s="194">
        <v>3</v>
      </c>
      <c r="D6336" s="80"/>
      <c r="E6336" s="97"/>
      <c r="F6336" s="97"/>
      <c r="G6336" s="97"/>
      <c r="H6336" s="97"/>
      <c r="I6336" s="97"/>
      <c r="J6336" s="97"/>
      <c r="K6336" s="97"/>
      <c r="L6336" s="195"/>
    </row>
    <row r="6337" spans="1:12" x14ac:dyDescent="0.45">
      <c r="A6337" s="462"/>
      <c r="B6337" s="441"/>
      <c r="C6337" s="194">
        <v>4</v>
      </c>
      <c r="D6337" s="80"/>
      <c r="E6337" s="97"/>
      <c r="F6337" s="97"/>
      <c r="G6337" s="97"/>
      <c r="H6337" s="97"/>
      <c r="I6337" s="97"/>
      <c r="J6337" s="97"/>
      <c r="K6337" s="97"/>
      <c r="L6337" s="195"/>
    </row>
    <row r="6338" spans="1:12" x14ac:dyDescent="0.45">
      <c r="A6338" s="462"/>
      <c r="B6338" s="441"/>
      <c r="C6338" s="194">
        <v>5</v>
      </c>
      <c r="D6338" s="80"/>
      <c r="E6338" s="97"/>
      <c r="F6338" s="97"/>
      <c r="G6338" s="97"/>
      <c r="H6338" s="97"/>
      <c r="I6338" s="97"/>
      <c r="J6338" s="97"/>
      <c r="K6338" s="97"/>
      <c r="L6338" s="195"/>
    </row>
    <row r="6339" spans="1:12" x14ac:dyDescent="0.45">
      <c r="A6339" s="462"/>
      <c r="B6339" s="441"/>
      <c r="C6339" s="194">
        <v>6</v>
      </c>
      <c r="D6339" s="80"/>
      <c r="E6339" s="97"/>
      <c r="F6339" s="97"/>
      <c r="G6339" s="97"/>
      <c r="H6339" s="97"/>
      <c r="I6339" s="97"/>
      <c r="J6339" s="97"/>
      <c r="K6339" s="97"/>
      <c r="L6339" s="195"/>
    </row>
    <row r="6340" spans="1:12" x14ac:dyDescent="0.45">
      <c r="A6340" s="462"/>
      <c r="B6340" s="441"/>
      <c r="C6340" s="194">
        <v>7</v>
      </c>
      <c r="D6340" s="80"/>
      <c r="E6340" s="97"/>
      <c r="F6340" s="97"/>
      <c r="G6340" s="97"/>
      <c r="H6340" s="97"/>
      <c r="I6340" s="97"/>
      <c r="J6340" s="97"/>
      <c r="K6340" s="97"/>
      <c r="L6340" s="195"/>
    </row>
    <row r="6341" spans="1:12" x14ac:dyDescent="0.45">
      <c r="A6341" s="462"/>
      <c r="B6341" s="441"/>
      <c r="C6341" s="194">
        <v>8</v>
      </c>
      <c r="D6341" s="80"/>
      <c r="E6341" s="97"/>
      <c r="F6341" s="97"/>
      <c r="G6341" s="97"/>
      <c r="H6341" s="97"/>
      <c r="I6341" s="97"/>
      <c r="J6341" s="97"/>
      <c r="K6341" s="97"/>
      <c r="L6341" s="195"/>
    </row>
    <row r="6342" spans="1:12" x14ac:dyDescent="0.45">
      <c r="A6342" s="462"/>
      <c r="B6342" s="441"/>
      <c r="C6342" s="194">
        <v>9</v>
      </c>
      <c r="D6342" s="80"/>
      <c r="E6342" s="97"/>
      <c r="F6342" s="97"/>
      <c r="G6342" s="97"/>
      <c r="H6342" s="97"/>
      <c r="I6342" s="97"/>
      <c r="J6342" s="97"/>
      <c r="K6342" s="97"/>
      <c r="L6342" s="195"/>
    </row>
    <row r="6343" spans="1:12" x14ac:dyDescent="0.45">
      <c r="A6343" s="462"/>
      <c r="B6343" s="441"/>
      <c r="C6343" s="194">
        <v>10</v>
      </c>
      <c r="D6343" s="80"/>
      <c r="E6343" s="97"/>
      <c r="F6343" s="97"/>
      <c r="G6343" s="97"/>
      <c r="H6343" s="97"/>
      <c r="I6343" s="97"/>
      <c r="J6343" s="97"/>
      <c r="K6343" s="97"/>
      <c r="L6343" s="195"/>
    </row>
    <row r="6344" spans="1:12" x14ac:dyDescent="0.45">
      <c r="A6344" s="462"/>
      <c r="B6344" s="441"/>
      <c r="C6344" s="194">
        <v>11</v>
      </c>
      <c r="D6344" s="81"/>
      <c r="E6344" s="98"/>
      <c r="F6344" s="98"/>
      <c r="G6344" s="98"/>
      <c r="H6344" s="98"/>
      <c r="I6344" s="98"/>
      <c r="J6344" s="98"/>
      <c r="K6344" s="98"/>
      <c r="L6344" s="196"/>
    </row>
    <row r="6345" spans="1:12" ht="14.65" thickBot="1" x14ac:dyDescent="0.5">
      <c r="A6345" s="463"/>
      <c r="B6345" s="442"/>
      <c r="C6345" s="197">
        <v>12</v>
      </c>
      <c r="D6345" s="82"/>
      <c r="E6345" s="99"/>
      <c r="F6345" s="99"/>
      <c r="G6345" s="99"/>
      <c r="H6345" s="99"/>
      <c r="I6345" s="99"/>
      <c r="J6345" s="99"/>
      <c r="K6345" s="99"/>
      <c r="L6345" s="198"/>
    </row>
    <row r="6346" spans="1:12" x14ac:dyDescent="0.45">
      <c r="A6346" s="461">
        <v>3</v>
      </c>
      <c r="B6346" s="440">
        <v>9</v>
      </c>
      <c r="C6346" s="192">
        <v>1</v>
      </c>
      <c r="D6346" s="79"/>
      <c r="E6346" s="96"/>
      <c r="F6346" s="96"/>
      <c r="G6346" s="96"/>
      <c r="H6346" s="96"/>
      <c r="I6346" s="96"/>
      <c r="J6346" s="96"/>
      <c r="K6346" s="96"/>
      <c r="L6346" s="193"/>
    </row>
    <row r="6347" spans="1:12" x14ac:dyDescent="0.45">
      <c r="A6347" s="462"/>
      <c r="B6347" s="441"/>
      <c r="C6347" s="194">
        <v>2</v>
      </c>
      <c r="D6347" s="80"/>
      <c r="E6347" s="97"/>
      <c r="F6347" s="97"/>
      <c r="G6347" s="97"/>
      <c r="H6347" s="97"/>
      <c r="I6347" s="97"/>
      <c r="J6347" s="97"/>
      <c r="K6347" s="97"/>
      <c r="L6347" s="195"/>
    </row>
    <row r="6348" spans="1:12" x14ac:dyDescent="0.45">
      <c r="A6348" s="462"/>
      <c r="B6348" s="441"/>
      <c r="C6348" s="194">
        <v>3</v>
      </c>
      <c r="D6348" s="80"/>
      <c r="E6348" s="97"/>
      <c r="F6348" s="97"/>
      <c r="G6348" s="97"/>
      <c r="H6348" s="97"/>
      <c r="I6348" s="97"/>
      <c r="J6348" s="97"/>
      <c r="K6348" s="97"/>
      <c r="L6348" s="195"/>
    </row>
    <row r="6349" spans="1:12" x14ac:dyDescent="0.45">
      <c r="A6349" s="462"/>
      <c r="B6349" s="441"/>
      <c r="C6349" s="194">
        <v>4</v>
      </c>
      <c r="D6349" s="80"/>
      <c r="E6349" s="97"/>
      <c r="F6349" s="97"/>
      <c r="G6349" s="97"/>
      <c r="H6349" s="97"/>
      <c r="I6349" s="97"/>
      <c r="J6349" s="97"/>
      <c r="K6349" s="97"/>
      <c r="L6349" s="195"/>
    </row>
    <row r="6350" spans="1:12" x14ac:dyDescent="0.45">
      <c r="A6350" s="462"/>
      <c r="B6350" s="441"/>
      <c r="C6350" s="194">
        <v>5</v>
      </c>
      <c r="D6350" s="80"/>
      <c r="E6350" s="97"/>
      <c r="F6350" s="97"/>
      <c r="G6350" s="97"/>
      <c r="H6350" s="97"/>
      <c r="I6350" s="97"/>
      <c r="J6350" s="97"/>
      <c r="K6350" s="97"/>
      <c r="L6350" s="195"/>
    </row>
    <row r="6351" spans="1:12" x14ac:dyDescent="0.45">
      <c r="A6351" s="462"/>
      <c r="B6351" s="441"/>
      <c r="C6351" s="194">
        <v>6</v>
      </c>
      <c r="D6351" s="80"/>
      <c r="E6351" s="97"/>
      <c r="F6351" s="97"/>
      <c r="G6351" s="97"/>
      <c r="H6351" s="97"/>
      <c r="I6351" s="97"/>
      <c r="J6351" s="97"/>
      <c r="K6351" s="97"/>
      <c r="L6351" s="195"/>
    </row>
    <row r="6352" spans="1:12" x14ac:dyDescent="0.45">
      <c r="A6352" s="462"/>
      <c r="B6352" s="441"/>
      <c r="C6352" s="194">
        <v>7</v>
      </c>
      <c r="D6352" s="80"/>
      <c r="E6352" s="97"/>
      <c r="F6352" s="97"/>
      <c r="G6352" s="97"/>
      <c r="H6352" s="97"/>
      <c r="I6352" s="97"/>
      <c r="J6352" s="97"/>
      <c r="K6352" s="97"/>
      <c r="L6352" s="195"/>
    </row>
    <row r="6353" spans="1:12" x14ac:dyDescent="0.45">
      <c r="A6353" s="462"/>
      <c r="B6353" s="441"/>
      <c r="C6353" s="194">
        <v>8</v>
      </c>
      <c r="D6353" s="80"/>
      <c r="E6353" s="97"/>
      <c r="F6353" s="97"/>
      <c r="G6353" s="97"/>
      <c r="H6353" s="97"/>
      <c r="I6353" s="97"/>
      <c r="J6353" s="97"/>
      <c r="K6353" s="97"/>
      <c r="L6353" s="195"/>
    </row>
    <row r="6354" spans="1:12" x14ac:dyDescent="0.45">
      <c r="A6354" s="462"/>
      <c r="B6354" s="441"/>
      <c r="C6354" s="194">
        <v>9</v>
      </c>
      <c r="D6354" s="80"/>
      <c r="E6354" s="97"/>
      <c r="F6354" s="97"/>
      <c r="G6354" s="97"/>
      <c r="H6354" s="97"/>
      <c r="I6354" s="97"/>
      <c r="J6354" s="97"/>
      <c r="K6354" s="97"/>
      <c r="L6354" s="195"/>
    </row>
    <row r="6355" spans="1:12" x14ac:dyDescent="0.45">
      <c r="A6355" s="462"/>
      <c r="B6355" s="441"/>
      <c r="C6355" s="194">
        <v>10</v>
      </c>
      <c r="D6355" s="80"/>
      <c r="E6355" s="97"/>
      <c r="F6355" s="97"/>
      <c r="G6355" s="97"/>
      <c r="H6355" s="97"/>
      <c r="I6355" s="97"/>
      <c r="J6355" s="97"/>
      <c r="K6355" s="97"/>
      <c r="L6355" s="195"/>
    </row>
    <row r="6356" spans="1:12" x14ac:dyDescent="0.45">
      <c r="A6356" s="462"/>
      <c r="B6356" s="441"/>
      <c r="C6356" s="194">
        <v>11</v>
      </c>
      <c r="D6356" s="81"/>
      <c r="E6356" s="98"/>
      <c r="F6356" s="98"/>
      <c r="G6356" s="98"/>
      <c r="H6356" s="98"/>
      <c r="I6356" s="98"/>
      <c r="J6356" s="98"/>
      <c r="K6356" s="98"/>
      <c r="L6356" s="196"/>
    </row>
    <row r="6357" spans="1:12" ht="14.65" thickBot="1" x14ac:dyDescent="0.5">
      <c r="A6357" s="462"/>
      <c r="B6357" s="442"/>
      <c r="C6357" s="197">
        <v>12</v>
      </c>
      <c r="D6357" s="82"/>
      <c r="E6357" s="99"/>
      <c r="F6357" s="99"/>
      <c r="G6357" s="99"/>
      <c r="H6357" s="99"/>
      <c r="I6357" s="99"/>
      <c r="J6357" s="99"/>
      <c r="K6357" s="99"/>
      <c r="L6357" s="198"/>
    </row>
    <row r="6358" spans="1:12" x14ac:dyDescent="0.45">
      <c r="A6358" s="462"/>
      <c r="B6358" s="440">
        <v>10</v>
      </c>
      <c r="C6358" s="192">
        <v>1</v>
      </c>
      <c r="D6358" s="79"/>
      <c r="E6358" s="96"/>
      <c r="F6358" s="96"/>
      <c r="G6358" s="96"/>
      <c r="H6358" s="96"/>
      <c r="I6358" s="96"/>
      <c r="J6358" s="96"/>
      <c r="K6358" s="96"/>
      <c r="L6358" s="193"/>
    </row>
    <row r="6359" spans="1:12" x14ac:dyDescent="0.45">
      <c r="A6359" s="462"/>
      <c r="B6359" s="441"/>
      <c r="C6359" s="194">
        <v>2</v>
      </c>
      <c r="D6359" s="80"/>
      <c r="E6359" s="97"/>
      <c r="F6359" s="97"/>
      <c r="G6359" s="97"/>
      <c r="H6359" s="97"/>
      <c r="I6359" s="97"/>
      <c r="J6359" s="97"/>
      <c r="K6359" s="97"/>
      <c r="L6359" s="195"/>
    </row>
    <row r="6360" spans="1:12" x14ac:dyDescent="0.45">
      <c r="A6360" s="462"/>
      <c r="B6360" s="441"/>
      <c r="C6360" s="194">
        <v>3</v>
      </c>
      <c r="D6360" s="80"/>
      <c r="E6360" s="97"/>
      <c r="F6360" s="97"/>
      <c r="G6360" s="97"/>
      <c r="H6360" s="97"/>
      <c r="I6360" s="97"/>
      <c r="J6360" s="97"/>
      <c r="K6360" s="97"/>
      <c r="L6360" s="195"/>
    </row>
    <row r="6361" spans="1:12" x14ac:dyDescent="0.45">
      <c r="A6361" s="462"/>
      <c r="B6361" s="441"/>
      <c r="C6361" s="194">
        <v>4</v>
      </c>
      <c r="D6361" s="80"/>
      <c r="E6361" s="97"/>
      <c r="F6361" s="97"/>
      <c r="G6361" s="97"/>
      <c r="H6361" s="97"/>
      <c r="I6361" s="97"/>
      <c r="J6361" s="97"/>
      <c r="K6361" s="97"/>
      <c r="L6361" s="195"/>
    </row>
    <row r="6362" spans="1:12" x14ac:dyDescent="0.45">
      <c r="A6362" s="462"/>
      <c r="B6362" s="441"/>
      <c r="C6362" s="194">
        <v>5</v>
      </c>
      <c r="D6362" s="80"/>
      <c r="E6362" s="97"/>
      <c r="F6362" s="97"/>
      <c r="G6362" s="97"/>
      <c r="H6362" s="97"/>
      <c r="I6362" s="97"/>
      <c r="J6362" s="97"/>
      <c r="K6362" s="97"/>
      <c r="L6362" s="195"/>
    </row>
    <row r="6363" spans="1:12" x14ac:dyDescent="0.45">
      <c r="A6363" s="462"/>
      <c r="B6363" s="441"/>
      <c r="C6363" s="194">
        <v>6</v>
      </c>
      <c r="D6363" s="80"/>
      <c r="E6363" s="97"/>
      <c r="F6363" s="97"/>
      <c r="G6363" s="97"/>
      <c r="H6363" s="97"/>
      <c r="I6363" s="97"/>
      <c r="J6363" s="97"/>
      <c r="K6363" s="97"/>
      <c r="L6363" s="195"/>
    </row>
    <row r="6364" spans="1:12" x14ac:dyDescent="0.45">
      <c r="A6364" s="462"/>
      <c r="B6364" s="441"/>
      <c r="C6364" s="194">
        <v>7</v>
      </c>
      <c r="D6364" s="80"/>
      <c r="E6364" s="97"/>
      <c r="F6364" s="97"/>
      <c r="G6364" s="97"/>
      <c r="H6364" s="97"/>
      <c r="I6364" s="97"/>
      <c r="J6364" s="97"/>
      <c r="K6364" s="97"/>
      <c r="L6364" s="195"/>
    </row>
    <row r="6365" spans="1:12" x14ac:dyDescent="0.45">
      <c r="A6365" s="462"/>
      <c r="B6365" s="441"/>
      <c r="C6365" s="194">
        <v>8</v>
      </c>
      <c r="D6365" s="80"/>
      <c r="E6365" s="97"/>
      <c r="F6365" s="97"/>
      <c r="G6365" s="97"/>
      <c r="H6365" s="97"/>
      <c r="I6365" s="97"/>
      <c r="J6365" s="97"/>
      <c r="K6365" s="97"/>
      <c r="L6365" s="195"/>
    </row>
    <row r="6366" spans="1:12" x14ac:dyDescent="0.45">
      <c r="A6366" s="462"/>
      <c r="B6366" s="441"/>
      <c r="C6366" s="194">
        <v>9</v>
      </c>
      <c r="D6366" s="80"/>
      <c r="E6366" s="97"/>
      <c r="F6366" s="97"/>
      <c r="G6366" s="97"/>
      <c r="H6366" s="97"/>
      <c r="I6366" s="97"/>
      <c r="J6366" s="97"/>
      <c r="K6366" s="97"/>
      <c r="L6366" s="195"/>
    </row>
    <row r="6367" spans="1:12" x14ac:dyDescent="0.45">
      <c r="A6367" s="462"/>
      <c r="B6367" s="441"/>
      <c r="C6367" s="194">
        <v>10</v>
      </c>
      <c r="D6367" s="80"/>
      <c r="E6367" s="97"/>
      <c r="F6367" s="97"/>
      <c r="G6367" s="97"/>
      <c r="H6367" s="97"/>
      <c r="I6367" s="97"/>
      <c r="J6367" s="97"/>
      <c r="K6367" s="97"/>
      <c r="L6367" s="195"/>
    </row>
    <row r="6368" spans="1:12" x14ac:dyDescent="0.45">
      <c r="A6368" s="462"/>
      <c r="B6368" s="441"/>
      <c r="C6368" s="194">
        <v>11</v>
      </c>
      <c r="D6368" s="81"/>
      <c r="E6368" s="98"/>
      <c r="F6368" s="98"/>
      <c r="G6368" s="98"/>
      <c r="H6368" s="98"/>
      <c r="I6368" s="98"/>
      <c r="J6368" s="98"/>
      <c r="K6368" s="98"/>
      <c r="L6368" s="196"/>
    </row>
    <row r="6369" spans="1:12" ht="14.65" thickBot="1" x14ac:dyDescent="0.5">
      <c r="A6369" s="462"/>
      <c r="B6369" s="442"/>
      <c r="C6369" s="197">
        <v>12</v>
      </c>
      <c r="D6369" s="82"/>
      <c r="E6369" s="99"/>
      <c r="F6369" s="99"/>
      <c r="G6369" s="99"/>
      <c r="H6369" s="99"/>
      <c r="I6369" s="99"/>
      <c r="J6369" s="99"/>
      <c r="K6369" s="99"/>
      <c r="L6369" s="198"/>
    </row>
    <row r="6370" spans="1:12" x14ac:dyDescent="0.45">
      <c r="A6370" s="462"/>
      <c r="B6370" s="440">
        <v>11</v>
      </c>
      <c r="C6370" s="192">
        <v>1</v>
      </c>
      <c r="D6370" s="79"/>
      <c r="E6370" s="96"/>
      <c r="F6370" s="96"/>
      <c r="G6370" s="96"/>
      <c r="H6370" s="96"/>
      <c r="I6370" s="96"/>
      <c r="J6370" s="96"/>
      <c r="K6370" s="96"/>
      <c r="L6370" s="193"/>
    </row>
    <row r="6371" spans="1:12" x14ac:dyDescent="0.45">
      <c r="A6371" s="462"/>
      <c r="B6371" s="441"/>
      <c r="C6371" s="194">
        <v>2</v>
      </c>
      <c r="D6371" s="80"/>
      <c r="E6371" s="97"/>
      <c r="F6371" s="97"/>
      <c r="G6371" s="97"/>
      <c r="H6371" s="97"/>
      <c r="I6371" s="97"/>
      <c r="J6371" s="97"/>
      <c r="K6371" s="97"/>
      <c r="L6371" s="195"/>
    </row>
    <row r="6372" spans="1:12" x14ac:dyDescent="0.45">
      <c r="A6372" s="462"/>
      <c r="B6372" s="441"/>
      <c r="C6372" s="194">
        <v>3</v>
      </c>
      <c r="D6372" s="80"/>
      <c r="E6372" s="97"/>
      <c r="F6372" s="97"/>
      <c r="G6372" s="97"/>
      <c r="H6372" s="97"/>
      <c r="I6372" s="97"/>
      <c r="J6372" s="97"/>
      <c r="K6372" s="97"/>
      <c r="L6372" s="195"/>
    </row>
    <row r="6373" spans="1:12" x14ac:dyDescent="0.45">
      <c r="A6373" s="462"/>
      <c r="B6373" s="441"/>
      <c r="C6373" s="194">
        <v>4</v>
      </c>
      <c r="D6373" s="80"/>
      <c r="E6373" s="97"/>
      <c r="F6373" s="97"/>
      <c r="G6373" s="97"/>
      <c r="H6373" s="97"/>
      <c r="I6373" s="97"/>
      <c r="J6373" s="97"/>
      <c r="K6373" s="97"/>
      <c r="L6373" s="195"/>
    </row>
    <row r="6374" spans="1:12" x14ac:dyDescent="0.45">
      <c r="A6374" s="462"/>
      <c r="B6374" s="441"/>
      <c r="C6374" s="194">
        <v>5</v>
      </c>
      <c r="D6374" s="80"/>
      <c r="E6374" s="97"/>
      <c r="F6374" s="97"/>
      <c r="G6374" s="97"/>
      <c r="H6374" s="97"/>
      <c r="I6374" s="97"/>
      <c r="J6374" s="97"/>
      <c r="K6374" s="97"/>
      <c r="L6374" s="195"/>
    </row>
    <row r="6375" spans="1:12" x14ac:dyDescent="0.45">
      <c r="A6375" s="462"/>
      <c r="B6375" s="441"/>
      <c r="C6375" s="194">
        <v>6</v>
      </c>
      <c r="D6375" s="80"/>
      <c r="E6375" s="97"/>
      <c r="F6375" s="97"/>
      <c r="G6375" s="97"/>
      <c r="H6375" s="97"/>
      <c r="I6375" s="97"/>
      <c r="J6375" s="97"/>
      <c r="K6375" s="97"/>
      <c r="L6375" s="195"/>
    </row>
    <row r="6376" spans="1:12" x14ac:dyDescent="0.45">
      <c r="A6376" s="462"/>
      <c r="B6376" s="441"/>
      <c r="C6376" s="194">
        <v>7</v>
      </c>
      <c r="D6376" s="80"/>
      <c r="E6376" s="97"/>
      <c r="F6376" s="97"/>
      <c r="G6376" s="97"/>
      <c r="H6376" s="97"/>
      <c r="I6376" s="97"/>
      <c r="J6376" s="97"/>
      <c r="K6376" s="97"/>
      <c r="L6376" s="195"/>
    </row>
    <row r="6377" spans="1:12" x14ac:dyDescent="0.45">
      <c r="A6377" s="462"/>
      <c r="B6377" s="441"/>
      <c r="C6377" s="194">
        <v>8</v>
      </c>
      <c r="D6377" s="80"/>
      <c r="E6377" s="97"/>
      <c r="F6377" s="97"/>
      <c r="G6377" s="97"/>
      <c r="H6377" s="97"/>
      <c r="I6377" s="97"/>
      <c r="J6377" s="97"/>
      <c r="K6377" s="97"/>
      <c r="L6377" s="195"/>
    </row>
    <row r="6378" spans="1:12" x14ac:dyDescent="0.45">
      <c r="A6378" s="462"/>
      <c r="B6378" s="441"/>
      <c r="C6378" s="194">
        <v>9</v>
      </c>
      <c r="D6378" s="80"/>
      <c r="E6378" s="97"/>
      <c r="F6378" s="97"/>
      <c r="G6378" s="97"/>
      <c r="H6378" s="97"/>
      <c r="I6378" s="97"/>
      <c r="J6378" s="97"/>
      <c r="K6378" s="97"/>
      <c r="L6378" s="195"/>
    </row>
    <row r="6379" spans="1:12" x14ac:dyDescent="0.45">
      <c r="A6379" s="462"/>
      <c r="B6379" s="441"/>
      <c r="C6379" s="194">
        <v>10</v>
      </c>
      <c r="D6379" s="80"/>
      <c r="E6379" s="97"/>
      <c r="F6379" s="97"/>
      <c r="G6379" s="97"/>
      <c r="H6379" s="97"/>
      <c r="I6379" s="97"/>
      <c r="J6379" s="97"/>
      <c r="K6379" s="97"/>
      <c r="L6379" s="195"/>
    </row>
    <row r="6380" spans="1:12" x14ac:dyDescent="0.45">
      <c r="A6380" s="462"/>
      <c r="B6380" s="441"/>
      <c r="C6380" s="194">
        <v>11</v>
      </c>
      <c r="D6380" s="81"/>
      <c r="E6380" s="98"/>
      <c r="F6380" s="98"/>
      <c r="G6380" s="98"/>
      <c r="H6380" s="98"/>
      <c r="I6380" s="98"/>
      <c r="J6380" s="98"/>
      <c r="K6380" s="98"/>
      <c r="L6380" s="196"/>
    </row>
    <row r="6381" spans="1:12" ht="14.65" thickBot="1" x14ac:dyDescent="0.5">
      <c r="A6381" s="462"/>
      <c r="B6381" s="442"/>
      <c r="C6381" s="197">
        <v>12</v>
      </c>
      <c r="D6381" s="82"/>
      <c r="E6381" s="99"/>
      <c r="F6381" s="99"/>
      <c r="G6381" s="99"/>
      <c r="H6381" s="99"/>
      <c r="I6381" s="99"/>
      <c r="J6381" s="99"/>
      <c r="K6381" s="99"/>
      <c r="L6381" s="198"/>
    </row>
    <row r="6382" spans="1:12" x14ac:dyDescent="0.45">
      <c r="A6382" s="462"/>
      <c r="B6382" s="440">
        <v>12</v>
      </c>
      <c r="C6382" s="192">
        <v>1</v>
      </c>
      <c r="D6382" s="79"/>
      <c r="E6382" s="96"/>
      <c r="F6382" s="96"/>
      <c r="G6382" s="96"/>
      <c r="H6382" s="96"/>
      <c r="I6382" s="96"/>
      <c r="J6382" s="96"/>
      <c r="K6382" s="96"/>
      <c r="L6382" s="193"/>
    </row>
    <row r="6383" spans="1:12" x14ac:dyDescent="0.45">
      <c r="A6383" s="462"/>
      <c r="B6383" s="441"/>
      <c r="C6383" s="194">
        <v>2</v>
      </c>
      <c r="D6383" s="80"/>
      <c r="E6383" s="97"/>
      <c r="F6383" s="97"/>
      <c r="G6383" s="97"/>
      <c r="H6383" s="97"/>
      <c r="I6383" s="97"/>
      <c r="J6383" s="97"/>
      <c r="K6383" s="97"/>
      <c r="L6383" s="195"/>
    </row>
    <row r="6384" spans="1:12" x14ac:dyDescent="0.45">
      <c r="A6384" s="462"/>
      <c r="B6384" s="441"/>
      <c r="C6384" s="194">
        <v>3</v>
      </c>
      <c r="D6384" s="80"/>
      <c r="E6384" s="97"/>
      <c r="F6384" s="97"/>
      <c r="G6384" s="97"/>
      <c r="H6384" s="97"/>
      <c r="I6384" s="97"/>
      <c r="J6384" s="97"/>
      <c r="K6384" s="97"/>
      <c r="L6384" s="195"/>
    </row>
    <row r="6385" spans="1:12" x14ac:dyDescent="0.45">
      <c r="A6385" s="462"/>
      <c r="B6385" s="441"/>
      <c r="C6385" s="194">
        <v>4</v>
      </c>
      <c r="D6385" s="80"/>
      <c r="E6385" s="97"/>
      <c r="F6385" s="97"/>
      <c r="G6385" s="97"/>
      <c r="H6385" s="97"/>
      <c r="I6385" s="97"/>
      <c r="J6385" s="97"/>
      <c r="K6385" s="97"/>
      <c r="L6385" s="195"/>
    </row>
    <row r="6386" spans="1:12" x14ac:dyDescent="0.45">
      <c r="A6386" s="462"/>
      <c r="B6386" s="441"/>
      <c r="C6386" s="194">
        <v>5</v>
      </c>
      <c r="D6386" s="80"/>
      <c r="E6386" s="97"/>
      <c r="F6386" s="97"/>
      <c r="G6386" s="97"/>
      <c r="H6386" s="97"/>
      <c r="I6386" s="97"/>
      <c r="J6386" s="97"/>
      <c r="K6386" s="97"/>
      <c r="L6386" s="195"/>
    </row>
    <row r="6387" spans="1:12" x14ac:dyDescent="0.45">
      <c r="A6387" s="462"/>
      <c r="B6387" s="441"/>
      <c r="C6387" s="194">
        <v>6</v>
      </c>
      <c r="D6387" s="80"/>
      <c r="E6387" s="97"/>
      <c r="F6387" s="97"/>
      <c r="G6387" s="97"/>
      <c r="H6387" s="97"/>
      <c r="I6387" s="97"/>
      <c r="J6387" s="97"/>
      <c r="K6387" s="97"/>
      <c r="L6387" s="195"/>
    </row>
    <row r="6388" spans="1:12" x14ac:dyDescent="0.45">
      <c r="A6388" s="462"/>
      <c r="B6388" s="441"/>
      <c r="C6388" s="194">
        <v>7</v>
      </c>
      <c r="D6388" s="80"/>
      <c r="E6388" s="97"/>
      <c r="F6388" s="97"/>
      <c r="G6388" s="97"/>
      <c r="H6388" s="97"/>
      <c r="I6388" s="97"/>
      <c r="J6388" s="97"/>
      <c r="K6388" s="97"/>
      <c r="L6388" s="195"/>
    </row>
    <row r="6389" spans="1:12" x14ac:dyDescent="0.45">
      <c r="A6389" s="462"/>
      <c r="B6389" s="441"/>
      <c r="C6389" s="194">
        <v>8</v>
      </c>
      <c r="D6389" s="80"/>
      <c r="E6389" s="97"/>
      <c r="F6389" s="97"/>
      <c r="G6389" s="97"/>
      <c r="H6389" s="97"/>
      <c r="I6389" s="97"/>
      <c r="J6389" s="97"/>
      <c r="K6389" s="97"/>
      <c r="L6389" s="195"/>
    </row>
    <row r="6390" spans="1:12" x14ac:dyDescent="0.45">
      <c r="A6390" s="462"/>
      <c r="B6390" s="441"/>
      <c r="C6390" s="194">
        <v>9</v>
      </c>
      <c r="D6390" s="80"/>
      <c r="E6390" s="97"/>
      <c r="F6390" s="97"/>
      <c r="G6390" s="97"/>
      <c r="H6390" s="97"/>
      <c r="I6390" s="97"/>
      <c r="J6390" s="97"/>
      <c r="K6390" s="97"/>
      <c r="L6390" s="195"/>
    </row>
    <row r="6391" spans="1:12" x14ac:dyDescent="0.45">
      <c r="A6391" s="462"/>
      <c r="B6391" s="441"/>
      <c r="C6391" s="194">
        <v>10</v>
      </c>
      <c r="D6391" s="80"/>
      <c r="E6391" s="97"/>
      <c r="F6391" s="97"/>
      <c r="G6391" s="97"/>
      <c r="H6391" s="97"/>
      <c r="I6391" s="97"/>
      <c r="J6391" s="97"/>
      <c r="K6391" s="97"/>
      <c r="L6391" s="195"/>
    </row>
    <row r="6392" spans="1:12" x14ac:dyDescent="0.45">
      <c r="A6392" s="462"/>
      <c r="B6392" s="441"/>
      <c r="C6392" s="194">
        <v>11</v>
      </c>
      <c r="D6392" s="81"/>
      <c r="E6392" s="98"/>
      <c r="F6392" s="98"/>
      <c r="G6392" s="98"/>
      <c r="H6392" s="98"/>
      <c r="I6392" s="98"/>
      <c r="J6392" s="98"/>
      <c r="K6392" s="98"/>
      <c r="L6392" s="196"/>
    </row>
    <row r="6393" spans="1:12" ht="14.65" thickBot="1" x14ac:dyDescent="0.5">
      <c r="A6393" s="463"/>
      <c r="B6393" s="442"/>
      <c r="C6393" s="199">
        <v>12</v>
      </c>
      <c r="D6393" s="82"/>
      <c r="E6393" s="99"/>
      <c r="F6393" s="99"/>
      <c r="G6393" s="99"/>
      <c r="H6393" s="99"/>
      <c r="I6393" s="99"/>
      <c r="J6393" s="99"/>
      <c r="K6393" s="99"/>
      <c r="L6393" s="198"/>
    </row>
    <row r="6395" spans="1:12" s="91" customFormat="1" x14ac:dyDescent="0.45"/>
  </sheetData>
  <sheetProtection algorithmName="SHA-512" hashValue="Jn2iGoiE8KAgHoYL3u3exykcF0vKmL2FACUxahb65qWiTR6CxxYw1Vnnv6xGMnNjovFfXKd+a5Vb42hNePTlig==" saltValue="+3igQyvQWhrdKRNri0Gkag==" spinCount="100000" sheet="1" objects="1" scenarios="1"/>
  <protectedRanges>
    <protectedRange sqref="A4774:XFD4917 A4938:XFD5081 A5102:XFD5245 A5266:XFD5409 A5430:XFD5573 A5594:XFD5737 A5758:XFD5901 A5922:XFD6065 A6086:XFD6229 A6250:XFD6393" name="Range31_40"/>
    <protectedRange sqref="A3790:XFD3933 A3954:XFD4097 A4118:XFD4261 A4282:XFD4425 A4446:XFD4589 A4610:XFD4753" name="Range25_30"/>
    <protectedRange sqref="A3626:XFD3769" name="Range24"/>
    <protectedRange sqref="A18:XFD161 A182:XFD325 A346:XFD489 A510:XFD653 A674:XFD817 A838:XFD981 A1002:XFD1145 A1166:XFD1309 A1330:XFD1473 A1494:XFD1637 A1658:XFD1801 A1822:XFD1965 A1986:XFD2129 A2150:XFD2293 A2314:XFD2457 A2478:XFD2621 A2642:XFD2785 A2806:XFD2949 A2970:XFD3113 A3134:XFD3277 A3298:XFD3441 A3462:XFD3605 A3626:XFD3769 A3790:XFD3933 A3954:XFD4097 A4118:XFD4261 A4282:XFD4425 A4446:XFD4589 A4610:XFD4753 A4774:XFD4917 A4938:XFD5081 A5102:XFD5245 A5266:XFD5409 A5430:XFD5573 A5594:XFD5737 A5758:XFD5901 A5922:XFD6065 A6086:XFD6229 A6250:XFD6393" name="Project 1_1"/>
  </protectedRanges>
  <mergeCells count="936">
    <mergeCell ref="A6298:A6345"/>
    <mergeCell ref="B6298:B6309"/>
    <mergeCell ref="B6310:B6321"/>
    <mergeCell ref="B6322:B6333"/>
    <mergeCell ref="B6334:B6345"/>
    <mergeCell ref="A6346:A6393"/>
    <mergeCell ref="B6346:B6357"/>
    <mergeCell ref="B6358:B6369"/>
    <mergeCell ref="B6370:B6381"/>
    <mergeCell ref="B6382:B6393"/>
    <mergeCell ref="A6240:A6242"/>
    <mergeCell ref="B6240:D6242"/>
    <mergeCell ref="A6243:A6245"/>
    <mergeCell ref="B6243:D6245"/>
    <mergeCell ref="A6248:L6248"/>
    <mergeCell ref="A6250:A6297"/>
    <mergeCell ref="B6250:B6261"/>
    <mergeCell ref="B6262:B6273"/>
    <mergeCell ref="B6274:B6285"/>
    <mergeCell ref="B6286:B6297"/>
    <mergeCell ref="A6182:A6229"/>
    <mergeCell ref="B6182:B6193"/>
    <mergeCell ref="B6194:B6205"/>
    <mergeCell ref="B6206:B6217"/>
    <mergeCell ref="B6218:B6229"/>
    <mergeCell ref="A6234:A6236"/>
    <mergeCell ref="B6234:D6236"/>
    <mergeCell ref="A6237:A6239"/>
    <mergeCell ref="B6237:D6239"/>
    <mergeCell ref="A6086:A6133"/>
    <mergeCell ref="B6086:B6097"/>
    <mergeCell ref="B6098:B6109"/>
    <mergeCell ref="B6110:B6121"/>
    <mergeCell ref="B6122:B6133"/>
    <mergeCell ref="A6134:A6181"/>
    <mergeCell ref="B6134:B6145"/>
    <mergeCell ref="B6146:B6157"/>
    <mergeCell ref="B6158:B6169"/>
    <mergeCell ref="B6170:B6181"/>
    <mergeCell ref="A6070:A6072"/>
    <mergeCell ref="B6070:D6072"/>
    <mergeCell ref="A6073:A6075"/>
    <mergeCell ref="B6073:D6075"/>
    <mergeCell ref="A6076:A6078"/>
    <mergeCell ref="B6076:D6078"/>
    <mergeCell ref="A6079:A6081"/>
    <mergeCell ref="B6079:D6081"/>
    <mergeCell ref="A6084:L6084"/>
    <mergeCell ref="A5970:A6017"/>
    <mergeCell ref="B5970:B5981"/>
    <mergeCell ref="B5982:B5993"/>
    <mergeCell ref="B5994:B6005"/>
    <mergeCell ref="B6006:B6017"/>
    <mergeCell ref="A6018:A6065"/>
    <mergeCell ref="B6018:B6029"/>
    <mergeCell ref="B6030:B6041"/>
    <mergeCell ref="B6042:B6053"/>
    <mergeCell ref="B6054:B6065"/>
    <mergeCell ref="A5912:A5914"/>
    <mergeCell ref="B5912:D5914"/>
    <mergeCell ref="A5915:A5917"/>
    <mergeCell ref="B5915:D5917"/>
    <mergeCell ref="A5920:L5920"/>
    <mergeCell ref="A5922:A5969"/>
    <mergeCell ref="B5922:B5933"/>
    <mergeCell ref="B5934:B5945"/>
    <mergeCell ref="B5946:B5957"/>
    <mergeCell ref="B5958:B5969"/>
    <mergeCell ref="A5854:A5901"/>
    <mergeCell ref="B5854:B5865"/>
    <mergeCell ref="B5866:B5877"/>
    <mergeCell ref="B5878:B5889"/>
    <mergeCell ref="B5890:B5901"/>
    <mergeCell ref="A5906:A5908"/>
    <mergeCell ref="B5906:D5908"/>
    <mergeCell ref="A5909:A5911"/>
    <mergeCell ref="B5909:D5911"/>
    <mergeCell ref="A5758:A5805"/>
    <mergeCell ref="B5758:B5769"/>
    <mergeCell ref="B5770:B5781"/>
    <mergeCell ref="B5782:B5793"/>
    <mergeCell ref="B5794:B5805"/>
    <mergeCell ref="A5806:A5853"/>
    <mergeCell ref="B5806:B5817"/>
    <mergeCell ref="B5818:B5829"/>
    <mergeCell ref="B5830:B5841"/>
    <mergeCell ref="B5842:B5853"/>
    <mergeCell ref="A5742:A5744"/>
    <mergeCell ref="B5742:D5744"/>
    <mergeCell ref="A5745:A5747"/>
    <mergeCell ref="B5745:D5747"/>
    <mergeCell ref="A5748:A5750"/>
    <mergeCell ref="B5748:D5750"/>
    <mergeCell ref="A5751:A5753"/>
    <mergeCell ref="B5751:D5753"/>
    <mergeCell ref="A5756:L5756"/>
    <mergeCell ref="A5642:A5689"/>
    <mergeCell ref="B5642:B5653"/>
    <mergeCell ref="B5654:B5665"/>
    <mergeCell ref="B5666:B5677"/>
    <mergeCell ref="B5678:B5689"/>
    <mergeCell ref="A5690:A5737"/>
    <mergeCell ref="B5690:B5701"/>
    <mergeCell ref="B5702:B5713"/>
    <mergeCell ref="B5714:B5725"/>
    <mergeCell ref="B5726:B5737"/>
    <mergeCell ref="A5584:A5586"/>
    <mergeCell ref="B5584:D5586"/>
    <mergeCell ref="A5587:A5589"/>
    <mergeCell ref="B5587:D5589"/>
    <mergeCell ref="A5592:L5592"/>
    <mergeCell ref="A5594:A5641"/>
    <mergeCell ref="B5594:B5605"/>
    <mergeCell ref="B5606:B5617"/>
    <mergeCell ref="B5618:B5629"/>
    <mergeCell ref="B5630:B5641"/>
    <mergeCell ref="A5526:A5573"/>
    <mergeCell ref="B5526:B5537"/>
    <mergeCell ref="B5538:B5549"/>
    <mergeCell ref="B5550:B5561"/>
    <mergeCell ref="B5562:B5573"/>
    <mergeCell ref="A5578:A5580"/>
    <mergeCell ref="B5578:D5580"/>
    <mergeCell ref="A5581:A5583"/>
    <mergeCell ref="B5581:D5583"/>
    <mergeCell ref="A5430:A5477"/>
    <mergeCell ref="B5430:B5441"/>
    <mergeCell ref="B5442:B5453"/>
    <mergeCell ref="B5454:B5465"/>
    <mergeCell ref="B5466:B5477"/>
    <mergeCell ref="A5478:A5525"/>
    <mergeCell ref="B5478:B5489"/>
    <mergeCell ref="B5490:B5501"/>
    <mergeCell ref="B5502:B5513"/>
    <mergeCell ref="B5514:B5525"/>
    <mergeCell ref="A5414:A5416"/>
    <mergeCell ref="B5414:D5416"/>
    <mergeCell ref="A5417:A5419"/>
    <mergeCell ref="B5417:D5419"/>
    <mergeCell ref="A5420:A5422"/>
    <mergeCell ref="B5420:D5422"/>
    <mergeCell ref="A5423:A5425"/>
    <mergeCell ref="B5423:D5425"/>
    <mergeCell ref="A5428:L5428"/>
    <mergeCell ref="A5314:A5361"/>
    <mergeCell ref="B5314:B5325"/>
    <mergeCell ref="B5326:B5337"/>
    <mergeCell ref="B5338:B5349"/>
    <mergeCell ref="B5350:B5361"/>
    <mergeCell ref="A5362:A5409"/>
    <mergeCell ref="B5362:B5373"/>
    <mergeCell ref="B5374:B5385"/>
    <mergeCell ref="B5386:B5397"/>
    <mergeCell ref="B5398:B5409"/>
    <mergeCell ref="A5256:A5258"/>
    <mergeCell ref="B5256:D5258"/>
    <mergeCell ref="A5259:A5261"/>
    <mergeCell ref="B5259:D5261"/>
    <mergeCell ref="A5264:L5264"/>
    <mergeCell ref="A5266:A5313"/>
    <mergeCell ref="B5266:B5277"/>
    <mergeCell ref="B5278:B5289"/>
    <mergeCell ref="B5290:B5301"/>
    <mergeCell ref="B5302:B5313"/>
    <mergeCell ref="A5198:A5245"/>
    <mergeCell ref="B5198:B5209"/>
    <mergeCell ref="B5210:B5221"/>
    <mergeCell ref="B5222:B5233"/>
    <mergeCell ref="B5234:B5245"/>
    <mergeCell ref="A5250:A5252"/>
    <mergeCell ref="B5250:D5252"/>
    <mergeCell ref="A5253:A5255"/>
    <mergeCell ref="B5253:D5255"/>
    <mergeCell ref="A5102:A5149"/>
    <mergeCell ref="B5102:B5113"/>
    <mergeCell ref="B5114:B5125"/>
    <mergeCell ref="B5126:B5137"/>
    <mergeCell ref="B5138:B5149"/>
    <mergeCell ref="A5150:A5197"/>
    <mergeCell ref="B5150:B5161"/>
    <mergeCell ref="B5162:B5173"/>
    <mergeCell ref="B5174:B5185"/>
    <mergeCell ref="B5186:B5197"/>
    <mergeCell ref="A5086:A5088"/>
    <mergeCell ref="B5086:D5088"/>
    <mergeCell ref="A5089:A5091"/>
    <mergeCell ref="B5089:D5091"/>
    <mergeCell ref="A5092:A5094"/>
    <mergeCell ref="B5092:D5094"/>
    <mergeCell ref="A5095:A5097"/>
    <mergeCell ref="B5095:D5097"/>
    <mergeCell ref="A5100:L5100"/>
    <mergeCell ref="A4986:A5033"/>
    <mergeCell ref="B4986:B4997"/>
    <mergeCell ref="B4998:B5009"/>
    <mergeCell ref="B5010:B5021"/>
    <mergeCell ref="B5022:B5033"/>
    <mergeCell ref="A5034:A5081"/>
    <mergeCell ref="B5034:B5045"/>
    <mergeCell ref="B5046:B5057"/>
    <mergeCell ref="B5058:B5069"/>
    <mergeCell ref="B5070:B5081"/>
    <mergeCell ref="A4928:A4930"/>
    <mergeCell ref="B4928:D4930"/>
    <mergeCell ref="A4931:A4933"/>
    <mergeCell ref="B4931:D4933"/>
    <mergeCell ref="A4936:L4936"/>
    <mergeCell ref="A4938:A4985"/>
    <mergeCell ref="B4938:B4949"/>
    <mergeCell ref="B4950:B4961"/>
    <mergeCell ref="B4962:B4973"/>
    <mergeCell ref="B4974:B4985"/>
    <mergeCell ref="A4870:A4917"/>
    <mergeCell ref="B4870:B4881"/>
    <mergeCell ref="B4882:B4893"/>
    <mergeCell ref="B4894:B4905"/>
    <mergeCell ref="B4906:B4917"/>
    <mergeCell ref="A4922:A4924"/>
    <mergeCell ref="B4922:D4924"/>
    <mergeCell ref="A4925:A4927"/>
    <mergeCell ref="B4925:D4927"/>
    <mergeCell ref="A4774:A4821"/>
    <mergeCell ref="B4774:B4785"/>
    <mergeCell ref="B4786:B4797"/>
    <mergeCell ref="B4798:B4809"/>
    <mergeCell ref="B4810:B4821"/>
    <mergeCell ref="A4822:A4869"/>
    <mergeCell ref="B4822:B4833"/>
    <mergeCell ref="B4834:B4845"/>
    <mergeCell ref="B4846:B4857"/>
    <mergeCell ref="B4858:B4869"/>
    <mergeCell ref="A4758:A4760"/>
    <mergeCell ref="B4758:D4760"/>
    <mergeCell ref="A4761:A4763"/>
    <mergeCell ref="B4761:D4763"/>
    <mergeCell ref="A4764:A4766"/>
    <mergeCell ref="B4764:D4766"/>
    <mergeCell ref="A4767:A4769"/>
    <mergeCell ref="B4767:D4769"/>
    <mergeCell ref="A4772:L4772"/>
    <mergeCell ref="A4658:A4705"/>
    <mergeCell ref="B4658:B4669"/>
    <mergeCell ref="B4670:B4681"/>
    <mergeCell ref="B4682:B4693"/>
    <mergeCell ref="B4694:B4705"/>
    <mergeCell ref="A4706:A4753"/>
    <mergeCell ref="B4706:B4717"/>
    <mergeCell ref="B4718:B4729"/>
    <mergeCell ref="B4730:B4741"/>
    <mergeCell ref="B4742:B4753"/>
    <mergeCell ref="A4600:A4602"/>
    <mergeCell ref="B4600:D4602"/>
    <mergeCell ref="A4603:A4605"/>
    <mergeCell ref="B4603:D4605"/>
    <mergeCell ref="A4608:L4608"/>
    <mergeCell ref="A4610:A4657"/>
    <mergeCell ref="B4610:B4621"/>
    <mergeCell ref="B4622:B4633"/>
    <mergeCell ref="B4634:B4645"/>
    <mergeCell ref="B4646:B4657"/>
    <mergeCell ref="A4542:A4589"/>
    <mergeCell ref="B4542:B4553"/>
    <mergeCell ref="B4554:B4565"/>
    <mergeCell ref="B4566:B4577"/>
    <mergeCell ref="B4578:B4589"/>
    <mergeCell ref="A4594:A4596"/>
    <mergeCell ref="B4594:D4596"/>
    <mergeCell ref="A4597:A4599"/>
    <mergeCell ref="B4597:D4599"/>
    <mergeCell ref="A4446:A4493"/>
    <mergeCell ref="B4446:B4457"/>
    <mergeCell ref="B4458:B4469"/>
    <mergeCell ref="B4470:B4481"/>
    <mergeCell ref="B4482:B4493"/>
    <mergeCell ref="A4494:A4541"/>
    <mergeCell ref="B4494:B4505"/>
    <mergeCell ref="B4506:B4517"/>
    <mergeCell ref="B4518:B4529"/>
    <mergeCell ref="B4530:B4541"/>
    <mergeCell ref="A4430:A4432"/>
    <mergeCell ref="B4430:D4432"/>
    <mergeCell ref="A4433:A4435"/>
    <mergeCell ref="B4433:D4435"/>
    <mergeCell ref="A4436:A4438"/>
    <mergeCell ref="B4436:D4438"/>
    <mergeCell ref="A4439:A4441"/>
    <mergeCell ref="B4439:D4441"/>
    <mergeCell ref="A4444:L4444"/>
    <mergeCell ref="A4330:A4377"/>
    <mergeCell ref="B4330:B4341"/>
    <mergeCell ref="B4342:B4353"/>
    <mergeCell ref="B4354:B4365"/>
    <mergeCell ref="B4366:B4377"/>
    <mergeCell ref="A4378:A4425"/>
    <mergeCell ref="B4378:B4389"/>
    <mergeCell ref="B4390:B4401"/>
    <mergeCell ref="B4402:B4413"/>
    <mergeCell ref="B4414:B4425"/>
    <mergeCell ref="A4272:A4274"/>
    <mergeCell ref="B4272:D4274"/>
    <mergeCell ref="A4275:A4277"/>
    <mergeCell ref="B4275:D4277"/>
    <mergeCell ref="A4280:L4280"/>
    <mergeCell ref="A4282:A4329"/>
    <mergeCell ref="B4282:B4293"/>
    <mergeCell ref="B4294:B4305"/>
    <mergeCell ref="B4306:B4317"/>
    <mergeCell ref="B4318:B4329"/>
    <mergeCell ref="A4214:A4261"/>
    <mergeCell ref="B4214:B4225"/>
    <mergeCell ref="B4226:B4237"/>
    <mergeCell ref="B4238:B4249"/>
    <mergeCell ref="B4250:B4261"/>
    <mergeCell ref="A4266:A4268"/>
    <mergeCell ref="B4266:D4268"/>
    <mergeCell ref="A4269:A4271"/>
    <mergeCell ref="B4269:D4271"/>
    <mergeCell ref="A4118:A4165"/>
    <mergeCell ref="B4118:B4129"/>
    <mergeCell ref="B4130:B4141"/>
    <mergeCell ref="B4142:B4153"/>
    <mergeCell ref="B4154:B4165"/>
    <mergeCell ref="A4166:A4213"/>
    <mergeCell ref="B4166:B4177"/>
    <mergeCell ref="B4178:B4189"/>
    <mergeCell ref="B4190:B4201"/>
    <mergeCell ref="B4202:B4213"/>
    <mergeCell ref="A4102:A4104"/>
    <mergeCell ref="B4102:D4104"/>
    <mergeCell ref="A4105:A4107"/>
    <mergeCell ref="B4105:D4107"/>
    <mergeCell ref="A4108:A4110"/>
    <mergeCell ref="B4108:D4110"/>
    <mergeCell ref="A4111:A4113"/>
    <mergeCell ref="B4111:D4113"/>
    <mergeCell ref="A4116:L4116"/>
    <mergeCell ref="A4002:A4049"/>
    <mergeCell ref="B4002:B4013"/>
    <mergeCell ref="B4014:B4025"/>
    <mergeCell ref="B4026:B4037"/>
    <mergeCell ref="B4038:B4049"/>
    <mergeCell ref="A4050:A4097"/>
    <mergeCell ref="B4050:B4061"/>
    <mergeCell ref="B4062:B4073"/>
    <mergeCell ref="B4074:B4085"/>
    <mergeCell ref="B4086:B4097"/>
    <mergeCell ref="A3944:A3946"/>
    <mergeCell ref="B3944:D3946"/>
    <mergeCell ref="A3947:A3949"/>
    <mergeCell ref="B3947:D3949"/>
    <mergeCell ref="A3952:L3952"/>
    <mergeCell ref="A3954:A4001"/>
    <mergeCell ref="B3954:B3965"/>
    <mergeCell ref="B3966:B3977"/>
    <mergeCell ref="B3978:B3989"/>
    <mergeCell ref="B3990:B4001"/>
    <mergeCell ref="A3886:A3933"/>
    <mergeCell ref="B3886:B3897"/>
    <mergeCell ref="B3898:B3909"/>
    <mergeCell ref="B3910:B3921"/>
    <mergeCell ref="B3922:B3933"/>
    <mergeCell ref="A3938:A3940"/>
    <mergeCell ref="B3938:D3940"/>
    <mergeCell ref="A3941:A3943"/>
    <mergeCell ref="B3941:D3943"/>
    <mergeCell ref="A3790:A3837"/>
    <mergeCell ref="B3790:B3801"/>
    <mergeCell ref="B3802:B3813"/>
    <mergeCell ref="B3814:B3825"/>
    <mergeCell ref="B3826:B3837"/>
    <mergeCell ref="A3838:A3885"/>
    <mergeCell ref="B3838:B3849"/>
    <mergeCell ref="B3850:B3861"/>
    <mergeCell ref="B3862:B3873"/>
    <mergeCell ref="B3874:B3885"/>
    <mergeCell ref="A3774:A3776"/>
    <mergeCell ref="B3774:D3776"/>
    <mergeCell ref="A3777:A3779"/>
    <mergeCell ref="B3777:D3779"/>
    <mergeCell ref="A3780:A3782"/>
    <mergeCell ref="B3780:D3782"/>
    <mergeCell ref="A3783:A3785"/>
    <mergeCell ref="B3783:D3785"/>
    <mergeCell ref="A3788:L3788"/>
    <mergeCell ref="A3674:A3721"/>
    <mergeCell ref="B3674:B3685"/>
    <mergeCell ref="B3686:B3697"/>
    <mergeCell ref="B3698:B3709"/>
    <mergeCell ref="B3710:B3721"/>
    <mergeCell ref="A3722:A3769"/>
    <mergeCell ref="B3722:B3733"/>
    <mergeCell ref="B3734:B3745"/>
    <mergeCell ref="B3746:B3757"/>
    <mergeCell ref="B3758:B3769"/>
    <mergeCell ref="A3616:A3618"/>
    <mergeCell ref="B3616:D3618"/>
    <mergeCell ref="A3619:A3621"/>
    <mergeCell ref="B3619:D3621"/>
    <mergeCell ref="A3624:L3624"/>
    <mergeCell ref="A3626:A3673"/>
    <mergeCell ref="B3626:B3637"/>
    <mergeCell ref="B3638:B3649"/>
    <mergeCell ref="B3650:B3661"/>
    <mergeCell ref="B3662:B3673"/>
    <mergeCell ref="A3558:A3605"/>
    <mergeCell ref="B3558:B3569"/>
    <mergeCell ref="B3570:B3581"/>
    <mergeCell ref="B3582:B3593"/>
    <mergeCell ref="B3594:B3605"/>
    <mergeCell ref="A3610:A3612"/>
    <mergeCell ref="B3610:D3612"/>
    <mergeCell ref="A3613:A3615"/>
    <mergeCell ref="B3613:D3615"/>
    <mergeCell ref="A3462:A3509"/>
    <mergeCell ref="B3462:B3473"/>
    <mergeCell ref="B3474:B3485"/>
    <mergeCell ref="B3486:B3497"/>
    <mergeCell ref="B3498:B3509"/>
    <mergeCell ref="A3510:A3557"/>
    <mergeCell ref="B3510:B3521"/>
    <mergeCell ref="B3522:B3533"/>
    <mergeCell ref="B3534:B3545"/>
    <mergeCell ref="B3546:B3557"/>
    <mergeCell ref="A3446:A3448"/>
    <mergeCell ref="B3446:D3448"/>
    <mergeCell ref="A3449:A3451"/>
    <mergeCell ref="B3449:D3451"/>
    <mergeCell ref="A3452:A3454"/>
    <mergeCell ref="B3452:D3454"/>
    <mergeCell ref="A3455:A3457"/>
    <mergeCell ref="B3455:D3457"/>
    <mergeCell ref="A3460:L3460"/>
    <mergeCell ref="A3346:A3393"/>
    <mergeCell ref="B3346:B3357"/>
    <mergeCell ref="B3358:B3369"/>
    <mergeCell ref="B3370:B3381"/>
    <mergeCell ref="B3382:B3393"/>
    <mergeCell ref="A3394:A3441"/>
    <mergeCell ref="B3394:B3405"/>
    <mergeCell ref="B3406:B3417"/>
    <mergeCell ref="B3418:B3429"/>
    <mergeCell ref="B3430:B3441"/>
    <mergeCell ref="A3288:A3290"/>
    <mergeCell ref="B3288:D3290"/>
    <mergeCell ref="A3291:A3293"/>
    <mergeCell ref="B3291:D3293"/>
    <mergeCell ref="A3296:L3296"/>
    <mergeCell ref="A3298:A3345"/>
    <mergeCell ref="B3298:B3309"/>
    <mergeCell ref="B3310:B3321"/>
    <mergeCell ref="B3322:B3333"/>
    <mergeCell ref="B3334:B3345"/>
    <mergeCell ref="A3230:A3277"/>
    <mergeCell ref="B3230:B3241"/>
    <mergeCell ref="B3242:B3253"/>
    <mergeCell ref="B3254:B3265"/>
    <mergeCell ref="B3266:B3277"/>
    <mergeCell ref="A3282:A3284"/>
    <mergeCell ref="B3282:D3284"/>
    <mergeCell ref="A3285:A3287"/>
    <mergeCell ref="B3285:D3287"/>
    <mergeCell ref="A3118:A3120"/>
    <mergeCell ref="B3118:D3120"/>
    <mergeCell ref="A3121:A3123"/>
    <mergeCell ref="B3121:D3123"/>
    <mergeCell ref="A3124:A3126"/>
    <mergeCell ref="B3124:D3126"/>
    <mergeCell ref="A3127:A3129"/>
    <mergeCell ref="B3127:D3129"/>
    <mergeCell ref="A3132:L3132"/>
    <mergeCell ref="A2799:A2801"/>
    <mergeCell ref="B2799:D2801"/>
    <mergeCell ref="A2804:L2804"/>
    <mergeCell ref="A2806:A2853"/>
    <mergeCell ref="B2806:B2817"/>
    <mergeCell ref="B2818:B2829"/>
    <mergeCell ref="B2830:B2841"/>
    <mergeCell ref="B2842:B2853"/>
    <mergeCell ref="A2854:A2901"/>
    <mergeCell ref="B2854:B2865"/>
    <mergeCell ref="B2866:B2877"/>
    <mergeCell ref="B2878:B2889"/>
    <mergeCell ref="B2890:B2901"/>
    <mergeCell ref="A2640:L2640"/>
    <mergeCell ref="A2642:A2689"/>
    <mergeCell ref="B2642:B2653"/>
    <mergeCell ref="B2654:B2665"/>
    <mergeCell ref="B2666:B2677"/>
    <mergeCell ref="B2678:B2689"/>
    <mergeCell ref="A2690:A2737"/>
    <mergeCell ref="B2690:B2701"/>
    <mergeCell ref="B2702:B2713"/>
    <mergeCell ref="B2714:B2725"/>
    <mergeCell ref="B2726:B2737"/>
    <mergeCell ref="A1976:A1978"/>
    <mergeCell ref="B1976:D1978"/>
    <mergeCell ref="A1979:A1981"/>
    <mergeCell ref="B1979:D1981"/>
    <mergeCell ref="A1984:L1984"/>
    <mergeCell ref="A1986:A2033"/>
    <mergeCell ref="B1986:B1997"/>
    <mergeCell ref="B1998:B2009"/>
    <mergeCell ref="B2010:B2021"/>
    <mergeCell ref="B2022:B2033"/>
    <mergeCell ref="A667:A669"/>
    <mergeCell ref="B667:D669"/>
    <mergeCell ref="A672:L672"/>
    <mergeCell ref="A674:A721"/>
    <mergeCell ref="B674:B685"/>
    <mergeCell ref="B686:B697"/>
    <mergeCell ref="B698:B709"/>
    <mergeCell ref="B710:B721"/>
    <mergeCell ref="A722:A769"/>
    <mergeCell ref="B722:B733"/>
    <mergeCell ref="B734:B745"/>
    <mergeCell ref="B746:B757"/>
    <mergeCell ref="B758:B769"/>
    <mergeCell ref="A494:A496"/>
    <mergeCell ref="B494:D496"/>
    <mergeCell ref="A497:A499"/>
    <mergeCell ref="B497:D499"/>
    <mergeCell ref="A500:A502"/>
    <mergeCell ref="B500:D502"/>
    <mergeCell ref="A503:A505"/>
    <mergeCell ref="B503:D505"/>
    <mergeCell ref="A508:L508"/>
    <mergeCell ref="A336:A338"/>
    <mergeCell ref="B336:D338"/>
    <mergeCell ref="A339:A341"/>
    <mergeCell ref="B339:D341"/>
    <mergeCell ref="A344:L344"/>
    <mergeCell ref="A346:A393"/>
    <mergeCell ref="B346:B357"/>
    <mergeCell ref="B358:B369"/>
    <mergeCell ref="B370:B381"/>
    <mergeCell ref="B382:B393"/>
    <mergeCell ref="A278:A325"/>
    <mergeCell ref="B278:B289"/>
    <mergeCell ref="B290:B301"/>
    <mergeCell ref="B302:B313"/>
    <mergeCell ref="B314:B325"/>
    <mergeCell ref="A330:A332"/>
    <mergeCell ref="B330:D332"/>
    <mergeCell ref="A333:A335"/>
    <mergeCell ref="B333:D335"/>
    <mergeCell ref="A180:L180"/>
    <mergeCell ref="A182:A229"/>
    <mergeCell ref="B182:B193"/>
    <mergeCell ref="B194:B205"/>
    <mergeCell ref="B206:B217"/>
    <mergeCell ref="B218:B229"/>
    <mergeCell ref="A230:A277"/>
    <mergeCell ref="B230:B241"/>
    <mergeCell ref="B242:B253"/>
    <mergeCell ref="B254:B265"/>
    <mergeCell ref="B266:B277"/>
    <mergeCell ref="B138:B149"/>
    <mergeCell ref="B150:B161"/>
    <mergeCell ref="A166:A168"/>
    <mergeCell ref="B166:D168"/>
    <mergeCell ref="A169:A171"/>
    <mergeCell ref="B169:D171"/>
    <mergeCell ref="A172:A174"/>
    <mergeCell ref="B172:D174"/>
    <mergeCell ref="A175:A177"/>
    <mergeCell ref="B175:D177"/>
    <mergeCell ref="A3134:A3181"/>
    <mergeCell ref="B3134:B3145"/>
    <mergeCell ref="B3146:B3157"/>
    <mergeCell ref="B3158:B3169"/>
    <mergeCell ref="B3170:B3181"/>
    <mergeCell ref="A3182:A3229"/>
    <mergeCell ref="B3182:B3193"/>
    <mergeCell ref="B3194:B3205"/>
    <mergeCell ref="B3206:B3217"/>
    <mergeCell ref="B3218:B3229"/>
    <mergeCell ref="A3066:A3113"/>
    <mergeCell ref="B3066:B3077"/>
    <mergeCell ref="B3078:B3089"/>
    <mergeCell ref="B3090:B3101"/>
    <mergeCell ref="B3102:B3113"/>
    <mergeCell ref="A3018:A3065"/>
    <mergeCell ref="B3018:B3029"/>
    <mergeCell ref="B3030:B3041"/>
    <mergeCell ref="B3042:B3053"/>
    <mergeCell ref="B3054:B3065"/>
    <mergeCell ref="A2970:A3017"/>
    <mergeCell ref="B2970:B2981"/>
    <mergeCell ref="B2982:B2993"/>
    <mergeCell ref="B2994:B3005"/>
    <mergeCell ref="B3006:B3017"/>
    <mergeCell ref="A2960:A2962"/>
    <mergeCell ref="B2960:D2962"/>
    <mergeCell ref="A2963:A2965"/>
    <mergeCell ref="B2963:D2965"/>
    <mergeCell ref="A2968:L2968"/>
    <mergeCell ref="A2902:A2949"/>
    <mergeCell ref="B2902:B2913"/>
    <mergeCell ref="B2914:B2925"/>
    <mergeCell ref="B2926:B2937"/>
    <mergeCell ref="B2938:B2949"/>
    <mergeCell ref="A2954:A2956"/>
    <mergeCell ref="B2954:D2956"/>
    <mergeCell ref="A2957:A2959"/>
    <mergeCell ref="B2957:D2959"/>
    <mergeCell ref="A2796:A2798"/>
    <mergeCell ref="B2796:D2798"/>
    <mergeCell ref="A2574:A2621"/>
    <mergeCell ref="B2574:B2585"/>
    <mergeCell ref="B2586:B2597"/>
    <mergeCell ref="B2598:B2609"/>
    <mergeCell ref="B2610:B2621"/>
    <mergeCell ref="A2626:A2628"/>
    <mergeCell ref="B2626:D2628"/>
    <mergeCell ref="A2629:A2631"/>
    <mergeCell ref="B2629:D2631"/>
    <mergeCell ref="A2632:A2634"/>
    <mergeCell ref="B2632:D2634"/>
    <mergeCell ref="A2635:A2637"/>
    <mergeCell ref="B2635:D2637"/>
    <mergeCell ref="A2738:A2785"/>
    <mergeCell ref="B2738:B2749"/>
    <mergeCell ref="B2750:B2761"/>
    <mergeCell ref="B2762:B2773"/>
    <mergeCell ref="B2774:B2785"/>
    <mergeCell ref="A2790:A2792"/>
    <mergeCell ref="B2790:D2792"/>
    <mergeCell ref="A2793:A2795"/>
    <mergeCell ref="B2793:D2795"/>
    <mergeCell ref="A2526:A2573"/>
    <mergeCell ref="B2526:B2537"/>
    <mergeCell ref="B2538:B2549"/>
    <mergeCell ref="B2550:B2561"/>
    <mergeCell ref="B2562:B2573"/>
    <mergeCell ref="A2478:A2525"/>
    <mergeCell ref="B2478:B2489"/>
    <mergeCell ref="B2490:B2501"/>
    <mergeCell ref="B2502:B2513"/>
    <mergeCell ref="B2514:B2525"/>
    <mergeCell ref="A2468:A2470"/>
    <mergeCell ref="B2468:D2470"/>
    <mergeCell ref="A2471:A2473"/>
    <mergeCell ref="B2471:D2473"/>
    <mergeCell ref="A2476:L2476"/>
    <mergeCell ref="A2362:A2409"/>
    <mergeCell ref="B2362:B2373"/>
    <mergeCell ref="B2374:B2385"/>
    <mergeCell ref="B2386:B2397"/>
    <mergeCell ref="B2398:B2409"/>
    <mergeCell ref="A2410:A2457"/>
    <mergeCell ref="B2410:B2421"/>
    <mergeCell ref="B2422:B2433"/>
    <mergeCell ref="B2434:B2445"/>
    <mergeCell ref="B2446:B2457"/>
    <mergeCell ref="A2462:A2464"/>
    <mergeCell ref="B2462:D2464"/>
    <mergeCell ref="A2465:A2467"/>
    <mergeCell ref="B2465:D2467"/>
    <mergeCell ref="A2314:A2361"/>
    <mergeCell ref="B2314:B2325"/>
    <mergeCell ref="B2326:B2337"/>
    <mergeCell ref="B2338:B2349"/>
    <mergeCell ref="B2350:B2361"/>
    <mergeCell ref="A2246:A2293"/>
    <mergeCell ref="B2246:B2257"/>
    <mergeCell ref="B2258:B2269"/>
    <mergeCell ref="B2270:B2281"/>
    <mergeCell ref="B2282:B2293"/>
    <mergeCell ref="A2298:A2300"/>
    <mergeCell ref="B2298:D2300"/>
    <mergeCell ref="A2301:A2303"/>
    <mergeCell ref="B2301:D2303"/>
    <mergeCell ref="A2304:A2306"/>
    <mergeCell ref="B2304:D2306"/>
    <mergeCell ref="A2307:A2309"/>
    <mergeCell ref="B2307:D2309"/>
    <mergeCell ref="A2312:L2312"/>
    <mergeCell ref="A2198:A2245"/>
    <mergeCell ref="B2198:B2209"/>
    <mergeCell ref="B2210:B2221"/>
    <mergeCell ref="B2222:B2233"/>
    <mergeCell ref="B2234:B2245"/>
    <mergeCell ref="A2150:A2197"/>
    <mergeCell ref="B2150:B2161"/>
    <mergeCell ref="B2162:B2173"/>
    <mergeCell ref="B2174:B2185"/>
    <mergeCell ref="B2186:B2197"/>
    <mergeCell ref="A2140:A2142"/>
    <mergeCell ref="B2140:D2142"/>
    <mergeCell ref="A2143:A2145"/>
    <mergeCell ref="B2143:D2145"/>
    <mergeCell ref="A2148:L2148"/>
    <mergeCell ref="A2034:A2081"/>
    <mergeCell ref="B2034:B2045"/>
    <mergeCell ref="B2046:B2057"/>
    <mergeCell ref="B2058:B2069"/>
    <mergeCell ref="B2070:B2081"/>
    <mergeCell ref="A2082:A2129"/>
    <mergeCell ref="B2082:B2093"/>
    <mergeCell ref="B2094:B2105"/>
    <mergeCell ref="B2106:B2117"/>
    <mergeCell ref="B2118:B2129"/>
    <mergeCell ref="A2134:A2136"/>
    <mergeCell ref="B2134:D2136"/>
    <mergeCell ref="A2137:A2139"/>
    <mergeCell ref="B2137:D2139"/>
    <mergeCell ref="A1918:A1965"/>
    <mergeCell ref="B1918:B1929"/>
    <mergeCell ref="B1930:B1941"/>
    <mergeCell ref="B1942:B1953"/>
    <mergeCell ref="B1954:B1965"/>
    <mergeCell ref="A1970:A1972"/>
    <mergeCell ref="B1970:D1972"/>
    <mergeCell ref="A1973:A1975"/>
    <mergeCell ref="B1973:D1975"/>
    <mergeCell ref="A1870:A1917"/>
    <mergeCell ref="B1870:B1881"/>
    <mergeCell ref="B1882:B1893"/>
    <mergeCell ref="B1894:B1905"/>
    <mergeCell ref="B1906:B1917"/>
    <mergeCell ref="A1822:A1869"/>
    <mergeCell ref="B1822:B1833"/>
    <mergeCell ref="B1834:B1845"/>
    <mergeCell ref="B1846:B1857"/>
    <mergeCell ref="B1858:B1869"/>
    <mergeCell ref="A1820:L1820"/>
    <mergeCell ref="A1754:A1801"/>
    <mergeCell ref="B1754:B1765"/>
    <mergeCell ref="B1766:B1777"/>
    <mergeCell ref="B1778:B1789"/>
    <mergeCell ref="B1790:B1801"/>
    <mergeCell ref="A1806:A1808"/>
    <mergeCell ref="B1806:D1808"/>
    <mergeCell ref="A1809:A1811"/>
    <mergeCell ref="B1809:D1811"/>
    <mergeCell ref="A1812:A1814"/>
    <mergeCell ref="B1812:D1814"/>
    <mergeCell ref="A1815:A1817"/>
    <mergeCell ref="B1815:D1817"/>
    <mergeCell ref="A1706:A1753"/>
    <mergeCell ref="B1706:B1717"/>
    <mergeCell ref="B1718:B1729"/>
    <mergeCell ref="B1730:B1741"/>
    <mergeCell ref="B1742:B1753"/>
    <mergeCell ref="A1658:A1705"/>
    <mergeCell ref="B1658:B1669"/>
    <mergeCell ref="B1670:B1681"/>
    <mergeCell ref="B1682:B1693"/>
    <mergeCell ref="B1694:B1705"/>
    <mergeCell ref="A1648:A1650"/>
    <mergeCell ref="B1648:D1650"/>
    <mergeCell ref="A1651:A1653"/>
    <mergeCell ref="B1651:D1653"/>
    <mergeCell ref="A1656:L1656"/>
    <mergeCell ref="A1542:A1589"/>
    <mergeCell ref="B1542:B1553"/>
    <mergeCell ref="B1554:B1565"/>
    <mergeCell ref="B1566:B1577"/>
    <mergeCell ref="B1578:B1589"/>
    <mergeCell ref="A1590:A1637"/>
    <mergeCell ref="B1590:B1601"/>
    <mergeCell ref="B1602:B1613"/>
    <mergeCell ref="B1614:B1625"/>
    <mergeCell ref="B1626:B1637"/>
    <mergeCell ref="A1642:A1644"/>
    <mergeCell ref="B1642:D1644"/>
    <mergeCell ref="A1645:A1647"/>
    <mergeCell ref="B1645:D1647"/>
    <mergeCell ref="A1494:A1541"/>
    <mergeCell ref="B1494:B1505"/>
    <mergeCell ref="B1506:B1517"/>
    <mergeCell ref="B1518:B1529"/>
    <mergeCell ref="B1530:B1541"/>
    <mergeCell ref="A1426:A1473"/>
    <mergeCell ref="B1426:B1437"/>
    <mergeCell ref="B1438:B1449"/>
    <mergeCell ref="B1450:B1461"/>
    <mergeCell ref="B1462:B1473"/>
    <mergeCell ref="A1478:A1480"/>
    <mergeCell ref="B1478:D1480"/>
    <mergeCell ref="A1481:A1483"/>
    <mergeCell ref="B1481:D1483"/>
    <mergeCell ref="A1484:A1486"/>
    <mergeCell ref="B1484:D1486"/>
    <mergeCell ref="A1487:A1489"/>
    <mergeCell ref="B1487:D1489"/>
    <mergeCell ref="A1492:L1492"/>
    <mergeCell ref="A1378:A1425"/>
    <mergeCell ref="B1378:B1389"/>
    <mergeCell ref="B1390:B1401"/>
    <mergeCell ref="B1402:B1413"/>
    <mergeCell ref="B1414:B1425"/>
    <mergeCell ref="A1330:A1377"/>
    <mergeCell ref="B1330:B1341"/>
    <mergeCell ref="B1342:B1353"/>
    <mergeCell ref="B1354:B1365"/>
    <mergeCell ref="B1366:B1377"/>
    <mergeCell ref="A1320:A1322"/>
    <mergeCell ref="B1320:D1322"/>
    <mergeCell ref="A1323:A1325"/>
    <mergeCell ref="B1323:D1325"/>
    <mergeCell ref="A1328:L1328"/>
    <mergeCell ref="A1214:A1261"/>
    <mergeCell ref="B1214:B1225"/>
    <mergeCell ref="B1226:B1237"/>
    <mergeCell ref="B1238:B1249"/>
    <mergeCell ref="B1250:B1261"/>
    <mergeCell ref="A1262:A1309"/>
    <mergeCell ref="B1262:B1273"/>
    <mergeCell ref="B1274:B1285"/>
    <mergeCell ref="B1286:B1297"/>
    <mergeCell ref="B1298:B1309"/>
    <mergeCell ref="A1314:A1316"/>
    <mergeCell ref="B1314:D1316"/>
    <mergeCell ref="A1317:A1319"/>
    <mergeCell ref="B1317:D1319"/>
    <mergeCell ref="A1166:A1213"/>
    <mergeCell ref="B1166:B1177"/>
    <mergeCell ref="B1178:B1189"/>
    <mergeCell ref="B1190:B1201"/>
    <mergeCell ref="B1202:B1213"/>
    <mergeCell ref="A1098:A1145"/>
    <mergeCell ref="B1098:B1109"/>
    <mergeCell ref="B1110:B1121"/>
    <mergeCell ref="B1122:B1133"/>
    <mergeCell ref="B1134:B1145"/>
    <mergeCell ref="A1150:A1152"/>
    <mergeCell ref="B1150:D1152"/>
    <mergeCell ref="A1153:A1155"/>
    <mergeCell ref="B1153:D1155"/>
    <mergeCell ref="A1156:A1158"/>
    <mergeCell ref="B1156:D1158"/>
    <mergeCell ref="A1159:A1161"/>
    <mergeCell ref="B1159:D1161"/>
    <mergeCell ref="A1164:L1164"/>
    <mergeCell ref="A1050:A1097"/>
    <mergeCell ref="B1050:B1061"/>
    <mergeCell ref="B1062:B1073"/>
    <mergeCell ref="B1074:B1085"/>
    <mergeCell ref="B1086:B1097"/>
    <mergeCell ref="A1002:A1049"/>
    <mergeCell ref="B1002:B1013"/>
    <mergeCell ref="B1014:B1025"/>
    <mergeCell ref="B1026:B1037"/>
    <mergeCell ref="B1038:B1049"/>
    <mergeCell ref="A992:A994"/>
    <mergeCell ref="B992:D994"/>
    <mergeCell ref="A995:A997"/>
    <mergeCell ref="B995:D997"/>
    <mergeCell ref="A1000:L1000"/>
    <mergeCell ref="A886:A933"/>
    <mergeCell ref="B886:B897"/>
    <mergeCell ref="B898:B909"/>
    <mergeCell ref="B910:B921"/>
    <mergeCell ref="B922:B933"/>
    <mergeCell ref="A934:A981"/>
    <mergeCell ref="B934:B945"/>
    <mergeCell ref="B946:B957"/>
    <mergeCell ref="B958:B969"/>
    <mergeCell ref="B970:B981"/>
    <mergeCell ref="A986:A988"/>
    <mergeCell ref="B986:D988"/>
    <mergeCell ref="A989:A991"/>
    <mergeCell ref="B989:D991"/>
    <mergeCell ref="A510:A557"/>
    <mergeCell ref="B510:B521"/>
    <mergeCell ref="A838:A885"/>
    <mergeCell ref="B838:B849"/>
    <mergeCell ref="B850:B861"/>
    <mergeCell ref="B862:B873"/>
    <mergeCell ref="B874:B885"/>
    <mergeCell ref="A822:A824"/>
    <mergeCell ref="B822:D824"/>
    <mergeCell ref="A825:A827"/>
    <mergeCell ref="B825:D827"/>
    <mergeCell ref="A828:A830"/>
    <mergeCell ref="B828:D830"/>
    <mergeCell ref="A831:A833"/>
    <mergeCell ref="B831:D833"/>
    <mergeCell ref="A836:L836"/>
    <mergeCell ref="B630:B641"/>
    <mergeCell ref="B642:B653"/>
    <mergeCell ref="A658:A660"/>
    <mergeCell ref="B658:D660"/>
    <mergeCell ref="A661:A663"/>
    <mergeCell ref="B661:D663"/>
    <mergeCell ref="A664:A666"/>
    <mergeCell ref="B664:D666"/>
    <mergeCell ref="B102:B113"/>
    <mergeCell ref="A114:A161"/>
    <mergeCell ref="A770:A817"/>
    <mergeCell ref="B770:B781"/>
    <mergeCell ref="B782:B793"/>
    <mergeCell ref="B794:B805"/>
    <mergeCell ref="B806:B817"/>
    <mergeCell ref="A394:A441"/>
    <mergeCell ref="B394:B405"/>
    <mergeCell ref="B406:B417"/>
    <mergeCell ref="B418:B429"/>
    <mergeCell ref="B430:B441"/>
    <mergeCell ref="A442:A489"/>
    <mergeCell ref="B442:B453"/>
    <mergeCell ref="B454:B465"/>
    <mergeCell ref="B466:B477"/>
    <mergeCell ref="A558:A605"/>
    <mergeCell ref="B558:B569"/>
    <mergeCell ref="B570:B581"/>
    <mergeCell ref="B582:B593"/>
    <mergeCell ref="B594:B605"/>
    <mergeCell ref="A606:A653"/>
    <mergeCell ref="B606:B617"/>
    <mergeCell ref="B618:B629"/>
    <mergeCell ref="B114:B125"/>
    <mergeCell ref="B126:B137"/>
    <mergeCell ref="B522:B533"/>
    <mergeCell ref="B534:B545"/>
    <mergeCell ref="B546:B557"/>
    <mergeCell ref="B478:B489"/>
    <mergeCell ref="A2:A4"/>
    <mergeCell ref="A8:A10"/>
    <mergeCell ref="A5:A7"/>
    <mergeCell ref="A11:A13"/>
    <mergeCell ref="B2:D4"/>
    <mergeCell ref="B5:D7"/>
    <mergeCell ref="B8:D10"/>
    <mergeCell ref="B11:D13"/>
    <mergeCell ref="A16:L16"/>
    <mergeCell ref="A18:A65"/>
    <mergeCell ref="B18:B29"/>
    <mergeCell ref="B30:B41"/>
    <mergeCell ref="B42:B53"/>
    <mergeCell ref="B54:B65"/>
    <mergeCell ref="A66:A113"/>
    <mergeCell ref="B66:B77"/>
    <mergeCell ref="B78:B89"/>
    <mergeCell ref="B90:B101"/>
  </mergeCells>
  <hyperlinks>
    <hyperlink ref="E17" location="'Definitions and Guidance'!A1" display="Step" xr:uid="{C6524569-E1E3-4BD8-9DE8-B66ADD1530A0}"/>
    <hyperlink ref="E181" location="'Definitions and Guidance'!A1" display="Step" xr:uid="{A52CFC28-B4C5-49F9-A874-AAD58B037277}"/>
    <hyperlink ref="E345" location="'Definitions and Guidance'!A1" display="Step" xr:uid="{96F8B78C-4D3A-4301-A702-AF7C29ED10D2}"/>
    <hyperlink ref="E509" location="'Definitions and Guidance'!A1" display="Step" xr:uid="{D4E832E9-9884-4C1A-B040-A22EF6E753ED}"/>
    <hyperlink ref="E673" location="'Definitions and Guidance'!A1" display="Step" xr:uid="{2455E21D-A235-4352-BDA2-FBB3EB25823A}"/>
    <hyperlink ref="E837" location="'Definitions and Guidance'!A1" display="Step" xr:uid="{FFA4EC9C-A8D3-4421-A456-671C6E71121C}"/>
    <hyperlink ref="E1001" location="'Definitions and Guidance'!A1" display="Step" xr:uid="{4B0A0B4A-AA61-4652-BFB2-3890D524CA94}"/>
    <hyperlink ref="E1165" location="'Definitions and Guidance'!A1" display="Step" xr:uid="{B7A463CB-EA63-4181-9B21-D9AF0C1755BD}"/>
    <hyperlink ref="E1329" location="'Definitions and Guidance'!A1" display="Step" xr:uid="{0B1C8548-E23E-4633-BC74-63389ED994F3}"/>
    <hyperlink ref="E1493" location="'Definitions and Guidance'!A1" display="Step" xr:uid="{ECB9E850-9B26-41E6-8397-A053A0DFE315}"/>
    <hyperlink ref="E1657" location="'Definitions and Guidance'!A1" display="Step" xr:uid="{DB1A3526-AF44-44D6-8D68-67A8F9AC3EAA}"/>
    <hyperlink ref="E1821" location="'Definitions and Guidance'!A1" display="Step" xr:uid="{DEFDC8C7-86AC-4E76-B67E-7AD893E1503E}"/>
    <hyperlink ref="E1985" location="'Definitions and Guidance'!A1" display="Step" xr:uid="{F8281008-AFF7-44B7-A861-29077A99C63E}"/>
    <hyperlink ref="E2149" location="'Definitions and Guidance'!A1" display="Step" xr:uid="{BD731C67-197E-4C4D-9FF9-7ECB983F75DB}"/>
    <hyperlink ref="E2313" location="'Definitions and Guidance'!A1" display="Step" xr:uid="{E8B89790-BBC6-4D27-BD8D-7A816E9E9B50}"/>
    <hyperlink ref="E2477" location="'Definitions and Guidance'!A1" display="Step" xr:uid="{0D520BBD-18F1-4BDA-AFCC-AC0E6BBA3826}"/>
    <hyperlink ref="E2641" location="'Definitions and Guidance'!A1" display="Step" xr:uid="{B4DF7310-9FF0-40D1-A203-1BE46295840D}"/>
    <hyperlink ref="E2805" location="'Definitions and Guidance'!A1" display="Step" xr:uid="{69FEE012-9E08-4D6E-A785-08DAD6D29773}"/>
    <hyperlink ref="E2969" location="'Definitions and Guidance'!A1" display="Step" xr:uid="{A38DAB08-CC53-494F-9057-69FC1E937EF4}"/>
    <hyperlink ref="E3133" location="'Definitions and Guidance'!A1" display="Step" xr:uid="{4B039F32-2384-43D8-A630-D0A2FA76ABCD}"/>
    <hyperlink ref="E3297" location="'Definitions and Guidance'!A1" display="Step" xr:uid="{BE9F84FA-E679-4761-ADEF-C4A9B36AB5F9}"/>
    <hyperlink ref="E3461" location="'Definitions and Guidance'!A1" display="Step" xr:uid="{4C21D4E1-E171-4A66-940E-AB2ACA90C461}"/>
    <hyperlink ref="E3625" location="'Definitions and Guidance'!A1" display="Step" xr:uid="{95521BC7-038B-4E0B-BFFC-2E6F72328F16}"/>
    <hyperlink ref="E3789" location="'Definitions and Guidance'!A1" display="Step" xr:uid="{8BB3B9C4-C968-4264-9219-6D46AB5D642C}"/>
    <hyperlink ref="E3953" location="'Definitions and Guidance'!A1" display="Step" xr:uid="{41777459-EBF7-42A5-9142-3D2A32A4A101}"/>
    <hyperlink ref="E4117" location="'Definitions and Guidance'!A1" display="Step" xr:uid="{1CA556A9-881B-4FBC-B5B6-FBDD4313D098}"/>
    <hyperlink ref="E4281" location="'Definitions and Guidance'!A1" display="Step" xr:uid="{4D9F79F4-7F28-4AC0-80A4-33EDEF8E811A}"/>
    <hyperlink ref="E4445" location="'Definitions and Guidance'!A1" display="Step" xr:uid="{E0518922-456F-49AB-8167-4125EA496C6A}"/>
    <hyperlink ref="E4609" location="'Definitions and Guidance'!A1" display="Step" xr:uid="{8A82D4E9-DB11-46D4-9AE5-47012480B2C3}"/>
    <hyperlink ref="E4773" location="'Definitions and Guidance'!A1" display="Step" xr:uid="{289A1CE2-B7A7-4B3A-A924-A6FEB00C4393}"/>
    <hyperlink ref="E4937" location="'Definitions and Guidance'!A1" display="Step" xr:uid="{20880CFB-CF89-4B69-91D8-84E56A5DCFBF}"/>
    <hyperlink ref="E5101" location="'Definitions and Guidance'!A1" display="Step" xr:uid="{AFCF629D-28AC-4AEB-8066-BAEE87C142F7}"/>
    <hyperlink ref="E5265" location="'Definitions and Guidance'!A1" display="Step" xr:uid="{B8AB6566-32D0-4DF2-AF21-EF5346BE792D}"/>
    <hyperlink ref="E5429" location="'Definitions and Guidance'!A1" display="Step" xr:uid="{A7C789EF-B317-4A2E-B0D5-086034982173}"/>
    <hyperlink ref="E5593" location="'Definitions and Guidance'!A1" display="Step" xr:uid="{EACA96B4-1BCF-4775-8FDC-0C4C67A10482}"/>
    <hyperlink ref="E5757" location="'Definitions and Guidance'!A1" display="Step" xr:uid="{FEE4077F-8A55-4F6F-80CA-4B6B08971539}"/>
    <hyperlink ref="E5921" location="'Definitions and Guidance'!A1" display="Step" xr:uid="{46556C29-ED0B-419A-BBDB-D997D823D211}"/>
    <hyperlink ref="E6085" location="'Definitions and Guidance'!A1" display="Step" xr:uid="{7CFC2DCA-4EE6-4E1B-A84E-CFEB24111163}"/>
    <hyperlink ref="E6249" location="'Definitions and Guidance'!A1" display="Step" xr:uid="{D1DB0028-C06A-4ACB-AC6E-B088F0E898C3}"/>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0C2E-981D-4889-B16C-1FF93F920797}">
  <dimension ref="A1:I520"/>
  <sheetViews>
    <sheetView topLeftCell="A13" zoomScale="85" zoomScaleNormal="80" workbookViewId="0">
      <selection activeCell="A13" sqref="A13"/>
    </sheetView>
  </sheetViews>
  <sheetFormatPr defaultColWidth="8.86328125" defaultRowHeight="14.25" x14ac:dyDescent="0.45"/>
  <cols>
    <col min="1" max="1" width="27.19921875" customWidth="1"/>
    <col min="2" max="3" width="21.53125" customWidth="1"/>
    <col min="4" max="4" width="15.6640625" customWidth="1"/>
    <col min="5" max="7" width="16.53125" customWidth="1"/>
    <col min="8" max="8" width="11.53125" customWidth="1"/>
    <col min="9" max="9" width="10.86328125" style="1" customWidth="1"/>
    <col min="10" max="10" width="9.796875" style="1" bestFit="1" customWidth="1"/>
    <col min="11" max="16384" width="8.86328125" style="1"/>
  </cols>
  <sheetData>
    <row r="1" spans="1:9" s="133" customFormat="1" ht="16.149999999999999" thickBot="1" x14ac:dyDescent="0.55000000000000004">
      <c r="A1" s="465" t="s">
        <v>179</v>
      </c>
      <c r="B1" s="466"/>
      <c r="C1" s="466"/>
      <c r="D1" s="466"/>
      <c r="E1" s="466"/>
      <c r="F1" s="466"/>
      <c r="G1" s="467"/>
      <c r="I1" s="134" t="s">
        <v>126</v>
      </c>
    </row>
    <row r="2" spans="1:9" ht="42.6" customHeight="1" x14ac:dyDescent="0.45">
      <c r="A2" s="471" t="s">
        <v>309</v>
      </c>
      <c r="B2" s="472"/>
      <c r="C2" s="472"/>
      <c r="D2" s="472"/>
      <c r="E2" s="472"/>
      <c r="F2" s="472"/>
      <c r="G2" s="7"/>
      <c r="H2" s="1"/>
    </row>
    <row r="3" spans="1:9" ht="46.25" customHeight="1" x14ac:dyDescent="0.45">
      <c r="A3" s="471" t="s">
        <v>310</v>
      </c>
      <c r="B3" s="472"/>
      <c r="C3" s="472"/>
      <c r="D3" s="472"/>
      <c r="E3" s="472"/>
      <c r="F3" s="472"/>
      <c r="G3" s="7"/>
      <c r="H3" s="1"/>
    </row>
    <row r="4" spans="1:9" ht="44" customHeight="1" x14ac:dyDescent="0.45">
      <c r="A4" s="471" t="s">
        <v>311</v>
      </c>
      <c r="B4" s="472"/>
      <c r="C4" s="472"/>
      <c r="D4" s="472"/>
      <c r="E4" s="472"/>
      <c r="F4" s="472"/>
      <c r="G4" s="4"/>
      <c r="H4" s="1"/>
    </row>
    <row r="5" spans="1:9" ht="38.450000000000003" customHeight="1" x14ac:dyDescent="0.45">
      <c r="A5" s="471" t="s">
        <v>312</v>
      </c>
      <c r="B5" s="472"/>
      <c r="C5" s="472"/>
      <c r="D5" s="472"/>
      <c r="E5" s="472"/>
      <c r="F5" s="472"/>
      <c r="G5" s="4"/>
      <c r="H5" s="1"/>
      <c r="I5" s="3"/>
    </row>
    <row r="6" spans="1:9" ht="43.25" customHeight="1" thickBot="1" x14ac:dyDescent="0.5">
      <c r="A6" s="473" t="s">
        <v>304</v>
      </c>
      <c r="B6" s="474"/>
      <c r="C6" s="474"/>
      <c r="D6" s="474"/>
      <c r="E6" s="474"/>
      <c r="F6" s="474"/>
      <c r="G6" s="5"/>
      <c r="H6" s="1"/>
    </row>
    <row r="7" spans="1:9" ht="14.65" thickBot="1" x14ac:dyDescent="0.5">
      <c r="A7" s="1"/>
      <c r="B7" s="1"/>
      <c r="C7" s="1"/>
      <c r="D7" s="1"/>
      <c r="E7" s="1"/>
      <c r="F7" s="1"/>
      <c r="G7" s="1"/>
      <c r="H7" s="1"/>
    </row>
    <row r="8" spans="1:9" x14ac:dyDescent="0.45">
      <c r="A8" s="468" t="s">
        <v>313</v>
      </c>
      <c r="B8" s="469"/>
      <c r="C8" s="469"/>
      <c r="D8" s="469"/>
      <c r="E8" s="469"/>
      <c r="F8" s="469"/>
      <c r="G8" s="469"/>
      <c r="H8" s="470"/>
    </row>
    <row r="9" spans="1:9" ht="30.75" customHeight="1" x14ac:dyDescent="0.45">
      <c r="A9" s="115" t="s">
        <v>23</v>
      </c>
      <c r="B9" s="115" t="s">
        <v>24</v>
      </c>
      <c r="C9" s="115" t="s">
        <v>177</v>
      </c>
      <c r="D9" s="115" t="s">
        <v>178</v>
      </c>
      <c r="E9" s="115" t="s">
        <v>314</v>
      </c>
      <c r="F9" s="115" t="s">
        <v>25</v>
      </c>
      <c r="G9" s="116" t="s">
        <v>26</v>
      </c>
      <c r="H9" s="116" t="s">
        <v>323</v>
      </c>
      <c r="I9" s="110"/>
    </row>
    <row r="10" spans="1:9" x14ac:dyDescent="0.45">
      <c r="A10" s="8"/>
      <c r="B10" s="8"/>
      <c r="C10" s="8"/>
      <c r="D10" s="8"/>
      <c r="E10" s="8"/>
      <c r="F10" s="8"/>
      <c r="G10" s="47"/>
      <c r="H10" s="9"/>
    </row>
    <row r="11" spans="1:9" x14ac:dyDescent="0.45">
      <c r="A11" s="8"/>
      <c r="B11" s="8"/>
      <c r="C11" s="8"/>
      <c r="D11" s="8"/>
      <c r="E11" s="8"/>
      <c r="F11" s="8"/>
      <c r="G11" s="47"/>
      <c r="H11" s="9"/>
    </row>
    <row r="12" spans="1:9" x14ac:dyDescent="0.45">
      <c r="A12" s="8"/>
      <c r="B12" s="8"/>
      <c r="C12" s="8"/>
      <c r="D12" s="8"/>
      <c r="E12" s="8"/>
      <c r="F12" s="8"/>
      <c r="G12" s="47"/>
      <c r="H12" s="9"/>
    </row>
    <row r="13" spans="1:9" x14ac:dyDescent="0.45">
      <c r="A13" s="8"/>
      <c r="B13" s="8"/>
      <c r="C13" s="8"/>
      <c r="D13" s="8"/>
      <c r="E13" s="8"/>
      <c r="F13" s="8"/>
      <c r="G13" s="47"/>
      <c r="H13" s="9"/>
    </row>
    <row r="14" spans="1:9" x14ac:dyDescent="0.45">
      <c r="A14" s="8"/>
      <c r="B14" s="8"/>
      <c r="C14" s="8"/>
      <c r="D14" s="8"/>
      <c r="E14" s="8"/>
      <c r="F14" s="8"/>
      <c r="G14" s="47"/>
      <c r="H14" s="9"/>
    </row>
    <row r="15" spans="1:9" x14ac:dyDescent="0.45">
      <c r="A15" s="8"/>
      <c r="B15" s="8"/>
      <c r="C15" s="8"/>
      <c r="D15" s="8"/>
      <c r="E15" s="8"/>
      <c r="F15" s="8"/>
      <c r="G15" s="47"/>
      <c r="H15" s="9"/>
    </row>
    <row r="16" spans="1:9" x14ac:dyDescent="0.45">
      <c r="A16" s="8"/>
      <c r="B16" s="8"/>
      <c r="C16" s="8"/>
      <c r="D16" s="8"/>
      <c r="E16" s="8"/>
      <c r="F16" s="8"/>
      <c r="G16" s="47"/>
      <c r="H16" s="9"/>
    </row>
    <row r="17" spans="1:8" x14ac:dyDescent="0.45">
      <c r="A17" s="8"/>
      <c r="B17" s="8"/>
      <c r="C17" s="8"/>
      <c r="D17" s="8"/>
      <c r="E17" s="8"/>
      <c r="F17" s="8"/>
      <c r="G17" s="47"/>
      <c r="H17" s="9"/>
    </row>
    <row r="18" spans="1:8" x14ac:dyDescent="0.45">
      <c r="A18" s="8"/>
      <c r="B18" s="8"/>
      <c r="C18" s="8"/>
      <c r="D18" s="8"/>
      <c r="E18" s="8"/>
      <c r="F18" s="8"/>
      <c r="G18" s="47"/>
      <c r="H18" s="9"/>
    </row>
    <row r="19" spans="1:8" x14ac:dyDescent="0.45">
      <c r="A19" s="8"/>
      <c r="B19" s="8"/>
      <c r="C19" s="8"/>
      <c r="D19" s="8"/>
      <c r="E19" s="8"/>
      <c r="F19" s="8"/>
      <c r="G19" s="47"/>
      <c r="H19" s="9"/>
    </row>
    <row r="20" spans="1:8" x14ac:dyDescent="0.45">
      <c r="A20" s="8"/>
      <c r="B20" s="8"/>
      <c r="C20" s="8"/>
      <c r="D20" s="8"/>
      <c r="E20" s="8"/>
      <c r="F20" s="8"/>
      <c r="G20" s="47"/>
      <c r="H20" s="9"/>
    </row>
    <row r="21" spans="1:8" x14ac:dyDescent="0.45">
      <c r="A21" s="8"/>
      <c r="B21" s="8"/>
      <c r="C21" s="8"/>
      <c r="D21" s="8"/>
      <c r="E21" s="8"/>
      <c r="F21" s="8"/>
      <c r="G21" s="47"/>
      <c r="H21" s="9"/>
    </row>
    <row r="22" spans="1:8" x14ac:dyDescent="0.45">
      <c r="A22" s="8"/>
      <c r="B22" s="8"/>
      <c r="C22" s="8"/>
      <c r="D22" s="8"/>
      <c r="E22" s="8"/>
      <c r="F22" s="8"/>
      <c r="G22" s="47"/>
      <c r="H22" s="9"/>
    </row>
    <row r="23" spans="1:8" x14ac:dyDescent="0.45">
      <c r="A23" s="8"/>
      <c r="B23" s="8"/>
      <c r="C23" s="8"/>
      <c r="D23" s="8"/>
      <c r="E23" s="8"/>
      <c r="F23" s="8"/>
      <c r="G23" s="47"/>
      <c r="H23" s="9"/>
    </row>
    <row r="24" spans="1:8" x14ac:dyDescent="0.45">
      <c r="A24" s="8"/>
      <c r="B24" s="8"/>
      <c r="C24" s="8"/>
      <c r="D24" s="8"/>
      <c r="E24" s="8"/>
      <c r="F24" s="8"/>
      <c r="G24" s="47"/>
      <c r="H24" s="9"/>
    </row>
    <row r="25" spans="1:8" x14ac:dyDescent="0.45">
      <c r="A25" s="8"/>
      <c r="B25" s="8"/>
      <c r="C25" s="8"/>
      <c r="D25" s="8"/>
      <c r="E25" s="8"/>
      <c r="F25" s="8"/>
      <c r="G25" s="47"/>
      <c r="H25" s="9"/>
    </row>
    <row r="26" spans="1:8" x14ac:dyDescent="0.45">
      <c r="A26" s="8"/>
      <c r="B26" s="8"/>
      <c r="C26" s="8"/>
      <c r="D26" s="8"/>
      <c r="E26" s="8"/>
      <c r="F26" s="8"/>
      <c r="G26" s="47"/>
      <c r="H26" s="9"/>
    </row>
    <row r="27" spans="1:8" x14ac:dyDescent="0.45">
      <c r="A27" s="8"/>
      <c r="B27" s="8"/>
      <c r="C27" s="8"/>
      <c r="D27" s="8"/>
      <c r="E27" s="8"/>
      <c r="F27" s="8"/>
      <c r="G27" s="47"/>
      <c r="H27" s="9"/>
    </row>
    <row r="28" spans="1:8" x14ac:dyDescent="0.45">
      <c r="A28" s="8"/>
      <c r="B28" s="8"/>
      <c r="C28" s="8"/>
      <c r="D28" s="8"/>
      <c r="E28" s="8"/>
      <c r="F28" s="8"/>
      <c r="G28" s="47"/>
      <c r="H28" s="9"/>
    </row>
    <row r="29" spans="1:8" x14ac:dyDescent="0.45">
      <c r="A29" s="8"/>
      <c r="B29" s="8"/>
      <c r="C29" s="8"/>
      <c r="D29" s="8"/>
      <c r="E29" s="8"/>
      <c r="F29" s="8"/>
      <c r="G29" s="47"/>
      <c r="H29" s="9"/>
    </row>
    <row r="30" spans="1:8" x14ac:dyDescent="0.45">
      <c r="A30" s="8"/>
      <c r="B30" s="8"/>
      <c r="C30" s="8"/>
      <c r="D30" s="8"/>
      <c r="E30" s="8"/>
      <c r="F30" s="8"/>
      <c r="G30" s="47"/>
      <c r="H30" s="9"/>
    </row>
    <row r="31" spans="1:8" x14ac:dyDescent="0.45">
      <c r="A31" s="8"/>
      <c r="B31" s="8"/>
      <c r="C31" s="8"/>
      <c r="D31" s="8"/>
      <c r="E31" s="8"/>
      <c r="F31" s="8"/>
      <c r="G31" s="47"/>
      <c r="H31" s="9"/>
    </row>
    <row r="32" spans="1:8" x14ac:dyDescent="0.45">
      <c r="A32" s="8"/>
      <c r="B32" s="8"/>
      <c r="C32" s="8"/>
      <c r="D32" s="8"/>
      <c r="E32" s="8"/>
      <c r="F32" s="8"/>
      <c r="G32" s="47"/>
      <c r="H32" s="9"/>
    </row>
    <row r="33" spans="1:8" x14ac:dyDescent="0.45">
      <c r="A33" s="8"/>
      <c r="B33" s="8"/>
      <c r="C33" s="8"/>
      <c r="D33" s="8"/>
      <c r="E33" s="8"/>
      <c r="F33" s="8"/>
      <c r="G33" s="47"/>
      <c r="H33" s="9"/>
    </row>
    <row r="34" spans="1:8" x14ac:dyDescent="0.45">
      <c r="A34" s="8"/>
      <c r="B34" s="8"/>
      <c r="C34" s="8"/>
      <c r="D34" s="8"/>
      <c r="E34" s="8"/>
      <c r="F34" s="8"/>
      <c r="G34" s="47"/>
      <c r="H34" s="9"/>
    </row>
    <row r="35" spans="1:8" x14ac:dyDescent="0.45">
      <c r="A35" s="8"/>
      <c r="B35" s="8"/>
      <c r="C35" s="8"/>
      <c r="D35" s="8"/>
      <c r="E35" s="8"/>
      <c r="F35" s="8"/>
      <c r="G35" s="47"/>
      <c r="H35" s="9"/>
    </row>
    <row r="36" spans="1:8" x14ac:dyDescent="0.45">
      <c r="A36" s="8"/>
      <c r="B36" s="8"/>
      <c r="C36" s="8"/>
      <c r="D36" s="8"/>
      <c r="E36" s="8"/>
      <c r="F36" s="8"/>
      <c r="G36" s="47"/>
      <c r="H36" s="9"/>
    </row>
    <row r="37" spans="1:8" x14ac:dyDescent="0.45">
      <c r="A37" s="8"/>
      <c r="B37" s="8"/>
      <c r="C37" s="8"/>
      <c r="D37" s="8"/>
      <c r="E37" s="8"/>
      <c r="F37" s="8"/>
      <c r="G37" s="47"/>
      <c r="H37" s="9"/>
    </row>
    <row r="38" spans="1:8" x14ac:dyDescent="0.45">
      <c r="A38" s="8"/>
      <c r="B38" s="8"/>
      <c r="C38" s="8"/>
      <c r="D38" s="8"/>
      <c r="E38" s="8"/>
      <c r="F38" s="8"/>
      <c r="G38" s="47"/>
      <c r="H38" s="9"/>
    </row>
    <row r="39" spans="1:8" x14ac:dyDescent="0.45">
      <c r="A39" s="8"/>
      <c r="B39" s="8"/>
      <c r="C39" s="8"/>
      <c r="D39" s="8"/>
      <c r="E39" s="8"/>
      <c r="F39" s="8"/>
      <c r="G39" s="47"/>
      <c r="H39" s="9"/>
    </row>
    <row r="40" spans="1:8" x14ac:dyDescent="0.45">
      <c r="A40" s="8"/>
      <c r="B40" s="8"/>
      <c r="C40" s="8"/>
      <c r="D40" s="8"/>
      <c r="E40" s="8"/>
      <c r="F40" s="8"/>
      <c r="G40" s="47"/>
      <c r="H40" s="9"/>
    </row>
    <row r="41" spans="1:8" x14ac:dyDescent="0.45">
      <c r="A41" s="8"/>
      <c r="B41" s="8"/>
      <c r="C41" s="8"/>
      <c r="D41" s="8"/>
      <c r="E41" s="8"/>
      <c r="F41" s="8"/>
      <c r="G41" s="47"/>
      <c r="H41" s="9"/>
    </row>
    <row r="42" spans="1:8" x14ac:dyDescent="0.45">
      <c r="A42" s="8"/>
      <c r="B42" s="8"/>
      <c r="C42" s="8"/>
      <c r="D42" s="8"/>
      <c r="E42" s="8"/>
      <c r="F42" s="8"/>
      <c r="G42" s="47"/>
      <c r="H42" s="9"/>
    </row>
    <row r="43" spans="1:8" x14ac:dyDescent="0.45">
      <c r="A43" s="8"/>
      <c r="B43" s="8"/>
      <c r="C43" s="8"/>
      <c r="D43" s="8"/>
      <c r="E43" s="8"/>
      <c r="F43" s="8"/>
      <c r="G43" s="47"/>
      <c r="H43" s="9"/>
    </row>
    <row r="44" spans="1:8" x14ac:dyDescent="0.45">
      <c r="A44" s="8"/>
      <c r="B44" s="8"/>
      <c r="C44" s="8"/>
      <c r="D44" s="8"/>
      <c r="E44" s="8"/>
      <c r="F44" s="8"/>
      <c r="G44" s="47"/>
      <c r="H44" s="9"/>
    </row>
    <row r="45" spans="1:8" x14ac:dyDescent="0.45">
      <c r="A45" s="8"/>
      <c r="B45" s="8"/>
      <c r="C45" s="8"/>
      <c r="D45" s="8"/>
      <c r="E45" s="8"/>
      <c r="F45" s="8"/>
      <c r="G45" s="47"/>
      <c r="H45" s="9"/>
    </row>
    <row r="46" spans="1:8" x14ac:dyDescent="0.45">
      <c r="A46" s="8"/>
      <c r="B46" s="8"/>
      <c r="C46" s="8"/>
      <c r="D46" s="8"/>
      <c r="E46" s="8"/>
      <c r="F46" s="8"/>
      <c r="G46" s="47"/>
      <c r="H46" s="9"/>
    </row>
    <row r="47" spans="1:8" x14ac:dyDescent="0.45">
      <c r="A47" s="8"/>
      <c r="B47" s="8"/>
      <c r="C47" s="8"/>
      <c r="D47" s="8"/>
      <c r="E47" s="8"/>
      <c r="F47" s="8"/>
      <c r="G47" s="47"/>
      <c r="H47" s="9"/>
    </row>
    <row r="48" spans="1:8" x14ac:dyDescent="0.45">
      <c r="A48" s="8"/>
      <c r="B48" s="8"/>
      <c r="C48" s="8"/>
      <c r="D48" s="8"/>
      <c r="E48" s="8"/>
      <c r="F48" s="8"/>
      <c r="G48" s="47"/>
      <c r="H48" s="9"/>
    </row>
    <row r="49" spans="1:8" x14ac:dyDescent="0.45">
      <c r="A49" s="8"/>
      <c r="B49" s="8"/>
      <c r="C49" s="8"/>
      <c r="D49" s="8"/>
      <c r="E49" s="8"/>
      <c r="F49" s="8"/>
      <c r="G49" s="47"/>
      <c r="H49" s="9"/>
    </row>
    <row r="50" spans="1:8" x14ac:dyDescent="0.45">
      <c r="A50" s="8"/>
      <c r="B50" s="8"/>
      <c r="C50" s="8"/>
      <c r="D50" s="8"/>
      <c r="E50" s="8"/>
      <c r="F50" s="8"/>
      <c r="G50" s="47"/>
      <c r="H50" s="9"/>
    </row>
    <row r="51" spans="1:8" x14ac:dyDescent="0.45">
      <c r="A51" s="8"/>
      <c r="B51" s="8"/>
      <c r="C51" s="8"/>
      <c r="D51" s="8"/>
      <c r="E51" s="8"/>
      <c r="F51" s="8"/>
      <c r="G51" s="47"/>
      <c r="H51" s="9"/>
    </row>
    <row r="52" spans="1:8" x14ac:dyDescent="0.45">
      <c r="A52" s="8"/>
      <c r="B52" s="8"/>
      <c r="C52" s="8"/>
      <c r="D52" s="8"/>
      <c r="E52" s="8"/>
      <c r="F52" s="8"/>
      <c r="G52" s="47"/>
      <c r="H52" s="9"/>
    </row>
    <row r="53" spans="1:8" x14ac:dyDescent="0.45">
      <c r="A53" s="8"/>
      <c r="B53" s="8"/>
      <c r="C53" s="8"/>
      <c r="D53" s="8"/>
      <c r="E53" s="8"/>
      <c r="F53" s="8"/>
      <c r="G53" s="47"/>
      <c r="H53" s="9"/>
    </row>
    <row r="54" spans="1:8" x14ac:dyDescent="0.45">
      <c r="A54" s="8"/>
      <c r="B54" s="8"/>
      <c r="C54" s="8"/>
      <c r="D54" s="8"/>
      <c r="E54" s="8"/>
      <c r="F54" s="8"/>
      <c r="G54" s="47"/>
      <c r="H54" s="9"/>
    </row>
    <row r="55" spans="1:8" x14ac:dyDescent="0.45">
      <c r="A55" s="8"/>
      <c r="B55" s="8"/>
      <c r="C55" s="8"/>
      <c r="D55" s="8"/>
      <c r="E55" s="8"/>
      <c r="F55" s="8"/>
      <c r="G55" s="47"/>
      <c r="H55" s="9"/>
    </row>
    <row r="56" spans="1:8" x14ac:dyDescent="0.45">
      <c r="A56" s="8"/>
      <c r="B56" s="8"/>
      <c r="C56" s="8"/>
      <c r="D56" s="8"/>
      <c r="E56" s="8"/>
      <c r="F56" s="8"/>
      <c r="G56" s="47"/>
      <c r="H56" s="9"/>
    </row>
    <row r="57" spans="1:8" x14ac:dyDescent="0.45">
      <c r="A57" s="8"/>
      <c r="B57" s="8"/>
      <c r="C57" s="8"/>
      <c r="D57" s="8"/>
      <c r="E57" s="8"/>
      <c r="F57" s="8"/>
      <c r="G57" s="47"/>
      <c r="H57" s="9"/>
    </row>
    <row r="58" spans="1:8" x14ac:dyDescent="0.45">
      <c r="A58" s="8"/>
      <c r="B58" s="8"/>
      <c r="C58" s="8"/>
      <c r="D58" s="8"/>
      <c r="E58" s="8"/>
      <c r="F58" s="8"/>
      <c r="G58" s="47"/>
      <c r="H58" s="9"/>
    </row>
    <row r="59" spans="1:8" x14ac:dyDescent="0.45">
      <c r="A59" s="8"/>
      <c r="B59" s="8"/>
      <c r="C59" s="8"/>
      <c r="D59" s="8"/>
      <c r="E59" s="8"/>
      <c r="F59" s="8"/>
      <c r="G59" s="47"/>
      <c r="H59" s="9"/>
    </row>
    <row r="60" spans="1:8" x14ac:dyDescent="0.45">
      <c r="A60" s="8"/>
      <c r="B60" s="8"/>
      <c r="C60" s="8"/>
      <c r="D60" s="8"/>
      <c r="E60" s="8"/>
      <c r="F60" s="8"/>
      <c r="G60" s="47"/>
      <c r="H60" s="9"/>
    </row>
    <row r="61" spans="1:8" x14ac:dyDescent="0.45">
      <c r="A61" s="8"/>
      <c r="B61" s="8"/>
      <c r="C61" s="8"/>
      <c r="D61" s="8"/>
      <c r="E61" s="8"/>
      <c r="F61" s="8"/>
      <c r="G61" s="47"/>
      <c r="H61" s="9"/>
    </row>
    <row r="62" spans="1:8" x14ac:dyDescent="0.45">
      <c r="A62" s="8"/>
      <c r="B62" s="8"/>
      <c r="C62" s="8"/>
      <c r="D62" s="8"/>
      <c r="E62" s="8"/>
      <c r="F62" s="8"/>
      <c r="G62" s="47"/>
      <c r="H62" s="9"/>
    </row>
    <row r="63" spans="1:8" x14ac:dyDescent="0.45">
      <c r="A63" s="8"/>
      <c r="B63" s="8"/>
      <c r="C63" s="8"/>
      <c r="D63" s="8"/>
      <c r="E63" s="8"/>
      <c r="F63" s="8"/>
      <c r="G63" s="47"/>
      <c r="H63" s="9"/>
    </row>
    <row r="64" spans="1:8" x14ac:dyDescent="0.45">
      <c r="A64" s="8"/>
      <c r="B64" s="8"/>
      <c r="C64" s="8"/>
      <c r="D64" s="8"/>
      <c r="E64" s="8"/>
      <c r="F64" s="8"/>
      <c r="G64" s="47"/>
      <c r="H64" s="9"/>
    </row>
    <row r="65" spans="1:8" x14ac:dyDescent="0.45">
      <c r="A65" s="8"/>
      <c r="B65" s="8"/>
      <c r="C65" s="8"/>
      <c r="D65" s="8"/>
      <c r="E65" s="8"/>
      <c r="F65" s="8"/>
      <c r="G65" s="47"/>
      <c r="H65" s="9"/>
    </row>
    <row r="66" spans="1:8" x14ac:dyDescent="0.45">
      <c r="A66" s="8"/>
      <c r="B66" s="8"/>
      <c r="C66" s="8"/>
      <c r="D66" s="8"/>
      <c r="E66" s="8"/>
      <c r="F66" s="8"/>
      <c r="G66" s="47"/>
      <c r="H66" s="9"/>
    </row>
    <row r="67" spans="1:8" x14ac:dyDescent="0.45">
      <c r="A67" s="8"/>
      <c r="B67" s="8"/>
      <c r="C67" s="8"/>
      <c r="D67" s="8"/>
      <c r="E67" s="8"/>
      <c r="F67" s="8"/>
      <c r="G67" s="47"/>
      <c r="H67" s="9"/>
    </row>
    <row r="68" spans="1:8" x14ac:dyDescent="0.45">
      <c r="A68" s="8"/>
      <c r="B68" s="8"/>
      <c r="C68" s="8"/>
      <c r="D68" s="8"/>
      <c r="E68" s="8"/>
      <c r="F68" s="8"/>
      <c r="G68" s="47"/>
      <c r="H68" s="9"/>
    </row>
    <row r="69" spans="1:8" x14ac:dyDescent="0.45">
      <c r="A69" s="8"/>
      <c r="B69" s="8"/>
      <c r="C69" s="8"/>
      <c r="D69" s="8"/>
      <c r="E69" s="8"/>
      <c r="F69" s="8"/>
      <c r="G69" s="47"/>
      <c r="H69" s="9"/>
    </row>
    <row r="70" spans="1:8" x14ac:dyDescent="0.45">
      <c r="A70" s="8"/>
      <c r="B70" s="8"/>
      <c r="C70" s="8"/>
      <c r="D70" s="8"/>
      <c r="E70" s="8"/>
      <c r="F70" s="8"/>
      <c r="G70" s="47"/>
      <c r="H70" s="9"/>
    </row>
    <row r="71" spans="1:8" x14ac:dyDescent="0.45">
      <c r="A71" s="8"/>
      <c r="B71" s="8"/>
      <c r="C71" s="8"/>
      <c r="D71" s="8"/>
      <c r="E71" s="8"/>
      <c r="F71" s="8"/>
      <c r="G71" s="47"/>
      <c r="H71" s="9"/>
    </row>
    <row r="72" spans="1:8" x14ac:dyDescent="0.45">
      <c r="A72" s="8"/>
      <c r="B72" s="8"/>
      <c r="C72" s="8"/>
      <c r="D72" s="8"/>
      <c r="E72" s="8"/>
      <c r="F72" s="8"/>
      <c r="G72" s="47"/>
      <c r="H72" s="9"/>
    </row>
    <row r="73" spans="1:8" x14ac:dyDescent="0.45">
      <c r="A73" s="8"/>
      <c r="B73" s="8"/>
      <c r="C73" s="8"/>
      <c r="D73" s="8"/>
      <c r="E73" s="8"/>
      <c r="F73" s="8"/>
      <c r="G73" s="47"/>
      <c r="H73" s="9"/>
    </row>
    <row r="74" spans="1:8" x14ac:dyDescent="0.45">
      <c r="A74" s="8"/>
      <c r="B74" s="8"/>
      <c r="C74" s="8"/>
      <c r="D74" s="8"/>
      <c r="E74" s="8"/>
      <c r="F74" s="8"/>
      <c r="G74" s="47"/>
      <c r="H74" s="9"/>
    </row>
    <row r="75" spans="1:8" x14ac:dyDescent="0.45">
      <c r="A75" s="8"/>
      <c r="B75" s="8"/>
      <c r="C75" s="8"/>
      <c r="D75" s="8"/>
      <c r="E75" s="8"/>
      <c r="F75" s="8"/>
      <c r="G75" s="47"/>
      <c r="H75" s="9"/>
    </row>
    <row r="76" spans="1:8" x14ac:dyDescent="0.45">
      <c r="A76" s="8"/>
      <c r="B76" s="8"/>
      <c r="C76" s="8"/>
      <c r="D76" s="8"/>
      <c r="E76" s="8"/>
      <c r="F76" s="8"/>
      <c r="G76" s="47"/>
      <c r="H76" s="9"/>
    </row>
    <row r="77" spans="1:8" x14ac:dyDescent="0.45">
      <c r="A77" s="8"/>
      <c r="B77" s="8"/>
      <c r="C77" s="8"/>
      <c r="D77" s="8"/>
      <c r="E77" s="8"/>
      <c r="F77" s="8"/>
      <c r="G77" s="47"/>
      <c r="H77" s="9"/>
    </row>
    <row r="78" spans="1:8" x14ac:dyDescent="0.45">
      <c r="A78" s="8"/>
      <c r="B78" s="8"/>
      <c r="C78" s="8"/>
      <c r="D78" s="8"/>
      <c r="E78" s="8"/>
      <c r="F78" s="8"/>
      <c r="G78" s="47"/>
      <c r="H78" s="9"/>
    </row>
    <row r="79" spans="1:8" x14ac:dyDescent="0.45">
      <c r="A79" s="8"/>
      <c r="B79" s="8"/>
      <c r="C79" s="8"/>
      <c r="D79" s="8"/>
      <c r="E79" s="8"/>
      <c r="F79" s="8"/>
      <c r="G79" s="47"/>
      <c r="H79" s="9"/>
    </row>
    <row r="80" spans="1:8" x14ac:dyDescent="0.45">
      <c r="A80" s="8"/>
      <c r="B80" s="8"/>
      <c r="C80" s="8"/>
      <c r="D80" s="8"/>
      <c r="E80" s="8"/>
      <c r="F80" s="8"/>
      <c r="G80" s="47"/>
      <c r="H80" s="9"/>
    </row>
    <row r="81" spans="1:8" x14ac:dyDescent="0.45">
      <c r="A81" s="8"/>
      <c r="B81" s="8"/>
      <c r="C81" s="8"/>
      <c r="D81" s="8"/>
      <c r="E81" s="8"/>
      <c r="F81" s="8"/>
      <c r="G81" s="47"/>
      <c r="H81" s="9"/>
    </row>
    <row r="82" spans="1:8" x14ac:dyDescent="0.45">
      <c r="A82" s="8"/>
      <c r="B82" s="8"/>
      <c r="C82" s="8"/>
      <c r="D82" s="8"/>
      <c r="E82" s="8"/>
      <c r="F82" s="8"/>
      <c r="G82" s="47"/>
      <c r="H82" s="9"/>
    </row>
    <row r="83" spans="1:8" x14ac:dyDescent="0.45">
      <c r="A83" s="8"/>
      <c r="B83" s="8"/>
      <c r="C83" s="8"/>
      <c r="D83" s="8"/>
      <c r="E83" s="8"/>
      <c r="F83" s="8"/>
      <c r="G83" s="47"/>
      <c r="H83" s="9"/>
    </row>
    <row r="84" spans="1:8" x14ac:dyDescent="0.45">
      <c r="A84" s="8"/>
      <c r="B84" s="8"/>
      <c r="C84" s="8"/>
      <c r="D84" s="8"/>
      <c r="E84" s="8"/>
      <c r="F84" s="8"/>
      <c r="G84" s="47"/>
      <c r="H84" s="9"/>
    </row>
    <row r="85" spans="1:8" x14ac:dyDescent="0.45">
      <c r="A85" s="8"/>
      <c r="B85" s="8"/>
      <c r="C85" s="8"/>
      <c r="D85" s="8"/>
      <c r="E85" s="8"/>
      <c r="F85" s="8"/>
      <c r="G85" s="47"/>
      <c r="H85" s="9"/>
    </row>
    <row r="86" spans="1:8" x14ac:dyDescent="0.45">
      <c r="A86" s="8"/>
      <c r="B86" s="8"/>
      <c r="C86" s="8"/>
      <c r="D86" s="8"/>
      <c r="E86" s="8"/>
      <c r="F86" s="8"/>
      <c r="G86" s="47"/>
      <c r="H86" s="9"/>
    </row>
    <row r="87" spans="1:8" x14ac:dyDescent="0.45">
      <c r="A87" s="8"/>
      <c r="B87" s="8"/>
      <c r="C87" s="8"/>
      <c r="D87" s="8"/>
      <c r="E87" s="8"/>
      <c r="F87" s="8"/>
      <c r="G87" s="47"/>
      <c r="H87" s="9"/>
    </row>
    <row r="88" spans="1:8" x14ac:dyDescent="0.45">
      <c r="A88" s="8"/>
      <c r="B88" s="8"/>
      <c r="C88" s="8"/>
      <c r="D88" s="8"/>
      <c r="E88" s="8"/>
      <c r="F88" s="8"/>
      <c r="G88" s="47"/>
      <c r="H88" s="9"/>
    </row>
    <row r="89" spans="1:8" x14ac:dyDescent="0.45">
      <c r="A89" s="8"/>
      <c r="B89" s="8"/>
      <c r="C89" s="8"/>
      <c r="D89" s="8"/>
      <c r="E89" s="8"/>
      <c r="F89" s="8"/>
      <c r="G89" s="47"/>
      <c r="H89" s="9"/>
    </row>
    <row r="90" spans="1:8" x14ac:dyDescent="0.45">
      <c r="A90" s="8"/>
      <c r="B90" s="8"/>
      <c r="C90" s="8"/>
      <c r="D90" s="8"/>
      <c r="E90" s="8"/>
      <c r="F90" s="8"/>
      <c r="G90" s="47"/>
      <c r="H90" s="9"/>
    </row>
    <row r="91" spans="1:8" x14ac:dyDescent="0.45">
      <c r="A91" s="8"/>
      <c r="B91" s="8"/>
      <c r="C91" s="8"/>
      <c r="D91" s="8"/>
      <c r="E91" s="8"/>
      <c r="F91" s="8"/>
      <c r="G91" s="47"/>
      <c r="H91" s="9"/>
    </row>
    <row r="92" spans="1:8" x14ac:dyDescent="0.45">
      <c r="A92" s="8"/>
      <c r="B92" s="8"/>
      <c r="C92" s="8"/>
      <c r="D92" s="8"/>
      <c r="E92" s="8"/>
      <c r="F92" s="8"/>
      <c r="G92" s="47"/>
      <c r="H92" s="9"/>
    </row>
    <row r="93" spans="1:8" x14ac:dyDescent="0.45">
      <c r="A93" s="8"/>
      <c r="B93" s="8"/>
      <c r="C93" s="8"/>
      <c r="D93" s="8"/>
      <c r="E93" s="8"/>
      <c r="F93" s="8"/>
      <c r="G93" s="47"/>
      <c r="H93" s="9"/>
    </row>
    <row r="94" spans="1:8" x14ac:dyDescent="0.45">
      <c r="A94" s="8"/>
      <c r="B94" s="8"/>
      <c r="C94" s="8"/>
      <c r="D94" s="8"/>
      <c r="E94" s="8"/>
      <c r="F94" s="8"/>
      <c r="G94" s="47"/>
      <c r="H94" s="9"/>
    </row>
    <row r="95" spans="1:8" x14ac:dyDescent="0.45">
      <c r="A95" s="8"/>
      <c r="B95" s="8"/>
      <c r="C95" s="8"/>
      <c r="D95" s="8"/>
      <c r="E95" s="8"/>
      <c r="F95" s="8"/>
      <c r="G95" s="47"/>
      <c r="H95" s="9"/>
    </row>
    <row r="96" spans="1:8" x14ac:dyDescent="0.45">
      <c r="A96" s="8"/>
      <c r="B96" s="8"/>
      <c r="C96" s="8"/>
      <c r="D96" s="8"/>
      <c r="E96" s="8"/>
      <c r="F96" s="8"/>
      <c r="G96" s="47"/>
      <c r="H96" s="9"/>
    </row>
    <row r="97" spans="1:8" x14ac:dyDescent="0.45">
      <c r="A97" s="8"/>
      <c r="B97" s="8"/>
      <c r="C97" s="8"/>
      <c r="D97" s="8"/>
      <c r="E97" s="8"/>
      <c r="F97" s="8"/>
      <c r="G97" s="47"/>
      <c r="H97" s="9"/>
    </row>
    <row r="98" spans="1:8" x14ac:dyDescent="0.45">
      <c r="A98" s="8"/>
      <c r="B98" s="8"/>
      <c r="C98" s="8"/>
      <c r="D98" s="8"/>
      <c r="E98" s="8"/>
      <c r="F98" s="8"/>
      <c r="G98" s="47"/>
      <c r="H98" s="9"/>
    </row>
    <row r="99" spans="1:8" x14ac:dyDescent="0.45">
      <c r="A99" s="8"/>
      <c r="B99" s="8"/>
      <c r="C99" s="8"/>
      <c r="D99" s="8"/>
      <c r="E99" s="8"/>
      <c r="F99" s="8"/>
      <c r="G99" s="47"/>
      <c r="H99" s="9"/>
    </row>
    <row r="100" spans="1:8" x14ac:dyDescent="0.45">
      <c r="A100" s="8"/>
      <c r="B100" s="8"/>
      <c r="C100" s="8"/>
      <c r="D100" s="8"/>
      <c r="E100" s="8"/>
      <c r="F100" s="8"/>
      <c r="G100" s="47"/>
      <c r="H100" s="9"/>
    </row>
    <row r="101" spans="1:8" x14ac:dyDescent="0.45">
      <c r="A101" s="8"/>
      <c r="B101" s="8"/>
      <c r="C101" s="8"/>
      <c r="D101" s="8"/>
      <c r="E101" s="8"/>
      <c r="F101" s="8"/>
      <c r="G101" s="47"/>
      <c r="H101" s="9"/>
    </row>
    <row r="102" spans="1:8" x14ac:dyDescent="0.45">
      <c r="A102" s="8"/>
      <c r="B102" s="8"/>
      <c r="C102" s="8"/>
      <c r="D102" s="8"/>
      <c r="E102" s="8"/>
      <c r="F102" s="8"/>
      <c r="G102" s="47"/>
      <c r="H102" s="9"/>
    </row>
    <row r="103" spans="1:8" x14ac:dyDescent="0.45">
      <c r="A103" s="8"/>
      <c r="B103" s="8"/>
      <c r="C103" s="8"/>
      <c r="D103" s="8"/>
      <c r="E103" s="8"/>
      <c r="F103" s="8"/>
      <c r="G103" s="47"/>
      <c r="H103" s="9"/>
    </row>
    <row r="104" spans="1:8" x14ac:dyDescent="0.45">
      <c r="A104" s="8"/>
      <c r="B104" s="8"/>
      <c r="C104" s="8"/>
      <c r="D104" s="8"/>
      <c r="E104" s="8"/>
      <c r="F104" s="8"/>
      <c r="G104" s="47"/>
      <c r="H104" s="9"/>
    </row>
    <row r="105" spans="1:8" x14ac:dyDescent="0.45">
      <c r="A105" s="8"/>
      <c r="B105" s="8"/>
      <c r="C105" s="8"/>
      <c r="D105" s="8"/>
      <c r="E105" s="8"/>
      <c r="F105" s="8"/>
      <c r="G105" s="47"/>
      <c r="H105" s="9"/>
    </row>
    <row r="106" spans="1:8" x14ac:dyDescent="0.45">
      <c r="A106" s="8"/>
      <c r="B106" s="8"/>
      <c r="C106" s="8"/>
      <c r="D106" s="8"/>
      <c r="E106" s="8"/>
      <c r="F106" s="8"/>
      <c r="G106" s="47"/>
      <c r="H106" s="9"/>
    </row>
    <row r="107" spans="1:8" x14ac:dyDescent="0.45">
      <c r="A107" s="8"/>
      <c r="B107" s="8"/>
      <c r="C107" s="8"/>
      <c r="D107" s="8"/>
      <c r="E107" s="8"/>
      <c r="F107" s="8"/>
      <c r="G107" s="47"/>
      <c r="H107" s="9"/>
    </row>
    <row r="108" spans="1:8" x14ac:dyDescent="0.45">
      <c r="A108" s="8"/>
      <c r="B108" s="8"/>
      <c r="C108" s="8"/>
      <c r="D108" s="8"/>
      <c r="E108" s="8"/>
      <c r="F108" s="8"/>
      <c r="G108" s="47"/>
      <c r="H108" s="9"/>
    </row>
    <row r="109" spans="1:8" x14ac:dyDescent="0.45">
      <c r="A109" s="8"/>
      <c r="B109" s="8"/>
      <c r="C109" s="8"/>
      <c r="D109" s="8"/>
      <c r="E109" s="8"/>
      <c r="F109" s="8"/>
      <c r="G109" s="47"/>
      <c r="H109" s="9"/>
    </row>
    <row r="110" spans="1:8" x14ac:dyDescent="0.45">
      <c r="A110" s="8"/>
      <c r="B110" s="8"/>
      <c r="C110" s="8"/>
      <c r="D110" s="8"/>
      <c r="E110" s="8"/>
      <c r="F110" s="8"/>
      <c r="G110" s="47"/>
      <c r="H110" s="9"/>
    </row>
    <row r="111" spans="1:8" x14ac:dyDescent="0.45">
      <c r="A111" s="8"/>
      <c r="B111" s="8"/>
      <c r="C111" s="8"/>
      <c r="D111" s="8"/>
      <c r="E111" s="8"/>
      <c r="F111" s="8"/>
      <c r="G111" s="47"/>
      <c r="H111" s="9"/>
    </row>
    <row r="112" spans="1:8" x14ac:dyDescent="0.45">
      <c r="A112" s="8"/>
      <c r="B112" s="8"/>
      <c r="C112" s="8"/>
      <c r="D112" s="8"/>
      <c r="E112" s="8"/>
      <c r="F112" s="8"/>
      <c r="G112" s="47"/>
      <c r="H112" s="9"/>
    </row>
    <row r="113" spans="1:8" x14ac:dyDescent="0.45">
      <c r="A113" s="8"/>
      <c r="B113" s="8"/>
      <c r="C113" s="8"/>
      <c r="D113" s="8"/>
      <c r="E113" s="8"/>
      <c r="F113" s="8"/>
      <c r="G113" s="47"/>
      <c r="H113" s="9"/>
    </row>
    <row r="114" spans="1:8" x14ac:dyDescent="0.45">
      <c r="A114" s="8"/>
      <c r="B114" s="8"/>
      <c r="C114" s="8"/>
      <c r="D114" s="8"/>
      <c r="E114" s="8"/>
      <c r="F114" s="8"/>
      <c r="G114" s="47"/>
      <c r="H114" s="9"/>
    </row>
    <row r="115" spans="1:8" x14ac:dyDescent="0.45">
      <c r="A115" s="8"/>
      <c r="B115" s="8"/>
      <c r="C115" s="8"/>
      <c r="D115" s="8"/>
      <c r="E115" s="8"/>
      <c r="F115" s="8"/>
      <c r="G115" s="47"/>
      <c r="H115" s="9"/>
    </row>
    <row r="116" spans="1:8" x14ac:dyDescent="0.45">
      <c r="A116" s="8"/>
      <c r="B116" s="8"/>
      <c r="C116" s="8"/>
      <c r="D116" s="8"/>
      <c r="E116" s="8"/>
      <c r="F116" s="8"/>
      <c r="G116" s="47"/>
      <c r="H116" s="9"/>
    </row>
    <row r="117" spans="1:8" x14ac:dyDescent="0.45">
      <c r="A117" s="8"/>
      <c r="B117" s="8"/>
      <c r="C117" s="8"/>
      <c r="D117" s="8"/>
      <c r="E117" s="8"/>
      <c r="F117" s="8"/>
      <c r="G117" s="47"/>
      <c r="H117" s="9"/>
    </row>
    <row r="118" spans="1:8" x14ac:dyDescent="0.45">
      <c r="A118" s="8"/>
      <c r="B118" s="8"/>
      <c r="C118" s="8"/>
      <c r="D118" s="8"/>
      <c r="E118" s="8"/>
      <c r="F118" s="8"/>
      <c r="G118" s="47"/>
      <c r="H118" s="9"/>
    </row>
    <row r="119" spans="1:8" x14ac:dyDescent="0.45">
      <c r="A119" s="8"/>
      <c r="B119" s="8"/>
      <c r="C119" s="8"/>
      <c r="D119" s="8"/>
      <c r="E119" s="8"/>
      <c r="F119" s="8"/>
      <c r="G119" s="47"/>
      <c r="H119" s="9"/>
    </row>
    <row r="120" spans="1:8" x14ac:dyDescent="0.45">
      <c r="A120" s="8"/>
      <c r="B120" s="8"/>
      <c r="C120" s="8"/>
      <c r="D120" s="8"/>
      <c r="E120" s="8"/>
      <c r="F120" s="8"/>
      <c r="G120" s="47"/>
      <c r="H120" s="9"/>
    </row>
    <row r="121" spans="1:8" x14ac:dyDescent="0.45">
      <c r="A121" s="8"/>
      <c r="B121" s="8"/>
      <c r="C121" s="8"/>
      <c r="D121" s="8"/>
      <c r="E121" s="8"/>
      <c r="F121" s="8"/>
      <c r="G121" s="47"/>
      <c r="H121" s="9"/>
    </row>
    <row r="122" spans="1:8" x14ac:dyDescent="0.45">
      <c r="A122" s="8"/>
      <c r="B122" s="8"/>
      <c r="C122" s="8"/>
      <c r="D122" s="8"/>
      <c r="E122" s="8"/>
      <c r="F122" s="8"/>
      <c r="G122" s="47"/>
      <c r="H122" s="9"/>
    </row>
    <row r="123" spans="1:8" x14ac:dyDescent="0.45">
      <c r="A123" s="8"/>
      <c r="B123" s="8"/>
      <c r="C123" s="8"/>
      <c r="D123" s="8"/>
      <c r="E123" s="8"/>
      <c r="F123" s="8"/>
      <c r="G123" s="47"/>
      <c r="H123" s="9"/>
    </row>
    <row r="124" spans="1:8" x14ac:dyDescent="0.45">
      <c r="A124" s="8"/>
      <c r="B124" s="8"/>
      <c r="C124" s="8"/>
      <c r="D124" s="8"/>
      <c r="E124" s="8"/>
      <c r="F124" s="8"/>
      <c r="G124" s="47"/>
      <c r="H124" s="9"/>
    </row>
    <row r="125" spans="1:8" x14ac:dyDescent="0.45">
      <c r="A125" s="8"/>
      <c r="B125" s="8"/>
      <c r="C125" s="8"/>
      <c r="D125" s="8"/>
      <c r="E125" s="8"/>
      <c r="F125" s="8"/>
      <c r="G125" s="47"/>
      <c r="H125" s="9"/>
    </row>
    <row r="126" spans="1:8" x14ac:dyDescent="0.45">
      <c r="A126" s="8"/>
      <c r="B126" s="8"/>
      <c r="C126" s="8"/>
      <c r="D126" s="8"/>
      <c r="E126" s="8"/>
      <c r="F126" s="8"/>
      <c r="G126" s="47"/>
      <c r="H126" s="9"/>
    </row>
    <row r="127" spans="1:8" x14ac:dyDescent="0.45">
      <c r="A127" s="8"/>
      <c r="B127" s="8"/>
      <c r="C127" s="8"/>
      <c r="D127" s="8"/>
      <c r="E127" s="8"/>
      <c r="F127" s="8"/>
      <c r="G127" s="47"/>
      <c r="H127" s="9"/>
    </row>
    <row r="128" spans="1:8" x14ac:dyDescent="0.45">
      <c r="A128" s="8"/>
      <c r="B128" s="8"/>
      <c r="C128" s="8"/>
      <c r="D128" s="8"/>
      <c r="E128" s="8"/>
      <c r="F128" s="8"/>
      <c r="G128" s="47"/>
      <c r="H128" s="9"/>
    </row>
    <row r="129" spans="1:8" x14ac:dyDescent="0.45">
      <c r="A129" s="8"/>
      <c r="B129" s="8"/>
      <c r="C129" s="8"/>
      <c r="D129" s="8"/>
      <c r="E129" s="8"/>
      <c r="F129" s="8"/>
      <c r="G129" s="47"/>
      <c r="H129" s="9"/>
    </row>
    <row r="130" spans="1:8" x14ac:dyDescent="0.45">
      <c r="A130" s="8"/>
      <c r="B130" s="8"/>
      <c r="C130" s="8"/>
      <c r="D130" s="8"/>
      <c r="E130" s="8"/>
      <c r="F130" s="8"/>
      <c r="G130" s="47"/>
      <c r="H130" s="9"/>
    </row>
    <row r="131" spans="1:8" x14ac:dyDescent="0.45">
      <c r="A131" s="8"/>
      <c r="B131" s="8"/>
      <c r="C131" s="8"/>
      <c r="D131" s="8"/>
      <c r="E131" s="8"/>
      <c r="F131" s="8"/>
      <c r="G131" s="47"/>
      <c r="H131" s="9"/>
    </row>
    <row r="132" spans="1:8" x14ac:dyDescent="0.45">
      <c r="A132" s="8"/>
      <c r="B132" s="8"/>
      <c r="C132" s="8"/>
      <c r="D132" s="8"/>
      <c r="E132" s="8"/>
      <c r="F132" s="8"/>
      <c r="G132" s="47"/>
      <c r="H132" s="9"/>
    </row>
    <row r="133" spans="1:8" x14ac:dyDescent="0.45">
      <c r="A133" s="8"/>
      <c r="B133" s="8"/>
      <c r="C133" s="8"/>
      <c r="D133" s="8"/>
      <c r="E133" s="8"/>
      <c r="F133" s="8"/>
      <c r="G133" s="47"/>
      <c r="H133" s="9"/>
    </row>
    <row r="134" spans="1:8" x14ac:dyDescent="0.45">
      <c r="A134" s="8"/>
      <c r="B134" s="8"/>
      <c r="C134" s="8"/>
      <c r="D134" s="8"/>
      <c r="E134" s="8"/>
      <c r="F134" s="8"/>
      <c r="G134" s="47"/>
      <c r="H134" s="9"/>
    </row>
    <row r="135" spans="1:8" x14ac:dyDescent="0.45">
      <c r="A135" s="8"/>
      <c r="B135" s="8"/>
      <c r="C135" s="8"/>
      <c r="D135" s="8"/>
      <c r="E135" s="8"/>
      <c r="F135" s="8"/>
      <c r="G135" s="47"/>
      <c r="H135" s="9"/>
    </row>
    <row r="136" spans="1:8" x14ac:dyDescent="0.45">
      <c r="A136" s="8"/>
      <c r="B136" s="8"/>
      <c r="C136" s="8"/>
      <c r="D136" s="8"/>
      <c r="E136" s="8"/>
      <c r="F136" s="8"/>
      <c r="G136" s="47"/>
      <c r="H136" s="9"/>
    </row>
    <row r="137" spans="1:8" x14ac:dyDescent="0.45">
      <c r="A137" s="8"/>
      <c r="B137" s="8"/>
      <c r="C137" s="8"/>
      <c r="D137" s="8"/>
      <c r="E137" s="8"/>
      <c r="F137" s="8"/>
      <c r="G137" s="47"/>
      <c r="H137" s="9"/>
    </row>
    <row r="138" spans="1:8" x14ac:dyDescent="0.45">
      <c r="A138" s="8"/>
      <c r="B138" s="8"/>
      <c r="C138" s="8"/>
      <c r="D138" s="8"/>
      <c r="E138" s="8"/>
      <c r="F138" s="8"/>
      <c r="G138" s="47"/>
      <c r="H138" s="9"/>
    </row>
    <row r="139" spans="1:8" x14ac:dyDescent="0.45">
      <c r="A139" s="8"/>
      <c r="B139" s="8"/>
      <c r="C139" s="8"/>
      <c r="D139" s="8"/>
      <c r="E139" s="8"/>
      <c r="F139" s="8"/>
      <c r="G139" s="47"/>
      <c r="H139" s="9"/>
    </row>
    <row r="140" spans="1:8" x14ac:dyDescent="0.45">
      <c r="A140" s="8"/>
      <c r="B140" s="8"/>
      <c r="C140" s="8"/>
      <c r="D140" s="8"/>
      <c r="E140" s="8"/>
      <c r="F140" s="8"/>
      <c r="G140" s="47"/>
      <c r="H140" s="9"/>
    </row>
    <row r="141" spans="1:8" x14ac:dyDescent="0.45">
      <c r="A141" s="8"/>
      <c r="B141" s="8"/>
      <c r="C141" s="8"/>
      <c r="D141" s="8"/>
      <c r="E141" s="8"/>
      <c r="F141" s="8"/>
      <c r="G141" s="47"/>
      <c r="H141" s="9"/>
    </row>
    <row r="142" spans="1:8" x14ac:dyDescent="0.45">
      <c r="A142" s="8"/>
      <c r="B142" s="8"/>
      <c r="C142" s="8"/>
      <c r="D142" s="8"/>
      <c r="E142" s="8"/>
      <c r="F142" s="8"/>
      <c r="G142" s="47"/>
      <c r="H142" s="9"/>
    </row>
    <row r="143" spans="1:8" x14ac:dyDescent="0.45">
      <c r="A143" s="8"/>
      <c r="B143" s="8"/>
      <c r="C143" s="8"/>
      <c r="D143" s="8"/>
      <c r="E143" s="8"/>
      <c r="F143" s="8"/>
      <c r="G143" s="47"/>
      <c r="H143" s="9"/>
    </row>
    <row r="144" spans="1:8" x14ac:dyDescent="0.45">
      <c r="A144" s="8"/>
      <c r="B144" s="8"/>
      <c r="C144" s="8"/>
      <c r="D144" s="8"/>
      <c r="E144" s="8"/>
      <c r="F144" s="8"/>
      <c r="G144" s="47"/>
      <c r="H144" s="9"/>
    </row>
    <row r="145" spans="1:8" x14ac:dyDescent="0.45">
      <c r="A145" s="8"/>
      <c r="B145" s="8"/>
      <c r="C145" s="8"/>
      <c r="D145" s="8"/>
      <c r="E145" s="8"/>
      <c r="F145" s="8"/>
      <c r="G145" s="47"/>
      <c r="H145" s="9"/>
    </row>
    <row r="146" spans="1:8" x14ac:dyDescent="0.45">
      <c r="A146" s="8"/>
      <c r="B146" s="8"/>
      <c r="C146" s="8"/>
      <c r="D146" s="8"/>
      <c r="E146" s="8"/>
      <c r="F146" s="8"/>
      <c r="G146" s="47"/>
      <c r="H146" s="9"/>
    </row>
    <row r="147" spans="1:8" x14ac:dyDescent="0.45">
      <c r="A147" s="8"/>
      <c r="B147" s="8"/>
      <c r="C147" s="8"/>
      <c r="D147" s="8"/>
      <c r="E147" s="8"/>
      <c r="F147" s="8"/>
      <c r="G147" s="47"/>
      <c r="H147" s="9"/>
    </row>
    <row r="148" spans="1:8" x14ac:dyDescent="0.45">
      <c r="A148" s="8"/>
      <c r="B148" s="8"/>
      <c r="C148" s="8"/>
      <c r="D148" s="8"/>
      <c r="E148" s="8"/>
      <c r="F148" s="8"/>
      <c r="G148" s="47"/>
      <c r="H148" s="9"/>
    </row>
    <row r="149" spans="1:8" x14ac:dyDescent="0.45">
      <c r="A149" s="8"/>
      <c r="B149" s="8"/>
      <c r="C149" s="8"/>
      <c r="D149" s="8"/>
      <c r="E149" s="8"/>
      <c r="F149" s="8"/>
      <c r="G149" s="47"/>
      <c r="H149" s="9"/>
    </row>
    <row r="150" spans="1:8" x14ac:dyDescent="0.45">
      <c r="A150" s="8"/>
      <c r="B150" s="8"/>
      <c r="C150" s="8"/>
      <c r="D150" s="8"/>
      <c r="E150" s="8"/>
      <c r="F150" s="8"/>
      <c r="G150" s="47"/>
      <c r="H150" s="9"/>
    </row>
    <row r="151" spans="1:8" x14ac:dyDescent="0.45">
      <c r="A151" s="8"/>
      <c r="B151" s="8"/>
      <c r="C151" s="8"/>
      <c r="D151" s="8"/>
      <c r="E151" s="8"/>
      <c r="F151" s="8"/>
      <c r="G151" s="47"/>
      <c r="H151" s="9"/>
    </row>
    <row r="152" spans="1:8" x14ac:dyDescent="0.45">
      <c r="A152" s="8"/>
      <c r="B152" s="8"/>
      <c r="C152" s="8"/>
      <c r="D152" s="8"/>
      <c r="E152" s="8"/>
      <c r="F152" s="8"/>
      <c r="G152" s="47"/>
      <c r="H152" s="9"/>
    </row>
    <row r="153" spans="1:8" x14ac:dyDescent="0.45">
      <c r="A153" s="8"/>
      <c r="B153" s="8"/>
      <c r="C153" s="8"/>
      <c r="D153" s="8"/>
      <c r="E153" s="8"/>
      <c r="F153" s="8"/>
      <c r="G153" s="47"/>
      <c r="H153" s="9"/>
    </row>
    <row r="154" spans="1:8" x14ac:dyDescent="0.45">
      <c r="A154" s="8"/>
      <c r="B154" s="8"/>
      <c r="C154" s="8"/>
      <c r="D154" s="8"/>
      <c r="E154" s="8"/>
      <c r="F154" s="8"/>
      <c r="G154" s="47"/>
      <c r="H154" s="9"/>
    </row>
    <row r="155" spans="1:8" x14ac:dyDescent="0.45">
      <c r="A155" s="8"/>
      <c r="B155" s="8"/>
      <c r="C155" s="8"/>
      <c r="D155" s="8"/>
      <c r="E155" s="8"/>
      <c r="F155" s="8"/>
      <c r="G155" s="47"/>
      <c r="H155" s="9"/>
    </row>
    <row r="156" spans="1:8" x14ac:dyDescent="0.45">
      <c r="A156" s="8"/>
      <c r="B156" s="8"/>
      <c r="C156" s="8"/>
      <c r="D156" s="8"/>
      <c r="E156" s="8"/>
      <c r="F156" s="8"/>
      <c r="G156" s="47"/>
      <c r="H156" s="9"/>
    </row>
    <row r="157" spans="1:8" x14ac:dyDescent="0.45">
      <c r="A157" s="8"/>
      <c r="B157" s="8"/>
      <c r="C157" s="8"/>
      <c r="D157" s="8"/>
      <c r="E157" s="8"/>
      <c r="F157" s="8"/>
      <c r="G157" s="47"/>
      <c r="H157" s="9"/>
    </row>
    <row r="158" spans="1:8" x14ac:dyDescent="0.45">
      <c r="A158" s="8"/>
      <c r="B158" s="8"/>
      <c r="C158" s="8"/>
      <c r="D158" s="8"/>
      <c r="E158" s="8"/>
      <c r="F158" s="8"/>
      <c r="G158" s="47"/>
      <c r="H158" s="9"/>
    </row>
    <row r="159" spans="1:8" x14ac:dyDescent="0.45">
      <c r="A159" s="8"/>
      <c r="B159" s="8"/>
      <c r="C159" s="8"/>
      <c r="D159" s="8"/>
      <c r="E159" s="8"/>
      <c r="F159" s="8"/>
      <c r="G159" s="47"/>
      <c r="H159" s="9"/>
    </row>
    <row r="160" spans="1:8" x14ac:dyDescent="0.45">
      <c r="A160" s="8"/>
      <c r="B160" s="8"/>
      <c r="C160" s="8"/>
      <c r="D160" s="8"/>
      <c r="E160" s="8"/>
      <c r="F160" s="8"/>
      <c r="G160" s="47"/>
      <c r="H160" s="9"/>
    </row>
    <row r="161" spans="1:8" x14ac:dyDescent="0.45">
      <c r="A161" s="8"/>
      <c r="B161" s="8"/>
      <c r="C161" s="8"/>
      <c r="D161" s="8"/>
      <c r="E161" s="8"/>
      <c r="F161" s="8"/>
      <c r="G161" s="47"/>
      <c r="H161" s="9"/>
    </row>
    <row r="162" spans="1:8" x14ac:dyDescent="0.45">
      <c r="A162" s="8"/>
      <c r="B162" s="8"/>
      <c r="C162" s="8"/>
      <c r="D162" s="8"/>
      <c r="E162" s="8"/>
      <c r="F162" s="8"/>
      <c r="G162" s="47"/>
      <c r="H162" s="9"/>
    </row>
    <row r="163" spans="1:8" x14ac:dyDescent="0.45">
      <c r="A163" s="8"/>
      <c r="B163" s="8"/>
      <c r="C163" s="8"/>
      <c r="D163" s="8"/>
      <c r="E163" s="8"/>
      <c r="F163" s="8"/>
      <c r="G163" s="47"/>
      <c r="H163" s="9"/>
    </row>
    <row r="164" spans="1:8" x14ac:dyDescent="0.45">
      <c r="A164" s="8"/>
      <c r="B164" s="8"/>
      <c r="C164" s="8"/>
      <c r="D164" s="8"/>
      <c r="E164" s="8"/>
      <c r="F164" s="8"/>
      <c r="G164" s="47"/>
      <c r="H164" s="9"/>
    </row>
    <row r="165" spans="1:8" x14ac:dyDescent="0.45">
      <c r="A165" s="8"/>
      <c r="B165" s="8"/>
      <c r="C165" s="8"/>
      <c r="D165" s="8"/>
      <c r="E165" s="8"/>
      <c r="F165" s="8"/>
      <c r="G165" s="47"/>
      <c r="H165" s="9"/>
    </row>
    <row r="166" spans="1:8" x14ac:dyDescent="0.45">
      <c r="A166" s="8"/>
      <c r="B166" s="8"/>
      <c r="C166" s="8"/>
      <c r="D166" s="8"/>
      <c r="E166" s="8"/>
      <c r="F166" s="8"/>
      <c r="G166" s="47"/>
      <c r="H166" s="9"/>
    </row>
    <row r="167" spans="1:8" x14ac:dyDescent="0.45">
      <c r="A167" s="8"/>
      <c r="B167" s="8"/>
      <c r="C167" s="8"/>
      <c r="D167" s="8"/>
      <c r="E167" s="8"/>
      <c r="F167" s="8"/>
      <c r="G167" s="47"/>
      <c r="H167" s="9"/>
    </row>
    <row r="168" spans="1:8" x14ac:dyDescent="0.45">
      <c r="A168" s="8"/>
      <c r="B168" s="8"/>
      <c r="C168" s="8"/>
      <c r="D168" s="8"/>
      <c r="E168" s="8"/>
      <c r="F168" s="8"/>
      <c r="G168" s="47"/>
      <c r="H168" s="9"/>
    </row>
    <row r="169" spans="1:8" x14ac:dyDescent="0.45">
      <c r="A169" s="8"/>
      <c r="B169" s="8"/>
      <c r="C169" s="8"/>
      <c r="D169" s="8"/>
      <c r="E169" s="8"/>
      <c r="F169" s="8"/>
      <c r="G169" s="47"/>
      <c r="H169" s="9"/>
    </row>
    <row r="170" spans="1:8" x14ac:dyDescent="0.45">
      <c r="A170" s="8"/>
      <c r="B170" s="8"/>
      <c r="C170" s="8"/>
      <c r="D170" s="8"/>
      <c r="E170" s="8"/>
      <c r="F170" s="8"/>
      <c r="G170" s="47"/>
      <c r="H170" s="9"/>
    </row>
    <row r="171" spans="1:8" x14ac:dyDescent="0.45">
      <c r="A171" s="8"/>
      <c r="B171" s="8"/>
      <c r="C171" s="8"/>
      <c r="D171" s="8"/>
      <c r="E171" s="8"/>
      <c r="F171" s="8"/>
      <c r="G171" s="47"/>
      <c r="H171" s="9"/>
    </row>
    <row r="172" spans="1:8" x14ac:dyDescent="0.45">
      <c r="A172" s="8"/>
      <c r="B172" s="8"/>
      <c r="C172" s="8"/>
      <c r="D172" s="8"/>
      <c r="E172" s="8"/>
      <c r="F172" s="8"/>
      <c r="G172" s="47"/>
      <c r="H172" s="9"/>
    </row>
    <row r="173" spans="1:8" x14ac:dyDescent="0.45">
      <c r="A173" s="8"/>
      <c r="B173" s="8"/>
      <c r="C173" s="8"/>
      <c r="D173" s="8"/>
      <c r="E173" s="8"/>
      <c r="F173" s="8"/>
      <c r="G173" s="47"/>
      <c r="H173" s="9"/>
    </row>
    <row r="174" spans="1:8" x14ac:dyDescent="0.45">
      <c r="A174" s="8"/>
      <c r="B174" s="8"/>
      <c r="C174" s="8"/>
      <c r="D174" s="8"/>
      <c r="E174" s="8"/>
      <c r="F174" s="8"/>
      <c r="G174" s="47"/>
      <c r="H174" s="9"/>
    </row>
    <row r="175" spans="1:8" x14ac:dyDescent="0.45">
      <c r="A175" s="8"/>
      <c r="B175" s="8"/>
      <c r="C175" s="8"/>
      <c r="D175" s="8"/>
      <c r="E175" s="8"/>
      <c r="F175" s="8"/>
      <c r="G175" s="47"/>
      <c r="H175" s="9"/>
    </row>
    <row r="176" spans="1:8" x14ac:dyDescent="0.45">
      <c r="A176" s="8"/>
      <c r="B176" s="8"/>
      <c r="C176" s="8"/>
      <c r="D176" s="8"/>
      <c r="E176" s="8"/>
      <c r="F176" s="8"/>
      <c r="G176" s="47"/>
      <c r="H176" s="9"/>
    </row>
    <row r="177" spans="1:8" x14ac:dyDescent="0.45">
      <c r="A177" s="8"/>
      <c r="B177" s="8"/>
      <c r="C177" s="8"/>
      <c r="D177" s="8"/>
      <c r="E177" s="8"/>
      <c r="F177" s="8"/>
      <c r="G177" s="47"/>
      <c r="H177" s="9"/>
    </row>
    <row r="178" spans="1:8" x14ac:dyDescent="0.45">
      <c r="A178" s="8"/>
      <c r="B178" s="8"/>
      <c r="C178" s="8"/>
      <c r="D178" s="8"/>
      <c r="E178" s="8"/>
      <c r="F178" s="8"/>
      <c r="G178" s="47"/>
      <c r="H178" s="9"/>
    </row>
    <row r="179" spans="1:8" x14ac:dyDescent="0.45">
      <c r="A179" s="8"/>
      <c r="B179" s="8"/>
      <c r="C179" s="8"/>
      <c r="D179" s="8"/>
      <c r="E179" s="8"/>
      <c r="F179" s="8"/>
      <c r="G179" s="47"/>
      <c r="H179" s="9"/>
    </row>
    <row r="180" spans="1:8" x14ac:dyDescent="0.45">
      <c r="A180" s="8"/>
      <c r="B180" s="8"/>
      <c r="C180" s="8"/>
      <c r="D180" s="8"/>
      <c r="E180" s="8"/>
      <c r="F180" s="8"/>
      <c r="G180" s="47"/>
      <c r="H180" s="9"/>
    </row>
    <row r="181" spans="1:8" x14ac:dyDescent="0.45">
      <c r="A181" s="8"/>
      <c r="B181" s="8"/>
      <c r="C181" s="8"/>
      <c r="D181" s="8"/>
      <c r="E181" s="8"/>
      <c r="F181" s="8"/>
      <c r="G181" s="47"/>
      <c r="H181" s="9"/>
    </row>
    <row r="182" spans="1:8" x14ac:dyDescent="0.45">
      <c r="A182" s="8"/>
      <c r="B182" s="8"/>
      <c r="C182" s="8"/>
      <c r="D182" s="8"/>
      <c r="E182" s="8"/>
      <c r="F182" s="8"/>
      <c r="G182" s="47"/>
      <c r="H182" s="9"/>
    </row>
    <row r="183" spans="1:8" x14ac:dyDescent="0.45">
      <c r="A183" s="8"/>
      <c r="B183" s="8"/>
      <c r="C183" s="8"/>
      <c r="D183" s="8"/>
      <c r="E183" s="8"/>
      <c r="F183" s="8"/>
      <c r="G183" s="47"/>
      <c r="H183" s="9"/>
    </row>
    <row r="184" spans="1:8" x14ac:dyDescent="0.45">
      <c r="A184" s="8"/>
      <c r="B184" s="8"/>
      <c r="C184" s="8"/>
      <c r="D184" s="8"/>
      <c r="E184" s="8"/>
      <c r="F184" s="8"/>
      <c r="G184" s="47"/>
      <c r="H184" s="9"/>
    </row>
    <row r="185" spans="1:8" x14ac:dyDescent="0.45">
      <c r="A185" s="8"/>
      <c r="B185" s="8"/>
      <c r="C185" s="8"/>
      <c r="D185" s="8"/>
      <c r="E185" s="8"/>
      <c r="F185" s="8"/>
      <c r="G185" s="47"/>
      <c r="H185" s="9"/>
    </row>
    <row r="186" spans="1:8" x14ac:dyDescent="0.45">
      <c r="A186" s="8"/>
      <c r="B186" s="8"/>
      <c r="C186" s="8"/>
      <c r="D186" s="8"/>
      <c r="E186" s="8"/>
      <c r="F186" s="8"/>
      <c r="G186" s="47"/>
      <c r="H186" s="9"/>
    </row>
    <row r="187" spans="1:8" x14ac:dyDescent="0.45">
      <c r="A187" s="8"/>
      <c r="B187" s="8"/>
      <c r="C187" s="8"/>
      <c r="D187" s="8"/>
      <c r="E187" s="8"/>
      <c r="F187" s="8"/>
      <c r="G187" s="47"/>
      <c r="H187" s="9"/>
    </row>
    <row r="188" spans="1:8" x14ac:dyDescent="0.45">
      <c r="A188" s="8"/>
      <c r="B188" s="8"/>
      <c r="C188" s="8"/>
      <c r="D188" s="8"/>
      <c r="E188" s="8"/>
      <c r="F188" s="8"/>
      <c r="G188" s="47"/>
      <c r="H188" s="9"/>
    </row>
    <row r="189" spans="1:8" x14ac:dyDescent="0.45">
      <c r="A189" s="8"/>
      <c r="B189" s="8"/>
      <c r="C189" s="8"/>
      <c r="D189" s="8"/>
      <c r="E189" s="8"/>
      <c r="F189" s="8"/>
      <c r="G189" s="47"/>
      <c r="H189" s="9"/>
    </row>
    <row r="190" spans="1:8" x14ac:dyDescent="0.45">
      <c r="A190" s="8"/>
      <c r="B190" s="8"/>
      <c r="C190" s="8"/>
      <c r="D190" s="8"/>
      <c r="E190" s="8"/>
      <c r="F190" s="8"/>
      <c r="G190" s="47"/>
      <c r="H190" s="9"/>
    </row>
    <row r="191" spans="1:8" x14ac:dyDescent="0.45">
      <c r="A191" s="8"/>
      <c r="B191" s="8"/>
      <c r="C191" s="8"/>
      <c r="D191" s="8"/>
      <c r="E191" s="8"/>
      <c r="F191" s="8"/>
      <c r="G191" s="47"/>
      <c r="H191" s="9"/>
    </row>
    <row r="192" spans="1:8" x14ac:dyDescent="0.45">
      <c r="A192" s="8"/>
      <c r="B192" s="8"/>
      <c r="C192" s="8"/>
      <c r="D192" s="8"/>
      <c r="E192" s="8"/>
      <c r="F192" s="8"/>
      <c r="G192" s="47"/>
      <c r="H192" s="9"/>
    </row>
    <row r="193" spans="1:8" x14ac:dyDescent="0.45">
      <c r="A193" s="8"/>
      <c r="B193" s="8"/>
      <c r="C193" s="8"/>
      <c r="D193" s="8"/>
      <c r="E193" s="8"/>
      <c r="F193" s="8"/>
      <c r="G193" s="47"/>
      <c r="H193" s="9"/>
    </row>
    <row r="194" spans="1:8" x14ac:dyDescent="0.45">
      <c r="A194" s="8"/>
      <c r="B194" s="8"/>
      <c r="C194" s="8"/>
      <c r="D194" s="8"/>
      <c r="E194" s="8"/>
      <c r="F194" s="8"/>
      <c r="G194" s="47"/>
      <c r="H194" s="9"/>
    </row>
    <row r="195" spans="1:8" x14ac:dyDescent="0.45">
      <c r="A195" s="8"/>
      <c r="B195" s="8"/>
      <c r="C195" s="8"/>
      <c r="D195" s="8"/>
      <c r="E195" s="8"/>
      <c r="F195" s="8"/>
      <c r="G195" s="47"/>
      <c r="H195" s="9"/>
    </row>
    <row r="196" spans="1:8" x14ac:dyDescent="0.45">
      <c r="A196" s="8"/>
      <c r="B196" s="8"/>
      <c r="C196" s="8"/>
      <c r="D196" s="8"/>
      <c r="E196" s="8"/>
      <c r="F196" s="8"/>
      <c r="G196" s="47"/>
      <c r="H196" s="9"/>
    </row>
    <row r="197" spans="1:8" x14ac:dyDescent="0.45">
      <c r="A197" s="8"/>
      <c r="B197" s="8"/>
      <c r="C197" s="8"/>
      <c r="D197" s="8"/>
      <c r="E197" s="8"/>
      <c r="F197" s="8"/>
      <c r="G197" s="47"/>
      <c r="H197" s="9"/>
    </row>
    <row r="198" spans="1:8" x14ac:dyDescent="0.45">
      <c r="A198" s="8"/>
      <c r="B198" s="8"/>
      <c r="C198" s="8"/>
      <c r="D198" s="8"/>
      <c r="E198" s="8"/>
      <c r="F198" s="8"/>
      <c r="G198" s="47"/>
      <c r="H198" s="9"/>
    </row>
    <row r="199" spans="1:8" x14ac:dyDescent="0.45">
      <c r="A199" s="8"/>
      <c r="B199" s="8"/>
      <c r="C199" s="8"/>
      <c r="D199" s="8"/>
      <c r="E199" s="8"/>
      <c r="F199" s="8"/>
      <c r="G199" s="47"/>
      <c r="H199" s="9"/>
    </row>
    <row r="200" spans="1:8" x14ac:dyDescent="0.45">
      <c r="A200" s="8"/>
      <c r="B200" s="8"/>
      <c r="C200" s="8"/>
      <c r="D200" s="8"/>
      <c r="E200" s="8"/>
      <c r="F200" s="8"/>
      <c r="G200" s="47"/>
      <c r="H200" s="9"/>
    </row>
    <row r="201" spans="1:8" x14ac:dyDescent="0.45">
      <c r="A201" s="8"/>
      <c r="B201" s="8"/>
      <c r="C201" s="8"/>
      <c r="D201" s="8"/>
      <c r="E201" s="8"/>
      <c r="F201" s="8"/>
      <c r="G201" s="47"/>
      <c r="H201" s="9"/>
    </row>
    <row r="202" spans="1:8" x14ac:dyDescent="0.45">
      <c r="A202" s="8"/>
      <c r="B202" s="8"/>
      <c r="C202" s="8"/>
      <c r="D202" s="8"/>
      <c r="E202" s="8"/>
      <c r="F202" s="8"/>
      <c r="G202" s="47"/>
      <c r="H202" s="9"/>
    </row>
    <row r="203" spans="1:8" x14ac:dyDescent="0.45">
      <c r="A203" s="8"/>
      <c r="B203" s="8"/>
      <c r="C203" s="8"/>
      <c r="D203" s="8"/>
      <c r="E203" s="8"/>
      <c r="F203" s="8"/>
      <c r="G203" s="47"/>
      <c r="H203" s="9"/>
    </row>
    <row r="204" spans="1:8" x14ac:dyDescent="0.45">
      <c r="A204" s="8"/>
      <c r="B204" s="8"/>
      <c r="C204" s="8"/>
      <c r="D204" s="8"/>
      <c r="E204" s="8"/>
      <c r="F204" s="8"/>
      <c r="G204" s="47"/>
      <c r="H204" s="9"/>
    </row>
    <row r="205" spans="1:8" x14ac:dyDescent="0.45">
      <c r="A205" s="8"/>
      <c r="B205" s="8"/>
      <c r="C205" s="8"/>
      <c r="D205" s="8"/>
      <c r="E205" s="8"/>
      <c r="F205" s="8"/>
      <c r="G205" s="47"/>
      <c r="H205" s="9"/>
    </row>
    <row r="206" spans="1:8" x14ac:dyDescent="0.45">
      <c r="A206" s="8"/>
      <c r="B206" s="8"/>
      <c r="C206" s="8"/>
      <c r="D206" s="8"/>
      <c r="E206" s="8"/>
      <c r="F206" s="8"/>
      <c r="G206" s="47"/>
      <c r="H206" s="9"/>
    </row>
    <row r="207" spans="1:8" x14ac:dyDescent="0.45">
      <c r="A207" s="8"/>
      <c r="B207" s="8"/>
      <c r="C207" s="8"/>
      <c r="D207" s="8"/>
      <c r="E207" s="8"/>
      <c r="F207" s="8"/>
      <c r="G207" s="47"/>
      <c r="H207" s="9"/>
    </row>
    <row r="208" spans="1:8" x14ac:dyDescent="0.45">
      <c r="A208" s="8"/>
      <c r="B208" s="8"/>
      <c r="C208" s="8"/>
      <c r="D208" s="8"/>
      <c r="E208" s="8"/>
      <c r="F208" s="8"/>
      <c r="G208" s="47"/>
      <c r="H208" s="9"/>
    </row>
    <row r="209" spans="1:8" x14ac:dyDescent="0.45">
      <c r="A209" s="8"/>
      <c r="B209" s="8"/>
      <c r="C209" s="8"/>
      <c r="D209" s="8"/>
      <c r="E209" s="8"/>
      <c r="F209" s="8"/>
      <c r="G209" s="47"/>
      <c r="H209" s="9"/>
    </row>
    <row r="210" spans="1:8" x14ac:dyDescent="0.45">
      <c r="A210" s="8"/>
      <c r="B210" s="8"/>
      <c r="C210" s="8"/>
      <c r="D210" s="8"/>
      <c r="E210" s="8"/>
      <c r="F210" s="8"/>
      <c r="G210" s="47"/>
      <c r="H210" s="9"/>
    </row>
    <row r="211" spans="1:8" x14ac:dyDescent="0.45">
      <c r="A211" s="8"/>
      <c r="B211" s="8"/>
      <c r="C211" s="8"/>
      <c r="D211" s="8"/>
      <c r="E211" s="8"/>
      <c r="F211" s="8"/>
      <c r="G211" s="47"/>
      <c r="H211" s="9"/>
    </row>
    <row r="212" spans="1:8" x14ac:dyDescent="0.45">
      <c r="A212" s="8"/>
      <c r="B212" s="8"/>
      <c r="C212" s="8"/>
      <c r="D212" s="8"/>
      <c r="E212" s="8"/>
      <c r="F212" s="8"/>
      <c r="G212" s="47"/>
      <c r="H212" s="9"/>
    </row>
    <row r="213" spans="1:8" x14ac:dyDescent="0.45">
      <c r="A213" s="8"/>
      <c r="B213" s="8"/>
      <c r="C213" s="8"/>
      <c r="D213" s="8"/>
      <c r="E213" s="8"/>
      <c r="F213" s="8"/>
      <c r="G213" s="47"/>
      <c r="H213" s="9"/>
    </row>
    <row r="214" spans="1:8" x14ac:dyDescent="0.45">
      <c r="A214" s="8"/>
      <c r="B214" s="8"/>
      <c r="C214" s="8"/>
      <c r="D214" s="8"/>
      <c r="E214" s="8"/>
      <c r="F214" s="8"/>
      <c r="G214" s="47"/>
      <c r="H214" s="9"/>
    </row>
    <row r="215" spans="1:8" x14ac:dyDescent="0.45">
      <c r="A215" s="8"/>
      <c r="B215" s="8"/>
      <c r="C215" s="8"/>
      <c r="D215" s="8"/>
      <c r="E215" s="8"/>
      <c r="F215" s="8"/>
      <c r="G215" s="47"/>
      <c r="H215" s="9"/>
    </row>
    <row r="216" spans="1:8" x14ac:dyDescent="0.45">
      <c r="A216" s="8"/>
      <c r="B216" s="8"/>
      <c r="C216" s="8"/>
      <c r="D216" s="8"/>
      <c r="E216" s="8"/>
      <c r="F216" s="8"/>
      <c r="G216" s="47"/>
      <c r="H216" s="9"/>
    </row>
    <row r="217" spans="1:8" x14ac:dyDescent="0.45">
      <c r="A217" s="8"/>
      <c r="B217" s="8"/>
      <c r="C217" s="8"/>
      <c r="D217" s="8"/>
      <c r="E217" s="8"/>
      <c r="F217" s="8"/>
      <c r="G217" s="47"/>
      <c r="H217" s="9"/>
    </row>
    <row r="218" spans="1:8" x14ac:dyDescent="0.45">
      <c r="A218" s="8"/>
      <c r="B218" s="8"/>
      <c r="C218" s="8"/>
      <c r="D218" s="8"/>
      <c r="E218" s="8"/>
      <c r="F218" s="8"/>
      <c r="G218" s="47"/>
      <c r="H218" s="9"/>
    </row>
    <row r="219" spans="1:8" x14ac:dyDescent="0.45">
      <c r="A219" s="8"/>
      <c r="B219" s="8"/>
      <c r="C219" s="8"/>
      <c r="D219" s="8"/>
      <c r="E219" s="8"/>
      <c r="F219" s="8"/>
      <c r="G219" s="47"/>
      <c r="H219" s="9"/>
    </row>
    <row r="220" spans="1:8" x14ac:dyDescent="0.45">
      <c r="A220" s="8"/>
      <c r="B220" s="8"/>
      <c r="C220" s="8"/>
      <c r="D220" s="8"/>
      <c r="E220" s="8"/>
      <c r="F220" s="8"/>
      <c r="G220" s="47"/>
      <c r="H220" s="9"/>
    </row>
    <row r="221" spans="1:8" x14ac:dyDescent="0.45">
      <c r="A221" s="8"/>
      <c r="B221" s="8"/>
      <c r="C221" s="8"/>
      <c r="D221" s="8"/>
      <c r="E221" s="8"/>
      <c r="F221" s="8"/>
      <c r="G221" s="47"/>
      <c r="H221" s="9"/>
    </row>
    <row r="222" spans="1:8" x14ac:dyDescent="0.45">
      <c r="A222" s="8"/>
      <c r="B222" s="8"/>
      <c r="C222" s="8"/>
      <c r="D222" s="8"/>
      <c r="E222" s="8"/>
      <c r="F222" s="8"/>
      <c r="G222" s="47"/>
      <c r="H222" s="9"/>
    </row>
    <row r="223" spans="1:8" x14ac:dyDescent="0.45">
      <c r="A223" s="8"/>
      <c r="B223" s="8"/>
      <c r="C223" s="8"/>
      <c r="D223" s="8"/>
      <c r="E223" s="8"/>
      <c r="F223" s="8"/>
      <c r="G223" s="47"/>
      <c r="H223" s="9"/>
    </row>
    <row r="224" spans="1:8" x14ac:dyDescent="0.45">
      <c r="A224" s="8"/>
      <c r="B224" s="8"/>
      <c r="C224" s="8"/>
      <c r="D224" s="8"/>
      <c r="E224" s="8"/>
      <c r="F224" s="8"/>
      <c r="G224" s="47"/>
      <c r="H224" s="9"/>
    </row>
    <row r="225" spans="1:8" x14ac:dyDescent="0.45">
      <c r="A225" s="8"/>
      <c r="B225" s="8"/>
      <c r="C225" s="8"/>
      <c r="D225" s="8"/>
      <c r="E225" s="8"/>
      <c r="F225" s="8"/>
      <c r="G225" s="47"/>
      <c r="H225" s="9"/>
    </row>
    <row r="226" spans="1:8" x14ac:dyDescent="0.45">
      <c r="A226" s="8"/>
      <c r="B226" s="8"/>
      <c r="C226" s="8"/>
      <c r="D226" s="8"/>
      <c r="E226" s="8"/>
      <c r="F226" s="8"/>
      <c r="G226" s="47"/>
      <c r="H226" s="9"/>
    </row>
    <row r="227" spans="1:8" x14ac:dyDescent="0.45">
      <c r="A227" s="8"/>
      <c r="B227" s="8"/>
      <c r="C227" s="8"/>
      <c r="D227" s="8"/>
      <c r="E227" s="8"/>
      <c r="F227" s="8"/>
      <c r="G227" s="47"/>
      <c r="H227" s="9"/>
    </row>
    <row r="228" spans="1:8" x14ac:dyDescent="0.45">
      <c r="A228" s="8"/>
      <c r="B228" s="8"/>
      <c r="C228" s="8"/>
      <c r="D228" s="8"/>
      <c r="E228" s="8"/>
      <c r="F228" s="8"/>
      <c r="G228" s="47"/>
      <c r="H228" s="9"/>
    </row>
    <row r="229" spans="1:8" x14ac:dyDescent="0.45">
      <c r="A229" s="8"/>
      <c r="B229" s="8"/>
      <c r="C229" s="8"/>
      <c r="D229" s="8"/>
      <c r="E229" s="8"/>
      <c r="F229" s="8"/>
      <c r="G229" s="47"/>
      <c r="H229" s="9"/>
    </row>
    <row r="230" spans="1:8" x14ac:dyDescent="0.45">
      <c r="A230" s="8"/>
      <c r="B230" s="8"/>
      <c r="C230" s="8"/>
      <c r="D230" s="8"/>
      <c r="E230" s="8"/>
      <c r="F230" s="8"/>
      <c r="G230" s="47"/>
      <c r="H230" s="9"/>
    </row>
    <row r="231" spans="1:8" x14ac:dyDescent="0.45">
      <c r="A231" s="8"/>
      <c r="B231" s="8"/>
      <c r="C231" s="8"/>
      <c r="D231" s="8"/>
      <c r="E231" s="8"/>
      <c r="F231" s="8"/>
      <c r="G231" s="47"/>
      <c r="H231" s="9"/>
    </row>
    <row r="232" spans="1:8" x14ac:dyDescent="0.45">
      <c r="A232" s="8"/>
      <c r="B232" s="8"/>
      <c r="C232" s="8"/>
      <c r="D232" s="8"/>
      <c r="E232" s="8"/>
      <c r="F232" s="8"/>
      <c r="G232" s="47"/>
      <c r="H232" s="9"/>
    </row>
    <row r="233" spans="1:8" x14ac:dyDescent="0.45">
      <c r="A233" s="8"/>
      <c r="B233" s="8"/>
      <c r="C233" s="8"/>
      <c r="D233" s="8"/>
      <c r="E233" s="8"/>
      <c r="F233" s="8"/>
      <c r="G233" s="47"/>
      <c r="H233" s="9"/>
    </row>
    <row r="234" spans="1:8" x14ac:dyDescent="0.45">
      <c r="A234" s="8"/>
      <c r="B234" s="8"/>
      <c r="C234" s="8"/>
      <c r="D234" s="8"/>
      <c r="E234" s="8"/>
      <c r="F234" s="8"/>
      <c r="G234" s="47"/>
      <c r="H234" s="9"/>
    </row>
    <row r="235" spans="1:8" x14ac:dyDescent="0.45">
      <c r="A235" s="8"/>
      <c r="B235" s="8"/>
      <c r="C235" s="8"/>
      <c r="D235" s="8"/>
      <c r="E235" s="8"/>
      <c r="F235" s="8"/>
      <c r="G235" s="47"/>
      <c r="H235" s="9"/>
    </row>
    <row r="236" spans="1:8" x14ac:dyDescent="0.45">
      <c r="A236" s="8"/>
      <c r="B236" s="8"/>
      <c r="C236" s="8"/>
      <c r="D236" s="8"/>
      <c r="E236" s="8"/>
      <c r="F236" s="8"/>
      <c r="G236" s="47"/>
      <c r="H236" s="9"/>
    </row>
    <row r="237" spans="1:8" x14ac:dyDescent="0.45">
      <c r="A237" s="8"/>
      <c r="B237" s="8"/>
      <c r="C237" s="8"/>
      <c r="D237" s="8"/>
      <c r="E237" s="8"/>
      <c r="F237" s="8"/>
      <c r="G237" s="47"/>
      <c r="H237" s="9"/>
    </row>
    <row r="238" spans="1:8" x14ac:dyDescent="0.45">
      <c r="A238" s="8"/>
      <c r="B238" s="8"/>
      <c r="C238" s="8"/>
      <c r="D238" s="8"/>
      <c r="E238" s="8"/>
      <c r="F238" s="8"/>
      <c r="G238" s="47"/>
      <c r="H238" s="9"/>
    </row>
    <row r="239" spans="1:8" x14ac:dyDescent="0.45">
      <c r="A239" s="8"/>
      <c r="B239" s="8"/>
      <c r="C239" s="8"/>
      <c r="D239" s="8"/>
      <c r="E239" s="8"/>
      <c r="F239" s="8"/>
      <c r="G239" s="47"/>
      <c r="H239" s="9"/>
    </row>
    <row r="240" spans="1:8" x14ac:dyDescent="0.45">
      <c r="A240" s="8"/>
      <c r="B240" s="8"/>
      <c r="C240" s="8"/>
      <c r="D240" s="8"/>
      <c r="E240" s="8"/>
      <c r="F240" s="8"/>
      <c r="G240" s="47"/>
      <c r="H240" s="9"/>
    </row>
    <row r="241" spans="1:8" x14ac:dyDescent="0.45">
      <c r="A241" s="8"/>
      <c r="B241" s="8"/>
      <c r="C241" s="8"/>
      <c r="D241" s="8"/>
      <c r="E241" s="8"/>
      <c r="F241" s="8"/>
      <c r="G241" s="47"/>
      <c r="H241" s="9"/>
    </row>
    <row r="242" spans="1:8" x14ac:dyDescent="0.45">
      <c r="A242" s="8"/>
      <c r="B242" s="8"/>
      <c r="C242" s="8"/>
      <c r="D242" s="8"/>
      <c r="E242" s="8"/>
      <c r="F242" s="8"/>
      <c r="G242" s="47"/>
      <c r="H242" s="9"/>
    </row>
    <row r="243" spans="1:8" x14ac:dyDescent="0.45">
      <c r="A243" s="8"/>
      <c r="B243" s="8"/>
      <c r="C243" s="8"/>
      <c r="D243" s="8"/>
      <c r="E243" s="8"/>
      <c r="F243" s="8"/>
      <c r="G243" s="47"/>
      <c r="H243" s="9"/>
    </row>
    <row r="244" spans="1:8" x14ac:dyDescent="0.45">
      <c r="A244" s="8"/>
      <c r="B244" s="8"/>
      <c r="C244" s="8"/>
      <c r="D244" s="8"/>
      <c r="E244" s="8"/>
      <c r="F244" s="8"/>
      <c r="G244" s="47"/>
      <c r="H244" s="9"/>
    </row>
    <row r="245" spans="1:8" x14ac:dyDescent="0.45">
      <c r="A245" s="8"/>
      <c r="B245" s="8"/>
      <c r="C245" s="8"/>
      <c r="D245" s="8"/>
      <c r="E245" s="8"/>
      <c r="F245" s="8"/>
      <c r="G245" s="47"/>
      <c r="H245" s="9"/>
    </row>
    <row r="246" spans="1:8" x14ac:dyDescent="0.45">
      <c r="A246" s="8"/>
      <c r="B246" s="8"/>
      <c r="C246" s="8"/>
      <c r="D246" s="8"/>
      <c r="E246" s="8"/>
      <c r="F246" s="8"/>
      <c r="G246" s="47"/>
      <c r="H246" s="9"/>
    </row>
    <row r="247" spans="1:8" x14ac:dyDescent="0.45">
      <c r="A247" s="8"/>
      <c r="B247" s="8"/>
      <c r="C247" s="8"/>
      <c r="D247" s="8"/>
      <c r="E247" s="8"/>
      <c r="F247" s="8"/>
      <c r="G247" s="47"/>
      <c r="H247" s="9"/>
    </row>
    <row r="248" spans="1:8" x14ac:dyDescent="0.45">
      <c r="A248" s="8"/>
      <c r="B248" s="8"/>
      <c r="C248" s="8"/>
      <c r="D248" s="8"/>
      <c r="E248" s="8"/>
      <c r="F248" s="8"/>
      <c r="G248" s="47"/>
      <c r="H248" s="9"/>
    </row>
    <row r="249" spans="1:8" x14ac:dyDescent="0.45">
      <c r="A249" s="8"/>
      <c r="B249" s="8"/>
      <c r="C249" s="8"/>
      <c r="D249" s="8"/>
      <c r="E249" s="8"/>
      <c r="F249" s="8"/>
      <c r="G249" s="47"/>
      <c r="H249" s="9"/>
    </row>
    <row r="250" spans="1:8" x14ac:dyDescent="0.45">
      <c r="A250" s="8"/>
      <c r="B250" s="8"/>
      <c r="C250" s="8"/>
      <c r="D250" s="8"/>
      <c r="E250" s="8"/>
      <c r="F250" s="8"/>
      <c r="G250" s="47"/>
      <c r="H250" s="9"/>
    </row>
    <row r="251" spans="1:8" x14ac:dyDescent="0.45">
      <c r="A251" s="8"/>
      <c r="B251" s="8"/>
      <c r="C251" s="8"/>
      <c r="D251" s="8"/>
      <c r="E251" s="8"/>
      <c r="F251" s="8"/>
      <c r="G251" s="47"/>
      <c r="H251" s="9"/>
    </row>
    <row r="252" spans="1:8" x14ac:dyDescent="0.45">
      <c r="A252" s="8"/>
      <c r="B252" s="8"/>
      <c r="C252" s="8"/>
      <c r="D252" s="8"/>
      <c r="E252" s="8"/>
      <c r="F252" s="8"/>
      <c r="G252" s="47"/>
      <c r="H252" s="9"/>
    </row>
    <row r="253" spans="1:8" x14ac:dyDescent="0.45">
      <c r="A253" s="8"/>
      <c r="B253" s="8"/>
      <c r="C253" s="8"/>
      <c r="D253" s="8"/>
      <c r="E253" s="8"/>
      <c r="F253" s="8"/>
      <c r="G253" s="47"/>
      <c r="H253" s="9"/>
    </row>
    <row r="254" spans="1:8" x14ac:dyDescent="0.45">
      <c r="A254" s="8"/>
      <c r="B254" s="8"/>
      <c r="C254" s="8"/>
      <c r="D254" s="8"/>
      <c r="E254" s="8"/>
      <c r="F254" s="8"/>
      <c r="G254" s="47"/>
      <c r="H254" s="9"/>
    </row>
    <row r="255" spans="1:8" x14ac:dyDescent="0.45">
      <c r="A255" s="8"/>
      <c r="B255" s="8"/>
      <c r="C255" s="8"/>
      <c r="D255" s="8"/>
      <c r="E255" s="8"/>
      <c r="F255" s="8"/>
      <c r="G255" s="47"/>
      <c r="H255" s="9"/>
    </row>
    <row r="256" spans="1:8" x14ac:dyDescent="0.45">
      <c r="A256" s="8"/>
      <c r="B256" s="8"/>
      <c r="C256" s="8"/>
      <c r="D256" s="8"/>
      <c r="E256" s="8"/>
      <c r="F256" s="8"/>
      <c r="G256" s="47"/>
      <c r="H256" s="9"/>
    </row>
    <row r="257" spans="1:8" x14ac:dyDescent="0.45">
      <c r="A257" s="8"/>
      <c r="B257" s="8"/>
      <c r="C257" s="8"/>
      <c r="D257" s="8"/>
      <c r="E257" s="8"/>
      <c r="F257" s="8"/>
      <c r="G257" s="47"/>
      <c r="H257" s="9"/>
    </row>
    <row r="258" spans="1:8" x14ac:dyDescent="0.45">
      <c r="A258" s="8"/>
      <c r="B258" s="8"/>
      <c r="C258" s="8"/>
      <c r="D258" s="8"/>
      <c r="E258" s="8"/>
      <c r="F258" s="8"/>
      <c r="G258" s="47"/>
      <c r="H258" s="9"/>
    </row>
    <row r="259" spans="1:8" x14ac:dyDescent="0.45">
      <c r="A259" s="8"/>
      <c r="B259" s="8"/>
      <c r="C259" s="8"/>
      <c r="D259" s="8"/>
      <c r="E259" s="8"/>
      <c r="F259" s="8"/>
      <c r="G259" s="47"/>
      <c r="H259" s="9"/>
    </row>
    <row r="260" spans="1:8" x14ac:dyDescent="0.45">
      <c r="A260" s="8"/>
      <c r="B260" s="8"/>
      <c r="C260" s="8"/>
      <c r="D260" s="8"/>
      <c r="E260" s="8"/>
      <c r="F260" s="8"/>
      <c r="G260" s="47"/>
      <c r="H260" s="9"/>
    </row>
    <row r="261" spans="1:8" x14ac:dyDescent="0.45">
      <c r="A261" s="8"/>
      <c r="B261" s="8"/>
      <c r="C261" s="8"/>
      <c r="D261" s="8"/>
      <c r="E261" s="8"/>
      <c r="F261" s="8"/>
      <c r="G261" s="47"/>
      <c r="H261" s="9"/>
    </row>
    <row r="262" spans="1:8" x14ac:dyDescent="0.45">
      <c r="A262" s="8"/>
      <c r="B262" s="8"/>
      <c r="C262" s="8"/>
      <c r="D262" s="8"/>
      <c r="E262" s="8"/>
      <c r="F262" s="8"/>
      <c r="G262" s="47"/>
      <c r="H262" s="9"/>
    </row>
    <row r="263" spans="1:8" x14ac:dyDescent="0.45">
      <c r="A263" s="8"/>
      <c r="B263" s="8"/>
      <c r="C263" s="8"/>
      <c r="D263" s="8"/>
      <c r="E263" s="8"/>
      <c r="F263" s="8"/>
      <c r="G263" s="47"/>
      <c r="H263" s="9"/>
    </row>
    <row r="264" spans="1:8" x14ac:dyDescent="0.45">
      <c r="A264" s="8"/>
      <c r="B264" s="8"/>
      <c r="C264" s="8"/>
      <c r="D264" s="8"/>
      <c r="E264" s="8"/>
      <c r="F264" s="8"/>
      <c r="G264" s="47"/>
      <c r="H264" s="9"/>
    </row>
    <row r="265" spans="1:8" x14ac:dyDescent="0.45">
      <c r="A265" s="8"/>
      <c r="B265" s="8"/>
      <c r="C265" s="8"/>
      <c r="D265" s="8"/>
      <c r="E265" s="8"/>
      <c r="F265" s="8"/>
      <c r="G265" s="47"/>
      <c r="H265" s="9"/>
    </row>
    <row r="266" spans="1:8" x14ac:dyDescent="0.45">
      <c r="A266" s="8"/>
      <c r="B266" s="8"/>
      <c r="C266" s="8"/>
      <c r="D266" s="8"/>
      <c r="E266" s="8"/>
      <c r="F266" s="8"/>
      <c r="G266" s="47"/>
      <c r="H266" s="9"/>
    </row>
    <row r="267" spans="1:8" x14ac:dyDescent="0.45">
      <c r="A267" s="8"/>
      <c r="B267" s="8"/>
      <c r="C267" s="8"/>
      <c r="D267" s="8"/>
      <c r="E267" s="8"/>
      <c r="F267" s="8"/>
      <c r="G267" s="47"/>
      <c r="H267" s="9"/>
    </row>
    <row r="268" spans="1:8" x14ac:dyDescent="0.45">
      <c r="A268" s="8"/>
      <c r="B268" s="8"/>
      <c r="C268" s="8"/>
      <c r="D268" s="8"/>
      <c r="E268" s="8"/>
      <c r="F268" s="8"/>
      <c r="G268" s="47"/>
      <c r="H268" s="9"/>
    </row>
    <row r="269" spans="1:8" x14ac:dyDescent="0.45">
      <c r="A269" s="8"/>
      <c r="B269" s="8"/>
      <c r="C269" s="8"/>
      <c r="D269" s="8"/>
      <c r="E269" s="8"/>
      <c r="F269" s="8"/>
      <c r="G269" s="47"/>
      <c r="H269" s="9"/>
    </row>
    <row r="270" spans="1:8" x14ac:dyDescent="0.45">
      <c r="A270" s="8"/>
      <c r="B270" s="8"/>
      <c r="C270" s="8"/>
      <c r="D270" s="8"/>
      <c r="E270" s="8"/>
      <c r="F270" s="8"/>
      <c r="G270" s="47"/>
      <c r="H270" s="9"/>
    </row>
    <row r="271" spans="1:8" x14ac:dyDescent="0.45">
      <c r="A271" s="8"/>
      <c r="B271" s="8"/>
      <c r="C271" s="8"/>
      <c r="D271" s="8"/>
      <c r="E271" s="8"/>
      <c r="F271" s="8"/>
      <c r="G271" s="47"/>
      <c r="H271" s="9"/>
    </row>
    <row r="272" spans="1:8" x14ac:dyDescent="0.45">
      <c r="A272" s="8"/>
      <c r="B272" s="8"/>
      <c r="C272" s="8"/>
      <c r="D272" s="8"/>
      <c r="E272" s="8"/>
      <c r="F272" s="8"/>
      <c r="G272" s="47"/>
      <c r="H272" s="9"/>
    </row>
    <row r="273" spans="1:8" x14ac:dyDescent="0.45">
      <c r="A273" s="8"/>
      <c r="B273" s="8"/>
      <c r="C273" s="8"/>
      <c r="D273" s="8"/>
      <c r="E273" s="8"/>
      <c r="F273" s="8"/>
      <c r="G273" s="47"/>
      <c r="H273" s="9"/>
    </row>
    <row r="274" spans="1:8" x14ac:dyDescent="0.45">
      <c r="A274" s="8"/>
      <c r="B274" s="8"/>
      <c r="C274" s="8"/>
      <c r="D274" s="8"/>
      <c r="E274" s="8"/>
      <c r="F274" s="8"/>
      <c r="G274" s="47"/>
      <c r="H274" s="9"/>
    </row>
    <row r="275" spans="1:8" x14ac:dyDescent="0.45">
      <c r="A275" s="8"/>
      <c r="B275" s="8"/>
      <c r="C275" s="8"/>
      <c r="D275" s="8"/>
      <c r="E275" s="8"/>
      <c r="F275" s="8"/>
      <c r="G275" s="47"/>
      <c r="H275" s="9"/>
    </row>
    <row r="276" spans="1:8" x14ac:dyDescent="0.45">
      <c r="A276" s="8"/>
      <c r="B276" s="8"/>
      <c r="C276" s="8"/>
      <c r="D276" s="8"/>
      <c r="E276" s="8"/>
      <c r="F276" s="8"/>
      <c r="G276" s="47"/>
      <c r="H276" s="9"/>
    </row>
    <row r="277" spans="1:8" x14ac:dyDescent="0.45">
      <c r="A277" s="8"/>
      <c r="B277" s="8"/>
      <c r="C277" s="8"/>
      <c r="D277" s="8"/>
      <c r="E277" s="8"/>
      <c r="F277" s="8"/>
      <c r="G277" s="47"/>
      <c r="H277" s="9"/>
    </row>
    <row r="278" spans="1:8" x14ac:dyDescent="0.45">
      <c r="A278" s="8"/>
      <c r="B278" s="8"/>
      <c r="C278" s="8"/>
      <c r="D278" s="8"/>
      <c r="E278" s="8"/>
      <c r="F278" s="8"/>
      <c r="G278" s="47"/>
      <c r="H278" s="9"/>
    </row>
    <row r="279" spans="1:8" x14ac:dyDescent="0.45">
      <c r="A279" s="8"/>
      <c r="B279" s="8"/>
      <c r="C279" s="8"/>
      <c r="D279" s="8"/>
      <c r="E279" s="8"/>
      <c r="F279" s="8"/>
      <c r="G279" s="47"/>
      <c r="H279" s="9"/>
    </row>
    <row r="280" spans="1:8" x14ac:dyDescent="0.45">
      <c r="A280" s="8"/>
      <c r="B280" s="8"/>
      <c r="C280" s="8"/>
      <c r="D280" s="8"/>
      <c r="E280" s="8"/>
      <c r="F280" s="8"/>
      <c r="G280" s="47"/>
      <c r="H280" s="9"/>
    </row>
    <row r="281" spans="1:8" x14ac:dyDescent="0.45">
      <c r="A281" s="8"/>
      <c r="B281" s="8"/>
      <c r="C281" s="8"/>
      <c r="D281" s="8"/>
      <c r="E281" s="8"/>
      <c r="F281" s="8"/>
      <c r="G281" s="47"/>
      <c r="H281" s="9"/>
    </row>
    <row r="282" spans="1:8" x14ac:dyDescent="0.45">
      <c r="A282" s="8"/>
      <c r="B282" s="8"/>
      <c r="C282" s="8"/>
      <c r="D282" s="8"/>
      <c r="E282" s="8"/>
      <c r="F282" s="8"/>
      <c r="G282" s="47"/>
      <c r="H282" s="9"/>
    </row>
    <row r="283" spans="1:8" x14ac:dyDescent="0.45">
      <c r="A283" s="8"/>
      <c r="B283" s="8"/>
      <c r="C283" s="8"/>
      <c r="D283" s="8"/>
      <c r="E283" s="8"/>
      <c r="F283" s="8"/>
      <c r="G283" s="47"/>
      <c r="H283" s="9"/>
    </row>
    <row r="284" spans="1:8" x14ac:dyDescent="0.45">
      <c r="A284" s="8"/>
      <c r="B284" s="8"/>
      <c r="C284" s="8"/>
      <c r="D284" s="8"/>
      <c r="E284" s="8"/>
      <c r="F284" s="8"/>
      <c r="G284" s="47"/>
      <c r="H284" s="9"/>
    </row>
    <row r="285" spans="1:8" x14ac:dyDescent="0.45">
      <c r="A285" s="8"/>
      <c r="B285" s="8"/>
      <c r="C285" s="8"/>
      <c r="D285" s="8"/>
      <c r="E285" s="8"/>
      <c r="F285" s="8"/>
      <c r="G285" s="47"/>
      <c r="H285" s="9"/>
    </row>
    <row r="286" spans="1:8" x14ac:dyDescent="0.45">
      <c r="A286" s="8"/>
      <c r="B286" s="8"/>
      <c r="C286" s="8"/>
      <c r="D286" s="8"/>
      <c r="E286" s="8"/>
      <c r="F286" s="8"/>
      <c r="G286" s="47"/>
      <c r="H286" s="9"/>
    </row>
    <row r="287" spans="1:8" x14ac:dyDescent="0.45">
      <c r="A287" s="8"/>
      <c r="B287" s="8"/>
      <c r="C287" s="8"/>
      <c r="D287" s="8"/>
      <c r="E287" s="8"/>
      <c r="F287" s="8"/>
      <c r="G287" s="47"/>
      <c r="H287" s="9"/>
    </row>
    <row r="288" spans="1:8" x14ac:dyDescent="0.45">
      <c r="A288" s="8"/>
      <c r="B288" s="8"/>
      <c r="C288" s="8"/>
      <c r="D288" s="8"/>
      <c r="E288" s="8"/>
      <c r="F288" s="8"/>
      <c r="G288" s="47"/>
      <c r="H288" s="9"/>
    </row>
    <row r="289" spans="1:8" x14ac:dyDescent="0.45">
      <c r="A289" s="8"/>
      <c r="B289" s="8"/>
      <c r="C289" s="8"/>
      <c r="D289" s="8"/>
      <c r="E289" s="8"/>
      <c r="F289" s="8"/>
      <c r="G289" s="47"/>
      <c r="H289" s="9"/>
    </row>
    <row r="290" spans="1:8" x14ac:dyDescent="0.45">
      <c r="A290" s="8"/>
      <c r="B290" s="8"/>
      <c r="C290" s="8"/>
      <c r="D290" s="8"/>
      <c r="E290" s="8"/>
      <c r="F290" s="8"/>
      <c r="G290" s="47"/>
      <c r="H290" s="9"/>
    </row>
    <row r="291" spans="1:8" x14ac:dyDescent="0.45">
      <c r="A291" s="8"/>
      <c r="B291" s="8"/>
      <c r="C291" s="8"/>
      <c r="D291" s="8"/>
      <c r="E291" s="8"/>
      <c r="F291" s="8"/>
      <c r="G291" s="47"/>
      <c r="H291" s="9"/>
    </row>
    <row r="292" spans="1:8" x14ac:dyDescent="0.45">
      <c r="A292" s="8"/>
      <c r="B292" s="8"/>
      <c r="C292" s="8"/>
      <c r="D292" s="8"/>
      <c r="E292" s="8"/>
      <c r="F292" s="8"/>
      <c r="G292" s="47"/>
      <c r="H292" s="9"/>
    </row>
    <row r="293" spans="1:8" x14ac:dyDescent="0.45">
      <c r="A293" s="8"/>
      <c r="B293" s="8"/>
      <c r="C293" s="8"/>
      <c r="D293" s="8"/>
      <c r="E293" s="8"/>
      <c r="F293" s="8"/>
      <c r="G293" s="47"/>
      <c r="H293" s="9"/>
    </row>
    <row r="294" spans="1:8" x14ac:dyDescent="0.45">
      <c r="A294" s="8"/>
      <c r="B294" s="8"/>
      <c r="C294" s="8"/>
      <c r="D294" s="8"/>
      <c r="E294" s="8"/>
      <c r="F294" s="8"/>
      <c r="G294" s="47"/>
      <c r="H294" s="9"/>
    </row>
    <row r="295" spans="1:8" x14ac:dyDescent="0.45">
      <c r="A295" s="8"/>
      <c r="B295" s="8"/>
      <c r="C295" s="8"/>
      <c r="D295" s="8"/>
      <c r="E295" s="8"/>
      <c r="F295" s="8"/>
      <c r="G295" s="47"/>
      <c r="H295" s="9"/>
    </row>
    <row r="296" spans="1:8" x14ac:dyDescent="0.45">
      <c r="A296" s="8"/>
      <c r="B296" s="8"/>
      <c r="C296" s="8"/>
      <c r="D296" s="8"/>
      <c r="E296" s="8"/>
      <c r="F296" s="8"/>
      <c r="G296" s="47"/>
      <c r="H296" s="9"/>
    </row>
    <row r="297" spans="1:8" x14ac:dyDescent="0.45">
      <c r="A297" s="8"/>
      <c r="B297" s="8"/>
      <c r="C297" s="8"/>
      <c r="D297" s="8"/>
      <c r="E297" s="8"/>
      <c r="F297" s="8"/>
      <c r="G297" s="47"/>
      <c r="H297" s="9"/>
    </row>
    <row r="298" spans="1:8" x14ac:dyDescent="0.45">
      <c r="A298" s="8"/>
      <c r="B298" s="8"/>
      <c r="C298" s="8"/>
      <c r="D298" s="8"/>
      <c r="E298" s="8"/>
      <c r="F298" s="8"/>
      <c r="G298" s="47"/>
      <c r="H298" s="9"/>
    </row>
    <row r="299" spans="1:8" x14ac:dyDescent="0.45">
      <c r="A299" s="8"/>
      <c r="B299" s="8"/>
      <c r="C299" s="8"/>
      <c r="D299" s="8"/>
      <c r="E299" s="8"/>
      <c r="F299" s="8"/>
      <c r="G299" s="47"/>
      <c r="H299" s="9"/>
    </row>
    <row r="300" spans="1:8" x14ac:dyDescent="0.45">
      <c r="A300" s="8"/>
      <c r="B300" s="8"/>
      <c r="C300" s="8"/>
      <c r="D300" s="8"/>
      <c r="E300" s="8"/>
      <c r="F300" s="8"/>
      <c r="G300" s="47"/>
      <c r="H300" s="9"/>
    </row>
    <row r="301" spans="1:8" x14ac:dyDescent="0.45">
      <c r="A301" s="8"/>
      <c r="B301" s="8"/>
      <c r="C301" s="8"/>
      <c r="D301" s="8"/>
      <c r="E301" s="8"/>
      <c r="F301" s="8"/>
      <c r="G301" s="47"/>
      <c r="H301" s="9"/>
    </row>
    <row r="302" spans="1:8" x14ac:dyDescent="0.45">
      <c r="A302" s="8"/>
      <c r="B302" s="8"/>
      <c r="C302" s="8"/>
      <c r="D302" s="8"/>
      <c r="E302" s="8"/>
      <c r="F302" s="8"/>
      <c r="G302" s="47"/>
      <c r="H302" s="9"/>
    </row>
    <row r="303" spans="1:8" x14ac:dyDescent="0.45">
      <c r="A303" s="8"/>
      <c r="B303" s="8"/>
      <c r="C303" s="8"/>
      <c r="D303" s="8"/>
      <c r="E303" s="8"/>
      <c r="F303" s="8"/>
      <c r="G303" s="47"/>
      <c r="H303" s="9"/>
    </row>
    <row r="304" spans="1:8" x14ac:dyDescent="0.45">
      <c r="A304" s="8"/>
      <c r="B304" s="8"/>
      <c r="C304" s="8"/>
      <c r="D304" s="8"/>
      <c r="E304" s="8"/>
      <c r="F304" s="8"/>
      <c r="G304" s="47"/>
      <c r="H304" s="9"/>
    </row>
    <row r="305" spans="1:8" x14ac:dyDescent="0.45">
      <c r="A305" s="8"/>
      <c r="B305" s="8"/>
      <c r="C305" s="8"/>
      <c r="D305" s="8"/>
      <c r="E305" s="8"/>
      <c r="F305" s="8"/>
      <c r="G305" s="47"/>
      <c r="H305" s="9"/>
    </row>
    <row r="306" spans="1:8" x14ac:dyDescent="0.45">
      <c r="A306" s="8"/>
      <c r="B306" s="8"/>
      <c r="C306" s="8"/>
      <c r="D306" s="8"/>
      <c r="E306" s="8"/>
      <c r="F306" s="8"/>
      <c r="G306" s="47"/>
      <c r="H306" s="9"/>
    </row>
    <row r="307" spans="1:8" x14ac:dyDescent="0.45">
      <c r="A307" s="8"/>
      <c r="B307" s="8"/>
      <c r="C307" s="8"/>
      <c r="D307" s="8"/>
      <c r="E307" s="8"/>
      <c r="F307" s="8"/>
      <c r="G307" s="47"/>
      <c r="H307" s="9"/>
    </row>
    <row r="308" spans="1:8" x14ac:dyDescent="0.45">
      <c r="A308" s="8"/>
      <c r="B308" s="8"/>
      <c r="C308" s="8"/>
      <c r="D308" s="8"/>
      <c r="E308" s="8"/>
      <c r="F308" s="8"/>
      <c r="G308" s="47"/>
      <c r="H308" s="9"/>
    </row>
    <row r="309" spans="1:8" x14ac:dyDescent="0.45">
      <c r="A309" s="8"/>
      <c r="B309" s="8"/>
      <c r="C309" s="8"/>
      <c r="D309" s="8"/>
      <c r="E309" s="8"/>
      <c r="F309" s="8"/>
      <c r="G309" s="47"/>
      <c r="H309" s="9"/>
    </row>
    <row r="310" spans="1:8" x14ac:dyDescent="0.45">
      <c r="A310" s="8"/>
      <c r="B310" s="8"/>
      <c r="C310" s="8"/>
      <c r="D310" s="8"/>
      <c r="E310" s="8"/>
      <c r="F310" s="8"/>
      <c r="G310" s="47"/>
      <c r="H310" s="9"/>
    </row>
    <row r="311" spans="1:8" x14ac:dyDescent="0.45">
      <c r="A311" s="8"/>
      <c r="B311" s="8"/>
      <c r="C311" s="8"/>
      <c r="D311" s="8"/>
      <c r="E311" s="8"/>
      <c r="F311" s="8"/>
      <c r="G311" s="47"/>
      <c r="H311" s="9"/>
    </row>
    <row r="312" spans="1:8" x14ac:dyDescent="0.45">
      <c r="A312" s="8"/>
      <c r="B312" s="8"/>
      <c r="C312" s="8"/>
      <c r="D312" s="8"/>
      <c r="E312" s="8"/>
      <c r="F312" s="8"/>
      <c r="G312" s="47"/>
      <c r="H312" s="9"/>
    </row>
    <row r="313" spans="1:8" x14ac:dyDescent="0.45">
      <c r="A313" s="8"/>
      <c r="B313" s="8"/>
      <c r="C313" s="8"/>
      <c r="D313" s="8"/>
      <c r="E313" s="8"/>
      <c r="F313" s="8"/>
      <c r="G313" s="47"/>
      <c r="H313" s="9"/>
    </row>
    <row r="314" spans="1:8" x14ac:dyDescent="0.45">
      <c r="A314" s="8"/>
      <c r="B314" s="8"/>
      <c r="C314" s="8"/>
      <c r="D314" s="8"/>
      <c r="E314" s="8"/>
      <c r="F314" s="8"/>
      <c r="G314" s="47"/>
      <c r="H314" s="9"/>
    </row>
    <row r="315" spans="1:8" x14ac:dyDescent="0.45">
      <c r="A315" s="8"/>
      <c r="B315" s="8"/>
      <c r="C315" s="8"/>
      <c r="D315" s="8"/>
      <c r="E315" s="8"/>
      <c r="F315" s="8"/>
      <c r="G315" s="47"/>
      <c r="H315" s="9"/>
    </row>
    <row r="316" spans="1:8" x14ac:dyDescent="0.45">
      <c r="A316" s="8"/>
      <c r="B316" s="8"/>
      <c r="C316" s="8"/>
      <c r="D316" s="8"/>
      <c r="E316" s="8"/>
      <c r="F316" s="8"/>
      <c r="G316" s="47"/>
      <c r="H316" s="9"/>
    </row>
    <row r="317" spans="1:8" x14ac:dyDescent="0.45">
      <c r="A317" s="8"/>
      <c r="B317" s="8"/>
      <c r="C317" s="8"/>
      <c r="D317" s="8"/>
      <c r="E317" s="8"/>
      <c r="F317" s="8"/>
      <c r="G317" s="47"/>
      <c r="H317" s="9"/>
    </row>
    <row r="318" spans="1:8" x14ac:dyDescent="0.45">
      <c r="A318" s="8"/>
      <c r="B318" s="8"/>
      <c r="C318" s="8"/>
      <c r="D318" s="8"/>
      <c r="E318" s="8"/>
      <c r="F318" s="8"/>
      <c r="G318" s="47"/>
      <c r="H318" s="9"/>
    </row>
    <row r="319" spans="1:8" x14ac:dyDescent="0.45">
      <c r="A319" s="8"/>
      <c r="B319" s="8"/>
      <c r="C319" s="8"/>
      <c r="D319" s="8"/>
      <c r="E319" s="8"/>
      <c r="F319" s="8"/>
      <c r="G319" s="47"/>
      <c r="H319" s="9"/>
    </row>
    <row r="320" spans="1:8" x14ac:dyDescent="0.45">
      <c r="A320" s="8"/>
      <c r="B320" s="8"/>
      <c r="C320" s="8"/>
      <c r="D320" s="8"/>
      <c r="E320" s="8"/>
      <c r="F320" s="8"/>
      <c r="G320" s="47"/>
      <c r="H320" s="9"/>
    </row>
    <row r="321" spans="1:8" x14ac:dyDescent="0.45">
      <c r="A321" s="8"/>
      <c r="B321" s="8"/>
      <c r="C321" s="8"/>
      <c r="D321" s="8"/>
      <c r="E321" s="8"/>
      <c r="F321" s="8"/>
      <c r="G321" s="47"/>
      <c r="H321" s="9"/>
    </row>
    <row r="322" spans="1:8" x14ac:dyDescent="0.45">
      <c r="A322" s="8"/>
      <c r="B322" s="8"/>
      <c r="C322" s="8"/>
      <c r="D322" s="8"/>
      <c r="E322" s="8"/>
      <c r="F322" s="8"/>
      <c r="G322" s="47"/>
      <c r="H322" s="9"/>
    </row>
    <row r="323" spans="1:8" x14ac:dyDescent="0.45">
      <c r="A323" s="8"/>
      <c r="B323" s="8"/>
      <c r="C323" s="8"/>
      <c r="D323" s="8"/>
      <c r="E323" s="8"/>
      <c r="F323" s="8"/>
      <c r="G323" s="47"/>
      <c r="H323" s="9"/>
    </row>
    <row r="324" spans="1:8" x14ac:dyDescent="0.45">
      <c r="A324" s="8"/>
      <c r="B324" s="8"/>
      <c r="C324" s="8"/>
      <c r="D324" s="8"/>
      <c r="E324" s="8"/>
      <c r="F324" s="8"/>
      <c r="G324" s="47"/>
      <c r="H324" s="9"/>
    </row>
    <row r="325" spans="1:8" x14ac:dyDescent="0.45">
      <c r="A325" s="8"/>
      <c r="B325" s="8"/>
      <c r="C325" s="8"/>
      <c r="D325" s="8"/>
      <c r="E325" s="8"/>
      <c r="F325" s="8"/>
      <c r="G325" s="47"/>
      <c r="H325" s="9"/>
    </row>
    <row r="326" spans="1:8" x14ac:dyDescent="0.45">
      <c r="A326" s="8"/>
      <c r="B326" s="8"/>
      <c r="C326" s="8"/>
      <c r="D326" s="8"/>
      <c r="E326" s="8"/>
      <c r="F326" s="8"/>
      <c r="G326" s="47"/>
      <c r="H326" s="9"/>
    </row>
    <row r="327" spans="1:8" x14ac:dyDescent="0.45">
      <c r="A327" s="8"/>
      <c r="B327" s="8"/>
      <c r="C327" s="8"/>
      <c r="D327" s="8"/>
      <c r="E327" s="8"/>
      <c r="F327" s="8"/>
      <c r="G327" s="47"/>
      <c r="H327" s="9"/>
    </row>
    <row r="328" spans="1:8" x14ac:dyDescent="0.45">
      <c r="A328" s="8"/>
      <c r="B328" s="8"/>
      <c r="C328" s="8"/>
      <c r="D328" s="8"/>
      <c r="E328" s="8"/>
      <c r="F328" s="8"/>
      <c r="G328" s="47"/>
      <c r="H328" s="9"/>
    </row>
    <row r="329" spans="1:8" x14ac:dyDescent="0.45">
      <c r="A329" s="8"/>
      <c r="B329" s="8"/>
      <c r="C329" s="8"/>
      <c r="D329" s="8"/>
      <c r="E329" s="8"/>
      <c r="F329" s="8"/>
      <c r="G329" s="47"/>
      <c r="H329" s="9"/>
    </row>
    <row r="330" spans="1:8" x14ac:dyDescent="0.45">
      <c r="A330" s="8"/>
      <c r="B330" s="8"/>
      <c r="C330" s="8"/>
      <c r="D330" s="8"/>
      <c r="E330" s="8"/>
      <c r="F330" s="8"/>
      <c r="G330" s="47"/>
      <c r="H330" s="9"/>
    </row>
    <row r="331" spans="1:8" x14ac:dyDescent="0.45">
      <c r="A331" s="8"/>
      <c r="B331" s="8"/>
      <c r="C331" s="8"/>
      <c r="D331" s="8"/>
      <c r="E331" s="8"/>
      <c r="F331" s="8"/>
      <c r="G331" s="47"/>
      <c r="H331" s="9"/>
    </row>
    <row r="332" spans="1:8" x14ac:dyDescent="0.45">
      <c r="A332" s="8"/>
      <c r="B332" s="8"/>
      <c r="C332" s="8"/>
      <c r="D332" s="8"/>
      <c r="E332" s="8"/>
      <c r="F332" s="8"/>
      <c r="G332" s="47"/>
      <c r="H332" s="9"/>
    </row>
    <row r="333" spans="1:8" x14ac:dyDescent="0.45">
      <c r="A333" s="8"/>
      <c r="B333" s="8"/>
      <c r="C333" s="8"/>
      <c r="D333" s="8"/>
      <c r="E333" s="8"/>
      <c r="F333" s="8"/>
      <c r="G333" s="47"/>
      <c r="H333" s="9"/>
    </row>
    <row r="334" spans="1:8" x14ac:dyDescent="0.45">
      <c r="A334" s="8"/>
      <c r="B334" s="8"/>
      <c r="C334" s="8"/>
      <c r="D334" s="8"/>
      <c r="E334" s="8"/>
      <c r="F334" s="8"/>
      <c r="G334" s="47"/>
      <c r="H334" s="9"/>
    </row>
    <row r="335" spans="1:8" x14ac:dyDescent="0.45">
      <c r="A335" s="8"/>
      <c r="B335" s="8"/>
      <c r="C335" s="8"/>
      <c r="D335" s="8"/>
      <c r="E335" s="8"/>
      <c r="F335" s="8"/>
      <c r="G335" s="47"/>
      <c r="H335" s="9"/>
    </row>
    <row r="336" spans="1:8" x14ac:dyDescent="0.45">
      <c r="A336" s="8"/>
      <c r="B336" s="8"/>
      <c r="C336" s="8"/>
      <c r="D336" s="8"/>
      <c r="E336" s="8"/>
      <c r="F336" s="8"/>
      <c r="G336" s="47"/>
      <c r="H336" s="9"/>
    </row>
    <row r="337" spans="1:8" x14ac:dyDescent="0.45">
      <c r="A337" s="8"/>
      <c r="B337" s="8"/>
      <c r="C337" s="8"/>
      <c r="D337" s="8"/>
      <c r="E337" s="8"/>
      <c r="F337" s="8"/>
      <c r="G337" s="47"/>
      <c r="H337" s="9"/>
    </row>
    <row r="338" spans="1:8" x14ac:dyDescent="0.45">
      <c r="A338" s="8"/>
      <c r="B338" s="8"/>
      <c r="C338" s="8"/>
      <c r="D338" s="8"/>
      <c r="E338" s="8"/>
      <c r="F338" s="8"/>
      <c r="G338" s="47"/>
      <c r="H338" s="9"/>
    </row>
    <row r="339" spans="1:8" x14ac:dyDescent="0.45">
      <c r="A339" s="8"/>
      <c r="B339" s="8"/>
      <c r="C339" s="8"/>
      <c r="D339" s="8"/>
      <c r="E339" s="8"/>
      <c r="F339" s="8"/>
      <c r="G339" s="47"/>
      <c r="H339" s="9"/>
    </row>
    <row r="340" spans="1:8" x14ac:dyDescent="0.45">
      <c r="A340" s="8"/>
      <c r="B340" s="8"/>
      <c r="C340" s="8"/>
      <c r="D340" s="8"/>
      <c r="E340" s="8"/>
      <c r="F340" s="8"/>
      <c r="G340" s="47"/>
      <c r="H340" s="9"/>
    </row>
    <row r="341" spans="1:8" x14ac:dyDescent="0.45">
      <c r="A341" s="8"/>
      <c r="B341" s="8"/>
      <c r="C341" s="8"/>
      <c r="D341" s="8"/>
      <c r="E341" s="8"/>
      <c r="F341" s="8"/>
      <c r="G341" s="47"/>
      <c r="H341" s="9"/>
    </row>
    <row r="342" spans="1:8" x14ac:dyDescent="0.45">
      <c r="A342" s="8"/>
      <c r="B342" s="8"/>
      <c r="C342" s="8"/>
      <c r="D342" s="8"/>
      <c r="E342" s="8"/>
      <c r="F342" s="8"/>
      <c r="G342" s="47"/>
      <c r="H342" s="9"/>
    </row>
    <row r="343" spans="1:8" x14ac:dyDescent="0.45">
      <c r="A343" s="8"/>
      <c r="B343" s="8"/>
      <c r="C343" s="8"/>
      <c r="D343" s="8"/>
      <c r="E343" s="8"/>
      <c r="F343" s="8"/>
      <c r="G343" s="47"/>
      <c r="H343" s="9"/>
    </row>
    <row r="344" spans="1:8" x14ac:dyDescent="0.45">
      <c r="A344" s="8"/>
      <c r="B344" s="8"/>
      <c r="C344" s="8"/>
      <c r="D344" s="8"/>
      <c r="E344" s="8"/>
      <c r="F344" s="8"/>
      <c r="G344" s="47"/>
      <c r="H344" s="9"/>
    </row>
    <row r="345" spans="1:8" x14ac:dyDescent="0.45">
      <c r="A345" s="8"/>
      <c r="B345" s="8"/>
      <c r="C345" s="8"/>
      <c r="D345" s="8"/>
      <c r="E345" s="8"/>
      <c r="F345" s="8"/>
      <c r="G345" s="47"/>
      <c r="H345" s="9"/>
    </row>
    <row r="346" spans="1:8" x14ac:dyDescent="0.45">
      <c r="A346" s="8"/>
      <c r="B346" s="8"/>
      <c r="C346" s="8"/>
      <c r="D346" s="8"/>
      <c r="E346" s="8"/>
      <c r="F346" s="8"/>
      <c r="G346" s="47"/>
      <c r="H346" s="9"/>
    </row>
    <row r="347" spans="1:8" x14ac:dyDescent="0.45">
      <c r="A347" s="8"/>
      <c r="B347" s="8"/>
      <c r="C347" s="8"/>
      <c r="D347" s="8"/>
      <c r="E347" s="8"/>
      <c r="F347" s="8"/>
      <c r="G347" s="47"/>
      <c r="H347" s="9"/>
    </row>
    <row r="348" spans="1:8" x14ac:dyDescent="0.45">
      <c r="A348" s="8"/>
      <c r="B348" s="8"/>
      <c r="C348" s="8"/>
      <c r="D348" s="8"/>
      <c r="E348" s="8"/>
      <c r="F348" s="8"/>
      <c r="G348" s="47"/>
      <c r="H348" s="9"/>
    </row>
    <row r="349" spans="1:8" x14ac:dyDescent="0.45">
      <c r="A349" s="8"/>
      <c r="B349" s="8"/>
      <c r="C349" s="8"/>
      <c r="D349" s="8"/>
      <c r="E349" s="8"/>
      <c r="F349" s="8"/>
      <c r="G349" s="47"/>
      <c r="H349" s="9"/>
    </row>
    <row r="350" spans="1:8" x14ac:dyDescent="0.45">
      <c r="A350" s="8"/>
      <c r="B350" s="8"/>
      <c r="C350" s="8"/>
      <c r="D350" s="8"/>
      <c r="E350" s="8"/>
      <c r="F350" s="8"/>
      <c r="G350" s="47"/>
      <c r="H350" s="9"/>
    </row>
    <row r="351" spans="1:8" x14ac:dyDescent="0.45">
      <c r="A351" s="8"/>
      <c r="B351" s="8"/>
      <c r="C351" s="8"/>
      <c r="D351" s="8"/>
      <c r="E351" s="8"/>
      <c r="F351" s="8"/>
      <c r="G351" s="47"/>
      <c r="H351" s="9"/>
    </row>
    <row r="352" spans="1:8" x14ac:dyDescent="0.45">
      <c r="A352" s="8"/>
      <c r="B352" s="8"/>
      <c r="C352" s="8"/>
      <c r="D352" s="8"/>
      <c r="E352" s="8"/>
      <c r="F352" s="8"/>
      <c r="G352" s="47"/>
      <c r="H352" s="9"/>
    </row>
    <row r="353" spans="1:8" x14ac:dyDescent="0.45">
      <c r="A353" s="8"/>
      <c r="B353" s="8"/>
      <c r="C353" s="8"/>
      <c r="D353" s="8"/>
      <c r="E353" s="8"/>
      <c r="F353" s="8"/>
      <c r="G353" s="47"/>
      <c r="H353" s="9"/>
    </row>
    <row r="354" spans="1:8" x14ac:dyDescent="0.45">
      <c r="A354" s="8"/>
      <c r="B354" s="8"/>
      <c r="C354" s="8"/>
      <c r="D354" s="8"/>
      <c r="E354" s="8"/>
      <c r="F354" s="8"/>
      <c r="G354" s="47"/>
      <c r="H354" s="9"/>
    </row>
    <row r="355" spans="1:8" x14ac:dyDescent="0.45">
      <c r="A355" s="8"/>
      <c r="B355" s="8"/>
      <c r="C355" s="8"/>
      <c r="D355" s="8"/>
      <c r="E355" s="8"/>
      <c r="F355" s="8"/>
      <c r="G355" s="47"/>
      <c r="H355" s="9"/>
    </row>
    <row r="356" spans="1:8" x14ac:dyDescent="0.45">
      <c r="A356" s="8"/>
      <c r="B356" s="8"/>
      <c r="C356" s="8"/>
      <c r="D356" s="8"/>
      <c r="E356" s="8"/>
      <c r="F356" s="8"/>
      <c r="G356" s="47"/>
      <c r="H356" s="9"/>
    </row>
    <row r="357" spans="1:8" x14ac:dyDescent="0.45">
      <c r="A357" s="8"/>
      <c r="B357" s="8"/>
      <c r="C357" s="8"/>
      <c r="D357" s="8"/>
      <c r="E357" s="8"/>
      <c r="F357" s="8"/>
      <c r="G357" s="47"/>
      <c r="H357" s="9"/>
    </row>
    <row r="358" spans="1:8" x14ac:dyDescent="0.45">
      <c r="A358" s="8"/>
      <c r="B358" s="8"/>
      <c r="C358" s="8"/>
      <c r="D358" s="8"/>
      <c r="E358" s="8"/>
      <c r="F358" s="8"/>
      <c r="G358" s="47"/>
      <c r="H358" s="9"/>
    </row>
    <row r="359" spans="1:8" x14ac:dyDescent="0.45">
      <c r="A359" s="8"/>
      <c r="B359" s="8"/>
      <c r="C359" s="8"/>
      <c r="D359" s="8"/>
      <c r="E359" s="8"/>
      <c r="F359" s="8"/>
      <c r="G359" s="47"/>
      <c r="H359" s="9"/>
    </row>
    <row r="360" spans="1:8" x14ac:dyDescent="0.45">
      <c r="A360" s="8"/>
      <c r="B360" s="8"/>
      <c r="C360" s="8"/>
      <c r="D360" s="8"/>
      <c r="E360" s="8"/>
      <c r="F360" s="8"/>
      <c r="G360" s="47"/>
      <c r="H360" s="9"/>
    </row>
    <row r="361" spans="1:8" x14ac:dyDescent="0.45">
      <c r="A361" s="8"/>
      <c r="B361" s="8"/>
      <c r="C361" s="8"/>
      <c r="D361" s="8"/>
      <c r="E361" s="8"/>
      <c r="F361" s="8"/>
      <c r="G361" s="47"/>
      <c r="H361" s="9"/>
    </row>
    <row r="362" spans="1:8" x14ac:dyDescent="0.45">
      <c r="A362" s="8"/>
      <c r="B362" s="8"/>
      <c r="C362" s="8"/>
      <c r="D362" s="8"/>
      <c r="E362" s="8"/>
      <c r="F362" s="8"/>
      <c r="G362" s="47"/>
      <c r="H362" s="9"/>
    </row>
    <row r="363" spans="1:8" x14ac:dyDescent="0.45">
      <c r="A363" s="8"/>
      <c r="B363" s="8"/>
      <c r="C363" s="8"/>
      <c r="D363" s="8"/>
      <c r="E363" s="8"/>
      <c r="F363" s="8"/>
      <c r="G363" s="47"/>
      <c r="H363" s="9"/>
    </row>
    <row r="364" spans="1:8" x14ac:dyDescent="0.45">
      <c r="A364" s="8"/>
      <c r="B364" s="8"/>
      <c r="C364" s="8"/>
      <c r="D364" s="8"/>
      <c r="E364" s="8"/>
      <c r="F364" s="8"/>
      <c r="G364" s="47"/>
      <c r="H364" s="9"/>
    </row>
    <row r="365" spans="1:8" x14ac:dyDescent="0.45">
      <c r="A365" s="8"/>
      <c r="B365" s="8"/>
      <c r="C365" s="8"/>
      <c r="D365" s="8"/>
      <c r="E365" s="8"/>
      <c r="F365" s="8"/>
      <c r="G365" s="47"/>
      <c r="H365" s="9"/>
    </row>
    <row r="366" spans="1:8" x14ac:dyDescent="0.45">
      <c r="A366" s="8"/>
      <c r="B366" s="8"/>
      <c r="C366" s="8"/>
      <c r="D366" s="8"/>
      <c r="E366" s="8"/>
      <c r="F366" s="8"/>
      <c r="G366" s="47"/>
      <c r="H366" s="9"/>
    </row>
    <row r="367" spans="1:8" x14ac:dyDescent="0.45">
      <c r="A367" s="8"/>
      <c r="B367" s="8"/>
      <c r="C367" s="8"/>
      <c r="D367" s="8"/>
      <c r="E367" s="8"/>
      <c r="F367" s="8"/>
      <c r="G367" s="47"/>
      <c r="H367" s="9"/>
    </row>
    <row r="368" spans="1:8" x14ac:dyDescent="0.45">
      <c r="A368" s="8"/>
      <c r="B368" s="8"/>
      <c r="C368" s="8"/>
      <c r="D368" s="8"/>
      <c r="E368" s="8"/>
      <c r="F368" s="8"/>
      <c r="G368" s="47"/>
      <c r="H368" s="9"/>
    </row>
    <row r="369" spans="1:8" x14ac:dyDescent="0.45">
      <c r="A369" s="8"/>
      <c r="B369" s="8"/>
      <c r="C369" s="8"/>
      <c r="D369" s="8"/>
      <c r="E369" s="8"/>
      <c r="F369" s="8"/>
      <c r="G369" s="47"/>
      <c r="H369" s="9"/>
    </row>
    <row r="370" spans="1:8" x14ac:dyDescent="0.45">
      <c r="A370" s="8"/>
      <c r="B370" s="8"/>
      <c r="C370" s="8"/>
      <c r="D370" s="8"/>
      <c r="E370" s="8"/>
      <c r="F370" s="8"/>
      <c r="G370" s="47"/>
      <c r="H370" s="9"/>
    </row>
    <row r="371" spans="1:8" x14ac:dyDescent="0.45">
      <c r="A371" s="8"/>
      <c r="B371" s="8"/>
      <c r="C371" s="8"/>
      <c r="D371" s="8"/>
      <c r="E371" s="8"/>
      <c r="F371" s="8"/>
      <c r="G371" s="47"/>
      <c r="H371" s="9"/>
    </row>
    <row r="372" spans="1:8" x14ac:dyDescent="0.45">
      <c r="A372" s="8"/>
      <c r="B372" s="8"/>
      <c r="C372" s="8"/>
      <c r="D372" s="8"/>
      <c r="E372" s="8"/>
      <c r="F372" s="8"/>
      <c r="G372" s="47"/>
      <c r="H372" s="9"/>
    </row>
    <row r="373" spans="1:8" x14ac:dyDescent="0.45">
      <c r="A373" s="8"/>
      <c r="B373" s="8"/>
      <c r="C373" s="8"/>
      <c r="D373" s="8"/>
      <c r="E373" s="8"/>
      <c r="F373" s="8"/>
      <c r="G373" s="47"/>
      <c r="H373" s="9"/>
    </row>
    <row r="374" spans="1:8" x14ac:dyDescent="0.45">
      <c r="A374" s="8"/>
      <c r="B374" s="8"/>
      <c r="C374" s="8"/>
      <c r="D374" s="8"/>
      <c r="E374" s="8"/>
      <c r="F374" s="8"/>
      <c r="G374" s="47"/>
      <c r="H374" s="9"/>
    </row>
    <row r="375" spans="1:8" x14ac:dyDescent="0.45">
      <c r="A375" s="8"/>
      <c r="B375" s="8"/>
      <c r="C375" s="8"/>
      <c r="D375" s="8"/>
      <c r="E375" s="8"/>
      <c r="F375" s="8"/>
      <c r="G375" s="47"/>
      <c r="H375" s="9"/>
    </row>
    <row r="376" spans="1:8" x14ac:dyDescent="0.45">
      <c r="A376" s="8"/>
      <c r="B376" s="8"/>
      <c r="C376" s="8"/>
      <c r="D376" s="8"/>
      <c r="E376" s="8"/>
      <c r="F376" s="8"/>
      <c r="G376" s="47"/>
      <c r="H376" s="9"/>
    </row>
    <row r="377" spans="1:8" x14ac:dyDescent="0.45">
      <c r="A377" s="8"/>
      <c r="B377" s="8"/>
      <c r="C377" s="8"/>
      <c r="D377" s="8"/>
      <c r="E377" s="8"/>
      <c r="F377" s="8"/>
      <c r="G377" s="47"/>
      <c r="H377" s="9"/>
    </row>
    <row r="378" spans="1:8" x14ac:dyDescent="0.45">
      <c r="A378" s="8"/>
      <c r="B378" s="8"/>
      <c r="C378" s="8"/>
      <c r="D378" s="8"/>
      <c r="E378" s="8"/>
      <c r="F378" s="8"/>
      <c r="G378" s="47"/>
      <c r="H378" s="9"/>
    </row>
    <row r="379" spans="1:8" x14ac:dyDescent="0.45">
      <c r="A379" s="8"/>
      <c r="B379" s="8"/>
      <c r="C379" s="8"/>
      <c r="D379" s="8"/>
      <c r="E379" s="8"/>
      <c r="F379" s="8"/>
      <c r="G379" s="47"/>
      <c r="H379" s="9"/>
    </row>
    <row r="380" spans="1:8" x14ac:dyDescent="0.45">
      <c r="A380" s="8"/>
      <c r="B380" s="8"/>
      <c r="C380" s="8"/>
      <c r="D380" s="8"/>
      <c r="E380" s="8"/>
      <c r="F380" s="8"/>
      <c r="G380" s="47"/>
      <c r="H380" s="9"/>
    </row>
    <row r="381" spans="1:8" x14ac:dyDescent="0.45">
      <c r="A381" s="8"/>
      <c r="B381" s="8"/>
      <c r="C381" s="8"/>
      <c r="D381" s="8"/>
      <c r="E381" s="8"/>
      <c r="F381" s="8"/>
      <c r="G381" s="47"/>
      <c r="H381" s="9"/>
    </row>
    <row r="382" spans="1:8" x14ac:dyDescent="0.45">
      <c r="A382" s="8"/>
      <c r="B382" s="8"/>
      <c r="C382" s="8"/>
      <c r="D382" s="8"/>
      <c r="E382" s="8"/>
      <c r="F382" s="8"/>
      <c r="G382" s="47"/>
      <c r="H382" s="9"/>
    </row>
    <row r="383" spans="1:8" x14ac:dyDescent="0.45">
      <c r="A383" s="8"/>
      <c r="B383" s="8"/>
      <c r="C383" s="8"/>
      <c r="D383" s="8"/>
      <c r="E383" s="8"/>
      <c r="F383" s="8"/>
      <c r="G383" s="47"/>
      <c r="H383" s="9"/>
    </row>
    <row r="384" spans="1:8" x14ac:dyDescent="0.45">
      <c r="A384" s="8"/>
      <c r="B384" s="8"/>
      <c r="C384" s="8"/>
      <c r="D384" s="8"/>
      <c r="E384" s="8"/>
      <c r="F384" s="8"/>
      <c r="G384" s="47"/>
      <c r="H384" s="9"/>
    </row>
    <row r="385" spans="1:8" x14ac:dyDescent="0.45">
      <c r="A385" s="8"/>
      <c r="B385" s="8"/>
      <c r="C385" s="8"/>
      <c r="D385" s="8"/>
      <c r="E385" s="8"/>
      <c r="F385" s="8"/>
      <c r="G385" s="47"/>
      <c r="H385" s="9"/>
    </row>
    <row r="386" spans="1:8" x14ac:dyDescent="0.45">
      <c r="A386" s="8"/>
      <c r="B386" s="8"/>
      <c r="C386" s="8"/>
      <c r="D386" s="8"/>
      <c r="E386" s="8"/>
      <c r="F386" s="8"/>
      <c r="G386" s="47"/>
      <c r="H386" s="9"/>
    </row>
    <row r="387" spans="1:8" x14ac:dyDescent="0.45">
      <c r="A387" s="8"/>
      <c r="B387" s="8"/>
      <c r="C387" s="8"/>
      <c r="D387" s="8"/>
      <c r="E387" s="8"/>
      <c r="F387" s="8"/>
      <c r="G387" s="47"/>
      <c r="H387" s="9"/>
    </row>
    <row r="388" spans="1:8" x14ac:dyDescent="0.45">
      <c r="A388" s="8"/>
      <c r="B388" s="8"/>
      <c r="C388" s="8"/>
      <c r="D388" s="8"/>
      <c r="E388" s="8"/>
      <c r="F388" s="8"/>
      <c r="G388" s="47"/>
      <c r="H388" s="9"/>
    </row>
    <row r="389" spans="1:8" x14ac:dyDescent="0.45">
      <c r="A389" s="8"/>
      <c r="B389" s="8"/>
      <c r="C389" s="8"/>
      <c r="D389" s="8"/>
      <c r="E389" s="8"/>
      <c r="F389" s="8"/>
      <c r="G389" s="47"/>
      <c r="H389" s="9"/>
    </row>
    <row r="390" spans="1:8" x14ac:dyDescent="0.45">
      <c r="A390" s="8"/>
      <c r="B390" s="8"/>
      <c r="C390" s="8"/>
      <c r="D390" s="8"/>
      <c r="E390" s="8"/>
      <c r="F390" s="8"/>
      <c r="G390" s="47"/>
      <c r="H390" s="9"/>
    </row>
    <row r="391" spans="1:8" x14ac:dyDescent="0.45">
      <c r="A391" s="8"/>
      <c r="B391" s="8"/>
      <c r="C391" s="8"/>
      <c r="D391" s="8"/>
      <c r="E391" s="8"/>
      <c r="F391" s="8"/>
      <c r="G391" s="47"/>
      <c r="H391" s="9"/>
    </row>
    <row r="392" spans="1:8" x14ac:dyDescent="0.45">
      <c r="A392" s="8"/>
      <c r="B392" s="8"/>
      <c r="C392" s="8"/>
      <c r="D392" s="8"/>
      <c r="E392" s="8"/>
      <c r="F392" s="8"/>
      <c r="G392" s="47"/>
      <c r="H392" s="9"/>
    </row>
    <row r="393" spans="1:8" x14ac:dyDescent="0.45">
      <c r="A393" s="8"/>
      <c r="B393" s="8"/>
      <c r="C393" s="8"/>
      <c r="D393" s="8"/>
      <c r="E393" s="8"/>
      <c r="F393" s="8"/>
      <c r="G393" s="47"/>
      <c r="H393" s="9"/>
    </row>
    <row r="394" spans="1:8" x14ac:dyDescent="0.45">
      <c r="A394" s="8"/>
      <c r="B394" s="8"/>
      <c r="C394" s="8"/>
      <c r="D394" s="8"/>
      <c r="E394" s="8"/>
      <c r="F394" s="8"/>
      <c r="G394" s="47"/>
      <c r="H394" s="9"/>
    </row>
    <row r="395" spans="1:8" x14ac:dyDescent="0.45">
      <c r="A395" s="8"/>
      <c r="B395" s="8"/>
      <c r="C395" s="8"/>
      <c r="D395" s="8"/>
      <c r="E395" s="8"/>
      <c r="F395" s="8"/>
      <c r="G395" s="47"/>
      <c r="H395" s="9"/>
    </row>
    <row r="396" spans="1:8" x14ac:dyDescent="0.45">
      <c r="A396" s="8"/>
      <c r="B396" s="8"/>
      <c r="C396" s="8"/>
      <c r="D396" s="8"/>
      <c r="E396" s="8"/>
      <c r="F396" s="8"/>
      <c r="G396" s="47"/>
      <c r="H396" s="9"/>
    </row>
    <row r="397" spans="1:8" x14ac:dyDescent="0.45">
      <c r="A397" s="8"/>
      <c r="B397" s="8"/>
      <c r="C397" s="8"/>
      <c r="D397" s="8"/>
      <c r="E397" s="8"/>
      <c r="F397" s="8"/>
      <c r="G397" s="47"/>
      <c r="H397" s="9"/>
    </row>
    <row r="398" spans="1:8" x14ac:dyDescent="0.45">
      <c r="A398" s="8"/>
      <c r="B398" s="8"/>
      <c r="C398" s="8"/>
      <c r="D398" s="8"/>
      <c r="E398" s="8"/>
      <c r="F398" s="8"/>
      <c r="G398" s="47"/>
      <c r="H398" s="9"/>
    </row>
    <row r="399" spans="1:8" x14ac:dyDescent="0.45">
      <c r="A399" s="8"/>
      <c r="B399" s="8"/>
      <c r="C399" s="8"/>
      <c r="D399" s="8"/>
      <c r="E399" s="8"/>
      <c r="F399" s="8"/>
      <c r="G399" s="47"/>
      <c r="H399" s="9"/>
    </row>
    <row r="400" spans="1:8" x14ac:dyDescent="0.45">
      <c r="A400" s="8"/>
      <c r="B400" s="8"/>
      <c r="C400" s="8"/>
      <c r="D400" s="8"/>
      <c r="E400" s="8"/>
      <c r="F400" s="8"/>
      <c r="G400" s="47"/>
      <c r="H400" s="9"/>
    </row>
    <row r="401" spans="1:8" x14ac:dyDescent="0.45">
      <c r="A401" s="8"/>
      <c r="B401" s="8"/>
      <c r="C401" s="8"/>
      <c r="D401" s="8"/>
      <c r="E401" s="8"/>
      <c r="F401" s="8"/>
      <c r="G401" s="47"/>
      <c r="H401" s="9"/>
    </row>
    <row r="402" spans="1:8" x14ac:dyDescent="0.45">
      <c r="A402" s="8"/>
      <c r="B402" s="8"/>
      <c r="C402" s="8"/>
      <c r="D402" s="8"/>
      <c r="E402" s="8"/>
      <c r="F402" s="8"/>
      <c r="G402" s="47"/>
      <c r="H402" s="9"/>
    </row>
    <row r="403" spans="1:8" x14ac:dyDescent="0.45">
      <c r="A403" s="8"/>
      <c r="B403" s="8"/>
      <c r="C403" s="8"/>
      <c r="D403" s="8"/>
      <c r="E403" s="8"/>
      <c r="F403" s="8"/>
      <c r="G403" s="47"/>
      <c r="H403" s="9"/>
    </row>
    <row r="404" spans="1:8" x14ac:dyDescent="0.45">
      <c r="A404" s="8"/>
      <c r="B404" s="8"/>
      <c r="C404" s="8"/>
      <c r="D404" s="8"/>
      <c r="E404" s="8"/>
      <c r="F404" s="8"/>
      <c r="G404" s="47"/>
      <c r="H404" s="9"/>
    </row>
    <row r="405" spans="1:8" x14ac:dyDescent="0.45">
      <c r="A405" s="8"/>
      <c r="B405" s="8"/>
      <c r="C405" s="8"/>
      <c r="D405" s="8"/>
      <c r="E405" s="8"/>
      <c r="F405" s="8"/>
      <c r="G405" s="47"/>
      <c r="H405" s="9"/>
    </row>
    <row r="406" spans="1:8" x14ac:dyDescent="0.45">
      <c r="A406" s="8"/>
      <c r="B406" s="8"/>
      <c r="C406" s="8"/>
      <c r="D406" s="8"/>
      <c r="E406" s="8"/>
      <c r="F406" s="8"/>
      <c r="G406" s="47"/>
      <c r="H406" s="9"/>
    </row>
    <row r="407" spans="1:8" x14ac:dyDescent="0.45">
      <c r="A407" s="8"/>
      <c r="B407" s="8"/>
      <c r="C407" s="8"/>
      <c r="D407" s="8"/>
      <c r="E407" s="8"/>
      <c r="F407" s="8"/>
      <c r="G407" s="47"/>
      <c r="H407" s="9"/>
    </row>
    <row r="408" spans="1:8" x14ac:dyDescent="0.45">
      <c r="A408" s="8"/>
      <c r="B408" s="8"/>
      <c r="C408" s="8"/>
      <c r="D408" s="8"/>
      <c r="E408" s="8"/>
      <c r="F408" s="8"/>
      <c r="G408" s="47"/>
      <c r="H408" s="9"/>
    </row>
    <row r="409" spans="1:8" x14ac:dyDescent="0.45">
      <c r="A409" s="8"/>
      <c r="B409" s="8"/>
      <c r="C409" s="8"/>
      <c r="D409" s="8"/>
      <c r="E409" s="8"/>
      <c r="F409" s="8"/>
      <c r="G409" s="47"/>
      <c r="H409" s="9"/>
    </row>
    <row r="410" spans="1:8" x14ac:dyDescent="0.45">
      <c r="A410" s="8"/>
      <c r="B410" s="8"/>
      <c r="C410" s="8"/>
      <c r="D410" s="8"/>
      <c r="E410" s="8"/>
      <c r="F410" s="8"/>
      <c r="G410" s="47"/>
      <c r="H410" s="9"/>
    </row>
    <row r="411" spans="1:8" x14ac:dyDescent="0.45">
      <c r="A411" s="8"/>
      <c r="B411" s="8"/>
      <c r="C411" s="8"/>
      <c r="D411" s="8"/>
      <c r="E411" s="8"/>
      <c r="F411" s="8"/>
      <c r="G411" s="47"/>
      <c r="H411" s="9"/>
    </row>
    <row r="412" spans="1:8" x14ac:dyDescent="0.45">
      <c r="A412" s="8"/>
      <c r="B412" s="8"/>
      <c r="C412" s="8"/>
      <c r="D412" s="8"/>
      <c r="E412" s="8"/>
      <c r="F412" s="8"/>
      <c r="G412" s="47"/>
      <c r="H412" s="9"/>
    </row>
    <row r="413" spans="1:8" x14ac:dyDescent="0.45">
      <c r="A413" s="8"/>
      <c r="B413" s="8"/>
      <c r="C413" s="8"/>
      <c r="D413" s="8"/>
      <c r="E413" s="8"/>
      <c r="F413" s="8"/>
      <c r="G413" s="47"/>
      <c r="H413" s="9"/>
    </row>
    <row r="414" spans="1:8" x14ac:dyDescent="0.45">
      <c r="A414" s="8"/>
      <c r="B414" s="8"/>
      <c r="C414" s="8"/>
      <c r="D414" s="8"/>
      <c r="E414" s="8"/>
      <c r="F414" s="8"/>
      <c r="G414" s="47"/>
      <c r="H414" s="9"/>
    </row>
    <row r="415" spans="1:8" x14ac:dyDescent="0.45">
      <c r="A415" s="8"/>
      <c r="B415" s="8"/>
      <c r="C415" s="8"/>
      <c r="D415" s="8"/>
      <c r="E415" s="8"/>
      <c r="F415" s="8"/>
      <c r="G415" s="47"/>
      <c r="H415" s="9"/>
    </row>
    <row r="416" spans="1:8" x14ac:dyDescent="0.45">
      <c r="A416" s="8"/>
      <c r="B416" s="8"/>
      <c r="C416" s="8"/>
      <c r="D416" s="8"/>
      <c r="E416" s="8"/>
      <c r="F416" s="8"/>
      <c r="G416" s="47"/>
      <c r="H416" s="9"/>
    </row>
    <row r="417" spans="1:8" x14ac:dyDescent="0.45">
      <c r="A417" s="8"/>
      <c r="B417" s="8"/>
      <c r="C417" s="8"/>
      <c r="D417" s="8"/>
      <c r="E417" s="8"/>
      <c r="F417" s="8"/>
      <c r="G417" s="47"/>
      <c r="H417" s="9"/>
    </row>
    <row r="418" spans="1:8" x14ac:dyDescent="0.45">
      <c r="A418" s="8"/>
      <c r="B418" s="8"/>
      <c r="C418" s="8"/>
      <c r="D418" s="8"/>
      <c r="E418" s="8"/>
      <c r="F418" s="8"/>
      <c r="G418" s="47"/>
      <c r="H418" s="9"/>
    </row>
    <row r="419" spans="1:8" x14ac:dyDescent="0.45">
      <c r="A419" s="8"/>
      <c r="B419" s="8"/>
      <c r="C419" s="8"/>
      <c r="D419" s="8"/>
      <c r="E419" s="8"/>
      <c r="F419" s="8"/>
      <c r="G419" s="47"/>
      <c r="H419" s="9"/>
    </row>
    <row r="420" spans="1:8" x14ac:dyDescent="0.45">
      <c r="A420" s="8"/>
      <c r="B420" s="8"/>
      <c r="C420" s="8"/>
      <c r="D420" s="8"/>
      <c r="E420" s="8"/>
      <c r="F420" s="8"/>
      <c r="G420" s="47"/>
      <c r="H420" s="9"/>
    </row>
    <row r="421" spans="1:8" x14ac:dyDescent="0.45">
      <c r="A421" s="8"/>
      <c r="B421" s="8"/>
      <c r="C421" s="8"/>
      <c r="D421" s="8"/>
      <c r="E421" s="8"/>
      <c r="F421" s="8"/>
      <c r="G421" s="47"/>
      <c r="H421" s="9"/>
    </row>
    <row r="422" spans="1:8" x14ac:dyDescent="0.45">
      <c r="A422" s="8"/>
      <c r="B422" s="8"/>
      <c r="C422" s="8"/>
      <c r="D422" s="8"/>
      <c r="E422" s="8"/>
      <c r="F422" s="8"/>
      <c r="G422" s="47"/>
      <c r="H422" s="9"/>
    </row>
    <row r="423" spans="1:8" x14ac:dyDescent="0.45">
      <c r="A423" s="8"/>
      <c r="B423" s="8"/>
      <c r="C423" s="8"/>
      <c r="D423" s="8"/>
      <c r="E423" s="8"/>
      <c r="F423" s="8"/>
      <c r="G423" s="47"/>
      <c r="H423" s="9"/>
    </row>
    <row r="424" spans="1:8" x14ac:dyDescent="0.45">
      <c r="A424" s="8"/>
      <c r="B424" s="8"/>
      <c r="C424" s="8"/>
      <c r="D424" s="8"/>
      <c r="E424" s="8"/>
      <c r="F424" s="8"/>
      <c r="G424" s="47"/>
      <c r="H424" s="9"/>
    </row>
    <row r="425" spans="1:8" x14ac:dyDescent="0.45">
      <c r="A425" s="8"/>
      <c r="B425" s="8"/>
      <c r="C425" s="8"/>
      <c r="D425" s="8"/>
      <c r="E425" s="8"/>
      <c r="F425" s="8"/>
      <c r="G425" s="47"/>
      <c r="H425" s="9"/>
    </row>
    <row r="426" spans="1:8" x14ac:dyDescent="0.45">
      <c r="A426" s="8"/>
      <c r="B426" s="8"/>
      <c r="C426" s="8"/>
      <c r="D426" s="8"/>
      <c r="E426" s="8"/>
      <c r="F426" s="8"/>
      <c r="G426" s="47"/>
      <c r="H426" s="9"/>
    </row>
    <row r="427" spans="1:8" x14ac:dyDescent="0.45">
      <c r="A427" s="8"/>
      <c r="B427" s="8"/>
      <c r="C427" s="8"/>
      <c r="D427" s="8"/>
      <c r="E427" s="8"/>
      <c r="F427" s="8"/>
      <c r="G427" s="47"/>
      <c r="H427" s="9"/>
    </row>
    <row r="428" spans="1:8" x14ac:dyDescent="0.45">
      <c r="A428" s="8"/>
      <c r="B428" s="8"/>
      <c r="C428" s="8"/>
      <c r="D428" s="8"/>
      <c r="E428" s="8"/>
      <c r="F428" s="8"/>
      <c r="G428" s="47"/>
      <c r="H428" s="9"/>
    </row>
    <row r="429" spans="1:8" x14ac:dyDescent="0.45">
      <c r="A429" s="8"/>
      <c r="B429" s="8"/>
      <c r="C429" s="8"/>
      <c r="D429" s="8"/>
      <c r="E429" s="8"/>
      <c r="F429" s="8"/>
      <c r="G429" s="47"/>
      <c r="H429" s="9"/>
    </row>
    <row r="430" spans="1:8" x14ac:dyDescent="0.45">
      <c r="A430" s="8"/>
      <c r="B430" s="8"/>
      <c r="C430" s="8"/>
      <c r="D430" s="8"/>
      <c r="E430" s="8"/>
      <c r="F430" s="8"/>
      <c r="G430" s="47"/>
      <c r="H430" s="9"/>
    </row>
    <row r="431" spans="1:8" x14ac:dyDescent="0.45">
      <c r="A431" s="8"/>
      <c r="B431" s="8"/>
      <c r="C431" s="8"/>
      <c r="D431" s="8"/>
      <c r="E431" s="8"/>
      <c r="F431" s="8"/>
      <c r="G431" s="47"/>
      <c r="H431" s="9"/>
    </row>
    <row r="432" spans="1:8" x14ac:dyDescent="0.45">
      <c r="A432" s="8"/>
      <c r="B432" s="8"/>
      <c r="C432" s="8"/>
      <c r="D432" s="8"/>
      <c r="E432" s="8"/>
      <c r="F432" s="8"/>
      <c r="G432" s="47"/>
      <c r="H432" s="9"/>
    </row>
    <row r="433" spans="1:8" x14ac:dyDescent="0.45">
      <c r="A433" s="8"/>
      <c r="B433" s="8"/>
      <c r="C433" s="8"/>
      <c r="D433" s="8"/>
      <c r="E433" s="8"/>
      <c r="F433" s="8"/>
      <c r="G433" s="47"/>
      <c r="H433" s="9"/>
    </row>
    <row r="434" spans="1:8" x14ac:dyDescent="0.45">
      <c r="A434" s="8"/>
      <c r="B434" s="8"/>
      <c r="C434" s="8"/>
      <c r="D434" s="8"/>
      <c r="E434" s="8"/>
      <c r="F434" s="8"/>
      <c r="G434" s="47"/>
      <c r="H434" s="9"/>
    </row>
    <row r="435" spans="1:8" x14ac:dyDescent="0.45">
      <c r="A435" s="8"/>
      <c r="B435" s="8"/>
      <c r="C435" s="8"/>
      <c r="D435" s="8"/>
      <c r="E435" s="8"/>
      <c r="F435" s="8"/>
      <c r="G435" s="47"/>
      <c r="H435" s="9"/>
    </row>
    <row r="436" spans="1:8" x14ac:dyDescent="0.45">
      <c r="A436" s="8"/>
      <c r="B436" s="8"/>
      <c r="C436" s="8"/>
      <c r="D436" s="8"/>
      <c r="E436" s="8"/>
      <c r="F436" s="8"/>
      <c r="G436" s="47"/>
      <c r="H436" s="9"/>
    </row>
    <row r="437" spans="1:8" x14ac:dyDescent="0.45">
      <c r="A437" s="8"/>
      <c r="B437" s="8"/>
      <c r="C437" s="8"/>
      <c r="D437" s="8"/>
      <c r="E437" s="8"/>
      <c r="F437" s="8"/>
      <c r="G437" s="47"/>
      <c r="H437" s="9"/>
    </row>
    <row r="438" spans="1:8" x14ac:dyDescent="0.45">
      <c r="A438" s="8"/>
      <c r="B438" s="8"/>
      <c r="C438" s="8"/>
      <c r="D438" s="8"/>
      <c r="E438" s="8"/>
      <c r="F438" s="8"/>
      <c r="G438" s="47"/>
      <c r="H438" s="9"/>
    </row>
    <row r="439" spans="1:8" x14ac:dyDescent="0.45">
      <c r="A439" s="8"/>
      <c r="B439" s="8"/>
      <c r="C439" s="8"/>
      <c r="D439" s="8"/>
      <c r="E439" s="8"/>
      <c r="F439" s="8"/>
      <c r="G439" s="47"/>
      <c r="H439" s="9"/>
    </row>
    <row r="440" spans="1:8" x14ac:dyDescent="0.45">
      <c r="A440" s="8"/>
      <c r="B440" s="8"/>
      <c r="C440" s="8"/>
      <c r="D440" s="8"/>
      <c r="E440" s="8"/>
      <c r="F440" s="8"/>
      <c r="G440" s="47"/>
      <c r="H440" s="9"/>
    </row>
    <row r="441" spans="1:8" x14ac:dyDescent="0.45">
      <c r="A441" s="8"/>
      <c r="B441" s="8"/>
      <c r="C441" s="8"/>
      <c r="D441" s="8"/>
      <c r="E441" s="8"/>
      <c r="F441" s="8"/>
      <c r="G441" s="47"/>
      <c r="H441" s="9"/>
    </row>
    <row r="442" spans="1:8" x14ac:dyDescent="0.45">
      <c r="A442" s="8"/>
      <c r="B442" s="8"/>
      <c r="C442" s="8"/>
      <c r="D442" s="8"/>
      <c r="E442" s="8"/>
      <c r="F442" s="8"/>
      <c r="G442" s="47"/>
      <c r="H442" s="9"/>
    </row>
    <row r="443" spans="1:8" x14ac:dyDescent="0.45">
      <c r="A443" s="8"/>
      <c r="B443" s="8"/>
      <c r="C443" s="8"/>
      <c r="D443" s="8"/>
      <c r="E443" s="8"/>
      <c r="F443" s="8"/>
      <c r="G443" s="47"/>
      <c r="H443" s="9"/>
    </row>
    <row r="444" spans="1:8" x14ac:dyDescent="0.45">
      <c r="A444" s="8"/>
      <c r="B444" s="8"/>
      <c r="C444" s="8"/>
      <c r="D444" s="8"/>
      <c r="E444" s="8"/>
      <c r="F444" s="8"/>
      <c r="G444" s="47"/>
      <c r="H444" s="9"/>
    </row>
    <row r="445" spans="1:8" x14ac:dyDescent="0.45">
      <c r="A445" s="8"/>
      <c r="B445" s="8"/>
      <c r="C445" s="8"/>
      <c r="D445" s="8"/>
      <c r="E445" s="8"/>
      <c r="F445" s="8"/>
      <c r="G445" s="47"/>
      <c r="H445" s="9"/>
    </row>
    <row r="446" spans="1:8" x14ac:dyDescent="0.45">
      <c r="A446" s="8"/>
      <c r="B446" s="8"/>
      <c r="C446" s="8"/>
      <c r="D446" s="8"/>
      <c r="E446" s="8"/>
      <c r="F446" s="8"/>
      <c r="G446" s="47"/>
      <c r="H446" s="9"/>
    </row>
    <row r="447" spans="1:8" x14ac:dyDescent="0.45">
      <c r="A447" s="8"/>
      <c r="B447" s="8"/>
      <c r="C447" s="8"/>
      <c r="D447" s="8"/>
      <c r="E447" s="8"/>
      <c r="F447" s="8"/>
      <c r="G447" s="47"/>
      <c r="H447" s="9"/>
    </row>
    <row r="448" spans="1:8" x14ac:dyDescent="0.45">
      <c r="A448" s="8"/>
      <c r="B448" s="8"/>
      <c r="C448" s="8"/>
      <c r="D448" s="8"/>
      <c r="E448" s="8"/>
      <c r="F448" s="8"/>
      <c r="G448" s="47"/>
      <c r="H448" s="9"/>
    </row>
    <row r="449" spans="1:8" x14ac:dyDescent="0.45">
      <c r="A449" s="8"/>
      <c r="B449" s="8"/>
      <c r="C449" s="8"/>
      <c r="D449" s="8"/>
      <c r="E449" s="8"/>
      <c r="F449" s="8"/>
      <c r="G449" s="47"/>
      <c r="H449" s="9"/>
    </row>
    <row r="450" spans="1:8" x14ac:dyDescent="0.45">
      <c r="A450" s="8"/>
      <c r="B450" s="8"/>
      <c r="C450" s="8"/>
      <c r="D450" s="8"/>
      <c r="E450" s="8"/>
      <c r="F450" s="8"/>
      <c r="G450" s="47"/>
      <c r="H450" s="9"/>
    </row>
    <row r="451" spans="1:8" x14ac:dyDescent="0.45">
      <c r="A451" s="8"/>
      <c r="B451" s="8"/>
      <c r="C451" s="8"/>
      <c r="D451" s="8"/>
      <c r="E451" s="8"/>
      <c r="F451" s="8"/>
      <c r="G451" s="47"/>
      <c r="H451" s="9"/>
    </row>
    <row r="452" spans="1:8" x14ac:dyDescent="0.45">
      <c r="A452" s="8"/>
      <c r="B452" s="8"/>
      <c r="C452" s="8"/>
      <c r="D452" s="8"/>
      <c r="E452" s="8"/>
      <c r="F452" s="8"/>
      <c r="G452" s="47"/>
      <c r="H452" s="9"/>
    </row>
    <row r="453" spans="1:8" x14ac:dyDescent="0.45">
      <c r="A453" s="8"/>
      <c r="B453" s="8"/>
      <c r="C453" s="8"/>
      <c r="D453" s="8"/>
      <c r="E453" s="8"/>
      <c r="F453" s="8"/>
      <c r="G453" s="47"/>
      <c r="H453" s="9"/>
    </row>
    <row r="454" spans="1:8" x14ac:dyDescent="0.45">
      <c r="A454" s="8"/>
      <c r="B454" s="8"/>
      <c r="C454" s="8"/>
      <c r="D454" s="8"/>
      <c r="E454" s="8"/>
      <c r="F454" s="8"/>
      <c r="G454" s="47"/>
      <c r="H454" s="9"/>
    </row>
    <row r="455" spans="1:8" x14ac:dyDescent="0.45">
      <c r="A455" s="8"/>
      <c r="B455" s="8"/>
      <c r="C455" s="8"/>
      <c r="D455" s="8"/>
      <c r="E455" s="8"/>
      <c r="F455" s="8"/>
      <c r="G455" s="47"/>
      <c r="H455" s="9"/>
    </row>
    <row r="456" spans="1:8" x14ac:dyDescent="0.45">
      <c r="A456" s="8"/>
      <c r="B456" s="8"/>
      <c r="C456" s="8"/>
      <c r="D456" s="8"/>
      <c r="E456" s="8"/>
      <c r="F456" s="8"/>
      <c r="G456" s="47"/>
      <c r="H456" s="9"/>
    </row>
    <row r="457" spans="1:8" x14ac:dyDescent="0.45">
      <c r="A457" s="8"/>
      <c r="B457" s="8"/>
      <c r="C457" s="8"/>
      <c r="D457" s="8"/>
      <c r="E457" s="8"/>
      <c r="F457" s="8"/>
      <c r="G457" s="47"/>
      <c r="H457" s="9"/>
    </row>
    <row r="458" spans="1:8" x14ac:dyDescent="0.45">
      <c r="A458" s="8"/>
      <c r="B458" s="8"/>
      <c r="C458" s="8"/>
      <c r="D458" s="8"/>
      <c r="E458" s="8"/>
      <c r="F458" s="8"/>
      <c r="G458" s="47"/>
      <c r="H458" s="9"/>
    </row>
    <row r="459" spans="1:8" x14ac:dyDescent="0.45">
      <c r="A459" s="8"/>
      <c r="B459" s="8"/>
      <c r="C459" s="8"/>
      <c r="D459" s="8"/>
      <c r="E459" s="8"/>
      <c r="F459" s="8"/>
      <c r="G459" s="47"/>
      <c r="H459" s="9"/>
    </row>
    <row r="460" spans="1:8" x14ac:dyDescent="0.45">
      <c r="A460" s="8"/>
      <c r="B460" s="8"/>
      <c r="C460" s="8"/>
      <c r="D460" s="8"/>
      <c r="E460" s="8"/>
      <c r="F460" s="8"/>
      <c r="G460" s="47"/>
      <c r="H460" s="9"/>
    </row>
    <row r="461" spans="1:8" x14ac:dyDescent="0.45">
      <c r="A461" s="8"/>
      <c r="B461" s="8"/>
      <c r="C461" s="8"/>
      <c r="D461" s="8"/>
      <c r="E461" s="8"/>
      <c r="F461" s="8"/>
      <c r="G461" s="47"/>
      <c r="H461" s="9"/>
    </row>
    <row r="462" spans="1:8" x14ac:dyDescent="0.45">
      <c r="A462" s="8"/>
      <c r="B462" s="8"/>
      <c r="C462" s="8"/>
      <c r="D462" s="8"/>
      <c r="E462" s="8"/>
      <c r="F462" s="8"/>
      <c r="G462" s="47"/>
      <c r="H462" s="9"/>
    </row>
    <row r="463" spans="1:8" x14ac:dyDescent="0.45">
      <c r="A463" s="8"/>
      <c r="B463" s="8"/>
      <c r="C463" s="8"/>
      <c r="D463" s="8"/>
      <c r="E463" s="8"/>
      <c r="F463" s="8"/>
      <c r="G463" s="47"/>
      <c r="H463" s="9"/>
    </row>
    <row r="464" spans="1:8" x14ac:dyDescent="0.45">
      <c r="A464" s="8"/>
      <c r="B464" s="8"/>
      <c r="C464" s="8"/>
      <c r="D464" s="8"/>
      <c r="E464" s="8"/>
      <c r="F464" s="8"/>
      <c r="G464" s="47"/>
      <c r="H464" s="9"/>
    </row>
    <row r="465" spans="1:8" x14ac:dyDescent="0.45">
      <c r="A465" s="8"/>
      <c r="B465" s="8"/>
      <c r="C465" s="8"/>
      <c r="D465" s="8"/>
      <c r="E465" s="8"/>
      <c r="F465" s="8"/>
      <c r="G465" s="47"/>
      <c r="H465" s="9"/>
    </row>
    <row r="466" spans="1:8" x14ac:dyDescent="0.45">
      <c r="A466" s="8"/>
      <c r="B466" s="8"/>
      <c r="C466" s="8"/>
      <c r="D466" s="8"/>
      <c r="E466" s="8"/>
      <c r="F466" s="8"/>
      <c r="G466" s="47"/>
      <c r="H466" s="9"/>
    </row>
    <row r="467" spans="1:8" x14ac:dyDescent="0.45">
      <c r="A467" s="8"/>
      <c r="B467" s="8"/>
      <c r="C467" s="8"/>
      <c r="D467" s="8"/>
      <c r="E467" s="8"/>
      <c r="F467" s="8"/>
      <c r="G467" s="47"/>
      <c r="H467" s="9"/>
    </row>
    <row r="468" spans="1:8" x14ac:dyDescent="0.45">
      <c r="A468" s="8"/>
      <c r="B468" s="8"/>
      <c r="C468" s="8"/>
      <c r="D468" s="8"/>
      <c r="E468" s="8"/>
      <c r="F468" s="8"/>
      <c r="G468" s="47"/>
      <c r="H468" s="9"/>
    </row>
    <row r="469" spans="1:8" x14ac:dyDescent="0.45">
      <c r="A469" s="8"/>
      <c r="B469" s="8"/>
      <c r="C469" s="8"/>
      <c r="D469" s="8"/>
      <c r="E469" s="8"/>
      <c r="F469" s="8"/>
      <c r="G469" s="47"/>
      <c r="H469" s="9"/>
    </row>
    <row r="470" spans="1:8" x14ac:dyDescent="0.45">
      <c r="A470" s="8"/>
      <c r="B470" s="8"/>
      <c r="C470" s="8"/>
      <c r="D470" s="8"/>
      <c r="E470" s="8"/>
      <c r="F470" s="8"/>
      <c r="G470" s="47"/>
      <c r="H470" s="9"/>
    </row>
    <row r="471" spans="1:8" x14ac:dyDescent="0.45">
      <c r="A471" s="8"/>
      <c r="B471" s="8"/>
      <c r="C471" s="8"/>
      <c r="D471" s="8"/>
      <c r="E471" s="8"/>
      <c r="F471" s="8"/>
      <c r="G471" s="47"/>
      <c r="H471" s="9"/>
    </row>
    <row r="472" spans="1:8" x14ac:dyDescent="0.45">
      <c r="A472" s="8"/>
      <c r="B472" s="8"/>
      <c r="C472" s="8"/>
      <c r="D472" s="8"/>
      <c r="E472" s="8"/>
      <c r="F472" s="8"/>
      <c r="G472" s="47"/>
      <c r="H472" s="9"/>
    </row>
    <row r="473" spans="1:8" x14ac:dyDescent="0.45">
      <c r="A473" s="8"/>
      <c r="B473" s="8"/>
      <c r="C473" s="8"/>
      <c r="D473" s="8"/>
      <c r="E473" s="8"/>
      <c r="F473" s="8"/>
      <c r="G473" s="47"/>
      <c r="H473" s="9"/>
    </row>
    <row r="474" spans="1:8" x14ac:dyDescent="0.45">
      <c r="A474" s="8"/>
      <c r="B474" s="8"/>
      <c r="C474" s="8"/>
      <c r="D474" s="8"/>
      <c r="E474" s="8"/>
      <c r="F474" s="8"/>
      <c r="G474" s="47"/>
      <c r="H474" s="9"/>
    </row>
    <row r="475" spans="1:8" x14ac:dyDescent="0.45">
      <c r="A475" s="8"/>
      <c r="B475" s="8"/>
      <c r="C475" s="8"/>
      <c r="D475" s="8"/>
      <c r="E475" s="8"/>
      <c r="F475" s="8"/>
      <c r="G475" s="47"/>
      <c r="H475" s="9"/>
    </row>
    <row r="476" spans="1:8" x14ac:dyDescent="0.45">
      <c r="A476" s="8"/>
      <c r="B476" s="8"/>
      <c r="C476" s="8"/>
      <c r="D476" s="8"/>
      <c r="E476" s="8"/>
      <c r="F476" s="8"/>
      <c r="G476" s="47"/>
      <c r="H476" s="9"/>
    </row>
    <row r="477" spans="1:8" x14ac:dyDescent="0.45">
      <c r="A477" s="8"/>
      <c r="B477" s="8"/>
      <c r="C477" s="8"/>
      <c r="D477" s="8"/>
      <c r="E477" s="8"/>
      <c r="F477" s="8"/>
      <c r="G477" s="47"/>
      <c r="H477" s="9"/>
    </row>
    <row r="478" spans="1:8" x14ac:dyDescent="0.45">
      <c r="A478" s="8"/>
      <c r="B478" s="8"/>
      <c r="C478" s="8"/>
      <c r="D478" s="8"/>
      <c r="E478" s="8"/>
      <c r="F478" s="8"/>
      <c r="G478" s="47"/>
      <c r="H478" s="9"/>
    </row>
    <row r="479" spans="1:8" x14ac:dyDescent="0.45">
      <c r="A479" s="8"/>
      <c r="B479" s="8"/>
      <c r="C479" s="8"/>
      <c r="D479" s="8"/>
      <c r="E479" s="8"/>
      <c r="F479" s="8"/>
      <c r="G479" s="47"/>
      <c r="H479" s="9"/>
    </row>
    <row r="480" spans="1:8" x14ac:dyDescent="0.45">
      <c r="A480" s="8"/>
      <c r="B480" s="8"/>
      <c r="C480" s="8"/>
      <c r="D480" s="8"/>
      <c r="E480" s="8"/>
      <c r="F480" s="8"/>
      <c r="G480" s="47"/>
      <c r="H480" s="9"/>
    </row>
    <row r="481" spans="1:8" x14ac:dyDescent="0.45">
      <c r="A481" s="8"/>
      <c r="B481" s="8"/>
      <c r="C481" s="8"/>
      <c r="D481" s="8"/>
      <c r="E481" s="8"/>
      <c r="F481" s="8"/>
      <c r="G481" s="47"/>
      <c r="H481" s="9"/>
    </row>
    <row r="482" spans="1:8" x14ac:dyDescent="0.45">
      <c r="A482" s="8"/>
      <c r="B482" s="8"/>
      <c r="C482" s="8"/>
      <c r="D482" s="8"/>
      <c r="E482" s="8"/>
      <c r="F482" s="8"/>
      <c r="G482" s="47"/>
      <c r="H482" s="9"/>
    </row>
    <row r="483" spans="1:8" x14ac:dyDescent="0.45">
      <c r="A483" s="8"/>
      <c r="B483" s="8"/>
      <c r="C483" s="8"/>
      <c r="D483" s="8"/>
      <c r="E483" s="8"/>
      <c r="F483" s="8"/>
      <c r="G483" s="47"/>
      <c r="H483" s="9"/>
    </row>
    <row r="484" spans="1:8" x14ac:dyDescent="0.45">
      <c r="A484" s="8"/>
      <c r="B484" s="8"/>
      <c r="C484" s="8"/>
      <c r="D484" s="8"/>
      <c r="E484" s="8"/>
      <c r="F484" s="8"/>
      <c r="G484" s="47"/>
      <c r="H484" s="9"/>
    </row>
    <row r="485" spans="1:8" x14ac:dyDescent="0.45">
      <c r="A485" s="8"/>
      <c r="B485" s="8"/>
      <c r="C485" s="8"/>
      <c r="D485" s="8"/>
      <c r="E485" s="8"/>
      <c r="F485" s="8"/>
      <c r="G485" s="47"/>
      <c r="H485" s="9"/>
    </row>
    <row r="486" spans="1:8" x14ac:dyDescent="0.45">
      <c r="A486" s="8"/>
      <c r="B486" s="8"/>
      <c r="C486" s="8"/>
      <c r="D486" s="8"/>
      <c r="E486" s="8"/>
      <c r="F486" s="8"/>
      <c r="G486" s="47"/>
      <c r="H486" s="9"/>
    </row>
    <row r="487" spans="1:8" x14ac:dyDescent="0.45">
      <c r="A487" s="8"/>
      <c r="B487" s="8"/>
      <c r="C487" s="8"/>
      <c r="D487" s="8"/>
      <c r="E487" s="8"/>
      <c r="F487" s="8"/>
      <c r="G487" s="47"/>
      <c r="H487" s="9"/>
    </row>
    <row r="488" spans="1:8" x14ac:dyDescent="0.45">
      <c r="A488" s="8"/>
      <c r="B488" s="8"/>
      <c r="C488" s="8"/>
      <c r="D488" s="8"/>
      <c r="E488" s="8"/>
      <c r="F488" s="8"/>
      <c r="G488" s="47"/>
      <c r="H488" s="9"/>
    </row>
    <row r="489" spans="1:8" x14ac:dyDescent="0.45">
      <c r="A489" s="8"/>
      <c r="B489" s="8"/>
      <c r="C489" s="8"/>
      <c r="D489" s="8"/>
      <c r="E489" s="8"/>
      <c r="F489" s="8"/>
      <c r="G489" s="47"/>
      <c r="H489" s="9"/>
    </row>
    <row r="490" spans="1:8" x14ac:dyDescent="0.45">
      <c r="A490" s="8"/>
      <c r="B490" s="8"/>
      <c r="C490" s="8"/>
      <c r="D490" s="8"/>
      <c r="E490" s="8"/>
      <c r="F490" s="8"/>
      <c r="G490" s="47"/>
      <c r="H490" s="9"/>
    </row>
    <row r="491" spans="1:8" x14ac:dyDescent="0.45">
      <c r="A491" s="8"/>
      <c r="B491" s="8"/>
      <c r="C491" s="8"/>
      <c r="D491" s="8"/>
      <c r="E491" s="8"/>
      <c r="F491" s="8"/>
      <c r="G491" s="47"/>
      <c r="H491" s="9"/>
    </row>
    <row r="492" spans="1:8" x14ac:dyDescent="0.45">
      <c r="A492" s="8"/>
      <c r="B492" s="8"/>
      <c r="C492" s="8"/>
      <c r="D492" s="8"/>
      <c r="E492" s="8"/>
      <c r="F492" s="8"/>
      <c r="G492" s="47"/>
      <c r="H492" s="9"/>
    </row>
    <row r="493" spans="1:8" x14ac:dyDescent="0.45">
      <c r="A493" s="8"/>
      <c r="B493" s="8"/>
      <c r="C493" s="8"/>
      <c r="D493" s="8"/>
      <c r="E493" s="8"/>
      <c r="F493" s="8"/>
      <c r="G493" s="47"/>
      <c r="H493" s="9"/>
    </row>
    <row r="494" spans="1:8" x14ac:dyDescent="0.45">
      <c r="A494" s="8"/>
      <c r="B494" s="8"/>
      <c r="C494" s="8"/>
      <c r="D494" s="8"/>
      <c r="E494" s="8"/>
      <c r="F494" s="8"/>
      <c r="G494" s="47"/>
      <c r="H494" s="9"/>
    </row>
    <row r="495" spans="1:8" x14ac:dyDescent="0.45">
      <c r="A495" s="8"/>
      <c r="B495" s="8"/>
      <c r="C495" s="8"/>
      <c r="D495" s="8"/>
      <c r="E495" s="8"/>
      <c r="F495" s="8"/>
      <c r="G495" s="47"/>
      <c r="H495" s="9"/>
    </row>
    <row r="496" spans="1:8" x14ac:dyDescent="0.45">
      <c r="A496" s="8"/>
      <c r="B496" s="8"/>
      <c r="C496" s="8"/>
      <c r="D496" s="8"/>
      <c r="E496" s="8"/>
      <c r="F496" s="8"/>
      <c r="G496" s="47"/>
      <c r="H496" s="9"/>
    </row>
    <row r="497" spans="1:8" x14ac:dyDescent="0.45">
      <c r="A497" s="8"/>
      <c r="B497" s="8"/>
      <c r="C497" s="8"/>
      <c r="D497" s="8"/>
      <c r="E497" s="8"/>
      <c r="F497" s="8"/>
      <c r="G497" s="47"/>
      <c r="H497" s="9"/>
    </row>
    <row r="498" spans="1:8" x14ac:dyDescent="0.45">
      <c r="A498" s="8"/>
      <c r="B498" s="8"/>
      <c r="C498" s="8"/>
      <c r="D498" s="8"/>
      <c r="E498" s="8"/>
      <c r="F498" s="8"/>
      <c r="G498" s="47"/>
      <c r="H498" s="9"/>
    </row>
    <row r="499" spans="1:8" x14ac:dyDescent="0.45">
      <c r="A499" s="8"/>
      <c r="B499" s="8"/>
      <c r="C499" s="8"/>
      <c r="D499" s="8"/>
      <c r="E499" s="8"/>
      <c r="F499" s="8"/>
      <c r="G499" s="47"/>
      <c r="H499" s="9"/>
    </row>
    <row r="500" spans="1:8" x14ac:dyDescent="0.45">
      <c r="A500" s="8"/>
      <c r="B500" s="8"/>
      <c r="C500" s="8"/>
      <c r="D500" s="8"/>
      <c r="E500" s="8"/>
      <c r="F500" s="8"/>
      <c r="G500" s="47"/>
      <c r="H500" s="9"/>
    </row>
    <row r="501" spans="1:8" x14ac:dyDescent="0.45">
      <c r="A501" s="8"/>
      <c r="B501" s="8"/>
      <c r="C501" s="8"/>
      <c r="D501" s="8"/>
      <c r="E501" s="8"/>
      <c r="F501" s="8"/>
      <c r="G501" s="47"/>
      <c r="H501" s="9"/>
    </row>
    <row r="502" spans="1:8" x14ac:dyDescent="0.45">
      <c r="A502" s="8"/>
      <c r="B502" s="8"/>
      <c r="C502" s="8"/>
      <c r="D502" s="8"/>
      <c r="E502" s="8"/>
      <c r="F502" s="8"/>
      <c r="G502" s="47"/>
      <c r="H502" s="9"/>
    </row>
    <row r="503" spans="1:8" x14ac:dyDescent="0.45">
      <c r="A503" s="8"/>
      <c r="B503" s="8"/>
      <c r="C503" s="8"/>
      <c r="D503" s="8"/>
      <c r="E503" s="8"/>
      <c r="F503" s="8"/>
      <c r="G503" s="47"/>
      <c r="H503" s="9"/>
    </row>
    <row r="504" spans="1:8" x14ac:dyDescent="0.45">
      <c r="A504" s="8"/>
      <c r="B504" s="8"/>
      <c r="C504" s="8"/>
      <c r="D504" s="8"/>
      <c r="E504" s="8"/>
      <c r="F504" s="8"/>
      <c r="G504" s="47"/>
      <c r="H504" s="9"/>
    </row>
    <row r="505" spans="1:8" x14ac:dyDescent="0.45">
      <c r="A505" s="8"/>
      <c r="B505" s="8"/>
      <c r="C505" s="8"/>
      <c r="D505" s="8"/>
      <c r="E505" s="8"/>
      <c r="F505" s="8"/>
      <c r="G505" s="47"/>
      <c r="H505" s="9"/>
    </row>
    <row r="506" spans="1:8" x14ac:dyDescent="0.45">
      <c r="A506" s="8"/>
      <c r="B506" s="8"/>
      <c r="C506" s="8"/>
      <c r="D506" s="8"/>
      <c r="E506" s="8"/>
      <c r="F506" s="8"/>
      <c r="G506" s="47"/>
      <c r="H506" s="9"/>
    </row>
    <row r="507" spans="1:8" x14ac:dyDescent="0.45">
      <c r="A507" s="8"/>
      <c r="B507" s="8"/>
      <c r="C507" s="8"/>
      <c r="D507" s="8"/>
      <c r="E507" s="8"/>
      <c r="F507" s="8"/>
      <c r="G507" s="47"/>
      <c r="H507" s="9"/>
    </row>
    <row r="508" spans="1:8" x14ac:dyDescent="0.45">
      <c r="A508" s="8"/>
      <c r="B508" s="8"/>
      <c r="C508" s="8"/>
      <c r="D508" s="8"/>
      <c r="E508" s="8"/>
      <c r="F508" s="8"/>
      <c r="G508" s="47"/>
      <c r="H508" s="9"/>
    </row>
    <row r="509" spans="1:8" x14ac:dyDescent="0.45">
      <c r="A509" s="8"/>
      <c r="B509" s="8"/>
      <c r="C509" s="8"/>
      <c r="D509" s="8"/>
      <c r="E509" s="8"/>
      <c r="F509" s="8"/>
      <c r="G509" s="47"/>
      <c r="H509" s="9"/>
    </row>
    <row r="510" spans="1:8" x14ac:dyDescent="0.45">
      <c r="A510" s="8"/>
      <c r="B510" s="8"/>
      <c r="C510" s="8"/>
      <c r="D510" s="8"/>
      <c r="E510" s="8"/>
      <c r="F510" s="8"/>
      <c r="G510" s="47"/>
      <c r="H510" s="9"/>
    </row>
    <row r="511" spans="1:8" x14ac:dyDescent="0.45">
      <c r="A511" s="8"/>
      <c r="B511" s="8"/>
      <c r="C511" s="8"/>
      <c r="D511" s="8"/>
      <c r="E511" s="8"/>
      <c r="F511" s="8"/>
      <c r="G511" s="47"/>
      <c r="H511" s="9"/>
    </row>
    <row r="512" spans="1:8" x14ac:dyDescent="0.45">
      <c r="A512" s="8"/>
      <c r="B512" s="8"/>
      <c r="C512" s="8"/>
      <c r="D512" s="8"/>
      <c r="E512" s="8"/>
      <c r="F512" s="8"/>
      <c r="G512" s="47"/>
      <c r="H512" s="9"/>
    </row>
    <row r="513" spans="1:8" x14ac:dyDescent="0.45">
      <c r="A513" s="8"/>
      <c r="B513" s="8"/>
      <c r="C513" s="8"/>
      <c r="D513" s="8"/>
      <c r="E513" s="8"/>
      <c r="F513" s="8"/>
      <c r="G513" s="47"/>
      <c r="H513" s="9"/>
    </row>
    <row r="514" spans="1:8" x14ac:dyDescent="0.45">
      <c r="A514" s="8"/>
      <c r="B514" s="8"/>
      <c r="C514" s="8"/>
      <c r="D514" s="8"/>
      <c r="E514" s="8"/>
      <c r="F514" s="8"/>
      <c r="G514" s="47"/>
      <c r="H514" s="9"/>
    </row>
    <row r="515" spans="1:8" x14ac:dyDescent="0.45">
      <c r="A515" s="8"/>
      <c r="B515" s="8"/>
      <c r="C515" s="8"/>
      <c r="D515" s="8"/>
      <c r="E515" s="8"/>
      <c r="F515" s="8"/>
      <c r="G515" s="47"/>
      <c r="H515" s="9"/>
    </row>
    <row r="516" spans="1:8" x14ac:dyDescent="0.45">
      <c r="A516" s="8"/>
      <c r="B516" s="8"/>
      <c r="C516" s="8"/>
      <c r="D516" s="8"/>
      <c r="E516" s="8"/>
      <c r="F516" s="8"/>
      <c r="G516" s="47"/>
      <c r="H516" s="9"/>
    </row>
    <row r="517" spans="1:8" x14ac:dyDescent="0.45">
      <c r="A517" s="8"/>
      <c r="B517" s="8"/>
      <c r="C517" s="8"/>
      <c r="D517" s="8"/>
      <c r="E517" s="8"/>
      <c r="F517" s="8"/>
      <c r="G517" s="47"/>
      <c r="H517" s="9"/>
    </row>
    <row r="518" spans="1:8" x14ac:dyDescent="0.45">
      <c r="H518" s="4"/>
    </row>
    <row r="519" spans="1:8" x14ac:dyDescent="0.45">
      <c r="H519" s="4"/>
    </row>
    <row r="520" spans="1:8" x14ac:dyDescent="0.45">
      <c r="H520" s="4"/>
    </row>
  </sheetData>
  <sheetProtection algorithmName="SHA-512" hashValue="Rsb9Lb9ZkmmbFoS13P02Ju4Qvm1eSqVkLSk0NdI3hfg8gCYWscromVLGkA8SY17OMnHsSb+3oXAHCL65HWoawg==" saltValue="46/Do1tdpRP5Q32ijbzkMA==" spinCount="100000" sheet="1" objects="1" scenarios="1"/>
  <protectedRanges>
    <protectedRange sqref="A10:H617" name="Data"/>
    <protectedRange sqref="I1" name="Definition"/>
    <protectedRange sqref="G2:G6" name="Stats"/>
  </protectedRanges>
  <mergeCells count="7">
    <mergeCell ref="A1:G1"/>
    <mergeCell ref="A8:H8"/>
    <mergeCell ref="A2:F2"/>
    <mergeCell ref="A3:F3"/>
    <mergeCell ref="A4:F4"/>
    <mergeCell ref="A5:F5"/>
    <mergeCell ref="A6:F6"/>
  </mergeCells>
  <dataValidations count="1">
    <dataValidation type="list" allowBlank="1" showInputMessage="1" showErrorMessage="1" sqref="D10:D1048576" xr:uid="{1028E0FF-6198-41B9-A004-1D61175E1573}">
      <formula1>"Yes,No"</formula1>
    </dataValidation>
  </dataValidations>
  <hyperlinks>
    <hyperlink ref="I1" location="'Definitions and Guidance'!A1" display="Definitions" xr:uid="{6BBE3DE2-FF27-40C7-9CA8-4B37F34F462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CAB4-3701-4B63-9EEA-E6BC18A0B49F}">
  <sheetPr>
    <tabColor rgb="FFFF0000"/>
  </sheetPr>
  <dimension ref="A1:X42"/>
  <sheetViews>
    <sheetView workbookViewId="0">
      <selection activeCell="O14" sqref="O14"/>
    </sheetView>
  </sheetViews>
  <sheetFormatPr defaultRowHeight="14.25" x14ac:dyDescent="0.45"/>
  <cols>
    <col min="2" max="2" width="8.86328125" style="127"/>
    <col min="3" max="3" width="8.86328125" customWidth="1"/>
    <col min="4" max="4" width="9.6640625" customWidth="1"/>
    <col min="5" max="10" width="8.86328125" customWidth="1"/>
    <col min="11" max="11" width="13" customWidth="1"/>
    <col min="12" max="14" width="6.796875" bestFit="1" customWidth="1"/>
    <col min="15" max="17" width="8.86328125" customWidth="1"/>
    <col min="18" max="18" width="11.53125" customWidth="1"/>
    <col min="19" max="19" width="0" style="127" hidden="1" customWidth="1"/>
    <col min="20" max="20" width="0" hidden="1" customWidth="1"/>
    <col min="22" max="22" width="10.6640625" customWidth="1"/>
    <col min="23" max="23" width="10.796875" customWidth="1"/>
    <col min="24" max="24" width="11.53125" customWidth="1"/>
  </cols>
  <sheetData>
    <row r="1" spans="1:24" ht="57" x14ac:dyDescent="0.45">
      <c r="A1" s="207" t="s">
        <v>89</v>
      </c>
      <c r="B1" s="207" t="s">
        <v>76</v>
      </c>
      <c r="C1" s="207" t="s">
        <v>187</v>
      </c>
      <c r="D1" s="207" t="s">
        <v>188</v>
      </c>
      <c r="E1" s="207" t="s">
        <v>189</v>
      </c>
      <c r="F1" s="207" t="s">
        <v>190</v>
      </c>
      <c r="G1" s="207" t="s">
        <v>191</v>
      </c>
      <c r="H1" s="207" t="s">
        <v>192</v>
      </c>
      <c r="I1" s="207" t="s">
        <v>193</v>
      </c>
      <c r="J1" s="207" t="s">
        <v>194</v>
      </c>
      <c r="K1" s="207" t="s">
        <v>129</v>
      </c>
      <c r="L1" s="207" t="s">
        <v>274</v>
      </c>
      <c r="M1" s="207" t="s">
        <v>275</v>
      </c>
      <c r="N1" s="207" t="s">
        <v>276</v>
      </c>
      <c r="O1" s="207" t="s">
        <v>195</v>
      </c>
      <c r="P1" s="207" t="s">
        <v>196</v>
      </c>
      <c r="Q1" s="207" t="s">
        <v>197</v>
      </c>
      <c r="R1" s="207" t="s">
        <v>324</v>
      </c>
      <c r="S1" s="127" t="s">
        <v>76</v>
      </c>
      <c r="T1" t="s">
        <v>89</v>
      </c>
      <c r="U1" s="206" t="s">
        <v>325</v>
      </c>
      <c r="V1" s="206" t="s">
        <v>326</v>
      </c>
      <c r="W1" s="206" t="s">
        <v>327</v>
      </c>
      <c r="X1" s="206" t="s">
        <v>328</v>
      </c>
    </row>
    <row r="2" spans="1:24" x14ac:dyDescent="0.45">
      <c r="A2" s="48">
        <f>Name1</f>
        <v>0</v>
      </c>
      <c r="B2" s="127">
        <v>1</v>
      </c>
      <c r="C2">
        <f>Mission1.1</f>
        <v>0</v>
      </c>
      <c r="D2">
        <f>Mission1.2</f>
        <v>0</v>
      </c>
      <c r="E2" s="27">
        <f>Mission1.3</f>
        <v>0</v>
      </c>
      <c r="F2">
        <f>Core1.1</f>
        <v>0</v>
      </c>
      <c r="G2">
        <f>Core1.2</f>
        <v>0</v>
      </c>
      <c r="H2">
        <f>Core1.3</f>
        <v>0</v>
      </c>
      <c r="I2">
        <f>Core1.4</f>
        <v>0</v>
      </c>
      <c r="J2">
        <f>Core1.5</f>
        <v>0</v>
      </c>
      <c r="K2">
        <f>RAPriority1</f>
        <v>0</v>
      </c>
      <c r="L2">
        <f>EMAP1.1</f>
        <v>0</v>
      </c>
      <c r="M2">
        <f>EMAP1.2</f>
        <v>0</v>
      </c>
      <c r="N2">
        <f>EMAP1.3</f>
        <v>0</v>
      </c>
      <c r="O2">
        <f>POETE1.1</f>
        <v>0</v>
      </c>
      <c r="P2">
        <f>POETE1.2</f>
        <v>0</v>
      </c>
      <c r="Q2">
        <f>POETE1.3</f>
        <v>0</v>
      </c>
      <c r="R2">
        <f>GapRef1</f>
        <v>0</v>
      </c>
      <c r="S2" s="127">
        <v>1</v>
      </c>
      <c r="T2" s="48">
        <f>Name1</f>
        <v>0</v>
      </c>
      <c r="U2" s="1" cm="1">
        <f t="array" ref="U2">SUM(COUNTIF(POETE1.1:POETE1.3, {"Planning","Training","Exercises"}))</f>
        <v>0</v>
      </c>
      <c r="V2" s="1">
        <f>COUNTIF(R2,"&lt;&gt;0")</f>
        <v>0</v>
      </c>
      <c r="W2" s="1">
        <f>COUNTIF(U2,"&lt;&gt;0")</f>
        <v>0</v>
      </c>
      <c r="X2" s="1">
        <f>W2*V2</f>
        <v>0</v>
      </c>
    </row>
    <row r="3" spans="1:24" x14ac:dyDescent="0.45">
      <c r="A3" s="48">
        <f>Name2</f>
        <v>0</v>
      </c>
      <c r="B3" s="127">
        <v>2</v>
      </c>
      <c r="C3">
        <f>Mission2.1</f>
        <v>0</v>
      </c>
      <c r="D3">
        <f>Mission2.2</f>
        <v>0</v>
      </c>
      <c r="E3">
        <f>Mission2.3</f>
        <v>0</v>
      </c>
      <c r="F3">
        <f>Core2.1</f>
        <v>0</v>
      </c>
      <c r="G3">
        <f>Core2.2</f>
        <v>0</v>
      </c>
      <c r="H3">
        <f>Core2.3</f>
        <v>0</v>
      </c>
      <c r="I3">
        <f>Core2.4</f>
        <v>0</v>
      </c>
      <c r="J3">
        <f>Core2.5</f>
        <v>0</v>
      </c>
      <c r="K3">
        <f>RAPriority2</f>
        <v>0</v>
      </c>
      <c r="L3">
        <f>EMAP2.1</f>
        <v>0</v>
      </c>
      <c r="M3">
        <f>EMAP2.2</f>
        <v>0</v>
      </c>
      <c r="N3">
        <f>EMAP2.3</f>
        <v>0</v>
      </c>
      <c r="O3">
        <f>POETE2.1</f>
        <v>0</v>
      </c>
      <c r="P3">
        <f>POETE2.2</f>
        <v>0</v>
      </c>
      <c r="Q3">
        <f>POETE2.3</f>
        <v>0</v>
      </c>
      <c r="R3">
        <f>GapRef2</f>
        <v>0</v>
      </c>
      <c r="S3" s="127">
        <v>2</v>
      </c>
      <c r="T3" s="48">
        <f>Name2</f>
        <v>0</v>
      </c>
      <c r="U3" s="1" cm="1">
        <f t="array" ref="U3">SUM(COUNTIF(POETE2.1:POETE2.3, {"Planning","Training","Exercises"}))</f>
        <v>0</v>
      </c>
      <c r="V3" s="1">
        <f t="shared" ref="V3:V41" si="0">COUNTIF(R3,"&lt;&gt;0")</f>
        <v>0</v>
      </c>
      <c r="W3" s="1">
        <f t="shared" ref="W3:W41" si="1">COUNTIF(U3,"&lt;&gt;0")</f>
        <v>0</v>
      </c>
      <c r="X3" s="1">
        <f t="shared" ref="X3:X41" si="2">W3*V3</f>
        <v>0</v>
      </c>
    </row>
    <row r="4" spans="1:24" x14ac:dyDescent="0.45">
      <c r="A4" s="48">
        <f>Name3</f>
        <v>0</v>
      </c>
      <c r="B4" s="127">
        <v>3</v>
      </c>
      <c r="C4">
        <f>Mission3.1</f>
        <v>0</v>
      </c>
      <c r="D4">
        <f>Mission3.2</f>
        <v>0</v>
      </c>
      <c r="E4">
        <f>Mission3.3</f>
        <v>0</v>
      </c>
      <c r="F4">
        <f>Core3.1</f>
        <v>0</v>
      </c>
      <c r="G4">
        <f>Core3.2</f>
        <v>0</v>
      </c>
      <c r="H4">
        <f>Core3.3</f>
        <v>0</v>
      </c>
      <c r="I4">
        <f>Core3.4</f>
        <v>0</v>
      </c>
      <c r="J4">
        <f>Core3.5</f>
        <v>0</v>
      </c>
      <c r="K4">
        <f>RAPriority3</f>
        <v>0</v>
      </c>
      <c r="L4">
        <f>EMAP3.1</f>
        <v>0</v>
      </c>
      <c r="M4">
        <f>EMAP3.2</f>
        <v>0</v>
      </c>
      <c r="N4">
        <f>EMAP3.3</f>
        <v>0</v>
      </c>
      <c r="O4">
        <f>POETE3.1</f>
        <v>0</v>
      </c>
      <c r="P4">
        <f>POETE3.2</f>
        <v>0</v>
      </c>
      <c r="Q4">
        <f>POETE3.3</f>
        <v>0</v>
      </c>
      <c r="R4">
        <f>GapRef3</f>
        <v>0</v>
      </c>
      <c r="S4" s="127">
        <v>3</v>
      </c>
      <c r="T4" s="48">
        <f>Name3</f>
        <v>0</v>
      </c>
      <c r="U4" s="1" cm="1">
        <f t="array" ref="U4">SUM(COUNTIF(POETE3.1:POETE3.3, {"Planning","Training","Exercises"}))</f>
        <v>0</v>
      </c>
      <c r="V4" s="1">
        <f t="shared" si="0"/>
        <v>0</v>
      </c>
      <c r="W4" s="1">
        <f t="shared" si="1"/>
        <v>0</v>
      </c>
      <c r="X4" s="1">
        <f t="shared" si="2"/>
        <v>0</v>
      </c>
    </row>
    <row r="5" spans="1:24" x14ac:dyDescent="0.45">
      <c r="A5" s="48">
        <f>Name4</f>
        <v>0</v>
      </c>
      <c r="B5" s="127">
        <v>4</v>
      </c>
      <c r="C5">
        <f>Mission4.1</f>
        <v>0</v>
      </c>
      <c r="D5">
        <f>Mission4.2</f>
        <v>0</v>
      </c>
      <c r="E5">
        <f>Mission4.3</f>
        <v>0</v>
      </c>
      <c r="F5">
        <f>Core4.1</f>
        <v>0</v>
      </c>
      <c r="G5">
        <f>Core4.2</f>
        <v>0</v>
      </c>
      <c r="H5">
        <f>Core4.3</f>
        <v>0</v>
      </c>
      <c r="I5">
        <f>Core4.4</f>
        <v>0</v>
      </c>
      <c r="J5">
        <f>Core4.5</f>
        <v>0</v>
      </c>
      <c r="K5">
        <f>RAPriority4</f>
        <v>0</v>
      </c>
      <c r="L5">
        <f>EMAP4.1</f>
        <v>0</v>
      </c>
      <c r="M5">
        <f>EMAP4.2</f>
        <v>0</v>
      </c>
      <c r="N5">
        <f>EMAP4.3</f>
        <v>0</v>
      </c>
      <c r="O5">
        <f>POETE4.1</f>
        <v>0</v>
      </c>
      <c r="P5">
        <f>POETE4.2</f>
        <v>0</v>
      </c>
      <c r="Q5">
        <f>POETE4.3</f>
        <v>0</v>
      </c>
      <c r="R5">
        <f>GapRef4</f>
        <v>0</v>
      </c>
      <c r="S5" s="127">
        <v>4</v>
      </c>
      <c r="T5" s="48">
        <f>Name4</f>
        <v>0</v>
      </c>
      <c r="U5" s="1" cm="1">
        <f t="array" ref="U5">SUM(COUNTIF(POETE4.1:POETE4.3, {"Planning","Training","Exercises"}))</f>
        <v>0</v>
      </c>
      <c r="V5" s="1">
        <f t="shared" si="0"/>
        <v>0</v>
      </c>
      <c r="W5" s="1">
        <f t="shared" si="1"/>
        <v>0</v>
      </c>
      <c r="X5" s="1">
        <f t="shared" si="2"/>
        <v>0</v>
      </c>
    </row>
    <row r="6" spans="1:24" x14ac:dyDescent="0.45">
      <c r="A6" s="48">
        <f>Name5</f>
        <v>0</v>
      </c>
      <c r="B6" s="127">
        <v>5</v>
      </c>
      <c r="C6">
        <f>Mission5.2</f>
        <v>0</v>
      </c>
      <c r="D6">
        <f>Mission5.2</f>
        <v>0</v>
      </c>
      <c r="E6">
        <f>Mission5.3</f>
        <v>0</v>
      </c>
      <c r="F6">
        <f>Core5.1</f>
        <v>0</v>
      </c>
      <c r="G6">
        <f>Core5.2</f>
        <v>0</v>
      </c>
      <c r="H6">
        <f>Core5.3</f>
        <v>0</v>
      </c>
      <c r="I6">
        <f>Core5.4</f>
        <v>0</v>
      </c>
      <c r="J6">
        <f>Core5.5</f>
        <v>0</v>
      </c>
      <c r="K6">
        <f>RAPriority5</f>
        <v>0</v>
      </c>
      <c r="L6">
        <f>EMAP5.1</f>
        <v>0</v>
      </c>
      <c r="M6">
        <f>EMAP5.2</f>
        <v>0</v>
      </c>
      <c r="N6">
        <f>EMAP5.3</f>
        <v>0</v>
      </c>
      <c r="O6">
        <f>POETE5.1</f>
        <v>0</v>
      </c>
      <c r="P6">
        <f>POETE5.2</f>
        <v>0</v>
      </c>
      <c r="Q6">
        <f>POETE5.3</f>
        <v>0</v>
      </c>
      <c r="R6">
        <f>GapRef5</f>
        <v>0</v>
      </c>
      <c r="S6" s="127">
        <v>5</v>
      </c>
      <c r="T6" s="48">
        <f>Name5</f>
        <v>0</v>
      </c>
      <c r="U6" s="1" cm="1">
        <f t="array" ref="U6">SUM(COUNTIF(POETE5.1:POETE5.3, {"Planning","Training","Exercises"}))</f>
        <v>0</v>
      </c>
      <c r="V6" s="1">
        <f t="shared" si="0"/>
        <v>0</v>
      </c>
      <c r="W6" s="1">
        <f t="shared" si="1"/>
        <v>0</v>
      </c>
      <c r="X6" s="1">
        <f t="shared" si="2"/>
        <v>0</v>
      </c>
    </row>
    <row r="7" spans="1:24" x14ac:dyDescent="0.45">
      <c r="A7" s="48">
        <f>Name6</f>
        <v>0</v>
      </c>
      <c r="B7" s="127">
        <v>6</v>
      </c>
      <c r="C7">
        <f>Mission6.1</f>
        <v>0</v>
      </c>
      <c r="D7">
        <f>Mission6.2</f>
        <v>0</v>
      </c>
      <c r="E7">
        <f>Mission6.3</f>
        <v>0</v>
      </c>
      <c r="F7">
        <f>Core6.1</f>
        <v>0</v>
      </c>
      <c r="G7">
        <f>Core6.2</f>
        <v>0</v>
      </c>
      <c r="H7">
        <f>Core6.3</f>
        <v>0</v>
      </c>
      <c r="I7">
        <f>Core6.4</f>
        <v>0</v>
      </c>
      <c r="J7">
        <f>Core6.5</f>
        <v>0</v>
      </c>
      <c r="K7">
        <f>RAPriority6</f>
        <v>0</v>
      </c>
      <c r="L7">
        <f>EMAP6.1</f>
        <v>0</v>
      </c>
      <c r="M7">
        <f>EMAP6.2</f>
        <v>0</v>
      </c>
      <c r="N7">
        <f>EMAP6.3</f>
        <v>0</v>
      </c>
      <c r="O7">
        <f>POETE6.1</f>
        <v>0</v>
      </c>
      <c r="P7">
        <f>POETE6.2</f>
        <v>0</v>
      </c>
      <c r="Q7">
        <f>POETE6.3</f>
        <v>0</v>
      </c>
      <c r="R7">
        <f>GapRef6</f>
        <v>0</v>
      </c>
      <c r="S7" s="127">
        <v>6</v>
      </c>
      <c r="T7" s="48">
        <f>Name6</f>
        <v>0</v>
      </c>
      <c r="U7" s="1" cm="1">
        <f t="array" ref="U7">SUM(COUNTIF(POETE6.1:POETE6.3, {"Planning","Training","Exercises"}))</f>
        <v>0</v>
      </c>
      <c r="V7" s="1">
        <f t="shared" si="0"/>
        <v>0</v>
      </c>
      <c r="W7" s="1">
        <f t="shared" si="1"/>
        <v>0</v>
      </c>
      <c r="X7" s="1">
        <f t="shared" si="2"/>
        <v>0</v>
      </c>
    </row>
    <row r="8" spans="1:24" x14ac:dyDescent="0.45">
      <c r="A8" s="48">
        <f>Name7</f>
        <v>0</v>
      </c>
      <c r="B8" s="127">
        <v>7</v>
      </c>
      <c r="C8">
        <f>Mission7.1</f>
        <v>0</v>
      </c>
      <c r="D8">
        <f>Mission7.2</f>
        <v>0</v>
      </c>
      <c r="E8">
        <f>Mission7.3</f>
        <v>0</v>
      </c>
      <c r="F8">
        <f>Core7.1</f>
        <v>0</v>
      </c>
      <c r="G8">
        <f>Core7.2</f>
        <v>0</v>
      </c>
      <c r="H8">
        <f>Core7.3</f>
        <v>0</v>
      </c>
      <c r="I8">
        <f>Core7.4</f>
        <v>0</v>
      </c>
      <c r="J8">
        <f>Core7.5</f>
        <v>0</v>
      </c>
      <c r="K8">
        <f>RAPriority7</f>
        <v>0</v>
      </c>
      <c r="L8">
        <f>EMAP7.1</f>
        <v>0</v>
      </c>
      <c r="M8">
        <f>EMAP7.2</f>
        <v>0</v>
      </c>
      <c r="N8">
        <f>EMAP7.3</f>
        <v>0</v>
      </c>
      <c r="O8">
        <f>POETE7.1</f>
        <v>0</v>
      </c>
      <c r="P8">
        <f>POETE7.2</f>
        <v>0</v>
      </c>
      <c r="Q8">
        <f>POETE7.3</f>
        <v>0</v>
      </c>
      <c r="R8">
        <f>GapRef7</f>
        <v>0</v>
      </c>
      <c r="S8" s="127">
        <v>7</v>
      </c>
      <c r="T8" s="48">
        <f>Name7</f>
        <v>0</v>
      </c>
      <c r="U8" s="1" cm="1">
        <f t="array" ref="U8">SUM(COUNTIF(POETE7.1:POETE7.3, {"Planning","Training","Exercises"}))</f>
        <v>0</v>
      </c>
      <c r="V8" s="1">
        <f t="shared" si="0"/>
        <v>0</v>
      </c>
      <c r="W8" s="1">
        <f t="shared" si="1"/>
        <v>0</v>
      </c>
      <c r="X8" s="1">
        <f t="shared" si="2"/>
        <v>0</v>
      </c>
    </row>
    <row r="9" spans="1:24" x14ac:dyDescent="0.45">
      <c r="A9" s="48">
        <f>Name8</f>
        <v>0</v>
      </c>
      <c r="B9" s="127">
        <v>8</v>
      </c>
      <c r="C9">
        <f>Mission8.1</f>
        <v>0</v>
      </c>
      <c r="D9">
        <f>Mission8.2</f>
        <v>0</v>
      </c>
      <c r="E9">
        <f>Mission8.3</f>
        <v>0</v>
      </c>
      <c r="F9">
        <f>Core8.1</f>
        <v>0</v>
      </c>
      <c r="G9">
        <f>Core8.2</f>
        <v>0</v>
      </c>
      <c r="H9">
        <f>Core8.3</f>
        <v>0</v>
      </c>
      <c r="I9">
        <f>Core8.4</f>
        <v>0</v>
      </c>
      <c r="J9">
        <f>Core8.5</f>
        <v>0</v>
      </c>
      <c r="K9">
        <f>RAPriority8</f>
        <v>0</v>
      </c>
      <c r="L9">
        <f>EMAP8.1</f>
        <v>0</v>
      </c>
      <c r="M9">
        <f>EMAP8.2</f>
        <v>0</v>
      </c>
      <c r="N9">
        <f>EMAP8.3</f>
        <v>0</v>
      </c>
      <c r="O9">
        <f>POETE8.1</f>
        <v>0</v>
      </c>
      <c r="P9">
        <f>POETE8.2</f>
        <v>0</v>
      </c>
      <c r="Q9">
        <f>POETE8.3</f>
        <v>0</v>
      </c>
      <c r="R9">
        <f>GapRef8</f>
        <v>0</v>
      </c>
      <c r="S9" s="127">
        <v>8</v>
      </c>
      <c r="T9" s="48">
        <f>Name8</f>
        <v>0</v>
      </c>
      <c r="U9" s="1" cm="1">
        <f t="array" ref="U9">SUM(COUNTIF(POETE8.1:POETE8.3, {"Planning","Training","Exercises"}))</f>
        <v>0</v>
      </c>
      <c r="V9" s="1">
        <f t="shared" si="0"/>
        <v>0</v>
      </c>
      <c r="W9" s="1">
        <f t="shared" si="1"/>
        <v>0</v>
      </c>
      <c r="X9" s="1">
        <f t="shared" si="2"/>
        <v>0</v>
      </c>
    </row>
    <row r="10" spans="1:24" x14ac:dyDescent="0.45">
      <c r="A10" s="48">
        <f>Name9</f>
        <v>0</v>
      </c>
      <c r="B10" s="127">
        <v>9</v>
      </c>
      <c r="C10">
        <f>Mission9.1</f>
        <v>0</v>
      </c>
      <c r="D10">
        <f>Mission9.2</f>
        <v>0</v>
      </c>
      <c r="E10">
        <f>Mission9.3</f>
        <v>0</v>
      </c>
      <c r="F10">
        <f>Core9.1</f>
        <v>0</v>
      </c>
      <c r="G10">
        <f>Core9.2</f>
        <v>0</v>
      </c>
      <c r="H10">
        <f>Core9.3</f>
        <v>0</v>
      </c>
      <c r="I10">
        <f>Core9.4</f>
        <v>0</v>
      </c>
      <c r="J10">
        <f>Core9.5</f>
        <v>0</v>
      </c>
      <c r="K10">
        <f>RAPriority9</f>
        <v>0</v>
      </c>
      <c r="L10">
        <f>EMAP9.1</f>
        <v>0</v>
      </c>
      <c r="M10">
        <f>EMAP9.2</f>
        <v>0</v>
      </c>
      <c r="N10">
        <f>EMAP9.3</f>
        <v>0</v>
      </c>
      <c r="O10">
        <f>POETE9.1</f>
        <v>0</v>
      </c>
      <c r="P10">
        <f>POETE9.2</f>
        <v>0</v>
      </c>
      <c r="Q10">
        <f>POETE9.3</f>
        <v>0</v>
      </c>
      <c r="R10">
        <f>GapRef9</f>
        <v>0</v>
      </c>
      <c r="S10" s="127">
        <v>9</v>
      </c>
      <c r="T10" s="48">
        <f>Name9</f>
        <v>0</v>
      </c>
      <c r="U10" s="1" cm="1">
        <f t="array" ref="U10">SUM(COUNTIF(POETE9.1:POETE9.3, {"Planning","Training","Exercises"}))</f>
        <v>0</v>
      </c>
      <c r="V10" s="1">
        <f t="shared" si="0"/>
        <v>0</v>
      </c>
      <c r="W10" s="1">
        <f t="shared" si="1"/>
        <v>0</v>
      </c>
      <c r="X10" s="1">
        <f t="shared" si="2"/>
        <v>0</v>
      </c>
    </row>
    <row r="11" spans="1:24" x14ac:dyDescent="0.45">
      <c r="A11" s="48">
        <f>Name10</f>
        <v>0</v>
      </c>
      <c r="B11" s="127">
        <v>10</v>
      </c>
      <c r="C11">
        <f>Mission10.1</f>
        <v>0</v>
      </c>
      <c r="D11">
        <f>Mission10.2</f>
        <v>0</v>
      </c>
      <c r="E11">
        <f>Mission10.3</f>
        <v>0</v>
      </c>
      <c r="F11">
        <f>Core10.1</f>
        <v>0</v>
      </c>
      <c r="G11">
        <f>Core10.2</f>
        <v>0</v>
      </c>
      <c r="H11">
        <f>Core10.3</f>
        <v>0</v>
      </c>
      <c r="I11">
        <f>Core10.4</f>
        <v>0</v>
      </c>
      <c r="J11">
        <f>Core10.5</f>
        <v>0</v>
      </c>
      <c r="K11">
        <f>RAPriority10</f>
        <v>0</v>
      </c>
      <c r="L11">
        <f>EMAP10.1</f>
        <v>0</v>
      </c>
      <c r="M11">
        <f>EMAP10.2</f>
        <v>0</v>
      </c>
      <c r="N11">
        <f>EMAP10.3</f>
        <v>0</v>
      </c>
      <c r="O11">
        <f>POETE10.1</f>
        <v>0</v>
      </c>
      <c r="P11">
        <f>POETE10.2</f>
        <v>0</v>
      </c>
      <c r="Q11">
        <f>POETE10.3</f>
        <v>0</v>
      </c>
      <c r="R11">
        <f>GapRef10</f>
        <v>0</v>
      </c>
      <c r="S11" s="127">
        <v>10</v>
      </c>
      <c r="T11" s="48">
        <f>Name10</f>
        <v>0</v>
      </c>
      <c r="U11" s="1" cm="1">
        <f t="array" ref="U11">SUM(COUNTIF(POETE10.1:POETE10.3, {"Planning","Training","Exercises"}))</f>
        <v>0</v>
      </c>
      <c r="V11" s="1">
        <f t="shared" si="0"/>
        <v>0</v>
      </c>
      <c r="W11" s="1">
        <f t="shared" si="1"/>
        <v>0</v>
      </c>
      <c r="X11" s="1">
        <f t="shared" si="2"/>
        <v>0</v>
      </c>
    </row>
    <row r="12" spans="1:24" x14ac:dyDescent="0.45">
      <c r="A12" s="48">
        <f>Name11</f>
        <v>0</v>
      </c>
      <c r="B12" s="127">
        <v>11</v>
      </c>
      <c r="C12">
        <f>Mission11.1</f>
        <v>0</v>
      </c>
      <c r="D12">
        <f>Mission11.2</f>
        <v>0</v>
      </c>
      <c r="E12">
        <f>Mission11.3</f>
        <v>0</v>
      </c>
      <c r="F12">
        <f>Core11.1</f>
        <v>0</v>
      </c>
      <c r="G12">
        <f>Core11.2</f>
        <v>0</v>
      </c>
      <c r="H12">
        <f>Core11.3</f>
        <v>0</v>
      </c>
      <c r="I12">
        <f>Core11.4</f>
        <v>0</v>
      </c>
      <c r="J12">
        <f>Core11.5</f>
        <v>0</v>
      </c>
      <c r="K12">
        <f>RAPriority11</f>
        <v>0</v>
      </c>
      <c r="L12">
        <f>EMAP11.1</f>
        <v>0</v>
      </c>
      <c r="M12">
        <f>EMAP11.2</f>
        <v>0</v>
      </c>
      <c r="N12">
        <f>EMAP11.3</f>
        <v>0</v>
      </c>
      <c r="O12">
        <f>POETE11.1</f>
        <v>0</v>
      </c>
      <c r="P12">
        <f>POETE11.2</f>
        <v>0</v>
      </c>
      <c r="Q12">
        <f>POETE11.3</f>
        <v>0</v>
      </c>
      <c r="R12">
        <f>GapRef11</f>
        <v>0</v>
      </c>
      <c r="S12" s="127">
        <v>11</v>
      </c>
      <c r="T12" s="48">
        <f>Name11</f>
        <v>0</v>
      </c>
      <c r="U12" s="1" cm="1">
        <f t="array" ref="U12">SUM(COUNTIF(POETE11.1:POETE11.3, {"Planning","Training","Exercises"}))</f>
        <v>0</v>
      </c>
      <c r="V12" s="1">
        <f t="shared" si="0"/>
        <v>0</v>
      </c>
      <c r="W12" s="1">
        <f t="shared" si="1"/>
        <v>0</v>
      </c>
      <c r="X12" s="1">
        <f t="shared" si="2"/>
        <v>0</v>
      </c>
    </row>
    <row r="13" spans="1:24" x14ac:dyDescent="0.45">
      <c r="A13" s="48">
        <f>Name12</f>
        <v>0</v>
      </c>
      <c r="B13" s="127">
        <v>12</v>
      </c>
      <c r="C13">
        <f>Mission12.1</f>
        <v>0</v>
      </c>
      <c r="D13">
        <f>Mission12.2</f>
        <v>0</v>
      </c>
      <c r="E13">
        <f>Mission12.3</f>
        <v>0</v>
      </c>
      <c r="F13">
        <f>Core12.1</f>
        <v>0</v>
      </c>
      <c r="G13">
        <f>Core12.2</f>
        <v>0</v>
      </c>
      <c r="H13">
        <f>Core12.3</f>
        <v>0</v>
      </c>
      <c r="I13">
        <f>Core12.4</f>
        <v>0</v>
      </c>
      <c r="J13">
        <f>Core12.5</f>
        <v>0</v>
      </c>
      <c r="K13">
        <f>RAPriority12</f>
        <v>0</v>
      </c>
      <c r="L13">
        <f>EMAP12.1</f>
        <v>0</v>
      </c>
      <c r="M13">
        <f>EMAP12.2</f>
        <v>0</v>
      </c>
      <c r="N13">
        <f>EMAP12.3</f>
        <v>0</v>
      </c>
      <c r="O13">
        <f>POETE12.1</f>
        <v>0</v>
      </c>
      <c r="P13">
        <f>POETE12.2</f>
        <v>0</v>
      </c>
      <c r="Q13">
        <f>POETE12.3</f>
        <v>0</v>
      </c>
      <c r="R13">
        <f>GapRef12</f>
        <v>0</v>
      </c>
      <c r="S13" s="127">
        <v>12</v>
      </c>
      <c r="T13" s="48">
        <f>Name12</f>
        <v>0</v>
      </c>
      <c r="U13" s="1" cm="1">
        <f t="array" ref="U13">SUM(COUNTIF(POETE12.1:POETE12.3, {"Planning","Training","Exercises"}))</f>
        <v>0</v>
      </c>
      <c r="V13" s="1">
        <f t="shared" si="0"/>
        <v>0</v>
      </c>
      <c r="W13" s="1">
        <f t="shared" si="1"/>
        <v>0</v>
      </c>
      <c r="X13" s="1">
        <f t="shared" si="2"/>
        <v>0</v>
      </c>
    </row>
    <row r="14" spans="1:24" x14ac:dyDescent="0.45">
      <c r="A14" s="48">
        <f>Name13</f>
        <v>0</v>
      </c>
      <c r="B14" s="127">
        <v>13</v>
      </c>
      <c r="C14">
        <f>Mission13.1</f>
        <v>0</v>
      </c>
      <c r="D14">
        <f>Mission13.2</f>
        <v>0</v>
      </c>
      <c r="E14">
        <f>Mission13.3</f>
        <v>0</v>
      </c>
      <c r="F14">
        <f>Core13.1</f>
        <v>0</v>
      </c>
      <c r="G14">
        <f>Core13.2</f>
        <v>0</v>
      </c>
      <c r="H14">
        <f>Core13.3</f>
        <v>0</v>
      </c>
      <c r="I14">
        <f>Core13.4</f>
        <v>0</v>
      </c>
      <c r="J14">
        <f>Core13.5</f>
        <v>0</v>
      </c>
      <c r="K14">
        <f>RAPriority13</f>
        <v>0</v>
      </c>
      <c r="L14">
        <f>EMAP13.1</f>
        <v>0</v>
      </c>
      <c r="M14">
        <f>EMAP13.2</f>
        <v>0</v>
      </c>
      <c r="N14">
        <f>EMAP13.3</f>
        <v>0</v>
      </c>
      <c r="O14">
        <f>POETE13.1</f>
        <v>0</v>
      </c>
      <c r="P14">
        <f>POETE13.2</f>
        <v>0</v>
      </c>
      <c r="Q14">
        <f>POETE13.3</f>
        <v>0</v>
      </c>
      <c r="R14">
        <f>GapRef13</f>
        <v>0</v>
      </c>
      <c r="S14" s="127">
        <v>13</v>
      </c>
      <c r="T14" s="48">
        <f>Name13</f>
        <v>0</v>
      </c>
      <c r="U14" s="1" cm="1">
        <f t="array" ref="U14">SUM(COUNTIF(POETE13.1:POETE13.3, {"Planning","Training","Exercises"}))</f>
        <v>0</v>
      </c>
      <c r="V14" s="1">
        <f t="shared" si="0"/>
        <v>0</v>
      </c>
      <c r="W14" s="1">
        <f t="shared" si="1"/>
        <v>0</v>
      </c>
      <c r="X14" s="1">
        <f t="shared" si="2"/>
        <v>0</v>
      </c>
    </row>
    <row r="15" spans="1:24" x14ac:dyDescent="0.45">
      <c r="A15" s="48">
        <f>Name14</f>
        <v>0</v>
      </c>
      <c r="B15" s="127">
        <v>14</v>
      </c>
      <c r="C15">
        <f>Mission14.1</f>
        <v>0</v>
      </c>
      <c r="D15">
        <f>Mission14.2</f>
        <v>0</v>
      </c>
      <c r="E15">
        <f>Mission14.3</f>
        <v>0</v>
      </c>
      <c r="F15">
        <f>Core14.1</f>
        <v>0</v>
      </c>
      <c r="G15">
        <f>Core14.2</f>
        <v>0</v>
      </c>
      <c r="H15">
        <f>Core14.3</f>
        <v>0</v>
      </c>
      <c r="I15">
        <f>Core14.4</f>
        <v>0</v>
      </c>
      <c r="J15">
        <f>Core14.5</f>
        <v>0</v>
      </c>
      <c r="K15">
        <f>RAPriority14</f>
        <v>0</v>
      </c>
      <c r="L15">
        <f>EMAP14.1</f>
        <v>0</v>
      </c>
      <c r="M15">
        <f>EMAP14.2</f>
        <v>0</v>
      </c>
      <c r="N15">
        <f>EMAP14.3</f>
        <v>0</v>
      </c>
      <c r="O15">
        <f>POETE14.1</f>
        <v>0</v>
      </c>
      <c r="P15">
        <f>POETE14.2</f>
        <v>0</v>
      </c>
      <c r="Q15">
        <f>POETE14.3</f>
        <v>0</v>
      </c>
      <c r="R15">
        <f>GapRef14</f>
        <v>0</v>
      </c>
      <c r="S15" s="127">
        <v>14</v>
      </c>
      <c r="T15" s="48">
        <f>Name14</f>
        <v>0</v>
      </c>
      <c r="U15" s="1" cm="1">
        <f t="array" ref="U15">SUM(COUNTIF(POETE14.1:POETE14.3, {"Planning","Training","Exercises"}))</f>
        <v>0</v>
      </c>
      <c r="V15" s="1">
        <f t="shared" si="0"/>
        <v>0</v>
      </c>
      <c r="W15" s="1">
        <f t="shared" si="1"/>
        <v>0</v>
      </c>
      <c r="X15" s="1">
        <f t="shared" si="2"/>
        <v>0</v>
      </c>
    </row>
    <row r="16" spans="1:24" x14ac:dyDescent="0.45">
      <c r="A16" s="48">
        <f>Name15</f>
        <v>0</v>
      </c>
      <c r="B16" s="127">
        <v>15</v>
      </c>
      <c r="C16">
        <f>Mission15.1</f>
        <v>0</v>
      </c>
      <c r="D16">
        <f>Mission15.2</f>
        <v>0</v>
      </c>
      <c r="E16">
        <f>Mission15.3</f>
        <v>0</v>
      </c>
      <c r="F16">
        <f>Core15.1</f>
        <v>0</v>
      </c>
      <c r="G16">
        <f>Core15.2</f>
        <v>0</v>
      </c>
      <c r="H16">
        <f>Core15.3</f>
        <v>0</v>
      </c>
      <c r="I16">
        <f>Core15.4</f>
        <v>0</v>
      </c>
      <c r="J16">
        <f>Core15.5</f>
        <v>0</v>
      </c>
      <c r="K16">
        <f>RAPriority15</f>
        <v>0</v>
      </c>
      <c r="L16">
        <f>EMAP15.1</f>
        <v>0</v>
      </c>
      <c r="M16">
        <f>EMAP15.2</f>
        <v>0</v>
      </c>
      <c r="N16">
        <f>EMAP15.3</f>
        <v>0</v>
      </c>
      <c r="O16">
        <f>POETE15.1</f>
        <v>0</v>
      </c>
      <c r="P16">
        <f>POETE15.2</f>
        <v>0</v>
      </c>
      <c r="Q16">
        <f>POETE15.3</f>
        <v>0</v>
      </c>
      <c r="R16">
        <f>GapRef15</f>
        <v>0</v>
      </c>
      <c r="S16" s="127">
        <v>15</v>
      </c>
      <c r="T16" s="48">
        <f>Name15</f>
        <v>0</v>
      </c>
      <c r="U16" s="1" cm="1">
        <f t="array" ref="U16">SUM(COUNTIF(POETE15.1:POETE15.3, {"Planning","Training","Exercises"}))</f>
        <v>0</v>
      </c>
      <c r="V16" s="1">
        <f t="shared" si="0"/>
        <v>0</v>
      </c>
      <c r="W16" s="1">
        <f t="shared" si="1"/>
        <v>0</v>
      </c>
      <c r="X16" s="1">
        <f t="shared" si="2"/>
        <v>0</v>
      </c>
    </row>
    <row r="17" spans="1:24" x14ac:dyDescent="0.45">
      <c r="A17" s="48">
        <f>Name16</f>
        <v>0</v>
      </c>
      <c r="B17" s="127">
        <v>16</v>
      </c>
      <c r="C17">
        <f>Mission16.1</f>
        <v>0</v>
      </c>
      <c r="D17">
        <f>Mission16.2</f>
        <v>0</v>
      </c>
      <c r="E17">
        <f>Mission16.3</f>
        <v>0</v>
      </c>
      <c r="F17">
        <f>Core16.1</f>
        <v>0</v>
      </c>
      <c r="G17">
        <f>Core16.2</f>
        <v>0</v>
      </c>
      <c r="H17">
        <f>Core16.3</f>
        <v>0</v>
      </c>
      <c r="I17">
        <f>Core16.4</f>
        <v>0</v>
      </c>
      <c r="J17">
        <f>Core16.5</f>
        <v>0</v>
      </c>
      <c r="K17">
        <f>RAPriority16</f>
        <v>0</v>
      </c>
      <c r="L17">
        <f>EMAP16.1</f>
        <v>0</v>
      </c>
      <c r="M17">
        <f>EMAP16.2</f>
        <v>0</v>
      </c>
      <c r="N17">
        <f>EMAP16.3</f>
        <v>0</v>
      </c>
      <c r="O17">
        <f>POETE16.1</f>
        <v>0</v>
      </c>
      <c r="P17">
        <f>POETE16.2</f>
        <v>0</v>
      </c>
      <c r="Q17">
        <f>POETE16.3</f>
        <v>0</v>
      </c>
      <c r="R17">
        <f>GapRef16</f>
        <v>0</v>
      </c>
      <c r="S17" s="127">
        <v>16</v>
      </c>
      <c r="T17" s="48">
        <f>Name16</f>
        <v>0</v>
      </c>
      <c r="U17" s="1" cm="1">
        <f t="array" ref="U17">SUM(COUNTIF(POETE16.1:POETE16.3, {"Planning","Training","Exercises"}))</f>
        <v>0</v>
      </c>
      <c r="V17" s="1">
        <f t="shared" si="0"/>
        <v>0</v>
      </c>
      <c r="W17" s="1">
        <f t="shared" si="1"/>
        <v>0</v>
      </c>
      <c r="X17" s="1">
        <f t="shared" si="2"/>
        <v>0</v>
      </c>
    </row>
    <row r="18" spans="1:24" x14ac:dyDescent="0.45">
      <c r="A18" s="48">
        <f>Name17</f>
        <v>0</v>
      </c>
      <c r="B18" s="127">
        <v>17</v>
      </c>
      <c r="C18">
        <f>Mission17.1</f>
        <v>0</v>
      </c>
      <c r="D18">
        <f>Mission17.2</f>
        <v>0</v>
      </c>
      <c r="E18">
        <f>Mission17.3</f>
        <v>0</v>
      </c>
      <c r="F18">
        <f>Core17.1</f>
        <v>0</v>
      </c>
      <c r="G18">
        <f>Core17.2</f>
        <v>0</v>
      </c>
      <c r="H18">
        <f>Core17.3</f>
        <v>0</v>
      </c>
      <c r="I18">
        <f>Core17.4</f>
        <v>0</v>
      </c>
      <c r="J18">
        <f>Core17.5</f>
        <v>0</v>
      </c>
      <c r="K18">
        <f>RAPriority17</f>
        <v>0</v>
      </c>
      <c r="L18">
        <f>EMAP17.1</f>
        <v>0</v>
      </c>
      <c r="M18">
        <f>EMAP17.2</f>
        <v>0</v>
      </c>
      <c r="N18">
        <f>EMAP17.3</f>
        <v>0</v>
      </c>
      <c r="O18">
        <f>POETE17.1</f>
        <v>0</v>
      </c>
      <c r="P18">
        <f>POETE17.2</f>
        <v>0</v>
      </c>
      <c r="Q18">
        <f>POETE17.3</f>
        <v>0</v>
      </c>
      <c r="R18">
        <f>GapRef17</f>
        <v>0</v>
      </c>
      <c r="S18" s="127">
        <v>17</v>
      </c>
      <c r="T18" s="48">
        <f>Name17</f>
        <v>0</v>
      </c>
      <c r="U18" s="1" cm="1">
        <f t="array" ref="U18">SUM(COUNTIF(POETE17.1:POETE17.3, {"Planning","Training","Exercises"}))</f>
        <v>0</v>
      </c>
      <c r="V18" s="1">
        <f t="shared" si="0"/>
        <v>0</v>
      </c>
      <c r="W18" s="1">
        <f t="shared" si="1"/>
        <v>0</v>
      </c>
      <c r="X18" s="1">
        <f t="shared" si="2"/>
        <v>0</v>
      </c>
    </row>
    <row r="19" spans="1:24" x14ac:dyDescent="0.45">
      <c r="A19" s="48">
        <f>Name18</f>
        <v>0</v>
      </c>
      <c r="B19" s="127">
        <v>18</v>
      </c>
      <c r="C19">
        <f>Mission18.1</f>
        <v>0</v>
      </c>
      <c r="D19">
        <f>Mission18.2</f>
        <v>0</v>
      </c>
      <c r="E19">
        <f>Mission18.3</f>
        <v>0</v>
      </c>
      <c r="F19">
        <f>Core18.1</f>
        <v>0</v>
      </c>
      <c r="G19">
        <f>Core18.2</f>
        <v>0</v>
      </c>
      <c r="H19">
        <f>Core18.3</f>
        <v>0</v>
      </c>
      <c r="I19">
        <f>Core18.4</f>
        <v>0</v>
      </c>
      <c r="J19">
        <f>Core18.5</f>
        <v>0</v>
      </c>
      <c r="K19">
        <f>RAPriority18</f>
        <v>0</v>
      </c>
      <c r="L19">
        <f>EMAP18.1</f>
        <v>0</v>
      </c>
      <c r="M19">
        <f>EMAP18.2</f>
        <v>0</v>
      </c>
      <c r="N19">
        <f>EMAP18.3</f>
        <v>0</v>
      </c>
      <c r="O19">
        <f>POETE18.1</f>
        <v>0</v>
      </c>
      <c r="P19">
        <f>POETE18.2</f>
        <v>0</v>
      </c>
      <c r="Q19">
        <f>POETE18.3</f>
        <v>0</v>
      </c>
      <c r="R19">
        <f>GapRef18</f>
        <v>0</v>
      </c>
      <c r="S19" s="127">
        <v>18</v>
      </c>
      <c r="T19" s="48">
        <f>Name18</f>
        <v>0</v>
      </c>
      <c r="U19" s="1" cm="1">
        <f t="array" ref="U19">SUM(COUNTIF(POETE18.1:POETE18.3, {"Planning","Training","Exercises"}))</f>
        <v>0</v>
      </c>
      <c r="V19" s="1">
        <f t="shared" si="0"/>
        <v>0</v>
      </c>
      <c r="W19" s="1">
        <f t="shared" si="1"/>
        <v>0</v>
      </c>
      <c r="X19" s="1">
        <f t="shared" si="2"/>
        <v>0</v>
      </c>
    </row>
    <row r="20" spans="1:24" x14ac:dyDescent="0.45">
      <c r="A20" s="48">
        <f>Name19</f>
        <v>0</v>
      </c>
      <c r="B20" s="127">
        <v>19</v>
      </c>
      <c r="C20">
        <f>Mission19.1</f>
        <v>0</v>
      </c>
      <c r="D20">
        <f>Mission19.2</f>
        <v>0</v>
      </c>
      <c r="E20">
        <f>Mission19.3</f>
        <v>0</v>
      </c>
      <c r="F20">
        <f>Core19.1</f>
        <v>0</v>
      </c>
      <c r="G20">
        <f>Core19.2</f>
        <v>0</v>
      </c>
      <c r="H20">
        <f>Core19.3</f>
        <v>0</v>
      </c>
      <c r="I20">
        <f>Core19.4</f>
        <v>0</v>
      </c>
      <c r="J20">
        <f>Core19.5</f>
        <v>0</v>
      </c>
      <c r="K20">
        <f>RAPriority19</f>
        <v>0</v>
      </c>
      <c r="L20">
        <f>EMAP19.1</f>
        <v>0</v>
      </c>
      <c r="M20">
        <f>EMAP19.2</f>
        <v>0</v>
      </c>
      <c r="N20">
        <f>EMAP19.3</f>
        <v>0</v>
      </c>
      <c r="O20">
        <f>POETE19.1</f>
        <v>0</v>
      </c>
      <c r="P20">
        <f>POETE19.2</f>
        <v>0</v>
      </c>
      <c r="Q20">
        <f>POETE19.3</f>
        <v>0</v>
      </c>
      <c r="R20">
        <f>GapRef19</f>
        <v>0</v>
      </c>
      <c r="S20" s="127">
        <v>19</v>
      </c>
      <c r="T20" s="48">
        <f>Name19</f>
        <v>0</v>
      </c>
      <c r="U20" s="1" cm="1">
        <f t="array" ref="U20">SUM(COUNTIF(POETE19.1:POETE19.3, {"Planning","Training","Exercises"}))</f>
        <v>0</v>
      </c>
      <c r="V20" s="1">
        <f t="shared" si="0"/>
        <v>0</v>
      </c>
      <c r="W20" s="1">
        <f t="shared" si="1"/>
        <v>0</v>
      </c>
      <c r="X20" s="1">
        <f t="shared" si="2"/>
        <v>0</v>
      </c>
    </row>
    <row r="21" spans="1:24" x14ac:dyDescent="0.45">
      <c r="A21" s="48">
        <f>Name20</f>
        <v>0</v>
      </c>
      <c r="B21" s="127">
        <v>20</v>
      </c>
      <c r="C21">
        <f>Mission20.1</f>
        <v>0</v>
      </c>
      <c r="D21">
        <f>Mission20.2</f>
        <v>0</v>
      </c>
      <c r="E21">
        <f>Mission20.3</f>
        <v>0</v>
      </c>
      <c r="F21">
        <f>Core20.1</f>
        <v>0</v>
      </c>
      <c r="G21">
        <f>Core20.2</f>
        <v>0</v>
      </c>
      <c r="H21">
        <f>Core20.3</f>
        <v>0</v>
      </c>
      <c r="I21">
        <f>Core20.4</f>
        <v>0</v>
      </c>
      <c r="J21">
        <f>Core20.5</f>
        <v>0</v>
      </c>
      <c r="K21">
        <f>RAPriority20</f>
        <v>0</v>
      </c>
      <c r="L21">
        <f>EMAP20.1</f>
        <v>0</v>
      </c>
      <c r="M21">
        <f>EMAP20.2</f>
        <v>0</v>
      </c>
      <c r="N21">
        <f>EMAP20.3</f>
        <v>0</v>
      </c>
      <c r="O21">
        <f>POETE20.1</f>
        <v>0</v>
      </c>
      <c r="P21">
        <f>POETE20.2</f>
        <v>0</v>
      </c>
      <c r="Q21">
        <f>POETE20.3</f>
        <v>0</v>
      </c>
      <c r="R21">
        <f>GapRef20</f>
        <v>0</v>
      </c>
      <c r="S21" s="127">
        <v>20</v>
      </c>
      <c r="T21" s="48">
        <f>Name20</f>
        <v>0</v>
      </c>
      <c r="U21" s="1" cm="1">
        <f t="array" ref="U21">SUM(COUNTIF(POETE20.1:POETE20.3, {"Planning","Training","Exercises"}))</f>
        <v>0</v>
      </c>
      <c r="V21" s="1">
        <f t="shared" si="0"/>
        <v>0</v>
      </c>
      <c r="W21" s="1">
        <f t="shared" si="1"/>
        <v>0</v>
      </c>
      <c r="X21" s="1">
        <f t="shared" si="2"/>
        <v>0</v>
      </c>
    </row>
    <row r="22" spans="1:24" x14ac:dyDescent="0.45">
      <c r="A22" s="48">
        <f>Name21</f>
        <v>0</v>
      </c>
      <c r="B22" s="127">
        <v>21</v>
      </c>
      <c r="C22">
        <f>Mission21.1</f>
        <v>0</v>
      </c>
      <c r="D22">
        <f>Mission21.2</f>
        <v>0</v>
      </c>
      <c r="E22">
        <f>Mission21.3</f>
        <v>0</v>
      </c>
      <c r="F22">
        <f>Core21.1</f>
        <v>0</v>
      </c>
      <c r="G22">
        <f>Core21.2</f>
        <v>0</v>
      </c>
      <c r="H22">
        <f>Core21.3</f>
        <v>0</v>
      </c>
      <c r="I22">
        <f>Core21.4</f>
        <v>0</v>
      </c>
      <c r="J22">
        <f>Core21.5</f>
        <v>0</v>
      </c>
      <c r="K22">
        <f>RAPriority21</f>
        <v>0</v>
      </c>
      <c r="L22">
        <f>EMAP21.1</f>
        <v>0</v>
      </c>
      <c r="M22">
        <f>EMAP21.2</f>
        <v>0</v>
      </c>
      <c r="N22">
        <f>EMAP21.3</f>
        <v>0</v>
      </c>
      <c r="O22">
        <f>POETE21.1</f>
        <v>0</v>
      </c>
      <c r="P22">
        <f>POETE21.2</f>
        <v>0</v>
      </c>
      <c r="Q22">
        <f>POETE21.3</f>
        <v>0</v>
      </c>
      <c r="R22">
        <f>GapRef21</f>
        <v>0</v>
      </c>
      <c r="S22" s="127">
        <v>21</v>
      </c>
      <c r="T22" s="48">
        <f>Name21</f>
        <v>0</v>
      </c>
      <c r="U22" s="1" cm="1">
        <f t="array" ref="U22">SUM(COUNTIF(POETE21.1:POETE21.3, {"Planning","Training","Exercises"}))</f>
        <v>0</v>
      </c>
      <c r="V22" s="1">
        <f t="shared" si="0"/>
        <v>0</v>
      </c>
      <c r="W22" s="1">
        <f t="shared" si="1"/>
        <v>0</v>
      </c>
      <c r="X22" s="1">
        <f t="shared" si="2"/>
        <v>0</v>
      </c>
    </row>
    <row r="23" spans="1:24" x14ac:dyDescent="0.45">
      <c r="A23" s="48">
        <f>Name22</f>
        <v>0</v>
      </c>
      <c r="B23" s="127">
        <v>22</v>
      </c>
      <c r="C23">
        <f>Mission22.1</f>
        <v>0</v>
      </c>
      <c r="D23">
        <f>Mission22.2</f>
        <v>0</v>
      </c>
      <c r="E23">
        <f>Mission22.3</f>
        <v>0</v>
      </c>
      <c r="F23">
        <f>Core22.1</f>
        <v>0</v>
      </c>
      <c r="G23">
        <f>Core22.2</f>
        <v>0</v>
      </c>
      <c r="H23">
        <f>Core22.3</f>
        <v>0</v>
      </c>
      <c r="I23">
        <f>Core22.4</f>
        <v>0</v>
      </c>
      <c r="J23">
        <f>Core22.5</f>
        <v>0</v>
      </c>
      <c r="K23">
        <f>RAPriority22</f>
        <v>0</v>
      </c>
      <c r="L23">
        <f>EMAP22.1</f>
        <v>0</v>
      </c>
      <c r="M23">
        <f>EMAP22.2</f>
        <v>0</v>
      </c>
      <c r="N23">
        <f>EMAP22.3</f>
        <v>0</v>
      </c>
      <c r="O23">
        <f>POETE22.1</f>
        <v>0</v>
      </c>
      <c r="P23">
        <f>POETE22.2</f>
        <v>0</v>
      </c>
      <c r="Q23">
        <f>POETE22.3</f>
        <v>0</v>
      </c>
      <c r="R23">
        <f>GapRef22</f>
        <v>0</v>
      </c>
      <c r="S23" s="127">
        <v>22</v>
      </c>
      <c r="T23" s="48">
        <f>Name22</f>
        <v>0</v>
      </c>
      <c r="U23" s="1" cm="1">
        <f t="array" ref="U23">SUM(COUNTIF(POETE22.1:POETE22.3, {"Planning","Training","Exercises"}))</f>
        <v>0</v>
      </c>
      <c r="V23" s="1">
        <f t="shared" si="0"/>
        <v>0</v>
      </c>
      <c r="W23" s="1">
        <f t="shared" si="1"/>
        <v>0</v>
      </c>
      <c r="X23" s="1">
        <f t="shared" si="2"/>
        <v>0</v>
      </c>
    </row>
    <row r="24" spans="1:24" x14ac:dyDescent="0.45">
      <c r="A24" s="48">
        <f>Name23</f>
        <v>0</v>
      </c>
      <c r="B24" s="127">
        <v>23</v>
      </c>
      <c r="C24">
        <f>Mission23.1</f>
        <v>0</v>
      </c>
      <c r="D24">
        <f>Mission23.2</f>
        <v>0</v>
      </c>
      <c r="E24">
        <f>Mission23.3</f>
        <v>0</v>
      </c>
      <c r="F24">
        <f>Core23.1</f>
        <v>0</v>
      </c>
      <c r="G24">
        <f>Core23.2</f>
        <v>0</v>
      </c>
      <c r="H24">
        <f>Core23.3</f>
        <v>0</v>
      </c>
      <c r="I24">
        <f>Core23.4</f>
        <v>0</v>
      </c>
      <c r="J24">
        <f>Core23.5</f>
        <v>0</v>
      </c>
      <c r="K24">
        <f>RAPriority23</f>
        <v>0</v>
      </c>
      <c r="L24">
        <f>EMAP23.1</f>
        <v>0</v>
      </c>
      <c r="M24">
        <f>EMAP23.2</f>
        <v>0</v>
      </c>
      <c r="N24">
        <f>EMAP23.3</f>
        <v>0</v>
      </c>
      <c r="O24">
        <f>POETE23.1</f>
        <v>0</v>
      </c>
      <c r="P24">
        <f>POETE23.2</f>
        <v>0</v>
      </c>
      <c r="Q24">
        <f>POETE23.3</f>
        <v>0</v>
      </c>
      <c r="R24">
        <f>GapRef23</f>
        <v>0</v>
      </c>
      <c r="S24" s="127">
        <v>23</v>
      </c>
      <c r="T24" s="48">
        <f>Name23</f>
        <v>0</v>
      </c>
      <c r="U24" s="1" cm="1">
        <f t="array" ref="U24">SUM(COUNTIF(POETE23.1:POETE23.3, {"Planning","Training","Exercises"}))</f>
        <v>0</v>
      </c>
      <c r="V24" s="1">
        <f t="shared" si="0"/>
        <v>0</v>
      </c>
      <c r="W24" s="1">
        <f t="shared" si="1"/>
        <v>0</v>
      </c>
      <c r="X24" s="1">
        <f t="shared" si="2"/>
        <v>0</v>
      </c>
    </row>
    <row r="25" spans="1:24" x14ac:dyDescent="0.45">
      <c r="A25" s="48">
        <f>Name24</f>
        <v>0</v>
      </c>
      <c r="B25" s="127">
        <v>24</v>
      </c>
      <c r="C25">
        <f>Mission24.1</f>
        <v>0</v>
      </c>
      <c r="D25">
        <f>Mission24.2</f>
        <v>0</v>
      </c>
      <c r="E25">
        <f>Mission24.3</f>
        <v>0</v>
      </c>
      <c r="F25">
        <f>Core24.1</f>
        <v>0</v>
      </c>
      <c r="G25">
        <f>Core24.2</f>
        <v>0</v>
      </c>
      <c r="H25">
        <f>Core24.3</f>
        <v>0</v>
      </c>
      <c r="I25">
        <f>Core24.4</f>
        <v>0</v>
      </c>
      <c r="J25">
        <f>Core24.5</f>
        <v>0</v>
      </c>
      <c r="K25">
        <f>RAPriority24</f>
        <v>0</v>
      </c>
      <c r="L25">
        <f>EMAP24.1</f>
        <v>0</v>
      </c>
      <c r="M25">
        <f>EMAP24.2</f>
        <v>0</v>
      </c>
      <c r="N25">
        <f>EMAP24.3</f>
        <v>0</v>
      </c>
      <c r="O25">
        <f>POETE24.1</f>
        <v>0</v>
      </c>
      <c r="P25">
        <f>POETE24.2</f>
        <v>0</v>
      </c>
      <c r="Q25">
        <f>POETE24.3</f>
        <v>0</v>
      </c>
      <c r="R25">
        <f>GapRef24</f>
        <v>0</v>
      </c>
      <c r="S25" s="127">
        <v>24</v>
      </c>
      <c r="T25" s="48">
        <f>Name24</f>
        <v>0</v>
      </c>
      <c r="U25" s="1" cm="1">
        <f t="array" ref="U25">SUM(COUNTIF(POETE24.1:POETE24.3, {"Planning","Training","Exercises"}))</f>
        <v>0</v>
      </c>
      <c r="V25" s="1">
        <f t="shared" si="0"/>
        <v>0</v>
      </c>
      <c r="W25" s="1">
        <f t="shared" si="1"/>
        <v>0</v>
      </c>
      <c r="X25" s="1">
        <f t="shared" si="2"/>
        <v>0</v>
      </c>
    </row>
    <row r="26" spans="1:24" x14ac:dyDescent="0.45">
      <c r="A26" s="48">
        <f>Name25</f>
        <v>0</v>
      </c>
      <c r="B26" s="127">
        <v>25</v>
      </c>
      <c r="C26">
        <f>Mission25.1</f>
        <v>0</v>
      </c>
      <c r="D26">
        <f>Mission25.2</f>
        <v>0</v>
      </c>
      <c r="E26">
        <f>Mission25.3</f>
        <v>0</v>
      </c>
      <c r="F26">
        <f>Core25.1</f>
        <v>0</v>
      </c>
      <c r="G26">
        <f>Core25.2</f>
        <v>0</v>
      </c>
      <c r="H26">
        <f>Core25.3</f>
        <v>0</v>
      </c>
      <c r="I26">
        <f>Core25.4</f>
        <v>0</v>
      </c>
      <c r="J26">
        <f>Core25.5</f>
        <v>0</v>
      </c>
      <c r="K26">
        <f>RAPriority25</f>
        <v>0</v>
      </c>
      <c r="L26">
        <f>EMAP25.1</f>
        <v>0</v>
      </c>
      <c r="M26">
        <f>EMAP25.2</f>
        <v>0</v>
      </c>
      <c r="N26">
        <f>EMAP25.3</f>
        <v>0</v>
      </c>
      <c r="O26">
        <f>POETE25.1</f>
        <v>0</v>
      </c>
      <c r="P26">
        <f>POETE25.2</f>
        <v>0</v>
      </c>
      <c r="Q26">
        <f>POETE25.3</f>
        <v>0</v>
      </c>
      <c r="R26">
        <f>GapRef25</f>
        <v>0</v>
      </c>
      <c r="S26" s="127">
        <v>25</v>
      </c>
      <c r="T26" s="48">
        <f>Name25</f>
        <v>0</v>
      </c>
      <c r="U26" s="1" cm="1">
        <f t="array" ref="U26">SUM(COUNTIF(POETE25.1:POETE25.3, {"Planning","Training","Exercises"}))</f>
        <v>0</v>
      </c>
      <c r="V26" s="1">
        <f t="shared" si="0"/>
        <v>0</v>
      </c>
      <c r="W26" s="1">
        <f t="shared" si="1"/>
        <v>0</v>
      </c>
      <c r="X26" s="1">
        <f t="shared" si="2"/>
        <v>0</v>
      </c>
    </row>
    <row r="27" spans="1:24" x14ac:dyDescent="0.45">
      <c r="A27">
        <f>Name26</f>
        <v>0</v>
      </c>
      <c r="B27" s="127">
        <v>26</v>
      </c>
      <c r="C27">
        <f>Mission26.1</f>
        <v>0</v>
      </c>
      <c r="D27">
        <f>Mission26.2</f>
        <v>0</v>
      </c>
      <c r="E27">
        <f>Mission26.3</f>
        <v>0</v>
      </c>
      <c r="F27">
        <f>Core26.1</f>
        <v>0</v>
      </c>
      <c r="G27">
        <f>Core26.2</f>
        <v>0</v>
      </c>
      <c r="H27">
        <f>Core26.3</f>
        <v>0</v>
      </c>
      <c r="I27">
        <f>Core26.4</f>
        <v>0</v>
      </c>
      <c r="J27">
        <f>Core26.5</f>
        <v>0</v>
      </c>
      <c r="K27">
        <f>RAPriority26</f>
        <v>0</v>
      </c>
      <c r="L27">
        <f>EMAP26.1</f>
        <v>0</v>
      </c>
      <c r="M27">
        <f>EMAP26.2</f>
        <v>0</v>
      </c>
      <c r="N27">
        <f>EMAP26.3</f>
        <v>0</v>
      </c>
      <c r="O27">
        <f>POETE26.1</f>
        <v>0</v>
      </c>
      <c r="P27">
        <f>POETE26.2</f>
        <v>0</v>
      </c>
      <c r="Q27">
        <f>POETE26.3</f>
        <v>0</v>
      </c>
      <c r="R27">
        <f>GapRef26</f>
        <v>0</v>
      </c>
      <c r="S27" s="127">
        <v>26</v>
      </c>
      <c r="T27">
        <f>Name26</f>
        <v>0</v>
      </c>
      <c r="U27" s="1" cm="1">
        <f t="array" ref="U27">SUM(COUNTIF(POETE26.1:POETE26.3, {"Planning","Training","Exercises"}))</f>
        <v>0</v>
      </c>
      <c r="V27" s="1">
        <f t="shared" si="0"/>
        <v>0</v>
      </c>
      <c r="W27" s="1">
        <f t="shared" si="1"/>
        <v>0</v>
      </c>
      <c r="X27" s="1">
        <f t="shared" si="2"/>
        <v>0</v>
      </c>
    </row>
    <row r="28" spans="1:24" x14ac:dyDescent="0.45">
      <c r="A28">
        <f>Name27</f>
        <v>0</v>
      </c>
      <c r="B28" s="127">
        <v>27</v>
      </c>
      <c r="C28">
        <f>Mission27.1</f>
        <v>0</v>
      </c>
      <c r="D28">
        <f>Mission27.2</f>
        <v>0</v>
      </c>
      <c r="E28">
        <f>Mission27.3</f>
        <v>0</v>
      </c>
      <c r="F28">
        <f>Core27.1</f>
        <v>0</v>
      </c>
      <c r="G28">
        <f>Core27.2</f>
        <v>0</v>
      </c>
      <c r="H28">
        <f>Core27.3</f>
        <v>0</v>
      </c>
      <c r="I28">
        <f>Core27.4</f>
        <v>0</v>
      </c>
      <c r="J28">
        <f>Core27.5</f>
        <v>0</v>
      </c>
      <c r="K28">
        <f>RAPriority27</f>
        <v>0</v>
      </c>
      <c r="L28">
        <f>EMAP27.1</f>
        <v>0</v>
      </c>
      <c r="M28">
        <f>EMAP27.2</f>
        <v>0</v>
      </c>
      <c r="N28">
        <f>EMAP27.3</f>
        <v>0</v>
      </c>
      <c r="O28">
        <f>POETE27.1</f>
        <v>0</v>
      </c>
      <c r="P28">
        <f>POETE27.2</f>
        <v>0</v>
      </c>
      <c r="Q28">
        <f>POETE27.3</f>
        <v>0</v>
      </c>
      <c r="R28">
        <f>GapRef27</f>
        <v>0</v>
      </c>
      <c r="S28" s="127">
        <v>27.28</v>
      </c>
      <c r="T28">
        <f>Name27</f>
        <v>0</v>
      </c>
      <c r="U28" s="1" cm="1">
        <f t="array" ref="U28">SUM(COUNTIF(POETE27.1:POETE27.3, {"Planning","Training","Exercises"}))</f>
        <v>0</v>
      </c>
      <c r="V28" s="1">
        <f t="shared" si="0"/>
        <v>0</v>
      </c>
      <c r="W28" s="1">
        <f t="shared" si="1"/>
        <v>0</v>
      </c>
      <c r="X28" s="1">
        <f t="shared" si="2"/>
        <v>0</v>
      </c>
    </row>
    <row r="29" spans="1:24" x14ac:dyDescent="0.45">
      <c r="A29">
        <f>Name28</f>
        <v>0</v>
      </c>
      <c r="B29" s="127">
        <v>28</v>
      </c>
      <c r="C29">
        <f>Mission28.1</f>
        <v>0</v>
      </c>
      <c r="D29">
        <f>Mission28.2</f>
        <v>0</v>
      </c>
      <c r="E29">
        <f>Mission28.3</f>
        <v>0</v>
      </c>
      <c r="F29">
        <f>Core28.1</f>
        <v>0</v>
      </c>
      <c r="G29">
        <f>Core28.2</f>
        <v>0</v>
      </c>
      <c r="H29">
        <f>Core28.3</f>
        <v>0</v>
      </c>
      <c r="I29">
        <f>Core28.4</f>
        <v>0</v>
      </c>
      <c r="J29">
        <f>Core28.5</f>
        <v>0</v>
      </c>
      <c r="K29">
        <f>RAPriority28</f>
        <v>0</v>
      </c>
      <c r="L29">
        <f>EMAP28.1</f>
        <v>0</v>
      </c>
      <c r="M29">
        <f>EMAP28.2</f>
        <v>0</v>
      </c>
      <c r="N29">
        <f>EMAP28.3</f>
        <v>0</v>
      </c>
      <c r="O29">
        <f>POETE28.1</f>
        <v>0</v>
      </c>
      <c r="P29">
        <f>POETE28.2</f>
        <v>0</v>
      </c>
      <c r="Q29">
        <f>POETE28.3</f>
        <v>0</v>
      </c>
      <c r="R29">
        <f>GapRef28</f>
        <v>0</v>
      </c>
      <c r="S29" s="127">
        <v>28</v>
      </c>
      <c r="T29">
        <f>Name28</f>
        <v>0</v>
      </c>
      <c r="U29" s="1" cm="1">
        <f t="array" ref="U29">SUM(COUNTIF(POETE28.1:POETE28.3, {"Planning","Training","Exercises"}))</f>
        <v>0</v>
      </c>
      <c r="V29" s="1">
        <f t="shared" si="0"/>
        <v>0</v>
      </c>
      <c r="W29" s="1">
        <f t="shared" si="1"/>
        <v>0</v>
      </c>
      <c r="X29" s="1">
        <f t="shared" si="2"/>
        <v>0</v>
      </c>
    </row>
    <row r="30" spans="1:24" x14ac:dyDescent="0.45">
      <c r="A30">
        <f>Name29</f>
        <v>0</v>
      </c>
      <c r="B30" s="127">
        <v>29</v>
      </c>
      <c r="C30">
        <f>Mission29.1</f>
        <v>0</v>
      </c>
      <c r="D30">
        <f>Mission29.2</f>
        <v>0</v>
      </c>
      <c r="E30">
        <f>Mission29.3</f>
        <v>0</v>
      </c>
      <c r="F30">
        <f>Core29.1</f>
        <v>0</v>
      </c>
      <c r="G30">
        <f>Core29.2</f>
        <v>0</v>
      </c>
      <c r="H30">
        <f>Core29.3</f>
        <v>0</v>
      </c>
      <c r="I30">
        <f>Core29.4</f>
        <v>0</v>
      </c>
      <c r="J30">
        <f>Core29.5</f>
        <v>0</v>
      </c>
      <c r="K30">
        <f>RAPriority29</f>
        <v>0</v>
      </c>
      <c r="L30">
        <f>EMAP29.1</f>
        <v>0</v>
      </c>
      <c r="M30">
        <f>EMAP29.2</f>
        <v>0</v>
      </c>
      <c r="N30">
        <f>EMAP29.3</f>
        <v>0</v>
      </c>
      <c r="O30">
        <f>POETE29.1</f>
        <v>0</v>
      </c>
      <c r="P30">
        <f>POETE29.2</f>
        <v>0</v>
      </c>
      <c r="Q30">
        <f>POETE29.3</f>
        <v>0</v>
      </c>
      <c r="R30">
        <f>GapRef29</f>
        <v>0</v>
      </c>
      <c r="S30" s="127">
        <v>29</v>
      </c>
      <c r="T30">
        <f>Name29</f>
        <v>0</v>
      </c>
      <c r="U30" s="1" cm="1">
        <f t="array" ref="U30">SUM(COUNTIF(POETE29.1:POETE29.3, {"Planning","Training","Exercises"}))</f>
        <v>0</v>
      </c>
      <c r="V30" s="1">
        <f t="shared" si="0"/>
        <v>0</v>
      </c>
      <c r="W30" s="1">
        <f t="shared" si="1"/>
        <v>0</v>
      </c>
      <c r="X30" s="1">
        <f t="shared" si="2"/>
        <v>0</v>
      </c>
    </row>
    <row r="31" spans="1:24" x14ac:dyDescent="0.45">
      <c r="A31">
        <f>Name30</f>
        <v>0</v>
      </c>
      <c r="B31" s="127">
        <v>30</v>
      </c>
      <c r="C31">
        <f>Mission30.1</f>
        <v>0</v>
      </c>
      <c r="D31">
        <f>Mission30.2</f>
        <v>0</v>
      </c>
      <c r="E31">
        <f>Mission30.3</f>
        <v>0</v>
      </c>
      <c r="F31">
        <f>Core30.1</f>
        <v>0</v>
      </c>
      <c r="G31">
        <f>Core30.2</f>
        <v>0</v>
      </c>
      <c r="H31">
        <f>Core30.3</f>
        <v>0</v>
      </c>
      <c r="I31">
        <f>Core30.4</f>
        <v>0</v>
      </c>
      <c r="J31">
        <f>Core30.5</f>
        <v>0</v>
      </c>
      <c r="K31">
        <f>RAPriority30</f>
        <v>0</v>
      </c>
      <c r="L31">
        <f>EMAP30.1</f>
        <v>0</v>
      </c>
      <c r="M31">
        <f>EMAP30.2</f>
        <v>0</v>
      </c>
      <c r="N31">
        <f>EMAP30.3</f>
        <v>0</v>
      </c>
      <c r="O31">
        <f>POETE30.1</f>
        <v>0</v>
      </c>
      <c r="P31">
        <f>POETE30.2</f>
        <v>0</v>
      </c>
      <c r="Q31">
        <f>POETE30.3</f>
        <v>0</v>
      </c>
      <c r="R31">
        <f>GapRef30</f>
        <v>0</v>
      </c>
      <c r="S31" s="127">
        <v>30</v>
      </c>
      <c r="T31">
        <f>Name30</f>
        <v>0</v>
      </c>
      <c r="U31" s="1" cm="1">
        <f t="array" ref="U31">SUM(COUNTIF(POETE30.1:POETE30.3, {"Planning","Training","Exercises"}))</f>
        <v>0</v>
      </c>
      <c r="V31" s="1">
        <f t="shared" si="0"/>
        <v>0</v>
      </c>
      <c r="W31" s="1">
        <f t="shared" si="1"/>
        <v>0</v>
      </c>
      <c r="X31" s="1">
        <f t="shared" si="2"/>
        <v>0</v>
      </c>
    </row>
    <row r="32" spans="1:24" x14ac:dyDescent="0.45">
      <c r="A32">
        <f>Name31</f>
        <v>0</v>
      </c>
      <c r="B32" s="127">
        <v>31</v>
      </c>
      <c r="C32">
        <f>Mission31.1</f>
        <v>0</v>
      </c>
      <c r="D32">
        <f>Mission31.2</f>
        <v>0</v>
      </c>
      <c r="E32">
        <f>Mission31.3</f>
        <v>0</v>
      </c>
      <c r="F32">
        <f>Core31.1</f>
        <v>0</v>
      </c>
      <c r="G32">
        <f>Core31.2</f>
        <v>0</v>
      </c>
      <c r="H32">
        <f>Core31.3</f>
        <v>0</v>
      </c>
      <c r="I32">
        <f>Core31.4</f>
        <v>0</v>
      </c>
      <c r="J32">
        <f>Core31.5</f>
        <v>0</v>
      </c>
      <c r="K32">
        <f>RAPriority31</f>
        <v>0</v>
      </c>
      <c r="L32">
        <f>EMAP31.1</f>
        <v>0</v>
      </c>
      <c r="M32">
        <f>EMAP31.2</f>
        <v>0</v>
      </c>
      <c r="N32">
        <f>EMAP31.3</f>
        <v>0</v>
      </c>
      <c r="O32">
        <f>POETE31.1</f>
        <v>0</v>
      </c>
      <c r="P32">
        <f>POETE31.2</f>
        <v>0</v>
      </c>
      <c r="Q32">
        <f>POETE31.3</f>
        <v>0</v>
      </c>
      <c r="R32">
        <f>GapRef31</f>
        <v>0</v>
      </c>
      <c r="S32" s="127">
        <v>31</v>
      </c>
      <c r="T32">
        <f>Name31</f>
        <v>0</v>
      </c>
      <c r="U32" s="1" cm="1">
        <f t="array" ref="U32">SUM(COUNTIF(POETE31.1:POETE31.3, {"Planning","Training","Exercises"}))</f>
        <v>0</v>
      </c>
      <c r="V32" s="1">
        <f t="shared" si="0"/>
        <v>0</v>
      </c>
      <c r="W32" s="1">
        <f t="shared" si="1"/>
        <v>0</v>
      </c>
      <c r="X32" s="1">
        <f t="shared" si="2"/>
        <v>0</v>
      </c>
    </row>
    <row r="33" spans="1:24" x14ac:dyDescent="0.45">
      <c r="A33">
        <f>Name32</f>
        <v>0</v>
      </c>
      <c r="B33" s="127">
        <v>32</v>
      </c>
      <c r="C33">
        <f>Mission32.1</f>
        <v>0</v>
      </c>
      <c r="D33">
        <f>Mission32.2</f>
        <v>0</v>
      </c>
      <c r="E33">
        <f>Mission32.3</f>
        <v>0</v>
      </c>
      <c r="F33">
        <f>Core32.1</f>
        <v>0</v>
      </c>
      <c r="G33">
        <f>Core32.2</f>
        <v>0</v>
      </c>
      <c r="H33">
        <f>Core32.3</f>
        <v>0</v>
      </c>
      <c r="I33">
        <f>Core32.4</f>
        <v>0</v>
      </c>
      <c r="J33">
        <f>Core32.5</f>
        <v>0</v>
      </c>
      <c r="K33">
        <f>RAPriority32</f>
        <v>0</v>
      </c>
      <c r="L33">
        <f>EMAP32.1</f>
        <v>0</v>
      </c>
      <c r="M33">
        <f>EMAP32.2</f>
        <v>0</v>
      </c>
      <c r="N33">
        <f>EMAP32.3</f>
        <v>0</v>
      </c>
      <c r="O33">
        <f>POETE32.1</f>
        <v>0</v>
      </c>
      <c r="P33">
        <f>POETE32.2</f>
        <v>0</v>
      </c>
      <c r="Q33">
        <f>POETE32.3</f>
        <v>0</v>
      </c>
      <c r="R33">
        <f>GapRef32</f>
        <v>0</v>
      </c>
      <c r="S33" s="127">
        <v>32</v>
      </c>
      <c r="T33">
        <f>Name32</f>
        <v>0</v>
      </c>
      <c r="U33" s="1" cm="1">
        <f t="array" ref="U33">SUM(COUNTIF(POETE32.1:POETE32.3, {"Planning","Training","Exercises"}))</f>
        <v>0</v>
      </c>
      <c r="V33" s="1">
        <f t="shared" si="0"/>
        <v>0</v>
      </c>
      <c r="W33" s="1">
        <f t="shared" si="1"/>
        <v>0</v>
      </c>
      <c r="X33" s="1">
        <f t="shared" si="2"/>
        <v>0</v>
      </c>
    </row>
    <row r="34" spans="1:24" x14ac:dyDescent="0.45">
      <c r="A34">
        <f>Name33</f>
        <v>0</v>
      </c>
      <c r="B34" s="127">
        <v>33</v>
      </c>
      <c r="C34">
        <f>Mission33.1</f>
        <v>0</v>
      </c>
      <c r="D34">
        <f>Mission33.2</f>
        <v>0</v>
      </c>
      <c r="E34">
        <f>Mission33.3</f>
        <v>0</v>
      </c>
      <c r="F34">
        <f>Core33.1</f>
        <v>0</v>
      </c>
      <c r="G34">
        <f>Core33.2</f>
        <v>0</v>
      </c>
      <c r="H34">
        <f>Core33.3</f>
        <v>0</v>
      </c>
      <c r="I34">
        <f>Core33.4</f>
        <v>0</v>
      </c>
      <c r="J34">
        <f>Core33.5</f>
        <v>0</v>
      </c>
      <c r="K34">
        <f>RAPriority33</f>
        <v>0</v>
      </c>
      <c r="L34">
        <f>EMAP33.1</f>
        <v>0</v>
      </c>
      <c r="M34">
        <f>EMAP33.2</f>
        <v>0</v>
      </c>
      <c r="N34">
        <f>EMAP33.3</f>
        <v>0</v>
      </c>
      <c r="O34">
        <f>POETE33.1</f>
        <v>0</v>
      </c>
      <c r="P34">
        <f>POETE33.2</f>
        <v>0</v>
      </c>
      <c r="Q34">
        <f>POETE33.3</f>
        <v>0</v>
      </c>
      <c r="R34">
        <f>GapRef33</f>
        <v>0</v>
      </c>
      <c r="S34" s="127">
        <v>33</v>
      </c>
      <c r="T34">
        <f>Name33</f>
        <v>0</v>
      </c>
      <c r="U34" s="1" cm="1">
        <f t="array" ref="U34">SUM(COUNTIF(POETE33.1:POETE33.3, {"Planning","Training","Exercises"}))</f>
        <v>0</v>
      </c>
      <c r="V34" s="1">
        <f t="shared" si="0"/>
        <v>0</v>
      </c>
      <c r="W34" s="1">
        <f t="shared" si="1"/>
        <v>0</v>
      </c>
      <c r="X34" s="1">
        <f t="shared" si="2"/>
        <v>0</v>
      </c>
    </row>
    <row r="35" spans="1:24" x14ac:dyDescent="0.45">
      <c r="A35">
        <f>Name34</f>
        <v>0</v>
      </c>
      <c r="B35" s="127">
        <v>34</v>
      </c>
      <c r="C35">
        <f>Mission34.1</f>
        <v>0</v>
      </c>
      <c r="D35">
        <f>Mission34.2</f>
        <v>0</v>
      </c>
      <c r="E35">
        <f>Mission34.3</f>
        <v>0</v>
      </c>
      <c r="F35">
        <f>Core34.1</f>
        <v>0</v>
      </c>
      <c r="G35">
        <f>Core34.2</f>
        <v>0</v>
      </c>
      <c r="H35">
        <f>Core34.3</f>
        <v>0</v>
      </c>
      <c r="I35">
        <f>Core34.4</f>
        <v>0</v>
      </c>
      <c r="J35">
        <f>Core34.5</f>
        <v>0</v>
      </c>
      <c r="K35">
        <f>RAPriority34</f>
        <v>0</v>
      </c>
      <c r="L35">
        <f>EMAP34.1</f>
        <v>0</v>
      </c>
      <c r="M35">
        <f>EMAP34.2</f>
        <v>0</v>
      </c>
      <c r="N35">
        <f>EMAP34.3</f>
        <v>0</v>
      </c>
      <c r="O35">
        <f>POETE34.1</f>
        <v>0</v>
      </c>
      <c r="P35">
        <f>POETE34.2</f>
        <v>0</v>
      </c>
      <c r="Q35">
        <f>POETE34.3</f>
        <v>0</v>
      </c>
      <c r="R35">
        <f>GapRef34</f>
        <v>0</v>
      </c>
      <c r="S35" s="127">
        <v>34</v>
      </c>
      <c r="T35">
        <f>Name34</f>
        <v>0</v>
      </c>
      <c r="U35" s="1" cm="1">
        <f t="array" ref="U35">SUM(COUNTIF(POETE34.1:POETE34.3, {"Planning","Training","Exercises"}))</f>
        <v>0</v>
      </c>
      <c r="V35" s="1">
        <f t="shared" si="0"/>
        <v>0</v>
      </c>
      <c r="W35" s="1">
        <f t="shared" si="1"/>
        <v>0</v>
      </c>
      <c r="X35" s="1">
        <f t="shared" si="2"/>
        <v>0</v>
      </c>
    </row>
    <row r="36" spans="1:24" x14ac:dyDescent="0.45">
      <c r="A36">
        <f>Name35</f>
        <v>0</v>
      </c>
      <c r="B36" s="127">
        <v>35</v>
      </c>
      <c r="C36">
        <f>Mission35.1</f>
        <v>0</v>
      </c>
      <c r="D36">
        <f>Mission35.2</f>
        <v>0</v>
      </c>
      <c r="E36">
        <f>Mission35.3</f>
        <v>0</v>
      </c>
      <c r="F36">
        <f>Core35.1</f>
        <v>0</v>
      </c>
      <c r="G36">
        <f>Core35.2</f>
        <v>0</v>
      </c>
      <c r="H36">
        <f>Core35.3</f>
        <v>0</v>
      </c>
      <c r="I36">
        <f>Core35.4</f>
        <v>0</v>
      </c>
      <c r="J36">
        <f>Core35.5</f>
        <v>0</v>
      </c>
      <c r="K36">
        <f>RAPriority35</f>
        <v>0</v>
      </c>
      <c r="L36">
        <f>EMAP35.1</f>
        <v>0</v>
      </c>
      <c r="M36">
        <f>EMAP35.2</f>
        <v>0</v>
      </c>
      <c r="N36">
        <f>EMAP35.3</f>
        <v>0</v>
      </c>
      <c r="O36">
        <f>POETE35.1</f>
        <v>0</v>
      </c>
      <c r="P36">
        <f>POETE35.2</f>
        <v>0</v>
      </c>
      <c r="Q36">
        <f>POETE35.3</f>
        <v>0</v>
      </c>
      <c r="R36">
        <f>GapRef35</f>
        <v>0</v>
      </c>
      <c r="S36" s="127">
        <v>35</v>
      </c>
      <c r="T36">
        <f>Name35</f>
        <v>0</v>
      </c>
      <c r="U36" s="1" cm="1">
        <f t="array" ref="U36">SUM(COUNTIF(POETE35.1:POETE35.3, {"Planning","Training","Exercises"}))</f>
        <v>0</v>
      </c>
      <c r="V36" s="1">
        <f t="shared" si="0"/>
        <v>0</v>
      </c>
      <c r="W36" s="1">
        <f t="shared" si="1"/>
        <v>0</v>
      </c>
      <c r="X36" s="1">
        <f t="shared" si="2"/>
        <v>0</v>
      </c>
    </row>
    <row r="37" spans="1:24" x14ac:dyDescent="0.45">
      <c r="A37">
        <f>Name36</f>
        <v>0</v>
      </c>
      <c r="B37" s="127">
        <v>36</v>
      </c>
      <c r="C37">
        <f>Mission36.1</f>
        <v>0</v>
      </c>
      <c r="D37">
        <f>Mission36.2</f>
        <v>0</v>
      </c>
      <c r="E37">
        <f>Mission36.3</f>
        <v>0</v>
      </c>
      <c r="F37">
        <f>Core36.1</f>
        <v>0</v>
      </c>
      <c r="G37">
        <f>Core36.2</f>
        <v>0</v>
      </c>
      <c r="H37">
        <f>Core36.3</f>
        <v>0</v>
      </c>
      <c r="I37">
        <f>Core36.4</f>
        <v>0</v>
      </c>
      <c r="J37">
        <f>Core36.5</f>
        <v>0</v>
      </c>
      <c r="K37">
        <f>RAPriority36</f>
        <v>0</v>
      </c>
      <c r="L37">
        <f>EMAP36.1</f>
        <v>0</v>
      </c>
      <c r="M37">
        <f>EMAP36.2</f>
        <v>0</v>
      </c>
      <c r="N37">
        <f>EMAP36.3</f>
        <v>0</v>
      </c>
      <c r="O37">
        <f>POETE36.1</f>
        <v>0</v>
      </c>
      <c r="P37">
        <f>POETE36.2</f>
        <v>0</v>
      </c>
      <c r="Q37">
        <f>POETE36.3</f>
        <v>0</v>
      </c>
      <c r="R37">
        <f>GapRef36</f>
        <v>0</v>
      </c>
      <c r="S37" s="127">
        <v>36</v>
      </c>
      <c r="T37">
        <f>Name36</f>
        <v>0</v>
      </c>
      <c r="U37" s="1" cm="1">
        <f t="array" ref="U37">SUM(COUNTIF(POETE36.1:POETE36.3, {"Planning","Training","Exercises"}))</f>
        <v>0</v>
      </c>
      <c r="V37" s="1">
        <f t="shared" si="0"/>
        <v>0</v>
      </c>
      <c r="W37" s="1">
        <f t="shared" si="1"/>
        <v>0</v>
      </c>
      <c r="X37" s="1">
        <f t="shared" si="2"/>
        <v>0</v>
      </c>
    </row>
    <row r="38" spans="1:24" x14ac:dyDescent="0.45">
      <c r="A38">
        <f>Name37</f>
        <v>0</v>
      </c>
      <c r="B38" s="127">
        <v>37</v>
      </c>
      <c r="C38">
        <f>Mission37.1</f>
        <v>0</v>
      </c>
      <c r="D38">
        <f>Mission37.2</f>
        <v>0</v>
      </c>
      <c r="E38">
        <f>Mission37.3</f>
        <v>0</v>
      </c>
      <c r="F38">
        <f>Core37.1</f>
        <v>0</v>
      </c>
      <c r="G38">
        <f>Core37.2</f>
        <v>0</v>
      </c>
      <c r="H38">
        <f>Core37.3</f>
        <v>0</v>
      </c>
      <c r="I38">
        <f>Core37.4</f>
        <v>0</v>
      </c>
      <c r="J38">
        <f>Core37.5</f>
        <v>0</v>
      </c>
      <c r="K38">
        <f>RAPriority37</f>
        <v>0</v>
      </c>
      <c r="L38">
        <f>EMAP37.1</f>
        <v>0</v>
      </c>
      <c r="M38">
        <f>EMAP37.2</f>
        <v>0</v>
      </c>
      <c r="N38">
        <f>EMAP37.3</f>
        <v>0</v>
      </c>
      <c r="O38">
        <f>POETE37.1</f>
        <v>0</v>
      </c>
      <c r="P38">
        <f>POETE37.2</f>
        <v>0</v>
      </c>
      <c r="Q38">
        <f>POETE37.3</f>
        <v>0</v>
      </c>
      <c r="R38">
        <f>GapRef37</f>
        <v>0</v>
      </c>
      <c r="S38" s="127">
        <v>37</v>
      </c>
      <c r="T38">
        <f>Name37</f>
        <v>0</v>
      </c>
      <c r="U38" s="1" cm="1">
        <f t="array" ref="U38">SUM(COUNTIF(POETE37.1:POETE37.3, {"Planning","Training","Exercises"}))</f>
        <v>0</v>
      </c>
      <c r="V38" s="1">
        <f t="shared" si="0"/>
        <v>0</v>
      </c>
      <c r="W38" s="1">
        <f t="shared" si="1"/>
        <v>0</v>
      </c>
      <c r="X38" s="1">
        <f t="shared" si="2"/>
        <v>0</v>
      </c>
    </row>
    <row r="39" spans="1:24" x14ac:dyDescent="0.45">
      <c r="A39">
        <f>Name38</f>
        <v>0</v>
      </c>
      <c r="B39" s="127">
        <v>38</v>
      </c>
      <c r="C39">
        <f>Mission38.1</f>
        <v>0</v>
      </c>
      <c r="D39">
        <f>Mission38.2</f>
        <v>0</v>
      </c>
      <c r="E39">
        <f>Mission38.3</f>
        <v>0</v>
      </c>
      <c r="F39">
        <f>Core38.1</f>
        <v>0</v>
      </c>
      <c r="G39">
        <f>Core38.2</f>
        <v>0</v>
      </c>
      <c r="H39">
        <f>Core38.3</f>
        <v>0</v>
      </c>
      <c r="I39">
        <f>Core38.4</f>
        <v>0</v>
      </c>
      <c r="J39">
        <f>Core38.5</f>
        <v>0</v>
      </c>
      <c r="K39">
        <f>RAPriority38</f>
        <v>0</v>
      </c>
      <c r="L39">
        <f>EMAP38.1</f>
        <v>0</v>
      </c>
      <c r="M39">
        <f>EMAP38.2</f>
        <v>0</v>
      </c>
      <c r="N39">
        <f>EMAP38.3</f>
        <v>0</v>
      </c>
      <c r="O39">
        <f>POETE38.1</f>
        <v>0</v>
      </c>
      <c r="P39">
        <f>POETE38.2</f>
        <v>0</v>
      </c>
      <c r="Q39">
        <f>POETE38.3</f>
        <v>0</v>
      </c>
      <c r="R39">
        <f>GapRef38</f>
        <v>0</v>
      </c>
      <c r="S39" s="127">
        <v>38</v>
      </c>
      <c r="T39">
        <f>Name38</f>
        <v>0</v>
      </c>
      <c r="U39" s="1" cm="1">
        <f t="array" ref="U39">SUM(COUNTIF(POETE38.1:POETE38.3, {"Planning","Training","Exercises"}))</f>
        <v>0</v>
      </c>
      <c r="V39" s="1">
        <f t="shared" si="0"/>
        <v>0</v>
      </c>
      <c r="W39" s="1">
        <f t="shared" si="1"/>
        <v>0</v>
      </c>
      <c r="X39" s="1">
        <f t="shared" si="2"/>
        <v>0</v>
      </c>
    </row>
    <row r="40" spans="1:24" x14ac:dyDescent="0.45">
      <c r="A40">
        <f>Name39</f>
        <v>0</v>
      </c>
      <c r="B40" s="127">
        <v>39</v>
      </c>
      <c r="C40">
        <f>Mission39.1</f>
        <v>0</v>
      </c>
      <c r="D40">
        <f>Mission39.2</f>
        <v>0</v>
      </c>
      <c r="E40">
        <f>Mission39.3</f>
        <v>0</v>
      </c>
      <c r="F40">
        <f>Core39.1</f>
        <v>0</v>
      </c>
      <c r="G40">
        <f>Core39.2</f>
        <v>0</v>
      </c>
      <c r="H40">
        <f>Core39.3</f>
        <v>0</v>
      </c>
      <c r="I40">
        <f>Core39.4</f>
        <v>0</v>
      </c>
      <c r="J40">
        <f>Core39.5</f>
        <v>0</v>
      </c>
      <c r="K40">
        <f>RAPriority39</f>
        <v>0</v>
      </c>
      <c r="L40">
        <f>EMAP39.1</f>
        <v>0</v>
      </c>
      <c r="M40">
        <f>EMAP39.2</f>
        <v>0</v>
      </c>
      <c r="N40">
        <f>EMAP39.3</f>
        <v>0</v>
      </c>
      <c r="O40">
        <f>POETE39.1</f>
        <v>0</v>
      </c>
      <c r="P40">
        <f>POETE39.2</f>
        <v>0</v>
      </c>
      <c r="Q40">
        <f>POETE39.3</f>
        <v>0</v>
      </c>
      <c r="R40">
        <f>GapRef39</f>
        <v>0</v>
      </c>
      <c r="S40" s="127">
        <v>39</v>
      </c>
      <c r="T40">
        <f>Name39</f>
        <v>0</v>
      </c>
      <c r="U40" s="1" cm="1">
        <f t="array" ref="U40">SUM(COUNTIF(POETE39.1:POETE39.3, {"Planning","Training","Exercises"}))</f>
        <v>0</v>
      </c>
      <c r="V40" s="1">
        <f t="shared" si="0"/>
        <v>0</v>
      </c>
      <c r="W40" s="1">
        <f t="shared" si="1"/>
        <v>0</v>
      </c>
      <c r="X40" s="1">
        <f t="shared" si="2"/>
        <v>0</v>
      </c>
    </row>
    <row r="41" spans="1:24" x14ac:dyDescent="0.45">
      <c r="A41">
        <f>Name40</f>
        <v>0</v>
      </c>
      <c r="B41" s="127">
        <v>40</v>
      </c>
      <c r="C41">
        <f>Mission40.1</f>
        <v>0</v>
      </c>
      <c r="D41">
        <f>Mission40.2</f>
        <v>0</v>
      </c>
      <c r="E41">
        <f>Mission40.3</f>
        <v>0</v>
      </c>
      <c r="F41">
        <f>Core40.1</f>
        <v>0</v>
      </c>
      <c r="G41">
        <f>Core40.2</f>
        <v>0</v>
      </c>
      <c r="H41">
        <f>Core40.3</f>
        <v>0</v>
      </c>
      <c r="I41">
        <f>Core40.4</f>
        <v>0</v>
      </c>
      <c r="J41">
        <f>Core40.5</f>
        <v>0</v>
      </c>
      <c r="K41">
        <f>RAPriority40</f>
        <v>0</v>
      </c>
      <c r="L41">
        <f>EMAP40.1</f>
        <v>0</v>
      </c>
      <c r="M41">
        <f>EMAP40.2</f>
        <v>0</v>
      </c>
      <c r="N41">
        <f>EMAP40.3</f>
        <v>0</v>
      </c>
      <c r="O41">
        <f>POETE40.1</f>
        <v>0</v>
      </c>
      <c r="P41">
        <f>POETE40.2</f>
        <v>0</v>
      </c>
      <c r="Q41">
        <f>POETE40.3</f>
        <v>0</v>
      </c>
      <c r="R41">
        <f>GapRef40</f>
        <v>0</v>
      </c>
      <c r="S41" s="127">
        <v>40</v>
      </c>
      <c r="T41">
        <f>Name40</f>
        <v>0</v>
      </c>
      <c r="U41" s="1" cm="1">
        <f t="array" ref="U41">SUM(COUNTIF(POETE40.1:POETE40.3, {"Planning","Training","Exercises"}))</f>
        <v>0</v>
      </c>
      <c r="V41" s="1">
        <f t="shared" si="0"/>
        <v>0</v>
      </c>
      <c r="W41" s="1">
        <f t="shared" si="1"/>
        <v>0</v>
      </c>
      <c r="X41" s="1">
        <f t="shared" si="2"/>
        <v>0</v>
      </c>
    </row>
    <row r="42" spans="1:24" x14ac:dyDescent="0.45">
      <c r="U42">
        <f>SUM(U2:U41)</f>
        <v>0</v>
      </c>
      <c r="X42">
        <f>SUM(X2:X41)</f>
        <v>0</v>
      </c>
    </row>
  </sheetData>
  <sheetProtection algorithmName="SHA-512" hashValue="+AHRg0yyJ2g0euB6Yk51PXX1/6NXfDMZOdHPPDov0uXpi6M+OKFh0EoOzV5Dv0yJAiCxr4IUNSn69D7LM/TAXQ==" saltValue="WzUM47r76VNqtg+gDCIcG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64644-347E-46D3-8007-7A29296AD87D}">
  <sheetPr>
    <tabColor rgb="FFFF0000"/>
  </sheetPr>
  <dimension ref="A1:M81"/>
  <sheetViews>
    <sheetView topLeftCell="F1" workbookViewId="0">
      <selection activeCell="I6" sqref="I6"/>
    </sheetView>
  </sheetViews>
  <sheetFormatPr defaultRowHeight="14.25" x14ac:dyDescent="0.45"/>
  <cols>
    <col min="1" max="1" width="30.86328125" hidden="1" customWidth="1"/>
    <col min="2" max="2" width="27.6640625" hidden="1" customWidth="1"/>
    <col min="3" max="3" width="17.46484375" hidden="1" customWidth="1"/>
    <col min="4" max="4" width="18.46484375" hidden="1" customWidth="1"/>
    <col min="5" max="5" width="27.1328125" hidden="1" customWidth="1"/>
    <col min="6" max="6" width="15.53125" bestFit="1" customWidth="1"/>
    <col min="7" max="7" width="25.86328125" customWidth="1"/>
    <col min="8" max="8" width="26.33203125" customWidth="1"/>
    <col min="9" max="9" width="27.86328125" customWidth="1"/>
    <col min="10" max="10" width="19.46484375" bestFit="1" customWidth="1"/>
    <col min="11" max="11" width="12.19921875" bestFit="1" customWidth="1"/>
    <col min="12" max="12" width="27.796875" customWidth="1"/>
  </cols>
  <sheetData>
    <row r="1" spans="1:13" x14ac:dyDescent="0.45">
      <c r="A1" s="475" t="s">
        <v>31</v>
      </c>
      <c r="B1" s="475"/>
      <c r="C1" s="475"/>
      <c r="D1" s="475"/>
      <c r="E1" s="475"/>
      <c r="F1" t="s">
        <v>104</v>
      </c>
      <c r="G1" t="s">
        <v>102</v>
      </c>
      <c r="H1" t="s">
        <v>101</v>
      </c>
      <c r="I1" t="s">
        <v>273</v>
      </c>
      <c r="J1" t="s">
        <v>132</v>
      </c>
      <c r="K1" t="s">
        <v>186</v>
      </c>
      <c r="L1" t="s">
        <v>248</v>
      </c>
      <c r="M1" t="s">
        <v>285</v>
      </c>
    </row>
    <row r="2" spans="1:13" x14ac:dyDescent="0.45">
      <c r="A2" t="s">
        <v>37</v>
      </c>
      <c r="B2" t="s">
        <v>30</v>
      </c>
      <c r="C2" t="s">
        <v>38</v>
      </c>
      <c r="D2" t="s">
        <v>39</v>
      </c>
      <c r="E2" t="s">
        <v>40</v>
      </c>
      <c r="F2" t="s">
        <v>41</v>
      </c>
      <c r="G2" t="s">
        <v>99</v>
      </c>
      <c r="H2" t="s">
        <v>83</v>
      </c>
      <c r="I2" t="s">
        <v>263</v>
      </c>
      <c r="J2" t="s">
        <v>5</v>
      </c>
      <c r="K2" t="s">
        <v>37</v>
      </c>
      <c r="L2" s="146" t="s">
        <v>83</v>
      </c>
      <c r="M2" t="s">
        <v>282</v>
      </c>
    </row>
    <row r="3" spans="1:13" x14ac:dyDescent="0.45">
      <c r="A3" s="27" t="s">
        <v>41</v>
      </c>
      <c r="B3" s="27" t="s">
        <v>41</v>
      </c>
      <c r="C3" s="27" t="s">
        <v>41</v>
      </c>
      <c r="D3" s="27" t="s">
        <v>41</v>
      </c>
      <c r="E3" s="27" t="s">
        <v>41</v>
      </c>
      <c r="F3" s="27" t="s">
        <v>105</v>
      </c>
      <c r="G3" t="s">
        <v>94</v>
      </c>
      <c r="H3" t="s">
        <v>99</v>
      </c>
      <c r="I3" t="s">
        <v>264</v>
      </c>
      <c r="J3" t="s">
        <v>12</v>
      </c>
      <c r="K3" t="s">
        <v>30</v>
      </c>
      <c r="L3" s="146" t="s">
        <v>99</v>
      </c>
      <c r="M3" t="s">
        <v>283</v>
      </c>
    </row>
    <row r="4" spans="1:13" x14ac:dyDescent="0.45">
      <c r="A4" s="27" t="s">
        <v>42</v>
      </c>
      <c r="B4" s="27" t="s">
        <v>42</v>
      </c>
      <c r="C4" s="27" t="s">
        <v>42</v>
      </c>
      <c r="D4" s="27" t="s">
        <v>42</v>
      </c>
      <c r="E4" s="27" t="s">
        <v>42</v>
      </c>
      <c r="F4" s="27" t="s">
        <v>14</v>
      </c>
      <c r="G4" t="s">
        <v>97</v>
      </c>
      <c r="H4" t="s">
        <v>251</v>
      </c>
      <c r="I4" t="s">
        <v>265</v>
      </c>
      <c r="J4" t="s">
        <v>13</v>
      </c>
      <c r="K4" t="s">
        <v>38</v>
      </c>
      <c r="L4" s="146" t="s">
        <v>207</v>
      </c>
      <c r="M4" t="s">
        <v>284</v>
      </c>
    </row>
    <row r="5" spans="1:13" x14ac:dyDescent="0.45">
      <c r="A5" s="27" t="s">
        <v>33</v>
      </c>
      <c r="B5" s="27" t="s">
        <v>33</v>
      </c>
      <c r="C5" s="27" t="s">
        <v>33</v>
      </c>
      <c r="D5" s="27" t="s">
        <v>33</v>
      </c>
      <c r="E5" s="27" t="s">
        <v>33</v>
      </c>
      <c r="F5" s="27" t="s">
        <v>7</v>
      </c>
      <c r="G5" t="s">
        <v>36</v>
      </c>
      <c r="H5" t="s">
        <v>45</v>
      </c>
      <c r="I5" t="s">
        <v>37</v>
      </c>
      <c r="J5" t="s">
        <v>14</v>
      </c>
      <c r="K5" t="s">
        <v>39</v>
      </c>
      <c r="L5" s="146" t="s">
        <v>251</v>
      </c>
    </row>
    <row r="6" spans="1:13" x14ac:dyDescent="0.45">
      <c r="A6" s="27" t="s">
        <v>43</v>
      </c>
      <c r="B6" s="27" t="s">
        <v>44</v>
      </c>
      <c r="C6" s="27" t="s">
        <v>45</v>
      </c>
      <c r="D6" s="27" t="s">
        <v>46</v>
      </c>
      <c r="E6" s="27" t="s">
        <v>57</v>
      </c>
      <c r="F6" s="27" t="s">
        <v>6</v>
      </c>
      <c r="G6" t="s">
        <v>93</v>
      </c>
      <c r="H6" t="s">
        <v>97</v>
      </c>
      <c r="I6" t="s">
        <v>266</v>
      </c>
      <c r="J6" t="s">
        <v>15</v>
      </c>
      <c r="K6" t="s">
        <v>40</v>
      </c>
      <c r="L6" s="146" t="s">
        <v>208</v>
      </c>
    </row>
    <row r="7" spans="1:13" x14ac:dyDescent="0.45">
      <c r="A7" s="27" t="s">
        <v>44</v>
      </c>
      <c r="B7" s="27" t="s">
        <v>47</v>
      </c>
      <c r="C7" s="27" t="s">
        <v>87</v>
      </c>
      <c r="D7" s="27" t="s">
        <v>86</v>
      </c>
      <c r="E7" s="27" t="s">
        <v>48</v>
      </c>
      <c r="G7" t="s">
        <v>92</v>
      </c>
      <c r="H7" t="s">
        <v>46</v>
      </c>
      <c r="I7" t="s">
        <v>267</v>
      </c>
      <c r="J7" t="s">
        <v>133</v>
      </c>
      <c r="L7" s="146" t="s">
        <v>209</v>
      </c>
    </row>
    <row r="8" spans="1:13" x14ac:dyDescent="0.45">
      <c r="A8" s="27" t="s">
        <v>47</v>
      </c>
      <c r="B8" s="27" t="s">
        <v>49</v>
      </c>
      <c r="C8" s="27" t="s">
        <v>50</v>
      </c>
      <c r="D8" s="27" t="s">
        <v>51</v>
      </c>
      <c r="E8" s="27" t="s">
        <v>52</v>
      </c>
      <c r="G8" t="s">
        <v>100</v>
      </c>
      <c r="H8" t="s">
        <v>36</v>
      </c>
      <c r="I8" t="s">
        <v>268</v>
      </c>
      <c r="J8" t="s">
        <v>17</v>
      </c>
      <c r="L8" s="146" t="s">
        <v>210</v>
      </c>
    </row>
    <row r="9" spans="1:13" x14ac:dyDescent="0.45">
      <c r="A9" s="27" t="s">
        <v>49</v>
      </c>
      <c r="B9" s="27" t="s">
        <v>83</v>
      </c>
      <c r="C9" s="27" t="s">
        <v>56</v>
      </c>
      <c r="D9" s="27" t="s">
        <v>54</v>
      </c>
      <c r="E9" s="27" t="s">
        <v>55</v>
      </c>
      <c r="G9" t="s">
        <v>91</v>
      </c>
      <c r="H9" t="s">
        <v>221</v>
      </c>
      <c r="I9" t="s">
        <v>269</v>
      </c>
      <c r="J9" t="s">
        <v>19</v>
      </c>
      <c r="L9" s="146" t="s">
        <v>211</v>
      </c>
    </row>
    <row r="10" spans="1:13" x14ac:dyDescent="0.45">
      <c r="A10" s="27"/>
      <c r="B10" s="27" t="s">
        <v>36</v>
      </c>
      <c r="C10" s="27"/>
      <c r="D10" s="27" t="s">
        <v>57</v>
      </c>
      <c r="E10" s="27" t="s">
        <v>58</v>
      </c>
      <c r="G10" t="s">
        <v>96</v>
      </c>
      <c r="H10" t="s">
        <v>48</v>
      </c>
      <c r="I10" t="s">
        <v>270</v>
      </c>
      <c r="J10" t="s">
        <v>18</v>
      </c>
      <c r="L10" s="146" t="s">
        <v>212</v>
      </c>
    </row>
    <row r="11" spans="1:13" x14ac:dyDescent="0.45">
      <c r="A11" s="27"/>
      <c r="B11" s="27" t="s">
        <v>60</v>
      </c>
      <c r="C11" s="27"/>
      <c r="D11" s="27" t="s">
        <v>66</v>
      </c>
      <c r="E11" s="27"/>
      <c r="G11" t="s">
        <v>98</v>
      </c>
      <c r="H11" t="s">
        <v>86</v>
      </c>
      <c r="I11" t="s">
        <v>7</v>
      </c>
      <c r="J11" t="s">
        <v>134</v>
      </c>
      <c r="L11" s="146" t="s">
        <v>45</v>
      </c>
    </row>
    <row r="12" spans="1:13" x14ac:dyDescent="0.45">
      <c r="A12" s="27"/>
      <c r="B12" s="27" t="s">
        <v>62</v>
      </c>
      <c r="C12" s="27"/>
      <c r="D12" s="27" t="s">
        <v>53</v>
      </c>
      <c r="E12" s="27"/>
      <c r="G12" t="s">
        <v>95</v>
      </c>
      <c r="H12" t="s">
        <v>250</v>
      </c>
      <c r="I12" t="s">
        <v>271</v>
      </c>
      <c r="L12" s="146" t="s">
        <v>213</v>
      </c>
    </row>
    <row r="13" spans="1:13" x14ac:dyDescent="0.45">
      <c r="A13" s="27"/>
      <c r="B13" s="27"/>
      <c r="C13" s="27"/>
      <c r="D13" s="27" t="s">
        <v>59</v>
      </c>
      <c r="E13" s="27"/>
      <c r="H13" t="s">
        <v>51</v>
      </c>
      <c r="I13" t="s">
        <v>272</v>
      </c>
      <c r="L13" s="146" t="s">
        <v>214</v>
      </c>
    </row>
    <row r="14" spans="1:13" x14ac:dyDescent="0.45">
      <c r="A14" s="27"/>
      <c r="B14" s="27"/>
      <c r="C14" s="27"/>
      <c r="D14" s="27" t="s">
        <v>61</v>
      </c>
      <c r="E14" s="27"/>
      <c r="H14" t="s">
        <v>54</v>
      </c>
      <c r="L14" s="146" t="s">
        <v>215</v>
      </c>
    </row>
    <row r="15" spans="1:13" x14ac:dyDescent="0.45">
      <c r="A15" s="27"/>
      <c r="B15" s="27"/>
      <c r="C15" s="27"/>
      <c r="D15" s="27" t="s">
        <v>63</v>
      </c>
      <c r="E15" s="27"/>
      <c r="H15" t="s">
        <v>43</v>
      </c>
      <c r="L15" s="146" t="s">
        <v>216</v>
      </c>
    </row>
    <row r="16" spans="1:13" x14ac:dyDescent="0.45">
      <c r="A16" s="27"/>
      <c r="B16" s="27"/>
      <c r="C16" s="27"/>
      <c r="D16" s="27" t="s">
        <v>88</v>
      </c>
      <c r="E16" s="27"/>
      <c r="H16" t="s">
        <v>52</v>
      </c>
      <c r="L16" s="146" t="s">
        <v>217</v>
      </c>
    </row>
    <row r="17" spans="1:12" x14ac:dyDescent="0.45">
      <c r="A17" s="28"/>
      <c r="B17" s="27"/>
      <c r="C17" s="27"/>
      <c r="D17" s="27" t="s">
        <v>65</v>
      </c>
      <c r="E17" s="27"/>
      <c r="H17" t="s">
        <v>55</v>
      </c>
      <c r="L17" s="146" t="s">
        <v>218</v>
      </c>
    </row>
    <row r="18" spans="1:12" x14ac:dyDescent="0.45">
      <c r="H18" t="s">
        <v>57</v>
      </c>
      <c r="L18" s="146" t="s">
        <v>46</v>
      </c>
    </row>
    <row r="19" spans="1:12" x14ac:dyDescent="0.45">
      <c r="H19" t="s">
        <v>44</v>
      </c>
      <c r="L19" s="146" t="s">
        <v>280</v>
      </c>
    </row>
    <row r="20" spans="1:12" x14ac:dyDescent="0.45">
      <c r="H20" t="s">
        <v>47</v>
      </c>
      <c r="L20" s="146" t="s">
        <v>36</v>
      </c>
    </row>
    <row r="21" spans="1:12" x14ac:dyDescent="0.45">
      <c r="H21" t="s">
        <v>100</v>
      </c>
      <c r="L21" s="146" t="s">
        <v>219</v>
      </c>
    </row>
    <row r="22" spans="1:12" x14ac:dyDescent="0.45">
      <c r="H22" t="s">
        <v>249</v>
      </c>
      <c r="L22" s="146" t="s">
        <v>220</v>
      </c>
    </row>
    <row r="23" spans="1:12" x14ac:dyDescent="0.45">
      <c r="H23" t="s">
        <v>53</v>
      </c>
      <c r="L23" s="146" t="s">
        <v>221</v>
      </c>
    </row>
    <row r="24" spans="1:12" x14ac:dyDescent="0.45">
      <c r="H24" t="s">
        <v>96</v>
      </c>
      <c r="L24" s="146" t="s">
        <v>48</v>
      </c>
    </row>
    <row r="25" spans="1:12" x14ac:dyDescent="0.45">
      <c r="H25" t="s">
        <v>85</v>
      </c>
      <c r="L25" s="146" t="s">
        <v>86</v>
      </c>
    </row>
    <row r="26" spans="1:12" x14ac:dyDescent="0.45">
      <c r="H26" t="s">
        <v>59</v>
      </c>
      <c r="L26" s="146" t="s">
        <v>222</v>
      </c>
    </row>
    <row r="27" spans="1:12" x14ac:dyDescent="0.45">
      <c r="H27" t="s">
        <v>61</v>
      </c>
      <c r="L27" s="146" t="s">
        <v>223</v>
      </c>
    </row>
    <row r="28" spans="1:12" x14ac:dyDescent="0.45">
      <c r="H28" t="s">
        <v>58</v>
      </c>
      <c r="L28" s="146" t="s">
        <v>250</v>
      </c>
    </row>
    <row r="29" spans="1:12" x14ac:dyDescent="0.45">
      <c r="H29" t="s">
        <v>63</v>
      </c>
      <c r="L29" s="146" t="s">
        <v>224</v>
      </c>
    </row>
    <row r="30" spans="1:12" x14ac:dyDescent="0.45">
      <c r="H30" t="s">
        <v>64</v>
      </c>
      <c r="L30" s="146" t="s">
        <v>51</v>
      </c>
    </row>
    <row r="31" spans="1:12" x14ac:dyDescent="0.45">
      <c r="H31" t="s">
        <v>33</v>
      </c>
      <c r="L31" s="146" t="s">
        <v>54</v>
      </c>
    </row>
    <row r="32" spans="1:12" x14ac:dyDescent="0.45">
      <c r="H32" t="s">
        <v>84</v>
      </c>
      <c r="L32" s="146" t="s">
        <v>43</v>
      </c>
    </row>
    <row r="33" spans="8:12" x14ac:dyDescent="0.45">
      <c r="H33" t="s">
        <v>41</v>
      </c>
      <c r="L33" s="146" t="s">
        <v>225</v>
      </c>
    </row>
    <row r="34" spans="8:12" x14ac:dyDescent="0.45">
      <c r="H34" t="s">
        <v>65</v>
      </c>
      <c r="L34" s="146" t="s">
        <v>52</v>
      </c>
    </row>
    <row r="35" spans="8:12" x14ac:dyDescent="0.45">
      <c r="H35" t="s">
        <v>42</v>
      </c>
      <c r="L35" s="146" t="s">
        <v>55</v>
      </c>
    </row>
    <row r="36" spans="8:12" x14ac:dyDescent="0.45">
      <c r="H36" t="s">
        <v>235</v>
      </c>
      <c r="L36" s="146" t="s">
        <v>226</v>
      </c>
    </row>
    <row r="37" spans="8:12" x14ac:dyDescent="0.45">
      <c r="H37" t="s">
        <v>252</v>
      </c>
      <c r="L37" s="146" t="s">
        <v>57</v>
      </c>
    </row>
    <row r="38" spans="8:12" x14ac:dyDescent="0.45">
      <c r="H38" t="s">
        <v>50</v>
      </c>
      <c r="L38" s="146" t="s">
        <v>44</v>
      </c>
    </row>
    <row r="39" spans="8:12" x14ac:dyDescent="0.45">
      <c r="H39" t="s">
        <v>62</v>
      </c>
      <c r="L39" s="146" t="s">
        <v>227</v>
      </c>
    </row>
    <row r="40" spans="8:12" x14ac:dyDescent="0.45">
      <c r="H40" t="s">
        <v>49</v>
      </c>
      <c r="L40" s="146" t="s">
        <v>47</v>
      </c>
    </row>
    <row r="41" spans="8:12" x14ac:dyDescent="0.45">
      <c r="H41" t="s">
        <v>66</v>
      </c>
      <c r="L41" s="146" t="s">
        <v>228</v>
      </c>
    </row>
    <row r="42" spans="8:12" x14ac:dyDescent="0.45">
      <c r="H42" t="s">
        <v>60</v>
      </c>
      <c r="L42" s="146" t="s">
        <v>229</v>
      </c>
    </row>
    <row r="43" spans="8:12" x14ac:dyDescent="0.45">
      <c r="H43" t="s">
        <v>56</v>
      </c>
      <c r="L43" s="146" t="s">
        <v>230</v>
      </c>
    </row>
    <row r="44" spans="8:12" x14ac:dyDescent="0.45">
      <c r="L44" s="146" t="s">
        <v>249</v>
      </c>
    </row>
    <row r="45" spans="8:12" x14ac:dyDescent="0.45">
      <c r="L45" s="146" t="s">
        <v>53</v>
      </c>
    </row>
    <row r="46" spans="8:12" x14ac:dyDescent="0.45">
      <c r="L46" s="146" t="s">
        <v>96</v>
      </c>
    </row>
    <row r="47" spans="8:12" x14ac:dyDescent="0.45">
      <c r="L47" s="146" t="s">
        <v>85</v>
      </c>
    </row>
    <row r="48" spans="8:12" x14ac:dyDescent="0.45">
      <c r="L48" s="146" t="s">
        <v>59</v>
      </c>
    </row>
    <row r="49" spans="12:12" x14ac:dyDescent="0.45">
      <c r="L49" s="146" t="s">
        <v>61</v>
      </c>
    </row>
    <row r="50" spans="12:12" x14ac:dyDescent="0.45">
      <c r="L50" s="146" t="s">
        <v>231</v>
      </c>
    </row>
    <row r="51" spans="12:12" x14ac:dyDescent="0.45">
      <c r="L51" s="146" t="s">
        <v>237</v>
      </c>
    </row>
    <row r="52" spans="12:12" x14ac:dyDescent="0.45">
      <c r="L52" s="146" t="s">
        <v>58</v>
      </c>
    </row>
    <row r="53" spans="12:12" x14ac:dyDescent="0.45">
      <c r="L53" s="146" t="s">
        <v>281</v>
      </c>
    </row>
    <row r="54" spans="12:12" x14ac:dyDescent="0.45">
      <c r="L54" s="146" t="s">
        <v>64</v>
      </c>
    </row>
    <row r="55" spans="12:12" x14ac:dyDescent="0.45">
      <c r="L55" s="146" t="s">
        <v>33</v>
      </c>
    </row>
    <row r="56" spans="12:12" x14ac:dyDescent="0.45">
      <c r="L56" s="146" t="s">
        <v>84</v>
      </c>
    </row>
    <row r="57" spans="12:12" x14ac:dyDescent="0.45">
      <c r="L57" s="146" t="s">
        <v>41</v>
      </c>
    </row>
    <row r="58" spans="12:12" x14ac:dyDescent="0.45">
      <c r="L58" s="146" t="s">
        <v>232</v>
      </c>
    </row>
    <row r="59" spans="12:12" x14ac:dyDescent="0.45">
      <c r="L59" s="146" t="s">
        <v>65</v>
      </c>
    </row>
    <row r="60" spans="12:12" x14ac:dyDescent="0.45">
      <c r="L60" s="146" t="s">
        <v>42</v>
      </c>
    </row>
    <row r="61" spans="12:12" x14ac:dyDescent="0.45">
      <c r="L61" s="146" t="s">
        <v>233</v>
      </c>
    </row>
    <row r="62" spans="12:12" x14ac:dyDescent="0.45">
      <c r="L62" s="146" t="s">
        <v>234</v>
      </c>
    </row>
    <row r="63" spans="12:12" x14ac:dyDescent="0.45">
      <c r="L63" s="146" t="s">
        <v>235</v>
      </c>
    </row>
    <row r="64" spans="12:12" x14ac:dyDescent="0.45">
      <c r="L64" s="146" t="s">
        <v>236</v>
      </c>
    </row>
    <row r="65" spans="12:12" x14ac:dyDescent="0.45">
      <c r="L65" s="146" t="s">
        <v>252</v>
      </c>
    </row>
    <row r="66" spans="12:12" x14ac:dyDescent="0.45">
      <c r="L66" s="146" t="s">
        <v>50</v>
      </c>
    </row>
    <row r="67" spans="12:12" x14ac:dyDescent="0.45">
      <c r="L67" s="146" t="s">
        <v>62</v>
      </c>
    </row>
    <row r="68" spans="12:12" x14ac:dyDescent="0.45">
      <c r="L68" s="146" t="s">
        <v>238</v>
      </c>
    </row>
    <row r="69" spans="12:12" x14ac:dyDescent="0.45">
      <c r="L69" s="146" t="s">
        <v>239</v>
      </c>
    </row>
    <row r="70" spans="12:12" x14ac:dyDescent="0.45">
      <c r="L70" s="146" t="s">
        <v>49</v>
      </c>
    </row>
    <row r="71" spans="12:12" x14ac:dyDescent="0.45">
      <c r="L71" s="146" t="s">
        <v>240</v>
      </c>
    </row>
    <row r="72" spans="12:12" x14ac:dyDescent="0.45">
      <c r="L72" s="146" t="s">
        <v>241</v>
      </c>
    </row>
    <row r="73" spans="12:12" x14ac:dyDescent="0.45">
      <c r="L73" s="146" t="s">
        <v>66</v>
      </c>
    </row>
    <row r="74" spans="12:12" x14ac:dyDescent="0.45">
      <c r="L74" s="146" t="s">
        <v>242</v>
      </c>
    </row>
    <row r="75" spans="12:12" x14ac:dyDescent="0.45">
      <c r="L75" s="146" t="s">
        <v>60</v>
      </c>
    </row>
    <row r="76" spans="12:12" x14ac:dyDescent="0.45">
      <c r="L76" s="146" t="s">
        <v>243</v>
      </c>
    </row>
    <row r="77" spans="12:12" x14ac:dyDescent="0.45">
      <c r="L77" s="146" t="s">
        <v>244</v>
      </c>
    </row>
    <row r="78" spans="12:12" x14ac:dyDescent="0.45">
      <c r="L78" s="146" t="s">
        <v>245</v>
      </c>
    </row>
    <row r="79" spans="12:12" x14ac:dyDescent="0.45">
      <c r="L79" s="146" t="s">
        <v>56</v>
      </c>
    </row>
    <row r="80" spans="12:12" x14ac:dyDescent="0.45">
      <c r="L80" s="146" t="s">
        <v>246</v>
      </c>
    </row>
    <row r="81" spans="12:12" x14ac:dyDescent="0.45">
      <c r="L81" s="146" t="s">
        <v>247</v>
      </c>
    </row>
  </sheetData>
  <sheetProtection algorithmName="SHA-512" hashValue="7TEh/nqeEzZkVsRGUaL0zY0VxoYNo93gANkFM8KN0WZCbjfzaJUA0uF1In9V1WQPsm27MT7KH2I5h4gFhGh1gg==" saltValue="C/mhAPAcNyenHDhOc1aAKA==" spinCount="100000" sheet="1" objects="1" scenarios="1"/>
  <sortState xmlns:xlrd2="http://schemas.microsoft.com/office/spreadsheetml/2017/richdata2" ref="L2:L90">
    <sortCondition ref="L90"/>
  </sortState>
  <mergeCells count="1">
    <mergeCell ref="A1:E1"/>
  </mergeCells>
  <conditionalFormatting sqref="L82:L1048576 L1:M1">
    <cfRule type="duplicateValues" dxfId="3" priority="1"/>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52C99-7752-44C8-9539-BFE57CEA3154}">
  <dimension ref="A1:Z252"/>
  <sheetViews>
    <sheetView zoomScale="96" zoomScaleNormal="96" workbookViewId="0">
      <pane ySplit="4" topLeftCell="A11" activePane="bottomLeft" state="frozen"/>
      <selection pane="bottomLeft" activeCell="A2" sqref="A2"/>
    </sheetView>
  </sheetViews>
  <sheetFormatPr defaultColWidth="8.86328125" defaultRowHeight="14.25" x14ac:dyDescent="0.45"/>
  <cols>
    <col min="1" max="1" width="11.33203125" style="3" customWidth="1"/>
    <col min="2" max="2" width="25.46484375" style="3" customWidth="1"/>
    <col min="3" max="3" width="26.46484375" style="3" customWidth="1"/>
    <col min="4" max="6" width="13.33203125" style="3" customWidth="1"/>
    <col min="7" max="7" width="16.46484375" style="3" customWidth="1"/>
    <col min="8" max="8" width="15" style="3" customWidth="1"/>
    <col min="9" max="9" width="10.1328125" style="3" customWidth="1"/>
    <col min="10" max="10" width="2.86328125" style="3" customWidth="1"/>
    <col min="11" max="22" width="17.86328125" style="3" customWidth="1"/>
    <col min="23" max="25" width="12.46484375" style="3" customWidth="1"/>
    <col min="26" max="26" width="8.86328125" style="22"/>
    <col min="27" max="16384" width="8.86328125" style="3"/>
  </cols>
  <sheetData>
    <row r="1" spans="1:26" ht="35.25" customHeight="1" thickBot="1" x14ac:dyDescent="0.5">
      <c r="A1" s="478" t="s">
        <v>332</v>
      </c>
      <c r="B1" s="479"/>
      <c r="C1" s="479"/>
      <c r="D1" s="479"/>
      <c r="E1" s="479"/>
      <c r="F1" s="479"/>
      <c r="G1" s="479"/>
      <c r="H1" s="479"/>
      <c r="I1" s="480"/>
      <c r="J1" s="55"/>
      <c r="K1" s="476" t="s">
        <v>154</v>
      </c>
      <c r="L1" s="477"/>
      <c r="M1" s="477"/>
      <c r="N1" s="477"/>
      <c r="O1" s="477"/>
      <c r="P1" s="477"/>
      <c r="Q1" s="477"/>
      <c r="R1" s="477"/>
      <c r="S1" s="477"/>
      <c r="T1" s="477"/>
      <c r="U1" s="477"/>
      <c r="V1" s="477"/>
      <c r="W1" s="477"/>
      <c r="X1" s="477"/>
      <c r="Y1" s="477"/>
    </row>
    <row r="2" spans="1:26" ht="9.6" customHeight="1" thickBot="1" x14ac:dyDescent="0.5">
      <c r="A2" s="213"/>
      <c r="I2" s="214"/>
      <c r="J2" s="55"/>
      <c r="K2" s="74"/>
    </row>
    <row r="3" spans="1:26" s="1" customFormat="1" x14ac:dyDescent="0.45">
      <c r="A3" s="325" t="s">
        <v>71</v>
      </c>
      <c r="B3" s="325"/>
      <c r="C3" s="325"/>
      <c r="D3" s="325"/>
      <c r="E3" s="325"/>
      <c r="F3" s="325"/>
      <c r="G3" s="325"/>
      <c r="H3" s="325"/>
      <c r="I3" s="326"/>
      <c r="J3" s="55"/>
      <c r="K3" s="468" t="s">
        <v>151</v>
      </c>
      <c r="L3" s="469"/>
      <c r="M3" s="469"/>
      <c r="N3" s="469"/>
      <c r="O3" s="469"/>
      <c r="P3" s="469"/>
      <c r="Q3" s="469"/>
      <c r="R3" s="469"/>
      <c r="S3" s="469"/>
      <c r="T3" s="469"/>
      <c r="U3" s="469"/>
      <c r="V3" s="469"/>
      <c r="W3" s="469"/>
      <c r="X3" s="469"/>
      <c r="Y3" s="470"/>
      <c r="Z3" s="22"/>
    </row>
    <row r="4" spans="1:26" s="22" customFormat="1" ht="73.5" customHeight="1" thickBot="1" x14ac:dyDescent="0.5">
      <c r="A4" s="212" t="s">
        <v>152</v>
      </c>
      <c r="B4" s="51" t="s">
        <v>89</v>
      </c>
      <c r="C4" s="51" t="s">
        <v>72</v>
      </c>
      <c r="D4" s="20" t="s">
        <v>315</v>
      </c>
      <c r="E4" s="20" t="s">
        <v>73</v>
      </c>
      <c r="F4" s="20" t="s">
        <v>316</v>
      </c>
      <c r="G4" s="20" t="s">
        <v>317</v>
      </c>
      <c r="H4" s="67" t="s">
        <v>144</v>
      </c>
      <c r="I4" s="21" t="s">
        <v>140</v>
      </c>
      <c r="J4" s="75"/>
      <c r="K4" s="57" t="s">
        <v>187</v>
      </c>
      <c r="L4" s="56" t="s">
        <v>188</v>
      </c>
      <c r="M4" s="56" t="s">
        <v>189</v>
      </c>
      <c r="N4" s="56" t="s">
        <v>190</v>
      </c>
      <c r="O4" s="56" t="s">
        <v>191</v>
      </c>
      <c r="P4" s="56" t="s">
        <v>192</v>
      </c>
      <c r="Q4" s="56" t="s">
        <v>193</v>
      </c>
      <c r="R4" s="56" t="s">
        <v>194</v>
      </c>
      <c r="S4" s="56" t="s">
        <v>77</v>
      </c>
      <c r="T4" s="56" t="s">
        <v>79</v>
      </c>
      <c r="U4" s="56" t="s">
        <v>80</v>
      </c>
      <c r="V4" s="56" t="s">
        <v>81</v>
      </c>
      <c r="W4" s="121" t="s">
        <v>198</v>
      </c>
      <c r="X4" s="121" t="s">
        <v>199</v>
      </c>
      <c r="Y4" s="120" t="s">
        <v>200</v>
      </c>
    </row>
    <row r="5" spans="1:26" s="1" customFormat="1" x14ac:dyDescent="0.45">
      <c r="A5" s="70"/>
      <c r="B5" s="53" t="str">
        <f>IFERROR(VLOOKUP($A5,'Project Reference'!$S$2:$T$41,2),"Enter Project Number")</f>
        <v>Enter Project Number</v>
      </c>
      <c r="C5" s="54"/>
      <c r="D5" s="8"/>
      <c r="E5" s="8"/>
      <c r="F5" s="8"/>
      <c r="G5" s="8"/>
      <c r="H5" s="47"/>
      <c r="I5" s="9"/>
      <c r="J5" s="122"/>
      <c r="K5" s="47" t="str">
        <f>IFERROR(VLOOKUP($A5,'Project Reference'!$B$2:$C$41,2), " ")</f>
        <v xml:space="preserve"> </v>
      </c>
      <c r="L5" s="8" t="str">
        <f>IFERROR(VLOOKUP($A5,'Project Reference'!$B$2:$D$41,3), " ")</f>
        <v xml:space="preserve"> </v>
      </c>
      <c r="M5" s="54" t="str">
        <f>IFERROR(VLOOKUP($A5,'Project Reference'!$B$2:$E$41,4), " ")</f>
        <v xml:space="preserve"> </v>
      </c>
      <c r="N5" s="8" t="str">
        <f>IFERROR(VLOOKUP($A5,'Project Reference'!$B$2:$F$41,5), " ")</f>
        <v xml:space="preserve"> </v>
      </c>
      <c r="O5" s="8" t="str">
        <f>IFERROR(VLOOKUP($A5,'Project Reference'!$B$2:$G$41,6), " ")</f>
        <v xml:space="preserve"> </v>
      </c>
      <c r="P5" s="8" t="str">
        <f>IFERROR(VLOOKUP($A5,'Project Reference'!$B$2:$H$41,7), " ")</f>
        <v xml:space="preserve"> </v>
      </c>
      <c r="Q5" s="8" t="str">
        <f>IFERROR(VLOOKUP($A5,'Project Reference'!$B$2:$I$41,8), " ")</f>
        <v xml:space="preserve"> </v>
      </c>
      <c r="R5" s="8" t="str">
        <f>IFERROR(VLOOKUP($A5,'Project Reference'!$B$2:$J$41,9), " ")</f>
        <v xml:space="preserve"> </v>
      </c>
      <c r="S5" s="8" t="str">
        <f>IFERROR(VLOOKUP($A5,'Project Reference'!$B$2:$K$41,10), " ")</f>
        <v xml:space="preserve"> </v>
      </c>
      <c r="T5" s="8" t="str">
        <f>IFERROR(VLOOKUP($A5,'Project Reference'!$B$2:$L$41,11), " ")</f>
        <v xml:space="preserve"> </v>
      </c>
      <c r="U5" s="8" t="str">
        <f>IFERROR(VLOOKUP($A5,'Project Reference'!$B$2:$M$41,12), " ")</f>
        <v xml:space="preserve"> </v>
      </c>
      <c r="V5" s="8" t="str">
        <f>IFERROR(VLOOKUP($A5,'Project Reference'!$B$2:$N$41,13), " ")</f>
        <v xml:space="preserve"> </v>
      </c>
      <c r="W5" s="8" t="str">
        <f>IFERROR(VLOOKUP($A5,'Project Reference'!$B$2:$O$41,14), " ")</f>
        <v xml:space="preserve"> </v>
      </c>
      <c r="X5" s="8" t="str">
        <f>IFERROR(VLOOKUP($A5,'Project Reference'!$B$2:$P$41,15), " ")</f>
        <v xml:space="preserve"> </v>
      </c>
      <c r="Y5" s="9" t="str">
        <f>IFERROR(VLOOKUP($A5,'Project Reference'!$B$2:$Q$41,16), " ")</f>
        <v xml:space="preserve"> </v>
      </c>
      <c r="Z5" s="22"/>
    </row>
    <row r="6" spans="1:26" s="1" customFormat="1" x14ac:dyDescent="0.45">
      <c r="A6" s="70"/>
      <c r="B6" s="53" t="str">
        <f>IFERROR(VLOOKUP($A6,'Project Reference'!$S$2:$T$41,2),"Enter Project Number")</f>
        <v>Enter Project Number</v>
      </c>
      <c r="C6" s="54"/>
      <c r="D6" s="8"/>
      <c r="E6" s="8"/>
      <c r="F6" s="8"/>
      <c r="G6" s="8"/>
      <c r="H6" s="47"/>
      <c r="I6" s="9"/>
      <c r="J6" s="23"/>
      <c r="K6" s="47" t="str">
        <f>IFERROR(VLOOKUP($A6,'Project Reference'!$B$2:$C$41,2), " ")</f>
        <v xml:space="preserve"> </v>
      </c>
      <c r="L6" s="8" t="str">
        <f>IFERROR(VLOOKUP($A6,'Project Reference'!$B$2:$D$41,3), " ")</f>
        <v xml:space="preserve"> </v>
      </c>
      <c r="M6" s="54" t="str">
        <f>IFERROR(VLOOKUP($A6,'Project Reference'!$B$2:$E$41,4), " ")</f>
        <v xml:space="preserve"> </v>
      </c>
      <c r="N6" s="8" t="str">
        <f>IFERROR(VLOOKUP($A6,'Project Reference'!$B$2:$F$41,5), " ")</f>
        <v xml:space="preserve"> </v>
      </c>
      <c r="O6" s="8" t="str">
        <f>IFERROR(VLOOKUP($A6,'Project Reference'!$B$2:$G$41,6), " ")</f>
        <v xml:space="preserve"> </v>
      </c>
      <c r="P6" s="8" t="str">
        <f>IFERROR(VLOOKUP($A6,'Project Reference'!$B$2:$H$41,7), " ")</f>
        <v xml:space="preserve"> </v>
      </c>
      <c r="Q6" s="8" t="str">
        <f>IFERROR(VLOOKUP($A6,'Project Reference'!$B$2:$I$41,8), " ")</f>
        <v xml:space="preserve"> </v>
      </c>
      <c r="R6" s="8" t="str">
        <f>IFERROR(VLOOKUP($A6,'Project Reference'!$B$2:$J$41,9), " ")</f>
        <v xml:space="preserve"> </v>
      </c>
      <c r="S6" s="8" t="str">
        <f>IFERROR(VLOOKUP($A6,'Project Reference'!$B$2:$K$41,10), " ")</f>
        <v xml:space="preserve"> </v>
      </c>
      <c r="T6" s="8" t="str">
        <f>IFERROR(VLOOKUP($A6,'Project Reference'!$B$2:$L$41,11), " ")</f>
        <v xml:space="preserve"> </v>
      </c>
      <c r="U6" s="8" t="str">
        <f>IFERROR(VLOOKUP($A6,'Project Reference'!$B$2:$M$41,12), " ")</f>
        <v xml:space="preserve"> </v>
      </c>
      <c r="V6" s="8" t="str">
        <f>IFERROR(VLOOKUP($A6,'Project Reference'!$B$2:$N$41,13), " ")</f>
        <v xml:space="preserve"> </v>
      </c>
      <c r="W6" s="8" t="str">
        <f>IFERROR(VLOOKUP($A6,'Project Reference'!$B$2:$O$41,14), " ")</f>
        <v xml:space="preserve"> </v>
      </c>
      <c r="X6" s="8" t="str">
        <f>IFERROR(VLOOKUP($A6,'Project Reference'!$B$2:$P$41,15), " ")</f>
        <v xml:space="preserve"> </v>
      </c>
      <c r="Y6" s="9" t="str">
        <f>IFERROR(VLOOKUP($A6,'Project Reference'!$B$2:$Q$41,16), " ")</f>
        <v xml:space="preserve"> </v>
      </c>
      <c r="Z6" s="22"/>
    </row>
    <row r="7" spans="1:26" s="1" customFormat="1" x14ac:dyDescent="0.45">
      <c r="A7" s="70"/>
      <c r="B7" s="53" t="str">
        <f>IFERROR(VLOOKUP($A7,'Project Reference'!$S$2:$T$41,2),"Enter Project Number")</f>
        <v>Enter Project Number</v>
      </c>
      <c r="C7" s="54"/>
      <c r="D7" s="8"/>
      <c r="E7" s="8"/>
      <c r="F7" s="8"/>
      <c r="G7" s="8"/>
      <c r="H7" s="47"/>
      <c r="I7" s="9"/>
      <c r="J7" s="23"/>
      <c r="K7" s="47" t="str">
        <f>IFERROR(VLOOKUP($A7,'Project Reference'!$B$2:$C$41,2), " ")</f>
        <v xml:space="preserve"> </v>
      </c>
      <c r="L7" s="8" t="str">
        <f>IFERROR(VLOOKUP($A7,'Project Reference'!$B$2:$D$41,3), " ")</f>
        <v xml:space="preserve"> </v>
      </c>
      <c r="M7" s="54" t="str">
        <f>IFERROR(VLOOKUP($A7,'Project Reference'!$B$2:$E$41,4), " ")</f>
        <v xml:space="preserve"> </v>
      </c>
      <c r="N7" s="8" t="str">
        <f>IFERROR(VLOOKUP($A7,'Project Reference'!$B$2:$F$41,5), " ")</f>
        <v xml:space="preserve"> </v>
      </c>
      <c r="O7" s="8" t="str">
        <f>IFERROR(VLOOKUP($A7,'Project Reference'!$B$2:$G$41,6), " ")</f>
        <v xml:space="preserve"> </v>
      </c>
      <c r="P7" s="8" t="str">
        <f>IFERROR(VLOOKUP($A7,'Project Reference'!$B$2:$H$41,7), " ")</f>
        <v xml:space="preserve"> </v>
      </c>
      <c r="Q7" s="8" t="str">
        <f>IFERROR(VLOOKUP($A7,'Project Reference'!$B$2:$I$41,8), " ")</f>
        <v xml:space="preserve"> </v>
      </c>
      <c r="R7" s="8" t="str">
        <f>IFERROR(VLOOKUP($A7,'Project Reference'!$B$2:$J$41,9), " ")</f>
        <v xml:space="preserve"> </v>
      </c>
      <c r="S7" s="8" t="str">
        <f>IFERROR(VLOOKUP($A7,'Project Reference'!$B$2:$K$41,10), " ")</f>
        <v xml:space="preserve"> </v>
      </c>
      <c r="T7" s="8" t="str">
        <f>IFERROR(VLOOKUP($A7,'Project Reference'!$B$2:$L$41,11), " ")</f>
        <v xml:space="preserve"> </v>
      </c>
      <c r="U7" s="8" t="str">
        <f>IFERROR(VLOOKUP($A7,'Project Reference'!$B$2:$M$41,12), " ")</f>
        <v xml:space="preserve"> </v>
      </c>
      <c r="V7" s="8" t="str">
        <f>IFERROR(VLOOKUP($A7,'Project Reference'!$B$2:$N$41,13), " ")</f>
        <v xml:space="preserve"> </v>
      </c>
      <c r="W7" s="8" t="str">
        <f>IFERROR(VLOOKUP($A7,'Project Reference'!$B$2:$O$41,14), " ")</f>
        <v xml:space="preserve"> </v>
      </c>
      <c r="X7" s="8" t="str">
        <f>IFERROR(VLOOKUP($A7,'Project Reference'!$B$2:$P$41,15), " ")</f>
        <v xml:space="preserve"> </v>
      </c>
      <c r="Y7" s="9" t="str">
        <f>IFERROR(VLOOKUP($A7,'Project Reference'!$B$2:$Q$41,16), " ")</f>
        <v xml:space="preserve"> </v>
      </c>
      <c r="Z7" s="22"/>
    </row>
    <row r="8" spans="1:26" s="1" customFormat="1" x14ac:dyDescent="0.45">
      <c r="A8" s="70"/>
      <c r="B8" s="53" t="str">
        <f>IFERROR(VLOOKUP($A8,'Project Reference'!$S$2:$T$41,2),"Enter Project Number")</f>
        <v>Enter Project Number</v>
      </c>
      <c r="C8" s="54"/>
      <c r="D8" s="8"/>
      <c r="E8" s="8"/>
      <c r="F8" s="8"/>
      <c r="G8" s="8"/>
      <c r="H8" s="47"/>
      <c r="I8" s="9"/>
      <c r="J8" s="23"/>
      <c r="K8" s="47" t="str">
        <f>IFERROR(VLOOKUP($A8,'Project Reference'!$B$2:$C$41,2), " ")</f>
        <v xml:space="preserve"> </v>
      </c>
      <c r="L8" s="8" t="str">
        <f>IFERROR(VLOOKUP($A8,'Project Reference'!$B$2:$D$41,3), " ")</f>
        <v xml:space="preserve"> </v>
      </c>
      <c r="M8" s="54" t="str">
        <f>IFERROR(VLOOKUP($A8,'Project Reference'!$B$2:$E$41,4), " ")</f>
        <v xml:space="preserve"> </v>
      </c>
      <c r="N8" s="8" t="str">
        <f>IFERROR(VLOOKUP($A8,'Project Reference'!$B$2:$F$41,5), " ")</f>
        <v xml:space="preserve"> </v>
      </c>
      <c r="O8" s="8" t="str">
        <f>IFERROR(VLOOKUP($A8,'Project Reference'!$B$2:$G$41,6), " ")</f>
        <v xml:space="preserve"> </v>
      </c>
      <c r="P8" s="8" t="str">
        <f>IFERROR(VLOOKUP($A8,'Project Reference'!$B$2:$H$41,7), " ")</f>
        <v xml:space="preserve"> </v>
      </c>
      <c r="Q8" s="8" t="str">
        <f>IFERROR(VLOOKUP($A8,'Project Reference'!$B$2:$I$41,8), " ")</f>
        <v xml:space="preserve"> </v>
      </c>
      <c r="R8" s="8" t="str">
        <f>IFERROR(VLOOKUP($A8,'Project Reference'!$B$2:$J$41,9), " ")</f>
        <v xml:space="preserve"> </v>
      </c>
      <c r="S8" s="8" t="str">
        <f>IFERROR(VLOOKUP($A8,'Project Reference'!$B$2:$K$41,10), " ")</f>
        <v xml:space="preserve"> </v>
      </c>
      <c r="T8" s="8" t="str">
        <f>IFERROR(VLOOKUP($A8,'Project Reference'!$B$2:$L$41,11), " ")</f>
        <v xml:space="preserve"> </v>
      </c>
      <c r="U8" s="8" t="str">
        <f>IFERROR(VLOOKUP($A8,'Project Reference'!$B$2:$M$41,12), " ")</f>
        <v xml:space="preserve"> </v>
      </c>
      <c r="V8" s="8" t="str">
        <f>IFERROR(VLOOKUP($A8,'Project Reference'!$B$2:$N$41,13), " ")</f>
        <v xml:space="preserve"> </v>
      </c>
      <c r="W8" s="8" t="str">
        <f>IFERROR(VLOOKUP($A8,'Project Reference'!$B$2:$O$41,14), " ")</f>
        <v xml:space="preserve"> </v>
      </c>
      <c r="X8" s="8" t="str">
        <f>IFERROR(VLOOKUP($A8,'Project Reference'!$B$2:$P$41,15), " ")</f>
        <v xml:space="preserve"> </v>
      </c>
      <c r="Y8" s="9" t="str">
        <f>IFERROR(VLOOKUP($A8,'Project Reference'!$B$2:$Q$41,16), " ")</f>
        <v xml:space="preserve"> </v>
      </c>
      <c r="Z8" s="22"/>
    </row>
    <row r="9" spans="1:26" s="1" customFormat="1" x14ac:dyDescent="0.45">
      <c r="A9" s="70"/>
      <c r="B9" s="53" t="str">
        <f>IFERROR(VLOOKUP($A9,'Project Reference'!$S$2:$T$41,2),"Enter Project Number")</f>
        <v>Enter Project Number</v>
      </c>
      <c r="C9" s="54"/>
      <c r="D9" s="8"/>
      <c r="E9" s="8"/>
      <c r="F9" s="8"/>
      <c r="G9" s="8"/>
      <c r="H9" s="47"/>
      <c r="I9" s="9"/>
      <c r="J9" s="23"/>
      <c r="K9" s="47" t="str">
        <f>IFERROR(VLOOKUP($A9,'Project Reference'!$B$2:$C$41,2), " ")</f>
        <v xml:space="preserve"> </v>
      </c>
      <c r="L9" s="8" t="str">
        <f>IFERROR(VLOOKUP($A9,'Project Reference'!$B$2:$D$41,3), " ")</f>
        <v xml:space="preserve"> </v>
      </c>
      <c r="M9" s="54" t="str">
        <f>IFERROR(VLOOKUP($A9,'Project Reference'!$B$2:$E$41,4), " ")</f>
        <v xml:space="preserve"> </v>
      </c>
      <c r="N9" s="8" t="str">
        <f>IFERROR(VLOOKUP($A9,'Project Reference'!$B$2:$F$41,5), " ")</f>
        <v xml:space="preserve"> </v>
      </c>
      <c r="O9" s="8" t="str">
        <f>IFERROR(VLOOKUP($A9,'Project Reference'!$B$2:$G$41,6), " ")</f>
        <v xml:space="preserve"> </v>
      </c>
      <c r="P9" s="8" t="str">
        <f>IFERROR(VLOOKUP($A9,'Project Reference'!$B$2:$H$41,7), " ")</f>
        <v xml:space="preserve"> </v>
      </c>
      <c r="Q9" s="8" t="str">
        <f>IFERROR(VLOOKUP($A9,'Project Reference'!$B$2:$I$41,8), " ")</f>
        <v xml:space="preserve"> </v>
      </c>
      <c r="R9" s="8" t="str">
        <f>IFERROR(VLOOKUP($A9,'Project Reference'!$B$2:$J$41,9), " ")</f>
        <v xml:space="preserve"> </v>
      </c>
      <c r="S9" s="8" t="str">
        <f>IFERROR(VLOOKUP($A9,'Project Reference'!$B$2:$K$41,10), " ")</f>
        <v xml:space="preserve"> </v>
      </c>
      <c r="T9" s="8" t="str">
        <f>IFERROR(VLOOKUP($A9,'Project Reference'!$B$2:$L$41,11), " ")</f>
        <v xml:space="preserve"> </v>
      </c>
      <c r="U9" s="8" t="str">
        <f>IFERROR(VLOOKUP($A9,'Project Reference'!$B$2:$M$41,12), " ")</f>
        <v xml:space="preserve"> </v>
      </c>
      <c r="V9" s="8" t="str">
        <f>IFERROR(VLOOKUP($A9,'Project Reference'!$B$2:$N$41,13), " ")</f>
        <v xml:space="preserve"> </v>
      </c>
      <c r="W9" s="8" t="str">
        <f>IFERROR(VLOOKUP($A9,'Project Reference'!$B$2:$O$41,14), " ")</f>
        <v xml:space="preserve"> </v>
      </c>
      <c r="X9" s="8" t="str">
        <f>IFERROR(VLOOKUP($A9,'Project Reference'!$B$2:$P$41,15), " ")</f>
        <v xml:space="preserve"> </v>
      </c>
      <c r="Y9" s="9" t="str">
        <f>IFERROR(VLOOKUP($A9,'Project Reference'!$B$2:$Q$41,16), " ")</f>
        <v xml:space="preserve"> </v>
      </c>
      <c r="Z9" s="22"/>
    </row>
    <row r="10" spans="1:26" s="1" customFormat="1" x14ac:dyDescent="0.45">
      <c r="A10" s="70"/>
      <c r="B10" s="53" t="str">
        <f>IFERROR(VLOOKUP($A10,'Project Reference'!$S$2:$T$41,2),"Enter Project Number")</f>
        <v>Enter Project Number</v>
      </c>
      <c r="C10" s="54"/>
      <c r="D10" s="8"/>
      <c r="E10" s="8"/>
      <c r="F10" s="8"/>
      <c r="G10" s="8"/>
      <c r="H10" s="47"/>
      <c r="I10" s="9"/>
      <c r="J10" s="23"/>
      <c r="K10" s="47" t="str">
        <f>IFERROR(VLOOKUP($A10,'Project Reference'!$B$2:$C$41,2), " ")</f>
        <v xml:space="preserve"> </v>
      </c>
      <c r="L10" s="8" t="str">
        <f>IFERROR(VLOOKUP($A10,'Project Reference'!$B$2:$D$41,3), " ")</f>
        <v xml:space="preserve"> </v>
      </c>
      <c r="M10" s="54" t="str">
        <f>IFERROR(VLOOKUP($A10,'Project Reference'!$B$2:$E$41,4), " ")</f>
        <v xml:space="preserve"> </v>
      </c>
      <c r="N10" s="8" t="str">
        <f>IFERROR(VLOOKUP($A10,'Project Reference'!$B$2:$F$41,5), " ")</f>
        <v xml:space="preserve"> </v>
      </c>
      <c r="O10" s="8" t="str">
        <f>IFERROR(VLOOKUP($A10,'Project Reference'!$B$2:$G$41,6), " ")</f>
        <v xml:space="preserve"> </v>
      </c>
      <c r="P10" s="8" t="str">
        <f>IFERROR(VLOOKUP($A10,'Project Reference'!$B$2:$H$41,7), " ")</f>
        <v xml:space="preserve"> </v>
      </c>
      <c r="Q10" s="8" t="str">
        <f>IFERROR(VLOOKUP($A10,'Project Reference'!$B$2:$I$41,8), " ")</f>
        <v xml:space="preserve"> </v>
      </c>
      <c r="R10" s="8" t="str">
        <f>IFERROR(VLOOKUP($A10,'Project Reference'!$B$2:$J$41,9), " ")</f>
        <v xml:space="preserve"> </v>
      </c>
      <c r="S10" s="8" t="str">
        <f>IFERROR(VLOOKUP($A10,'Project Reference'!$B$2:$K$41,10), " ")</f>
        <v xml:space="preserve"> </v>
      </c>
      <c r="T10" s="8" t="str">
        <f>IFERROR(VLOOKUP($A10,'Project Reference'!$B$2:$L$41,11), " ")</f>
        <v xml:space="preserve"> </v>
      </c>
      <c r="U10" s="8" t="str">
        <f>IFERROR(VLOOKUP($A10,'Project Reference'!$B$2:$M$41,12), " ")</f>
        <v xml:space="preserve"> </v>
      </c>
      <c r="V10" s="8" t="str">
        <f>IFERROR(VLOOKUP($A10,'Project Reference'!$B$2:$N$41,13), " ")</f>
        <v xml:space="preserve"> </v>
      </c>
      <c r="W10" s="8" t="str">
        <f>IFERROR(VLOOKUP($A10,'Project Reference'!$B$2:$O$41,14), " ")</f>
        <v xml:space="preserve"> </v>
      </c>
      <c r="X10" s="8" t="str">
        <f>IFERROR(VLOOKUP($A10,'Project Reference'!$B$2:$P$41,15), " ")</f>
        <v xml:space="preserve"> </v>
      </c>
      <c r="Y10" s="9" t="str">
        <f>IFERROR(VLOOKUP($A10,'Project Reference'!$B$2:$Q$41,16), " ")</f>
        <v xml:space="preserve"> </v>
      </c>
      <c r="Z10" s="22"/>
    </row>
    <row r="11" spans="1:26" s="1" customFormat="1" x14ac:dyDescent="0.45">
      <c r="A11" s="70"/>
      <c r="B11" s="53" t="str">
        <f>IFERROR(VLOOKUP($A11,'Project Reference'!$S$2:$T$41,2),"Enter Project Number")</f>
        <v>Enter Project Number</v>
      </c>
      <c r="C11" s="54"/>
      <c r="D11" s="8"/>
      <c r="E11" s="8"/>
      <c r="F11" s="8"/>
      <c r="G11" s="8"/>
      <c r="H11" s="47"/>
      <c r="I11" s="9"/>
      <c r="J11" s="23"/>
      <c r="K11" s="47" t="str">
        <f>IFERROR(VLOOKUP($A11,'Project Reference'!$B$2:$C$41,2), " ")</f>
        <v xml:space="preserve"> </v>
      </c>
      <c r="L11" s="8" t="str">
        <f>IFERROR(VLOOKUP($A11,'Project Reference'!$B$2:$D$41,3), " ")</f>
        <v xml:space="preserve"> </v>
      </c>
      <c r="M11" s="54" t="str">
        <f>IFERROR(VLOOKUP($A11,'Project Reference'!$B$2:$E$41,4), " ")</f>
        <v xml:space="preserve"> </v>
      </c>
      <c r="N11" s="8" t="str">
        <f>IFERROR(VLOOKUP($A11,'Project Reference'!$B$2:$F$41,5), " ")</f>
        <v xml:space="preserve"> </v>
      </c>
      <c r="O11" s="8" t="str">
        <f>IFERROR(VLOOKUP($A11,'Project Reference'!$B$2:$G$41,6), " ")</f>
        <v xml:space="preserve"> </v>
      </c>
      <c r="P11" s="8" t="str">
        <f>IFERROR(VLOOKUP($A11,'Project Reference'!$B$2:$H$41,7), " ")</f>
        <v xml:space="preserve"> </v>
      </c>
      <c r="Q11" s="8" t="str">
        <f>IFERROR(VLOOKUP($A11,'Project Reference'!$B$2:$I$41,8), " ")</f>
        <v xml:space="preserve"> </v>
      </c>
      <c r="R11" s="8" t="str">
        <f>IFERROR(VLOOKUP($A11,'Project Reference'!$B$2:$J$41,9), " ")</f>
        <v xml:space="preserve"> </v>
      </c>
      <c r="S11" s="8" t="str">
        <f>IFERROR(VLOOKUP($A11,'Project Reference'!$B$2:$K$41,10), " ")</f>
        <v xml:space="preserve"> </v>
      </c>
      <c r="T11" s="8" t="str">
        <f>IFERROR(VLOOKUP($A11,'Project Reference'!$B$2:$L$41,11), " ")</f>
        <v xml:space="preserve"> </v>
      </c>
      <c r="U11" s="8" t="str">
        <f>IFERROR(VLOOKUP($A11,'Project Reference'!$B$2:$M$41,12), " ")</f>
        <v xml:space="preserve"> </v>
      </c>
      <c r="V11" s="8" t="str">
        <f>IFERROR(VLOOKUP($A11,'Project Reference'!$B$2:$N$41,13), " ")</f>
        <v xml:space="preserve"> </v>
      </c>
      <c r="W11" s="8" t="str">
        <f>IFERROR(VLOOKUP($A11,'Project Reference'!$B$2:$O$41,14), " ")</f>
        <v xml:space="preserve"> </v>
      </c>
      <c r="X11" s="8" t="str">
        <f>IFERROR(VLOOKUP($A11,'Project Reference'!$B$2:$P$41,15), " ")</f>
        <v xml:space="preserve"> </v>
      </c>
      <c r="Y11" s="9" t="str">
        <f>IFERROR(VLOOKUP($A11,'Project Reference'!$B$2:$Q$41,16), " ")</f>
        <v xml:space="preserve"> </v>
      </c>
      <c r="Z11" s="22"/>
    </row>
    <row r="12" spans="1:26" s="1" customFormat="1" x14ac:dyDescent="0.45">
      <c r="A12" s="70"/>
      <c r="B12" s="53" t="str">
        <f>IFERROR(VLOOKUP($A12,'Project Reference'!$S$2:$T$41,2),"Enter Project Number")</f>
        <v>Enter Project Number</v>
      </c>
      <c r="C12" s="54"/>
      <c r="D12" s="8"/>
      <c r="E12" s="8"/>
      <c r="F12" s="8"/>
      <c r="G12" s="8"/>
      <c r="H12" s="47"/>
      <c r="I12" s="9"/>
      <c r="J12" s="23"/>
      <c r="K12" s="47" t="str">
        <f>IFERROR(VLOOKUP($A12,'Project Reference'!$B$2:$C$41,2), " ")</f>
        <v xml:space="preserve"> </v>
      </c>
      <c r="L12" s="8" t="str">
        <f>IFERROR(VLOOKUP($A12,'Project Reference'!$B$2:$D$41,3), " ")</f>
        <v xml:space="preserve"> </v>
      </c>
      <c r="M12" s="54" t="str">
        <f>IFERROR(VLOOKUP($A12,'Project Reference'!$B$2:$E$41,4), " ")</f>
        <v xml:space="preserve"> </v>
      </c>
      <c r="N12" s="8" t="str">
        <f>IFERROR(VLOOKUP($A12,'Project Reference'!$B$2:$F$41,5), " ")</f>
        <v xml:space="preserve"> </v>
      </c>
      <c r="O12" s="8" t="str">
        <f>IFERROR(VLOOKUP($A12,'Project Reference'!$B$2:$G$41,6), " ")</f>
        <v xml:space="preserve"> </v>
      </c>
      <c r="P12" s="8" t="str">
        <f>IFERROR(VLOOKUP($A12,'Project Reference'!$B$2:$H$41,7), " ")</f>
        <v xml:space="preserve"> </v>
      </c>
      <c r="Q12" s="8" t="str">
        <f>IFERROR(VLOOKUP($A12,'Project Reference'!$B$2:$I$41,8), " ")</f>
        <v xml:space="preserve"> </v>
      </c>
      <c r="R12" s="8" t="str">
        <f>IFERROR(VLOOKUP($A12,'Project Reference'!$B$2:$J$41,9), " ")</f>
        <v xml:space="preserve"> </v>
      </c>
      <c r="S12" s="8" t="str">
        <f>IFERROR(VLOOKUP($A12,'Project Reference'!$B$2:$K$41,10), " ")</f>
        <v xml:space="preserve"> </v>
      </c>
      <c r="T12" s="8" t="str">
        <f>IFERROR(VLOOKUP($A12,'Project Reference'!$B$2:$L$41,11), " ")</f>
        <v xml:space="preserve"> </v>
      </c>
      <c r="U12" s="8" t="str">
        <f>IFERROR(VLOOKUP($A12,'Project Reference'!$B$2:$M$41,12), " ")</f>
        <v xml:space="preserve"> </v>
      </c>
      <c r="V12" s="8" t="str">
        <f>IFERROR(VLOOKUP($A12,'Project Reference'!$B$2:$N$41,13), " ")</f>
        <v xml:space="preserve"> </v>
      </c>
      <c r="W12" s="8" t="str">
        <f>IFERROR(VLOOKUP($A12,'Project Reference'!$B$2:$O$41,14), " ")</f>
        <v xml:space="preserve"> </v>
      </c>
      <c r="X12" s="8" t="str">
        <f>IFERROR(VLOOKUP($A12,'Project Reference'!$B$2:$P$41,15), " ")</f>
        <v xml:space="preserve"> </v>
      </c>
      <c r="Y12" s="9" t="str">
        <f>IFERROR(VLOOKUP($A12,'Project Reference'!$B$2:$Q$41,16), " ")</f>
        <v xml:space="preserve"> </v>
      </c>
      <c r="Z12" s="22"/>
    </row>
    <row r="13" spans="1:26" s="1" customFormat="1" x14ac:dyDescent="0.45">
      <c r="A13" s="70"/>
      <c r="B13" s="53" t="str">
        <f>IFERROR(VLOOKUP($A13,'Project Reference'!$S$2:$T$41,2),"Enter Project Number")</f>
        <v>Enter Project Number</v>
      </c>
      <c r="C13" s="54"/>
      <c r="D13" s="8"/>
      <c r="E13" s="8"/>
      <c r="F13" s="8"/>
      <c r="G13" s="8"/>
      <c r="H13" s="47"/>
      <c r="I13" s="9"/>
      <c r="J13" s="23"/>
      <c r="K13" s="47" t="str">
        <f>IFERROR(VLOOKUP($A13,'Project Reference'!$B$2:$C$41,2), " ")</f>
        <v xml:space="preserve"> </v>
      </c>
      <c r="L13" s="8" t="str">
        <f>IFERROR(VLOOKUP($A13,'Project Reference'!$B$2:$D$41,3), " ")</f>
        <v xml:space="preserve"> </v>
      </c>
      <c r="M13" s="54" t="str">
        <f>IFERROR(VLOOKUP($A13,'Project Reference'!$B$2:$E$41,4), " ")</f>
        <v xml:space="preserve"> </v>
      </c>
      <c r="N13" s="8" t="str">
        <f>IFERROR(VLOOKUP($A13,'Project Reference'!$B$2:$F$41,5), " ")</f>
        <v xml:space="preserve"> </v>
      </c>
      <c r="O13" s="8" t="str">
        <f>IFERROR(VLOOKUP($A13,'Project Reference'!$B$2:$G$41,6), " ")</f>
        <v xml:space="preserve"> </v>
      </c>
      <c r="P13" s="8" t="str">
        <f>IFERROR(VLOOKUP($A13,'Project Reference'!$B$2:$H$41,7), " ")</f>
        <v xml:space="preserve"> </v>
      </c>
      <c r="Q13" s="8" t="str">
        <f>IFERROR(VLOOKUP($A13,'Project Reference'!$B$2:$I$41,8), " ")</f>
        <v xml:space="preserve"> </v>
      </c>
      <c r="R13" s="8" t="str">
        <f>IFERROR(VLOOKUP($A13,'Project Reference'!$B$2:$J$41,9), " ")</f>
        <v xml:space="preserve"> </v>
      </c>
      <c r="S13" s="8" t="str">
        <f>IFERROR(VLOOKUP($A13,'Project Reference'!$B$2:$K$41,10), " ")</f>
        <v xml:space="preserve"> </v>
      </c>
      <c r="T13" s="8" t="str">
        <f>IFERROR(VLOOKUP($A13,'Project Reference'!$B$2:$L$41,11), " ")</f>
        <v xml:space="preserve"> </v>
      </c>
      <c r="U13" s="8" t="str">
        <f>IFERROR(VLOOKUP($A13,'Project Reference'!$B$2:$M$41,12), " ")</f>
        <v xml:space="preserve"> </v>
      </c>
      <c r="V13" s="8" t="str">
        <f>IFERROR(VLOOKUP($A13,'Project Reference'!$B$2:$N$41,13), " ")</f>
        <v xml:space="preserve"> </v>
      </c>
      <c r="W13" s="8" t="str">
        <f>IFERROR(VLOOKUP($A13,'Project Reference'!$B$2:$O$41,14), " ")</f>
        <v xml:space="preserve"> </v>
      </c>
      <c r="X13" s="8" t="str">
        <f>IFERROR(VLOOKUP($A13,'Project Reference'!$B$2:$P$41,15), " ")</f>
        <v xml:space="preserve"> </v>
      </c>
      <c r="Y13" s="9" t="str">
        <f>IFERROR(VLOOKUP($A13,'Project Reference'!$B$2:$Q$41,16), " ")</f>
        <v xml:space="preserve"> </v>
      </c>
      <c r="Z13" s="22"/>
    </row>
    <row r="14" spans="1:26" s="1" customFormat="1" x14ac:dyDescent="0.45">
      <c r="A14" s="70"/>
      <c r="B14" s="53" t="str">
        <f>IFERROR(VLOOKUP($A14,'Project Reference'!$S$2:$T$41,2),"Enter Project Number")</f>
        <v>Enter Project Number</v>
      </c>
      <c r="C14" s="54"/>
      <c r="D14" s="8"/>
      <c r="E14" s="8"/>
      <c r="F14" s="8"/>
      <c r="G14" s="8"/>
      <c r="H14" s="47"/>
      <c r="I14" s="9"/>
      <c r="J14" s="23"/>
      <c r="K14" s="47" t="str">
        <f>IFERROR(VLOOKUP($A14,'Project Reference'!$B$2:$C$41,2), " ")</f>
        <v xml:space="preserve"> </v>
      </c>
      <c r="L14" s="8" t="str">
        <f>IFERROR(VLOOKUP($A14,'Project Reference'!$B$2:$D$41,3), " ")</f>
        <v xml:space="preserve"> </v>
      </c>
      <c r="M14" s="54" t="str">
        <f>IFERROR(VLOOKUP($A14,'Project Reference'!$B$2:$E$41,4), " ")</f>
        <v xml:space="preserve"> </v>
      </c>
      <c r="N14" s="8" t="str">
        <f>IFERROR(VLOOKUP($A14,'Project Reference'!$B$2:$F$41,5), " ")</f>
        <v xml:space="preserve"> </v>
      </c>
      <c r="O14" s="8" t="str">
        <f>IFERROR(VLOOKUP($A14,'Project Reference'!$B$2:$G$41,6), " ")</f>
        <v xml:space="preserve"> </v>
      </c>
      <c r="P14" s="8" t="str">
        <f>IFERROR(VLOOKUP($A14,'Project Reference'!$B$2:$H$41,7), " ")</f>
        <v xml:space="preserve"> </v>
      </c>
      <c r="Q14" s="8" t="str">
        <f>IFERROR(VLOOKUP($A14,'Project Reference'!$B$2:$I$41,8), " ")</f>
        <v xml:space="preserve"> </v>
      </c>
      <c r="R14" s="8" t="str">
        <f>IFERROR(VLOOKUP($A14,'Project Reference'!$B$2:$J$41,9), " ")</f>
        <v xml:space="preserve"> </v>
      </c>
      <c r="S14" s="8" t="str">
        <f>IFERROR(VLOOKUP($A14,'Project Reference'!$B$2:$K$41,10), " ")</f>
        <v xml:space="preserve"> </v>
      </c>
      <c r="T14" s="8" t="str">
        <f>IFERROR(VLOOKUP($A14,'Project Reference'!$B$2:$L$41,11), " ")</f>
        <v xml:space="preserve"> </v>
      </c>
      <c r="U14" s="8" t="str">
        <f>IFERROR(VLOOKUP($A14,'Project Reference'!$B$2:$M$41,12), " ")</f>
        <v xml:space="preserve"> </v>
      </c>
      <c r="V14" s="8" t="str">
        <f>IFERROR(VLOOKUP($A14,'Project Reference'!$B$2:$N$41,13), " ")</f>
        <v xml:space="preserve"> </v>
      </c>
      <c r="W14" s="8" t="str">
        <f>IFERROR(VLOOKUP($A14,'Project Reference'!$B$2:$O$41,14), " ")</f>
        <v xml:space="preserve"> </v>
      </c>
      <c r="X14" s="8" t="str">
        <f>IFERROR(VLOOKUP($A14,'Project Reference'!$B$2:$P$41,15), " ")</f>
        <v xml:space="preserve"> </v>
      </c>
      <c r="Y14" s="9" t="str">
        <f>IFERROR(VLOOKUP($A14,'Project Reference'!$B$2:$Q$41,16), " ")</f>
        <v xml:space="preserve"> </v>
      </c>
      <c r="Z14" s="22"/>
    </row>
    <row r="15" spans="1:26" s="1" customFormat="1" x14ac:dyDescent="0.45">
      <c r="A15" s="70"/>
      <c r="B15" s="53" t="str">
        <f>IFERROR(VLOOKUP($A15,'Project Reference'!$S$2:$T$41,2),"Enter Project Number")</f>
        <v>Enter Project Number</v>
      </c>
      <c r="C15" s="54"/>
      <c r="D15" s="8"/>
      <c r="E15" s="8"/>
      <c r="F15" s="8"/>
      <c r="G15" s="8"/>
      <c r="H15" s="47"/>
      <c r="I15" s="9"/>
      <c r="J15" s="23"/>
      <c r="K15" s="47" t="str">
        <f>IFERROR(VLOOKUP($A15,'Project Reference'!$B$2:$C$41,2), " ")</f>
        <v xml:space="preserve"> </v>
      </c>
      <c r="L15" s="8" t="str">
        <f>IFERROR(VLOOKUP($A15,'Project Reference'!$B$2:$D$41,3), " ")</f>
        <v xml:space="preserve"> </v>
      </c>
      <c r="M15" s="54" t="str">
        <f>IFERROR(VLOOKUP($A15,'Project Reference'!$B$2:$E$41,4), " ")</f>
        <v xml:space="preserve"> </v>
      </c>
      <c r="N15" s="8" t="str">
        <f>IFERROR(VLOOKUP($A15,'Project Reference'!$B$2:$F$41,5), " ")</f>
        <v xml:space="preserve"> </v>
      </c>
      <c r="O15" s="8" t="str">
        <f>IFERROR(VLOOKUP($A15,'Project Reference'!$B$2:$G$41,6), " ")</f>
        <v xml:space="preserve"> </v>
      </c>
      <c r="P15" s="8" t="str">
        <f>IFERROR(VLOOKUP($A15,'Project Reference'!$B$2:$H$41,7), " ")</f>
        <v xml:space="preserve"> </v>
      </c>
      <c r="Q15" s="8" t="str">
        <f>IFERROR(VLOOKUP($A15,'Project Reference'!$B$2:$I$41,8), " ")</f>
        <v xml:space="preserve"> </v>
      </c>
      <c r="R15" s="8" t="str">
        <f>IFERROR(VLOOKUP($A15,'Project Reference'!$B$2:$J$41,9), " ")</f>
        <v xml:space="preserve"> </v>
      </c>
      <c r="S15" s="8" t="str">
        <f>IFERROR(VLOOKUP($A15,'Project Reference'!$B$2:$K$41,10), " ")</f>
        <v xml:space="preserve"> </v>
      </c>
      <c r="T15" s="8" t="str">
        <f>IFERROR(VLOOKUP($A15,'Project Reference'!$B$2:$L$41,11), " ")</f>
        <v xml:space="preserve"> </v>
      </c>
      <c r="U15" s="8" t="str">
        <f>IFERROR(VLOOKUP($A15,'Project Reference'!$B$2:$M$41,12), " ")</f>
        <v xml:space="preserve"> </v>
      </c>
      <c r="V15" s="8" t="str">
        <f>IFERROR(VLOOKUP($A15,'Project Reference'!$B$2:$N$41,13), " ")</f>
        <v xml:space="preserve"> </v>
      </c>
      <c r="W15" s="8" t="str">
        <f>IFERROR(VLOOKUP($A15,'Project Reference'!$B$2:$O$41,14), " ")</f>
        <v xml:space="preserve"> </v>
      </c>
      <c r="X15" s="8" t="str">
        <f>IFERROR(VLOOKUP($A15,'Project Reference'!$B$2:$P$41,15), " ")</f>
        <v xml:space="preserve"> </v>
      </c>
      <c r="Y15" s="9" t="str">
        <f>IFERROR(VLOOKUP($A15,'Project Reference'!$B$2:$Q$41,16), " ")</f>
        <v xml:space="preserve"> </v>
      </c>
      <c r="Z15" s="22"/>
    </row>
    <row r="16" spans="1:26" s="1" customFormat="1" x14ac:dyDescent="0.45">
      <c r="A16" s="70"/>
      <c r="B16" s="53" t="str">
        <f>IFERROR(VLOOKUP($A16,'Project Reference'!$S$2:$T$41,2),"Enter Project Number")</f>
        <v>Enter Project Number</v>
      </c>
      <c r="C16" s="54"/>
      <c r="D16" s="8"/>
      <c r="E16" s="8"/>
      <c r="F16" s="8"/>
      <c r="G16" s="8"/>
      <c r="H16" s="47"/>
      <c r="I16" s="9"/>
      <c r="J16" s="23"/>
      <c r="K16" s="47" t="str">
        <f>IFERROR(VLOOKUP($A16,'Project Reference'!$B$2:$C$41,2), " ")</f>
        <v xml:space="preserve"> </v>
      </c>
      <c r="L16" s="8" t="str">
        <f>IFERROR(VLOOKUP($A16,'Project Reference'!$B$2:$D$41,3), " ")</f>
        <v xml:space="preserve"> </v>
      </c>
      <c r="M16" s="54" t="str">
        <f>IFERROR(VLOOKUP($A16,'Project Reference'!$B$2:$E$41,4), " ")</f>
        <v xml:space="preserve"> </v>
      </c>
      <c r="N16" s="8" t="str">
        <f>IFERROR(VLOOKUP($A16,'Project Reference'!$B$2:$F$41,5), " ")</f>
        <v xml:space="preserve"> </v>
      </c>
      <c r="O16" s="8" t="str">
        <f>IFERROR(VLOOKUP($A16,'Project Reference'!$B$2:$G$41,6), " ")</f>
        <v xml:space="preserve"> </v>
      </c>
      <c r="P16" s="8" t="str">
        <f>IFERROR(VLOOKUP($A16,'Project Reference'!$B$2:$H$41,7), " ")</f>
        <v xml:space="preserve"> </v>
      </c>
      <c r="Q16" s="8" t="str">
        <f>IFERROR(VLOOKUP($A16,'Project Reference'!$B$2:$I$41,8), " ")</f>
        <v xml:space="preserve"> </v>
      </c>
      <c r="R16" s="8" t="str">
        <f>IFERROR(VLOOKUP($A16,'Project Reference'!$B$2:$J$41,9), " ")</f>
        <v xml:space="preserve"> </v>
      </c>
      <c r="S16" s="8" t="str">
        <f>IFERROR(VLOOKUP($A16,'Project Reference'!$B$2:$K$41,10), " ")</f>
        <v xml:space="preserve"> </v>
      </c>
      <c r="T16" s="8" t="str">
        <f>IFERROR(VLOOKUP($A16,'Project Reference'!$B$2:$L$41,11), " ")</f>
        <v xml:space="preserve"> </v>
      </c>
      <c r="U16" s="8" t="str">
        <f>IFERROR(VLOOKUP($A16,'Project Reference'!$B$2:$M$41,12), " ")</f>
        <v xml:space="preserve"> </v>
      </c>
      <c r="V16" s="8" t="str">
        <f>IFERROR(VLOOKUP($A16,'Project Reference'!$B$2:$N$41,13), " ")</f>
        <v xml:space="preserve"> </v>
      </c>
      <c r="W16" s="8" t="str">
        <f>IFERROR(VLOOKUP($A16,'Project Reference'!$B$2:$O$41,14), " ")</f>
        <v xml:space="preserve"> </v>
      </c>
      <c r="X16" s="8" t="str">
        <f>IFERROR(VLOOKUP($A16,'Project Reference'!$B$2:$P$41,15), " ")</f>
        <v xml:space="preserve"> </v>
      </c>
      <c r="Y16" s="9" t="str">
        <f>IFERROR(VLOOKUP($A16,'Project Reference'!$B$2:$Q$41,16), " ")</f>
        <v xml:space="preserve"> </v>
      </c>
      <c r="Z16" s="22"/>
    </row>
    <row r="17" spans="1:26" s="1" customFormat="1" x14ac:dyDescent="0.45">
      <c r="A17" s="70"/>
      <c r="B17" s="53" t="str">
        <f>IFERROR(VLOOKUP($A17,'Project Reference'!$S$2:$T$41,2),"Enter Project Number")</f>
        <v>Enter Project Number</v>
      </c>
      <c r="C17" s="54"/>
      <c r="D17" s="8"/>
      <c r="E17" s="8"/>
      <c r="F17" s="8"/>
      <c r="G17" s="8"/>
      <c r="H17" s="47"/>
      <c r="I17" s="9"/>
      <c r="J17" s="23"/>
      <c r="K17" s="47" t="str">
        <f>IFERROR(VLOOKUP($A17,'Project Reference'!$B$2:$C$41,2), " ")</f>
        <v xml:space="preserve"> </v>
      </c>
      <c r="L17" s="8" t="str">
        <f>IFERROR(VLOOKUP($A17,'Project Reference'!$B$2:$D$41,3), " ")</f>
        <v xml:space="preserve"> </v>
      </c>
      <c r="M17" s="54" t="str">
        <f>IFERROR(VLOOKUP($A17,'Project Reference'!$B$2:$E$41,4), " ")</f>
        <v xml:space="preserve"> </v>
      </c>
      <c r="N17" s="8" t="str">
        <f>IFERROR(VLOOKUP($A17,'Project Reference'!$B$2:$F$41,5), " ")</f>
        <v xml:space="preserve"> </v>
      </c>
      <c r="O17" s="8" t="str">
        <f>IFERROR(VLOOKUP($A17,'Project Reference'!$B$2:$G$41,6), " ")</f>
        <v xml:space="preserve"> </v>
      </c>
      <c r="P17" s="8" t="str">
        <f>IFERROR(VLOOKUP($A17,'Project Reference'!$B$2:$H$41,7), " ")</f>
        <v xml:space="preserve"> </v>
      </c>
      <c r="Q17" s="8" t="str">
        <f>IFERROR(VLOOKUP($A17,'Project Reference'!$B$2:$I$41,8), " ")</f>
        <v xml:space="preserve"> </v>
      </c>
      <c r="R17" s="8" t="str">
        <f>IFERROR(VLOOKUP($A17,'Project Reference'!$B$2:$J$41,9), " ")</f>
        <v xml:space="preserve"> </v>
      </c>
      <c r="S17" s="8" t="str">
        <f>IFERROR(VLOOKUP($A17,'Project Reference'!$B$2:$K$41,10), " ")</f>
        <v xml:space="preserve"> </v>
      </c>
      <c r="T17" s="8" t="str">
        <f>IFERROR(VLOOKUP($A17,'Project Reference'!$B$2:$L$41,11), " ")</f>
        <v xml:space="preserve"> </v>
      </c>
      <c r="U17" s="8" t="str">
        <f>IFERROR(VLOOKUP($A17,'Project Reference'!$B$2:$M$41,12), " ")</f>
        <v xml:space="preserve"> </v>
      </c>
      <c r="V17" s="8" t="str">
        <f>IFERROR(VLOOKUP($A17,'Project Reference'!$B$2:$N$41,13), " ")</f>
        <v xml:space="preserve"> </v>
      </c>
      <c r="W17" s="8" t="str">
        <f>IFERROR(VLOOKUP($A17,'Project Reference'!$B$2:$O$41,14), " ")</f>
        <v xml:space="preserve"> </v>
      </c>
      <c r="X17" s="8" t="str">
        <f>IFERROR(VLOOKUP($A17,'Project Reference'!$B$2:$P$41,15), " ")</f>
        <v xml:space="preserve"> </v>
      </c>
      <c r="Y17" s="9" t="str">
        <f>IFERROR(VLOOKUP($A17,'Project Reference'!$B$2:$Q$41,16), " ")</f>
        <v xml:space="preserve"> </v>
      </c>
      <c r="Z17" s="22"/>
    </row>
    <row r="18" spans="1:26" s="1" customFormat="1" x14ac:dyDescent="0.45">
      <c r="A18" s="70"/>
      <c r="B18" s="53" t="str">
        <f>IFERROR(VLOOKUP($A18,'Project Reference'!$S$2:$T$41,2),"Enter Project Number")</f>
        <v>Enter Project Number</v>
      </c>
      <c r="C18" s="54"/>
      <c r="D18" s="8"/>
      <c r="E18" s="8"/>
      <c r="F18" s="8"/>
      <c r="G18" s="8"/>
      <c r="H18" s="47"/>
      <c r="I18" s="9"/>
      <c r="J18" s="23"/>
      <c r="K18" s="47" t="str">
        <f>IFERROR(VLOOKUP($A18,'Project Reference'!$B$2:$C$41,2), " ")</f>
        <v xml:space="preserve"> </v>
      </c>
      <c r="L18" s="8" t="str">
        <f>IFERROR(VLOOKUP($A18,'Project Reference'!$B$2:$D$41,3), " ")</f>
        <v xml:space="preserve"> </v>
      </c>
      <c r="M18" s="54" t="str">
        <f>IFERROR(VLOOKUP($A18,'Project Reference'!$B$2:$E$41,4), " ")</f>
        <v xml:space="preserve"> </v>
      </c>
      <c r="N18" s="8" t="str">
        <f>IFERROR(VLOOKUP($A18,'Project Reference'!$B$2:$F$41,5), " ")</f>
        <v xml:space="preserve"> </v>
      </c>
      <c r="O18" s="8" t="str">
        <f>IFERROR(VLOOKUP($A18,'Project Reference'!$B$2:$G$41,6), " ")</f>
        <v xml:space="preserve"> </v>
      </c>
      <c r="P18" s="8" t="str">
        <f>IFERROR(VLOOKUP($A18,'Project Reference'!$B$2:$H$41,7), " ")</f>
        <v xml:space="preserve"> </v>
      </c>
      <c r="Q18" s="8" t="str">
        <f>IFERROR(VLOOKUP($A18,'Project Reference'!$B$2:$I$41,8), " ")</f>
        <v xml:space="preserve"> </v>
      </c>
      <c r="R18" s="8" t="str">
        <f>IFERROR(VLOOKUP($A18,'Project Reference'!$B$2:$J$41,9), " ")</f>
        <v xml:space="preserve"> </v>
      </c>
      <c r="S18" s="8" t="str">
        <f>IFERROR(VLOOKUP($A18,'Project Reference'!$B$2:$K$41,10), " ")</f>
        <v xml:space="preserve"> </v>
      </c>
      <c r="T18" s="8" t="str">
        <f>IFERROR(VLOOKUP($A18,'Project Reference'!$B$2:$L$41,11), " ")</f>
        <v xml:space="preserve"> </v>
      </c>
      <c r="U18" s="8" t="str">
        <f>IFERROR(VLOOKUP($A18,'Project Reference'!$B$2:$M$41,12), " ")</f>
        <v xml:space="preserve"> </v>
      </c>
      <c r="V18" s="8" t="str">
        <f>IFERROR(VLOOKUP($A18,'Project Reference'!$B$2:$N$41,13), " ")</f>
        <v xml:space="preserve"> </v>
      </c>
      <c r="W18" s="8" t="str">
        <f>IFERROR(VLOOKUP($A18,'Project Reference'!$B$2:$O$41,14), " ")</f>
        <v xml:space="preserve"> </v>
      </c>
      <c r="X18" s="8" t="str">
        <f>IFERROR(VLOOKUP($A18,'Project Reference'!$B$2:$P$41,15), " ")</f>
        <v xml:space="preserve"> </v>
      </c>
      <c r="Y18" s="9" t="str">
        <f>IFERROR(VLOOKUP($A18,'Project Reference'!$B$2:$Q$41,16), " ")</f>
        <v xml:space="preserve"> </v>
      </c>
      <c r="Z18" s="22"/>
    </row>
    <row r="19" spans="1:26" s="1" customFormat="1" x14ac:dyDescent="0.45">
      <c r="A19" s="70"/>
      <c r="B19" s="53" t="str">
        <f>IFERROR(VLOOKUP($A19,'Project Reference'!$S$2:$T$41,2),"Enter Project Number")</f>
        <v>Enter Project Number</v>
      </c>
      <c r="C19" s="54"/>
      <c r="D19" s="8"/>
      <c r="E19" s="8"/>
      <c r="F19" s="8"/>
      <c r="G19" s="8"/>
      <c r="H19" s="47"/>
      <c r="I19" s="9"/>
      <c r="J19" s="23"/>
      <c r="K19" s="47" t="str">
        <f>IFERROR(VLOOKUP($A19,'Project Reference'!$B$2:$C$41,2), " ")</f>
        <v xml:space="preserve"> </v>
      </c>
      <c r="L19" s="8" t="str">
        <f>IFERROR(VLOOKUP($A19,'Project Reference'!$B$2:$D$41,3), " ")</f>
        <v xml:space="preserve"> </v>
      </c>
      <c r="M19" s="54" t="str">
        <f>IFERROR(VLOOKUP($A19,'Project Reference'!$B$2:$E$41,4), " ")</f>
        <v xml:space="preserve"> </v>
      </c>
      <c r="N19" s="8" t="str">
        <f>IFERROR(VLOOKUP($A19,'Project Reference'!$B$2:$F$41,5), " ")</f>
        <v xml:space="preserve"> </v>
      </c>
      <c r="O19" s="8" t="str">
        <f>IFERROR(VLOOKUP($A19,'Project Reference'!$B$2:$G$41,6), " ")</f>
        <v xml:space="preserve"> </v>
      </c>
      <c r="P19" s="8" t="str">
        <f>IFERROR(VLOOKUP($A19,'Project Reference'!$B$2:$H$41,7), " ")</f>
        <v xml:space="preserve"> </v>
      </c>
      <c r="Q19" s="8" t="str">
        <f>IFERROR(VLOOKUP($A19,'Project Reference'!$B$2:$I$41,8), " ")</f>
        <v xml:space="preserve"> </v>
      </c>
      <c r="R19" s="8" t="str">
        <f>IFERROR(VLOOKUP($A19,'Project Reference'!$B$2:$J$41,9), " ")</f>
        <v xml:space="preserve"> </v>
      </c>
      <c r="S19" s="8" t="str">
        <f>IFERROR(VLOOKUP($A19,'Project Reference'!$B$2:$K$41,10), " ")</f>
        <v xml:space="preserve"> </v>
      </c>
      <c r="T19" s="8" t="str">
        <f>IFERROR(VLOOKUP($A19,'Project Reference'!$B$2:$L$41,11), " ")</f>
        <v xml:space="preserve"> </v>
      </c>
      <c r="U19" s="8" t="str">
        <f>IFERROR(VLOOKUP($A19,'Project Reference'!$B$2:$M$41,12), " ")</f>
        <v xml:space="preserve"> </v>
      </c>
      <c r="V19" s="8" t="str">
        <f>IFERROR(VLOOKUP($A19,'Project Reference'!$B$2:$N$41,13), " ")</f>
        <v xml:space="preserve"> </v>
      </c>
      <c r="W19" s="8" t="str">
        <f>IFERROR(VLOOKUP($A19,'Project Reference'!$B$2:$O$41,14), " ")</f>
        <v xml:space="preserve"> </v>
      </c>
      <c r="X19" s="8" t="str">
        <f>IFERROR(VLOOKUP($A19,'Project Reference'!$B$2:$P$41,15), " ")</f>
        <v xml:space="preserve"> </v>
      </c>
      <c r="Y19" s="9" t="str">
        <f>IFERROR(VLOOKUP($A19,'Project Reference'!$B$2:$Q$41,16), " ")</f>
        <v xml:space="preserve"> </v>
      </c>
      <c r="Z19" s="22"/>
    </row>
    <row r="20" spans="1:26" s="1" customFormat="1" x14ac:dyDescent="0.45">
      <c r="A20" s="70"/>
      <c r="B20" s="53" t="str">
        <f>IFERROR(VLOOKUP($A20,'Project Reference'!$S$2:$T$41,2),"Enter Project Number")</f>
        <v>Enter Project Number</v>
      </c>
      <c r="C20" s="54"/>
      <c r="D20" s="8"/>
      <c r="E20" s="8"/>
      <c r="F20" s="8"/>
      <c r="G20" s="8"/>
      <c r="H20" s="47"/>
      <c r="I20" s="9"/>
      <c r="J20" s="23"/>
      <c r="K20" s="47" t="str">
        <f>IFERROR(VLOOKUP($A20,'Project Reference'!$B$2:$C$41,2), " ")</f>
        <v xml:space="preserve"> </v>
      </c>
      <c r="L20" s="8" t="str">
        <f>IFERROR(VLOOKUP($A20,'Project Reference'!$B$2:$D$41,3), " ")</f>
        <v xml:space="preserve"> </v>
      </c>
      <c r="M20" s="54" t="str">
        <f>IFERROR(VLOOKUP($A20,'Project Reference'!$B$2:$E$41,4), " ")</f>
        <v xml:space="preserve"> </v>
      </c>
      <c r="N20" s="8" t="str">
        <f>IFERROR(VLOOKUP($A20,'Project Reference'!$B$2:$F$41,5), " ")</f>
        <v xml:space="preserve"> </v>
      </c>
      <c r="O20" s="8" t="str">
        <f>IFERROR(VLOOKUP($A20,'Project Reference'!$B$2:$G$41,6), " ")</f>
        <v xml:space="preserve"> </v>
      </c>
      <c r="P20" s="8" t="str">
        <f>IFERROR(VLOOKUP($A20,'Project Reference'!$B$2:$H$41,7), " ")</f>
        <v xml:space="preserve"> </v>
      </c>
      <c r="Q20" s="8" t="str">
        <f>IFERROR(VLOOKUP($A20,'Project Reference'!$B$2:$I$41,8), " ")</f>
        <v xml:space="preserve"> </v>
      </c>
      <c r="R20" s="8" t="str">
        <f>IFERROR(VLOOKUP($A20,'Project Reference'!$B$2:$J$41,9), " ")</f>
        <v xml:space="preserve"> </v>
      </c>
      <c r="S20" s="8" t="str">
        <f>IFERROR(VLOOKUP($A20,'Project Reference'!$B$2:$K$41,10), " ")</f>
        <v xml:space="preserve"> </v>
      </c>
      <c r="T20" s="8" t="str">
        <f>IFERROR(VLOOKUP($A20,'Project Reference'!$B$2:$L$41,11), " ")</f>
        <v xml:space="preserve"> </v>
      </c>
      <c r="U20" s="8" t="str">
        <f>IFERROR(VLOOKUP($A20,'Project Reference'!$B$2:$M$41,12), " ")</f>
        <v xml:space="preserve"> </v>
      </c>
      <c r="V20" s="8" t="str">
        <f>IFERROR(VLOOKUP($A20,'Project Reference'!$B$2:$N$41,13), " ")</f>
        <v xml:space="preserve"> </v>
      </c>
      <c r="W20" s="8" t="str">
        <f>IFERROR(VLOOKUP($A20,'Project Reference'!$B$2:$O$41,14), " ")</f>
        <v xml:space="preserve"> </v>
      </c>
      <c r="X20" s="8" t="str">
        <f>IFERROR(VLOOKUP($A20,'Project Reference'!$B$2:$P$41,15), " ")</f>
        <v xml:space="preserve"> </v>
      </c>
      <c r="Y20" s="9" t="str">
        <f>IFERROR(VLOOKUP($A20,'Project Reference'!$B$2:$Q$41,16), " ")</f>
        <v xml:space="preserve"> </v>
      </c>
      <c r="Z20" s="22"/>
    </row>
    <row r="21" spans="1:26" s="1" customFormat="1" x14ac:dyDescent="0.45">
      <c r="A21" s="70"/>
      <c r="B21" s="53" t="str">
        <f>IFERROR(VLOOKUP($A21,'Project Reference'!$S$2:$T$41,2),"Enter Project Number")</f>
        <v>Enter Project Number</v>
      </c>
      <c r="C21" s="54"/>
      <c r="D21" s="8"/>
      <c r="E21" s="8"/>
      <c r="F21" s="8"/>
      <c r="G21" s="8"/>
      <c r="H21" s="47"/>
      <c r="I21" s="9"/>
      <c r="J21" s="23"/>
      <c r="K21" s="47" t="str">
        <f>IFERROR(VLOOKUP($A21,'Project Reference'!$B$2:$C$41,2), " ")</f>
        <v xml:space="preserve"> </v>
      </c>
      <c r="L21" s="8" t="str">
        <f>IFERROR(VLOOKUP($A21,'Project Reference'!$B$2:$D$41,3), " ")</f>
        <v xml:space="preserve"> </v>
      </c>
      <c r="M21" s="54" t="str">
        <f>IFERROR(VLOOKUP($A21,'Project Reference'!$B$2:$E$41,4), " ")</f>
        <v xml:space="preserve"> </v>
      </c>
      <c r="N21" s="8" t="str">
        <f>IFERROR(VLOOKUP($A21,'Project Reference'!$B$2:$F$41,5), " ")</f>
        <v xml:space="preserve"> </v>
      </c>
      <c r="O21" s="8" t="str">
        <f>IFERROR(VLOOKUP($A21,'Project Reference'!$B$2:$G$41,6), " ")</f>
        <v xml:space="preserve"> </v>
      </c>
      <c r="P21" s="8" t="str">
        <f>IFERROR(VLOOKUP($A21,'Project Reference'!$B$2:$H$41,7), " ")</f>
        <v xml:space="preserve"> </v>
      </c>
      <c r="Q21" s="8" t="str">
        <f>IFERROR(VLOOKUP($A21,'Project Reference'!$B$2:$I$41,8), " ")</f>
        <v xml:space="preserve"> </v>
      </c>
      <c r="R21" s="8" t="str">
        <f>IFERROR(VLOOKUP($A21,'Project Reference'!$B$2:$J$41,9), " ")</f>
        <v xml:space="preserve"> </v>
      </c>
      <c r="S21" s="8" t="str">
        <f>IFERROR(VLOOKUP($A21,'Project Reference'!$B$2:$K$41,10), " ")</f>
        <v xml:space="preserve"> </v>
      </c>
      <c r="T21" s="8" t="str">
        <f>IFERROR(VLOOKUP($A21,'Project Reference'!$B$2:$L$41,11), " ")</f>
        <v xml:space="preserve"> </v>
      </c>
      <c r="U21" s="8" t="str">
        <f>IFERROR(VLOOKUP($A21,'Project Reference'!$B$2:$M$41,12), " ")</f>
        <v xml:space="preserve"> </v>
      </c>
      <c r="V21" s="8" t="str">
        <f>IFERROR(VLOOKUP($A21,'Project Reference'!$B$2:$N$41,13), " ")</f>
        <v xml:space="preserve"> </v>
      </c>
      <c r="W21" s="8" t="str">
        <f>IFERROR(VLOOKUP($A21,'Project Reference'!$B$2:$O$41,14), " ")</f>
        <v xml:space="preserve"> </v>
      </c>
      <c r="X21" s="8" t="str">
        <f>IFERROR(VLOOKUP($A21,'Project Reference'!$B$2:$P$41,15), " ")</f>
        <v xml:space="preserve"> </v>
      </c>
      <c r="Y21" s="9" t="str">
        <f>IFERROR(VLOOKUP($A21,'Project Reference'!$B$2:$Q$41,16), " ")</f>
        <v xml:space="preserve"> </v>
      </c>
      <c r="Z21" s="22"/>
    </row>
    <row r="22" spans="1:26" s="1" customFormat="1" x14ac:dyDescent="0.45">
      <c r="A22" s="70"/>
      <c r="B22" s="53" t="str">
        <f>IFERROR(VLOOKUP($A22,'Project Reference'!$S$2:$T$41,2),"Enter Project Number")</f>
        <v>Enter Project Number</v>
      </c>
      <c r="C22" s="54"/>
      <c r="D22" s="8"/>
      <c r="E22" s="8"/>
      <c r="F22" s="8"/>
      <c r="G22" s="8"/>
      <c r="H22" s="47"/>
      <c r="I22" s="9"/>
      <c r="J22" s="23"/>
      <c r="K22" s="47" t="str">
        <f>IFERROR(VLOOKUP($A22,'Project Reference'!$B$2:$C$41,2), " ")</f>
        <v xml:space="preserve"> </v>
      </c>
      <c r="L22" s="8" t="str">
        <f>IFERROR(VLOOKUP($A22,'Project Reference'!$B$2:$D$41,3), " ")</f>
        <v xml:space="preserve"> </v>
      </c>
      <c r="M22" s="54" t="str">
        <f>IFERROR(VLOOKUP($A22,'Project Reference'!$B$2:$E$41,4), " ")</f>
        <v xml:space="preserve"> </v>
      </c>
      <c r="N22" s="8" t="str">
        <f>IFERROR(VLOOKUP($A22,'Project Reference'!$B$2:$F$41,5), " ")</f>
        <v xml:space="preserve"> </v>
      </c>
      <c r="O22" s="8" t="str">
        <f>IFERROR(VLOOKUP($A22,'Project Reference'!$B$2:$G$41,6), " ")</f>
        <v xml:space="preserve"> </v>
      </c>
      <c r="P22" s="8" t="str">
        <f>IFERROR(VLOOKUP($A22,'Project Reference'!$B$2:$H$41,7), " ")</f>
        <v xml:space="preserve"> </v>
      </c>
      <c r="Q22" s="8" t="str">
        <f>IFERROR(VLOOKUP($A22,'Project Reference'!$B$2:$I$41,8), " ")</f>
        <v xml:space="preserve"> </v>
      </c>
      <c r="R22" s="8" t="str">
        <f>IFERROR(VLOOKUP($A22,'Project Reference'!$B$2:$J$41,9), " ")</f>
        <v xml:space="preserve"> </v>
      </c>
      <c r="S22" s="8" t="str">
        <f>IFERROR(VLOOKUP($A22,'Project Reference'!$B$2:$K$41,10), " ")</f>
        <v xml:space="preserve"> </v>
      </c>
      <c r="T22" s="8" t="str">
        <f>IFERROR(VLOOKUP($A22,'Project Reference'!$B$2:$L$41,11), " ")</f>
        <v xml:space="preserve"> </v>
      </c>
      <c r="U22" s="8" t="str">
        <f>IFERROR(VLOOKUP($A22,'Project Reference'!$B$2:$M$41,12), " ")</f>
        <v xml:space="preserve"> </v>
      </c>
      <c r="V22" s="8" t="str">
        <f>IFERROR(VLOOKUP($A22,'Project Reference'!$B$2:$N$41,13), " ")</f>
        <v xml:space="preserve"> </v>
      </c>
      <c r="W22" s="8" t="str">
        <f>IFERROR(VLOOKUP($A22,'Project Reference'!$B$2:$O$41,14), " ")</f>
        <v xml:space="preserve"> </v>
      </c>
      <c r="X22" s="8" t="str">
        <f>IFERROR(VLOOKUP($A22,'Project Reference'!$B$2:$P$41,15), " ")</f>
        <v xml:space="preserve"> </v>
      </c>
      <c r="Y22" s="9" t="str">
        <f>IFERROR(VLOOKUP($A22,'Project Reference'!$B$2:$Q$41,16), " ")</f>
        <v xml:space="preserve"> </v>
      </c>
      <c r="Z22" s="22"/>
    </row>
    <row r="23" spans="1:26" s="1" customFormat="1" x14ac:dyDescent="0.45">
      <c r="A23" s="70"/>
      <c r="B23" s="53" t="str">
        <f>IFERROR(VLOOKUP($A23,'Project Reference'!$S$2:$T$41,2),"Enter Project Number")</f>
        <v>Enter Project Number</v>
      </c>
      <c r="C23" s="54"/>
      <c r="D23" s="8"/>
      <c r="E23" s="8"/>
      <c r="F23" s="8"/>
      <c r="G23" s="8"/>
      <c r="H23" s="47"/>
      <c r="I23" s="9"/>
      <c r="J23" s="23"/>
      <c r="K23" s="47" t="str">
        <f>IFERROR(VLOOKUP($A23,'Project Reference'!$B$2:$C$41,2), " ")</f>
        <v xml:space="preserve"> </v>
      </c>
      <c r="L23" s="8" t="str">
        <f>IFERROR(VLOOKUP($A23,'Project Reference'!$B$2:$D$41,3), " ")</f>
        <v xml:space="preserve"> </v>
      </c>
      <c r="M23" s="54" t="str">
        <f>IFERROR(VLOOKUP($A23,'Project Reference'!$B$2:$E$41,4), " ")</f>
        <v xml:space="preserve"> </v>
      </c>
      <c r="N23" s="8" t="str">
        <f>IFERROR(VLOOKUP($A23,'Project Reference'!$B$2:$F$41,5), " ")</f>
        <v xml:space="preserve"> </v>
      </c>
      <c r="O23" s="8" t="str">
        <f>IFERROR(VLOOKUP($A23,'Project Reference'!$B$2:$G$41,6), " ")</f>
        <v xml:space="preserve"> </v>
      </c>
      <c r="P23" s="8" t="str">
        <f>IFERROR(VLOOKUP($A23,'Project Reference'!$B$2:$H$41,7), " ")</f>
        <v xml:space="preserve"> </v>
      </c>
      <c r="Q23" s="8" t="str">
        <f>IFERROR(VLOOKUP($A23,'Project Reference'!$B$2:$I$41,8), " ")</f>
        <v xml:space="preserve"> </v>
      </c>
      <c r="R23" s="8" t="str">
        <f>IFERROR(VLOOKUP($A23,'Project Reference'!$B$2:$J$41,9), " ")</f>
        <v xml:space="preserve"> </v>
      </c>
      <c r="S23" s="8" t="str">
        <f>IFERROR(VLOOKUP($A23,'Project Reference'!$B$2:$K$41,10), " ")</f>
        <v xml:space="preserve"> </v>
      </c>
      <c r="T23" s="8" t="str">
        <f>IFERROR(VLOOKUP($A23,'Project Reference'!$B$2:$L$41,11), " ")</f>
        <v xml:space="preserve"> </v>
      </c>
      <c r="U23" s="8" t="str">
        <f>IFERROR(VLOOKUP($A23,'Project Reference'!$B$2:$M$41,12), " ")</f>
        <v xml:space="preserve"> </v>
      </c>
      <c r="V23" s="8" t="str">
        <f>IFERROR(VLOOKUP($A23,'Project Reference'!$B$2:$N$41,13), " ")</f>
        <v xml:space="preserve"> </v>
      </c>
      <c r="W23" s="8" t="str">
        <f>IFERROR(VLOOKUP($A23,'Project Reference'!$B$2:$O$41,14), " ")</f>
        <v xml:space="preserve"> </v>
      </c>
      <c r="X23" s="8" t="str">
        <f>IFERROR(VLOOKUP($A23,'Project Reference'!$B$2:$P$41,15), " ")</f>
        <v xml:space="preserve"> </v>
      </c>
      <c r="Y23" s="9" t="str">
        <f>IFERROR(VLOOKUP($A23,'Project Reference'!$B$2:$Q$41,16), " ")</f>
        <v xml:space="preserve"> </v>
      </c>
      <c r="Z23" s="22"/>
    </row>
    <row r="24" spans="1:26" s="1" customFormat="1" x14ac:dyDescent="0.45">
      <c r="A24" s="70"/>
      <c r="B24" s="53" t="str">
        <f>IFERROR(VLOOKUP($A24,'Project Reference'!$S$2:$T$41,2),"Enter Project Number")</f>
        <v>Enter Project Number</v>
      </c>
      <c r="C24" s="54"/>
      <c r="D24" s="8"/>
      <c r="E24" s="8"/>
      <c r="F24" s="8"/>
      <c r="G24" s="8"/>
      <c r="H24" s="47"/>
      <c r="I24" s="9"/>
      <c r="J24" s="23"/>
      <c r="K24" s="47" t="str">
        <f>IFERROR(VLOOKUP($A24,'Project Reference'!$B$2:$C$41,2), " ")</f>
        <v xml:space="preserve"> </v>
      </c>
      <c r="L24" s="8" t="str">
        <f>IFERROR(VLOOKUP($A24,'Project Reference'!$B$2:$D$41,3), " ")</f>
        <v xml:space="preserve"> </v>
      </c>
      <c r="M24" s="54" t="str">
        <f>IFERROR(VLOOKUP($A24,'Project Reference'!$B$2:$E$41,4), " ")</f>
        <v xml:space="preserve"> </v>
      </c>
      <c r="N24" s="8" t="str">
        <f>IFERROR(VLOOKUP($A24,'Project Reference'!$B$2:$F$41,5), " ")</f>
        <v xml:space="preserve"> </v>
      </c>
      <c r="O24" s="8" t="str">
        <f>IFERROR(VLOOKUP($A24,'Project Reference'!$B$2:$G$41,6), " ")</f>
        <v xml:space="preserve"> </v>
      </c>
      <c r="P24" s="8" t="str">
        <f>IFERROR(VLOOKUP($A24,'Project Reference'!$B$2:$H$41,7), " ")</f>
        <v xml:space="preserve"> </v>
      </c>
      <c r="Q24" s="8" t="str">
        <f>IFERROR(VLOOKUP($A24,'Project Reference'!$B$2:$I$41,8), " ")</f>
        <v xml:space="preserve"> </v>
      </c>
      <c r="R24" s="8" t="str">
        <f>IFERROR(VLOOKUP($A24,'Project Reference'!$B$2:$J$41,9), " ")</f>
        <v xml:space="preserve"> </v>
      </c>
      <c r="S24" s="8" t="str">
        <f>IFERROR(VLOOKUP($A24,'Project Reference'!$B$2:$K$41,10), " ")</f>
        <v xml:space="preserve"> </v>
      </c>
      <c r="T24" s="8" t="str">
        <f>IFERROR(VLOOKUP($A24,'Project Reference'!$B$2:$L$41,11), " ")</f>
        <v xml:space="preserve"> </v>
      </c>
      <c r="U24" s="8" t="str">
        <f>IFERROR(VLOOKUP($A24,'Project Reference'!$B$2:$M$41,12), " ")</f>
        <v xml:space="preserve"> </v>
      </c>
      <c r="V24" s="8" t="str">
        <f>IFERROR(VLOOKUP($A24,'Project Reference'!$B$2:$N$41,13), " ")</f>
        <v xml:space="preserve"> </v>
      </c>
      <c r="W24" s="8" t="str">
        <f>IFERROR(VLOOKUP($A24,'Project Reference'!$B$2:$O$41,14), " ")</f>
        <v xml:space="preserve"> </v>
      </c>
      <c r="X24" s="8" t="str">
        <f>IFERROR(VLOOKUP($A24,'Project Reference'!$B$2:$P$41,15), " ")</f>
        <v xml:space="preserve"> </v>
      </c>
      <c r="Y24" s="9" t="str">
        <f>IFERROR(VLOOKUP($A24,'Project Reference'!$B$2:$Q$41,16), " ")</f>
        <v xml:space="preserve"> </v>
      </c>
      <c r="Z24" s="22"/>
    </row>
    <row r="25" spans="1:26" s="1" customFormat="1" x14ac:dyDescent="0.45">
      <c r="A25" s="70"/>
      <c r="B25" s="53" t="str">
        <f>IFERROR(VLOOKUP($A25,'Project Reference'!$S$2:$T$41,2),"Enter Project Number")</f>
        <v>Enter Project Number</v>
      </c>
      <c r="C25" s="54"/>
      <c r="D25" s="8"/>
      <c r="E25" s="8"/>
      <c r="F25" s="8"/>
      <c r="G25" s="8"/>
      <c r="H25" s="47"/>
      <c r="I25" s="9"/>
      <c r="J25" s="23"/>
      <c r="K25" s="47" t="str">
        <f>IFERROR(VLOOKUP($A25,'Project Reference'!$B$2:$C$41,2), " ")</f>
        <v xml:space="preserve"> </v>
      </c>
      <c r="L25" s="8" t="str">
        <f>IFERROR(VLOOKUP($A25,'Project Reference'!$B$2:$D$41,3), " ")</f>
        <v xml:space="preserve"> </v>
      </c>
      <c r="M25" s="54" t="str">
        <f>IFERROR(VLOOKUP($A25,'Project Reference'!$B$2:$E$41,4), " ")</f>
        <v xml:space="preserve"> </v>
      </c>
      <c r="N25" s="8" t="str">
        <f>IFERROR(VLOOKUP($A25,'Project Reference'!$B$2:$F$41,5), " ")</f>
        <v xml:space="preserve"> </v>
      </c>
      <c r="O25" s="8" t="str">
        <f>IFERROR(VLOOKUP($A25,'Project Reference'!$B$2:$G$41,6), " ")</f>
        <v xml:space="preserve"> </v>
      </c>
      <c r="P25" s="8" t="str">
        <f>IFERROR(VLOOKUP($A25,'Project Reference'!$B$2:$H$41,7), " ")</f>
        <v xml:space="preserve"> </v>
      </c>
      <c r="Q25" s="8" t="str">
        <f>IFERROR(VLOOKUP($A25,'Project Reference'!$B$2:$I$41,8), " ")</f>
        <v xml:space="preserve"> </v>
      </c>
      <c r="R25" s="8" t="str">
        <f>IFERROR(VLOOKUP($A25,'Project Reference'!$B$2:$J$41,9), " ")</f>
        <v xml:space="preserve"> </v>
      </c>
      <c r="S25" s="8" t="str">
        <f>IFERROR(VLOOKUP($A25,'Project Reference'!$B$2:$K$41,10), " ")</f>
        <v xml:space="preserve"> </v>
      </c>
      <c r="T25" s="8" t="str">
        <f>IFERROR(VLOOKUP($A25,'Project Reference'!$B$2:$L$41,11), " ")</f>
        <v xml:space="preserve"> </v>
      </c>
      <c r="U25" s="8" t="str">
        <f>IFERROR(VLOOKUP($A25,'Project Reference'!$B$2:$M$41,12), " ")</f>
        <v xml:space="preserve"> </v>
      </c>
      <c r="V25" s="8" t="str">
        <f>IFERROR(VLOOKUP($A25,'Project Reference'!$B$2:$N$41,13), " ")</f>
        <v xml:space="preserve"> </v>
      </c>
      <c r="W25" s="8" t="str">
        <f>IFERROR(VLOOKUP($A25,'Project Reference'!$B$2:$O$41,14), " ")</f>
        <v xml:space="preserve"> </v>
      </c>
      <c r="X25" s="8" t="str">
        <f>IFERROR(VLOOKUP($A25,'Project Reference'!$B$2:$P$41,15), " ")</f>
        <v xml:space="preserve"> </v>
      </c>
      <c r="Y25" s="9" t="str">
        <f>IFERROR(VLOOKUP($A25,'Project Reference'!$B$2:$Q$41,16), " ")</f>
        <v xml:space="preserve"> </v>
      </c>
      <c r="Z25" s="22"/>
    </row>
    <row r="26" spans="1:26" s="1" customFormat="1" x14ac:dyDescent="0.45">
      <c r="A26" s="70"/>
      <c r="B26" s="53" t="str">
        <f>IFERROR(VLOOKUP($A26,'Project Reference'!$S$2:$T$41,2),"Enter Project Number")</f>
        <v>Enter Project Number</v>
      </c>
      <c r="C26" s="54"/>
      <c r="D26" s="8"/>
      <c r="E26" s="8"/>
      <c r="F26" s="8"/>
      <c r="G26" s="8"/>
      <c r="H26" s="47"/>
      <c r="I26" s="9"/>
      <c r="J26" s="23"/>
      <c r="K26" s="47" t="str">
        <f>IFERROR(VLOOKUP($A26,'Project Reference'!$B$2:$C$41,2), " ")</f>
        <v xml:space="preserve"> </v>
      </c>
      <c r="L26" s="8" t="str">
        <f>IFERROR(VLOOKUP($A26,'Project Reference'!$B$2:$D$41,3), " ")</f>
        <v xml:space="preserve"> </v>
      </c>
      <c r="M26" s="54" t="str">
        <f>IFERROR(VLOOKUP($A26,'Project Reference'!$B$2:$E$41,4), " ")</f>
        <v xml:space="preserve"> </v>
      </c>
      <c r="N26" s="8" t="str">
        <f>IFERROR(VLOOKUP($A26,'Project Reference'!$B$2:$F$41,5), " ")</f>
        <v xml:space="preserve"> </v>
      </c>
      <c r="O26" s="8" t="str">
        <f>IFERROR(VLOOKUP($A26,'Project Reference'!$B$2:$G$41,6), " ")</f>
        <v xml:space="preserve"> </v>
      </c>
      <c r="P26" s="8" t="str">
        <f>IFERROR(VLOOKUP($A26,'Project Reference'!$B$2:$H$41,7), " ")</f>
        <v xml:space="preserve"> </v>
      </c>
      <c r="Q26" s="8" t="str">
        <f>IFERROR(VLOOKUP($A26,'Project Reference'!$B$2:$I$41,8), " ")</f>
        <v xml:space="preserve"> </v>
      </c>
      <c r="R26" s="8" t="str">
        <f>IFERROR(VLOOKUP($A26,'Project Reference'!$B$2:$J$41,9), " ")</f>
        <v xml:space="preserve"> </v>
      </c>
      <c r="S26" s="8" t="str">
        <f>IFERROR(VLOOKUP($A26,'Project Reference'!$B$2:$K$41,10), " ")</f>
        <v xml:space="preserve"> </v>
      </c>
      <c r="T26" s="8" t="str">
        <f>IFERROR(VLOOKUP($A26,'Project Reference'!$B$2:$L$41,11), " ")</f>
        <v xml:space="preserve"> </v>
      </c>
      <c r="U26" s="8" t="str">
        <f>IFERROR(VLOOKUP($A26,'Project Reference'!$B$2:$M$41,12), " ")</f>
        <v xml:space="preserve"> </v>
      </c>
      <c r="V26" s="8" t="str">
        <f>IFERROR(VLOOKUP($A26,'Project Reference'!$B$2:$N$41,13), " ")</f>
        <v xml:space="preserve"> </v>
      </c>
      <c r="W26" s="8" t="str">
        <f>IFERROR(VLOOKUP($A26,'Project Reference'!$B$2:$O$41,14), " ")</f>
        <v xml:space="preserve"> </v>
      </c>
      <c r="X26" s="8" t="str">
        <f>IFERROR(VLOOKUP($A26,'Project Reference'!$B$2:$P$41,15), " ")</f>
        <v xml:space="preserve"> </v>
      </c>
      <c r="Y26" s="9" t="str">
        <f>IFERROR(VLOOKUP($A26,'Project Reference'!$B$2:$Q$41,16), " ")</f>
        <v xml:space="preserve"> </v>
      </c>
      <c r="Z26" s="22"/>
    </row>
    <row r="27" spans="1:26" s="1" customFormat="1" x14ac:dyDescent="0.45">
      <c r="A27" s="70"/>
      <c r="B27" s="53" t="str">
        <f>IFERROR(VLOOKUP($A27,'Project Reference'!$S$2:$T$41,2),"Enter Project Number")</f>
        <v>Enter Project Number</v>
      </c>
      <c r="C27" s="54"/>
      <c r="D27" s="8"/>
      <c r="E27" s="8"/>
      <c r="F27" s="8"/>
      <c r="G27" s="8"/>
      <c r="H27" s="47"/>
      <c r="I27" s="9"/>
      <c r="J27" s="23"/>
      <c r="K27" s="47" t="str">
        <f>IFERROR(VLOOKUP($A27,'Project Reference'!$B$2:$C$41,2), " ")</f>
        <v xml:space="preserve"> </v>
      </c>
      <c r="L27" s="8" t="str">
        <f>IFERROR(VLOOKUP($A27,'Project Reference'!$B$2:$D$41,3), " ")</f>
        <v xml:space="preserve"> </v>
      </c>
      <c r="M27" s="54" t="str">
        <f>IFERROR(VLOOKUP($A27,'Project Reference'!$B$2:$E$41,4), " ")</f>
        <v xml:space="preserve"> </v>
      </c>
      <c r="N27" s="8" t="str">
        <f>IFERROR(VLOOKUP($A27,'Project Reference'!$B$2:$F$41,5), " ")</f>
        <v xml:space="preserve"> </v>
      </c>
      <c r="O27" s="8" t="str">
        <f>IFERROR(VLOOKUP($A27,'Project Reference'!$B$2:$G$41,6), " ")</f>
        <v xml:space="preserve"> </v>
      </c>
      <c r="P27" s="8" t="str">
        <f>IFERROR(VLOOKUP($A27,'Project Reference'!$B$2:$H$41,7), " ")</f>
        <v xml:space="preserve"> </v>
      </c>
      <c r="Q27" s="8" t="str">
        <f>IFERROR(VLOOKUP($A27,'Project Reference'!$B$2:$I$41,8), " ")</f>
        <v xml:space="preserve"> </v>
      </c>
      <c r="R27" s="8" t="str">
        <f>IFERROR(VLOOKUP($A27,'Project Reference'!$B$2:$J$41,9), " ")</f>
        <v xml:space="preserve"> </v>
      </c>
      <c r="S27" s="8" t="str">
        <f>IFERROR(VLOOKUP($A27,'Project Reference'!$B$2:$K$41,10), " ")</f>
        <v xml:space="preserve"> </v>
      </c>
      <c r="T27" s="8" t="str">
        <f>IFERROR(VLOOKUP($A27,'Project Reference'!$B$2:$L$41,11), " ")</f>
        <v xml:space="preserve"> </v>
      </c>
      <c r="U27" s="8" t="str">
        <f>IFERROR(VLOOKUP($A27,'Project Reference'!$B$2:$M$41,12), " ")</f>
        <v xml:space="preserve"> </v>
      </c>
      <c r="V27" s="8" t="str">
        <f>IFERROR(VLOOKUP($A27,'Project Reference'!$B$2:$N$41,13), " ")</f>
        <v xml:space="preserve"> </v>
      </c>
      <c r="W27" s="8" t="str">
        <f>IFERROR(VLOOKUP($A27,'Project Reference'!$B$2:$O$41,14), " ")</f>
        <v xml:space="preserve"> </v>
      </c>
      <c r="X27" s="8" t="str">
        <f>IFERROR(VLOOKUP($A27,'Project Reference'!$B$2:$P$41,15), " ")</f>
        <v xml:space="preserve"> </v>
      </c>
      <c r="Y27" s="9" t="str">
        <f>IFERROR(VLOOKUP($A27,'Project Reference'!$B$2:$Q$41,16), " ")</f>
        <v xml:space="preserve"> </v>
      </c>
      <c r="Z27" s="22"/>
    </row>
    <row r="28" spans="1:26" s="1" customFormat="1" x14ac:dyDescent="0.45">
      <c r="A28" s="70"/>
      <c r="B28" s="53" t="str">
        <f>IFERROR(VLOOKUP($A28,'Project Reference'!$S$2:$T$41,2),"Enter Project Number")</f>
        <v>Enter Project Number</v>
      </c>
      <c r="C28" s="54"/>
      <c r="D28" s="8"/>
      <c r="E28" s="8"/>
      <c r="F28" s="8"/>
      <c r="G28" s="8"/>
      <c r="H28" s="47"/>
      <c r="I28" s="9"/>
      <c r="J28" s="23"/>
      <c r="K28" s="47" t="str">
        <f>IFERROR(VLOOKUP($A28,'Project Reference'!$B$2:$C$41,2), " ")</f>
        <v xml:space="preserve"> </v>
      </c>
      <c r="L28" s="8" t="str">
        <f>IFERROR(VLOOKUP($A28,'Project Reference'!$B$2:$D$41,3), " ")</f>
        <v xml:space="preserve"> </v>
      </c>
      <c r="M28" s="54" t="str">
        <f>IFERROR(VLOOKUP($A28,'Project Reference'!$B$2:$E$41,4), " ")</f>
        <v xml:space="preserve"> </v>
      </c>
      <c r="N28" s="8" t="str">
        <f>IFERROR(VLOOKUP($A28,'Project Reference'!$B$2:$F$41,5), " ")</f>
        <v xml:space="preserve"> </v>
      </c>
      <c r="O28" s="8" t="str">
        <f>IFERROR(VLOOKUP($A28,'Project Reference'!$B$2:$G$41,6), " ")</f>
        <v xml:space="preserve"> </v>
      </c>
      <c r="P28" s="8" t="str">
        <f>IFERROR(VLOOKUP($A28,'Project Reference'!$B$2:$H$41,7), " ")</f>
        <v xml:space="preserve"> </v>
      </c>
      <c r="Q28" s="8" t="str">
        <f>IFERROR(VLOOKUP($A28,'Project Reference'!$B$2:$I$41,8), " ")</f>
        <v xml:space="preserve"> </v>
      </c>
      <c r="R28" s="8" t="str">
        <f>IFERROR(VLOOKUP($A28,'Project Reference'!$B$2:$J$41,9), " ")</f>
        <v xml:space="preserve"> </v>
      </c>
      <c r="S28" s="8" t="str">
        <f>IFERROR(VLOOKUP($A28,'Project Reference'!$B$2:$K$41,10), " ")</f>
        <v xml:space="preserve"> </v>
      </c>
      <c r="T28" s="8" t="str">
        <f>IFERROR(VLOOKUP($A28,'Project Reference'!$B$2:$L$41,11), " ")</f>
        <v xml:space="preserve"> </v>
      </c>
      <c r="U28" s="8" t="str">
        <f>IFERROR(VLOOKUP($A28,'Project Reference'!$B$2:$M$41,12), " ")</f>
        <v xml:space="preserve"> </v>
      </c>
      <c r="V28" s="8" t="str">
        <f>IFERROR(VLOOKUP($A28,'Project Reference'!$B$2:$N$41,13), " ")</f>
        <v xml:space="preserve"> </v>
      </c>
      <c r="W28" s="8" t="str">
        <f>IFERROR(VLOOKUP($A28,'Project Reference'!$B$2:$O$41,14), " ")</f>
        <v xml:space="preserve"> </v>
      </c>
      <c r="X28" s="8" t="str">
        <f>IFERROR(VLOOKUP($A28,'Project Reference'!$B$2:$P$41,15), " ")</f>
        <v xml:space="preserve"> </v>
      </c>
      <c r="Y28" s="9" t="str">
        <f>IFERROR(VLOOKUP($A28,'Project Reference'!$B$2:$Q$41,16), " ")</f>
        <v xml:space="preserve"> </v>
      </c>
      <c r="Z28" s="22"/>
    </row>
    <row r="29" spans="1:26" s="1" customFormat="1" x14ac:dyDescent="0.45">
      <c r="A29" s="70"/>
      <c r="B29" s="53" t="str">
        <f>IFERROR(VLOOKUP($A29,'Project Reference'!$S$2:$T$41,2),"Enter Project Number")</f>
        <v>Enter Project Number</v>
      </c>
      <c r="C29" s="54"/>
      <c r="D29" s="8"/>
      <c r="E29" s="8"/>
      <c r="F29" s="8"/>
      <c r="G29" s="8"/>
      <c r="H29" s="47"/>
      <c r="I29" s="9"/>
      <c r="J29" s="23"/>
      <c r="K29" s="47" t="str">
        <f>IFERROR(VLOOKUP($A29,'Project Reference'!$B$2:$C$41,2), " ")</f>
        <v xml:space="preserve"> </v>
      </c>
      <c r="L29" s="8" t="str">
        <f>IFERROR(VLOOKUP($A29,'Project Reference'!$B$2:$D$41,3), " ")</f>
        <v xml:space="preserve"> </v>
      </c>
      <c r="M29" s="54" t="str">
        <f>IFERROR(VLOOKUP($A29,'Project Reference'!$B$2:$E$41,4), " ")</f>
        <v xml:space="preserve"> </v>
      </c>
      <c r="N29" s="8" t="str">
        <f>IFERROR(VLOOKUP($A29,'Project Reference'!$B$2:$F$41,5), " ")</f>
        <v xml:space="preserve"> </v>
      </c>
      <c r="O29" s="8" t="str">
        <f>IFERROR(VLOOKUP($A29,'Project Reference'!$B$2:$G$41,6), " ")</f>
        <v xml:space="preserve"> </v>
      </c>
      <c r="P29" s="8" t="str">
        <f>IFERROR(VLOOKUP($A29,'Project Reference'!$B$2:$H$41,7), " ")</f>
        <v xml:space="preserve"> </v>
      </c>
      <c r="Q29" s="8" t="str">
        <f>IFERROR(VLOOKUP($A29,'Project Reference'!$B$2:$I$41,8), " ")</f>
        <v xml:space="preserve"> </v>
      </c>
      <c r="R29" s="8" t="str">
        <f>IFERROR(VLOOKUP($A29,'Project Reference'!$B$2:$J$41,9), " ")</f>
        <v xml:space="preserve"> </v>
      </c>
      <c r="S29" s="8" t="str">
        <f>IFERROR(VLOOKUP($A29,'Project Reference'!$B$2:$K$41,10), " ")</f>
        <v xml:space="preserve"> </v>
      </c>
      <c r="T29" s="8" t="str">
        <f>IFERROR(VLOOKUP($A29,'Project Reference'!$B$2:$L$41,11), " ")</f>
        <v xml:space="preserve"> </v>
      </c>
      <c r="U29" s="8" t="str">
        <f>IFERROR(VLOOKUP($A29,'Project Reference'!$B$2:$M$41,12), " ")</f>
        <v xml:space="preserve"> </v>
      </c>
      <c r="V29" s="8" t="str">
        <f>IFERROR(VLOOKUP($A29,'Project Reference'!$B$2:$N$41,13), " ")</f>
        <v xml:space="preserve"> </v>
      </c>
      <c r="W29" s="8" t="str">
        <f>IFERROR(VLOOKUP($A29,'Project Reference'!$B$2:$O$41,14), " ")</f>
        <v xml:space="preserve"> </v>
      </c>
      <c r="X29" s="8" t="str">
        <f>IFERROR(VLOOKUP($A29,'Project Reference'!$B$2:$P$41,15), " ")</f>
        <v xml:space="preserve"> </v>
      </c>
      <c r="Y29" s="9" t="str">
        <f>IFERROR(VLOOKUP($A29,'Project Reference'!$B$2:$Q$41,16), " ")</f>
        <v xml:space="preserve"> </v>
      </c>
      <c r="Z29" s="22"/>
    </row>
    <row r="30" spans="1:26" s="1" customFormat="1" x14ac:dyDescent="0.45">
      <c r="A30" s="70"/>
      <c r="B30" s="53" t="str">
        <f>IFERROR(VLOOKUP($A30,'Project Reference'!$S$2:$T$41,2),"Enter Project Number")</f>
        <v>Enter Project Number</v>
      </c>
      <c r="C30" s="54"/>
      <c r="D30" s="8"/>
      <c r="E30" s="8"/>
      <c r="F30" s="8"/>
      <c r="G30" s="8"/>
      <c r="H30" s="47"/>
      <c r="I30" s="9"/>
      <c r="J30" s="23"/>
      <c r="K30" s="47" t="str">
        <f>IFERROR(VLOOKUP($A30,'Project Reference'!$B$2:$C$41,2), " ")</f>
        <v xml:space="preserve"> </v>
      </c>
      <c r="L30" s="8" t="str">
        <f>IFERROR(VLOOKUP($A30,'Project Reference'!$B$2:$D$41,3), " ")</f>
        <v xml:space="preserve"> </v>
      </c>
      <c r="M30" s="54" t="str">
        <f>IFERROR(VLOOKUP($A30,'Project Reference'!$B$2:$E$41,4), " ")</f>
        <v xml:space="preserve"> </v>
      </c>
      <c r="N30" s="8" t="str">
        <f>IFERROR(VLOOKUP($A30,'Project Reference'!$B$2:$F$41,5), " ")</f>
        <v xml:space="preserve"> </v>
      </c>
      <c r="O30" s="8" t="str">
        <f>IFERROR(VLOOKUP($A30,'Project Reference'!$B$2:$G$41,6), " ")</f>
        <v xml:space="preserve"> </v>
      </c>
      <c r="P30" s="8" t="str">
        <f>IFERROR(VLOOKUP($A30,'Project Reference'!$B$2:$H$41,7), " ")</f>
        <v xml:space="preserve"> </v>
      </c>
      <c r="Q30" s="8" t="str">
        <f>IFERROR(VLOOKUP($A30,'Project Reference'!$B$2:$I$41,8), " ")</f>
        <v xml:space="preserve"> </v>
      </c>
      <c r="R30" s="8" t="str">
        <f>IFERROR(VLOOKUP($A30,'Project Reference'!$B$2:$J$41,9), " ")</f>
        <v xml:space="preserve"> </v>
      </c>
      <c r="S30" s="8" t="str">
        <f>IFERROR(VLOOKUP($A30,'Project Reference'!$B$2:$K$41,10), " ")</f>
        <v xml:space="preserve"> </v>
      </c>
      <c r="T30" s="8" t="str">
        <f>IFERROR(VLOOKUP($A30,'Project Reference'!$B$2:$L$41,11), " ")</f>
        <v xml:space="preserve"> </v>
      </c>
      <c r="U30" s="8" t="str">
        <f>IFERROR(VLOOKUP($A30,'Project Reference'!$B$2:$M$41,12), " ")</f>
        <v xml:space="preserve"> </v>
      </c>
      <c r="V30" s="8" t="str">
        <f>IFERROR(VLOOKUP($A30,'Project Reference'!$B$2:$N$41,13), " ")</f>
        <v xml:space="preserve"> </v>
      </c>
      <c r="W30" s="8" t="str">
        <f>IFERROR(VLOOKUP($A30,'Project Reference'!$B$2:$O$41,14), " ")</f>
        <v xml:space="preserve"> </v>
      </c>
      <c r="X30" s="8" t="str">
        <f>IFERROR(VLOOKUP($A30,'Project Reference'!$B$2:$P$41,15), " ")</f>
        <v xml:space="preserve"> </v>
      </c>
      <c r="Y30" s="9" t="str">
        <f>IFERROR(VLOOKUP($A30,'Project Reference'!$B$2:$Q$41,16), " ")</f>
        <v xml:space="preserve"> </v>
      </c>
      <c r="Z30" s="22"/>
    </row>
    <row r="31" spans="1:26" s="1" customFormat="1" x14ac:dyDescent="0.45">
      <c r="A31" s="70"/>
      <c r="B31" s="53" t="str">
        <f>IFERROR(VLOOKUP($A31,'Project Reference'!$S$2:$T$41,2),"Enter Project Number")</f>
        <v>Enter Project Number</v>
      </c>
      <c r="C31" s="54"/>
      <c r="D31" s="8"/>
      <c r="E31" s="8"/>
      <c r="F31" s="8"/>
      <c r="G31" s="8"/>
      <c r="H31" s="47"/>
      <c r="I31" s="9"/>
      <c r="J31" s="23"/>
      <c r="K31" s="47" t="str">
        <f>IFERROR(VLOOKUP($A31,'Project Reference'!$B$2:$C$41,2), " ")</f>
        <v xml:space="preserve"> </v>
      </c>
      <c r="L31" s="8" t="str">
        <f>IFERROR(VLOOKUP($A31,'Project Reference'!$B$2:$D$41,3), " ")</f>
        <v xml:space="preserve"> </v>
      </c>
      <c r="M31" s="54" t="str">
        <f>IFERROR(VLOOKUP($A31,'Project Reference'!$B$2:$E$41,4), " ")</f>
        <v xml:space="preserve"> </v>
      </c>
      <c r="N31" s="8" t="str">
        <f>IFERROR(VLOOKUP($A31,'Project Reference'!$B$2:$F$41,5), " ")</f>
        <v xml:space="preserve"> </v>
      </c>
      <c r="O31" s="8" t="str">
        <f>IFERROR(VLOOKUP($A31,'Project Reference'!$B$2:$G$41,6), " ")</f>
        <v xml:space="preserve"> </v>
      </c>
      <c r="P31" s="8" t="str">
        <f>IFERROR(VLOOKUP($A31,'Project Reference'!$B$2:$H$41,7), " ")</f>
        <v xml:space="preserve"> </v>
      </c>
      <c r="Q31" s="8" t="str">
        <f>IFERROR(VLOOKUP($A31,'Project Reference'!$B$2:$I$41,8), " ")</f>
        <v xml:space="preserve"> </v>
      </c>
      <c r="R31" s="8" t="str">
        <f>IFERROR(VLOOKUP($A31,'Project Reference'!$B$2:$J$41,9), " ")</f>
        <v xml:space="preserve"> </v>
      </c>
      <c r="S31" s="8" t="str">
        <f>IFERROR(VLOOKUP($A31,'Project Reference'!$B$2:$K$41,10), " ")</f>
        <v xml:space="preserve"> </v>
      </c>
      <c r="T31" s="8" t="str">
        <f>IFERROR(VLOOKUP($A31,'Project Reference'!$B$2:$L$41,11), " ")</f>
        <v xml:space="preserve"> </v>
      </c>
      <c r="U31" s="8" t="str">
        <f>IFERROR(VLOOKUP($A31,'Project Reference'!$B$2:$M$41,12), " ")</f>
        <v xml:space="preserve"> </v>
      </c>
      <c r="V31" s="8" t="str">
        <f>IFERROR(VLOOKUP($A31,'Project Reference'!$B$2:$N$41,13), " ")</f>
        <v xml:space="preserve"> </v>
      </c>
      <c r="W31" s="8" t="str">
        <f>IFERROR(VLOOKUP($A31,'Project Reference'!$B$2:$O$41,14), " ")</f>
        <v xml:space="preserve"> </v>
      </c>
      <c r="X31" s="8" t="str">
        <f>IFERROR(VLOOKUP($A31,'Project Reference'!$B$2:$P$41,15), " ")</f>
        <v xml:space="preserve"> </v>
      </c>
      <c r="Y31" s="9" t="str">
        <f>IFERROR(VLOOKUP($A31,'Project Reference'!$B$2:$Q$41,16), " ")</f>
        <v xml:space="preserve"> </v>
      </c>
      <c r="Z31" s="22"/>
    </row>
    <row r="32" spans="1:26" s="1" customFormat="1" x14ac:dyDescent="0.45">
      <c r="A32" s="70"/>
      <c r="B32" s="53" t="str">
        <f>IFERROR(VLOOKUP($A32,'Project Reference'!$S$2:$T$41,2),"Enter Project Number")</f>
        <v>Enter Project Number</v>
      </c>
      <c r="C32" s="54"/>
      <c r="D32" s="8"/>
      <c r="E32" s="8"/>
      <c r="F32" s="8"/>
      <c r="G32" s="8"/>
      <c r="H32" s="47"/>
      <c r="I32" s="9"/>
      <c r="J32" s="23"/>
      <c r="K32" s="47" t="str">
        <f>IFERROR(VLOOKUP($A32,'Project Reference'!$B$2:$C$41,2), " ")</f>
        <v xml:space="preserve"> </v>
      </c>
      <c r="L32" s="8" t="str">
        <f>IFERROR(VLOOKUP($A32,'Project Reference'!$B$2:$D$41,3), " ")</f>
        <v xml:space="preserve"> </v>
      </c>
      <c r="M32" s="54" t="str">
        <f>IFERROR(VLOOKUP($A32,'Project Reference'!$B$2:$E$41,4), " ")</f>
        <v xml:space="preserve"> </v>
      </c>
      <c r="N32" s="8" t="str">
        <f>IFERROR(VLOOKUP($A32,'Project Reference'!$B$2:$F$41,5), " ")</f>
        <v xml:space="preserve"> </v>
      </c>
      <c r="O32" s="8" t="str">
        <f>IFERROR(VLOOKUP($A32,'Project Reference'!$B$2:$G$41,6), " ")</f>
        <v xml:space="preserve"> </v>
      </c>
      <c r="P32" s="8" t="str">
        <f>IFERROR(VLOOKUP($A32,'Project Reference'!$B$2:$H$41,7), " ")</f>
        <v xml:space="preserve"> </v>
      </c>
      <c r="Q32" s="8" t="str">
        <f>IFERROR(VLOOKUP($A32,'Project Reference'!$B$2:$I$41,8), " ")</f>
        <v xml:space="preserve"> </v>
      </c>
      <c r="R32" s="8" t="str">
        <f>IFERROR(VLOOKUP($A32,'Project Reference'!$B$2:$J$41,9), " ")</f>
        <v xml:space="preserve"> </v>
      </c>
      <c r="S32" s="8" t="str">
        <f>IFERROR(VLOOKUP($A32,'Project Reference'!$B$2:$K$41,10), " ")</f>
        <v xml:space="preserve"> </v>
      </c>
      <c r="T32" s="8" t="str">
        <f>IFERROR(VLOOKUP($A32,'Project Reference'!$B$2:$L$41,11), " ")</f>
        <v xml:space="preserve"> </v>
      </c>
      <c r="U32" s="8" t="str">
        <f>IFERROR(VLOOKUP($A32,'Project Reference'!$B$2:$M$41,12), " ")</f>
        <v xml:space="preserve"> </v>
      </c>
      <c r="V32" s="8" t="str">
        <f>IFERROR(VLOOKUP($A32,'Project Reference'!$B$2:$N$41,13), " ")</f>
        <v xml:space="preserve"> </v>
      </c>
      <c r="W32" s="8" t="str">
        <f>IFERROR(VLOOKUP($A32,'Project Reference'!$B$2:$O$41,14), " ")</f>
        <v xml:space="preserve"> </v>
      </c>
      <c r="X32" s="8" t="str">
        <f>IFERROR(VLOOKUP($A32,'Project Reference'!$B$2:$P$41,15), " ")</f>
        <v xml:space="preserve"> </v>
      </c>
      <c r="Y32" s="9" t="str">
        <f>IFERROR(VLOOKUP($A32,'Project Reference'!$B$2:$Q$41,16), " ")</f>
        <v xml:space="preserve"> </v>
      </c>
      <c r="Z32" s="22"/>
    </row>
    <row r="33" spans="1:26" s="1" customFormat="1" x14ac:dyDescent="0.45">
      <c r="A33" s="70"/>
      <c r="B33" s="53" t="str">
        <f>IFERROR(VLOOKUP($A33,'Project Reference'!$S$2:$T$41,2),"Enter Project Number")</f>
        <v>Enter Project Number</v>
      </c>
      <c r="C33" s="54"/>
      <c r="D33" s="8"/>
      <c r="E33" s="8"/>
      <c r="F33" s="8"/>
      <c r="G33" s="8"/>
      <c r="H33" s="47"/>
      <c r="I33" s="9"/>
      <c r="J33" s="23"/>
      <c r="K33" s="47" t="str">
        <f>IFERROR(VLOOKUP($A33,'Project Reference'!$B$2:$C$41,2), " ")</f>
        <v xml:space="preserve"> </v>
      </c>
      <c r="L33" s="8" t="str">
        <f>IFERROR(VLOOKUP($A33,'Project Reference'!$B$2:$D$41,3), " ")</f>
        <v xml:space="preserve"> </v>
      </c>
      <c r="M33" s="54" t="str">
        <f>IFERROR(VLOOKUP($A33,'Project Reference'!$B$2:$E$41,4), " ")</f>
        <v xml:space="preserve"> </v>
      </c>
      <c r="N33" s="8" t="str">
        <f>IFERROR(VLOOKUP($A33,'Project Reference'!$B$2:$F$41,5), " ")</f>
        <v xml:space="preserve"> </v>
      </c>
      <c r="O33" s="8" t="str">
        <f>IFERROR(VLOOKUP($A33,'Project Reference'!$B$2:$G$41,6), " ")</f>
        <v xml:space="preserve"> </v>
      </c>
      <c r="P33" s="8" t="str">
        <f>IFERROR(VLOOKUP($A33,'Project Reference'!$B$2:$H$41,7), " ")</f>
        <v xml:space="preserve"> </v>
      </c>
      <c r="Q33" s="8" t="str">
        <f>IFERROR(VLOOKUP($A33,'Project Reference'!$B$2:$I$41,8), " ")</f>
        <v xml:space="preserve"> </v>
      </c>
      <c r="R33" s="8" t="str">
        <f>IFERROR(VLOOKUP($A33,'Project Reference'!$B$2:$J$41,9), " ")</f>
        <v xml:space="preserve"> </v>
      </c>
      <c r="S33" s="8" t="str">
        <f>IFERROR(VLOOKUP($A33,'Project Reference'!$B$2:$K$41,10), " ")</f>
        <v xml:space="preserve"> </v>
      </c>
      <c r="T33" s="8" t="str">
        <f>IFERROR(VLOOKUP($A33,'Project Reference'!$B$2:$L$41,11), " ")</f>
        <v xml:space="preserve"> </v>
      </c>
      <c r="U33" s="8" t="str">
        <f>IFERROR(VLOOKUP($A33,'Project Reference'!$B$2:$M$41,12), " ")</f>
        <v xml:space="preserve"> </v>
      </c>
      <c r="V33" s="8" t="str">
        <f>IFERROR(VLOOKUP($A33,'Project Reference'!$B$2:$N$41,13), " ")</f>
        <v xml:space="preserve"> </v>
      </c>
      <c r="W33" s="8" t="str">
        <f>IFERROR(VLOOKUP($A33,'Project Reference'!$B$2:$O$41,14), " ")</f>
        <v xml:space="preserve"> </v>
      </c>
      <c r="X33" s="8" t="str">
        <f>IFERROR(VLOOKUP($A33,'Project Reference'!$B$2:$P$41,15), " ")</f>
        <v xml:space="preserve"> </v>
      </c>
      <c r="Y33" s="9" t="str">
        <f>IFERROR(VLOOKUP($A33,'Project Reference'!$B$2:$Q$41,16), " ")</f>
        <v xml:space="preserve"> </v>
      </c>
      <c r="Z33" s="22"/>
    </row>
    <row r="34" spans="1:26" s="1" customFormat="1" x14ac:dyDescent="0.45">
      <c r="A34" s="70"/>
      <c r="B34" s="53" t="str">
        <f>IFERROR(VLOOKUP($A34,'Project Reference'!$S$2:$T$41,2),"Enter Project Number")</f>
        <v>Enter Project Number</v>
      </c>
      <c r="C34" s="54"/>
      <c r="D34" s="8"/>
      <c r="E34" s="8"/>
      <c r="F34" s="8"/>
      <c r="G34" s="8"/>
      <c r="H34" s="47"/>
      <c r="I34" s="9"/>
      <c r="J34" s="23"/>
      <c r="K34" s="47" t="str">
        <f>IFERROR(VLOOKUP($A34,'Project Reference'!$B$2:$C$41,2), " ")</f>
        <v xml:space="preserve"> </v>
      </c>
      <c r="L34" s="8" t="str">
        <f>IFERROR(VLOOKUP($A34,'Project Reference'!$B$2:$D$41,3), " ")</f>
        <v xml:space="preserve"> </v>
      </c>
      <c r="M34" s="54" t="str">
        <f>IFERROR(VLOOKUP($A34,'Project Reference'!$B$2:$E$41,4), " ")</f>
        <v xml:space="preserve"> </v>
      </c>
      <c r="N34" s="8" t="str">
        <f>IFERROR(VLOOKUP($A34,'Project Reference'!$B$2:$F$41,5), " ")</f>
        <v xml:space="preserve"> </v>
      </c>
      <c r="O34" s="8" t="str">
        <f>IFERROR(VLOOKUP($A34,'Project Reference'!$B$2:$G$41,6), " ")</f>
        <v xml:space="preserve"> </v>
      </c>
      <c r="P34" s="8" t="str">
        <f>IFERROR(VLOOKUP($A34,'Project Reference'!$B$2:$H$41,7), " ")</f>
        <v xml:space="preserve"> </v>
      </c>
      <c r="Q34" s="8" t="str">
        <f>IFERROR(VLOOKUP($A34,'Project Reference'!$B$2:$I$41,8), " ")</f>
        <v xml:space="preserve"> </v>
      </c>
      <c r="R34" s="8" t="str">
        <f>IFERROR(VLOOKUP($A34,'Project Reference'!$B$2:$J$41,9), " ")</f>
        <v xml:space="preserve"> </v>
      </c>
      <c r="S34" s="8" t="str">
        <f>IFERROR(VLOOKUP($A34,'Project Reference'!$B$2:$K$41,10), " ")</f>
        <v xml:space="preserve"> </v>
      </c>
      <c r="T34" s="8" t="str">
        <f>IFERROR(VLOOKUP($A34,'Project Reference'!$B$2:$L$41,11), " ")</f>
        <v xml:space="preserve"> </v>
      </c>
      <c r="U34" s="8" t="str">
        <f>IFERROR(VLOOKUP($A34,'Project Reference'!$B$2:$M$41,12), " ")</f>
        <v xml:space="preserve"> </v>
      </c>
      <c r="V34" s="8" t="str">
        <f>IFERROR(VLOOKUP($A34,'Project Reference'!$B$2:$N$41,13), " ")</f>
        <v xml:space="preserve"> </v>
      </c>
      <c r="W34" s="8" t="str">
        <f>IFERROR(VLOOKUP($A34,'Project Reference'!$B$2:$O$41,14), " ")</f>
        <v xml:space="preserve"> </v>
      </c>
      <c r="X34" s="8" t="str">
        <f>IFERROR(VLOOKUP($A34,'Project Reference'!$B$2:$P$41,15), " ")</f>
        <v xml:space="preserve"> </v>
      </c>
      <c r="Y34" s="9" t="str">
        <f>IFERROR(VLOOKUP($A34,'Project Reference'!$B$2:$Q$41,16), " ")</f>
        <v xml:space="preserve"> </v>
      </c>
      <c r="Z34" s="22"/>
    </row>
    <row r="35" spans="1:26" s="1" customFormat="1" x14ac:dyDescent="0.45">
      <c r="A35" s="70"/>
      <c r="B35" s="53" t="str">
        <f>IFERROR(VLOOKUP($A35,'Project Reference'!$S$2:$T$41,2),"Enter Project Number")</f>
        <v>Enter Project Number</v>
      </c>
      <c r="C35" s="54"/>
      <c r="D35" s="8"/>
      <c r="E35" s="8"/>
      <c r="F35" s="8"/>
      <c r="G35" s="8"/>
      <c r="H35" s="47"/>
      <c r="I35" s="9"/>
      <c r="J35" s="23"/>
      <c r="K35" s="47" t="str">
        <f>IFERROR(VLOOKUP($A35,'Project Reference'!$B$2:$C$41,2), " ")</f>
        <v xml:space="preserve"> </v>
      </c>
      <c r="L35" s="8" t="str">
        <f>IFERROR(VLOOKUP($A35,'Project Reference'!$B$2:$D$41,3), " ")</f>
        <v xml:space="preserve"> </v>
      </c>
      <c r="M35" s="54" t="str">
        <f>IFERROR(VLOOKUP($A35,'Project Reference'!$B$2:$E$41,4), " ")</f>
        <v xml:space="preserve"> </v>
      </c>
      <c r="N35" s="8" t="str">
        <f>IFERROR(VLOOKUP($A35,'Project Reference'!$B$2:$F$41,5), " ")</f>
        <v xml:space="preserve"> </v>
      </c>
      <c r="O35" s="8" t="str">
        <f>IFERROR(VLOOKUP($A35,'Project Reference'!$B$2:$G$41,6), " ")</f>
        <v xml:space="preserve"> </v>
      </c>
      <c r="P35" s="8" t="str">
        <f>IFERROR(VLOOKUP($A35,'Project Reference'!$B$2:$H$41,7), " ")</f>
        <v xml:space="preserve"> </v>
      </c>
      <c r="Q35" s="8" t="str">
        <f>IFERROR(VLOOKUP($A35,'Project Reference'!$B$2:$I$41,8), " ")</f>
        <v xml:space="preserve"> </v>
      </c>
      <c r="R35" s="8" t="str">
        <f>IFERROR(VLOOKUP($A35,'Project Reference'!$B$2:$J$41,9), " ")</f>
        <v xml:space="preserve"> </v>
      </c>
      <c r="S35" s="8" t="str">
        <f>IFERROR(VLOOKUP($A35,'Project Reference'!$B$2:$K$41,10), " ")</f>
        <v xml:space="preserve"> </v>
      </c>
      <c r="T35" s="8" t="str">
        <f>IFERROR(VLOOKUP($A35,'Project Reference'!$B$2:$L$41,11), " ")</f>
        <v xml:space="preserve"> </v>
      </c>
      <c r="U35" s="8" t="str">
        <f>IFERROR(VLOOKUP($A35,'Project Reference'!$B$2:$M$41,12), " ")</f>
        <v xml:space="preserve"> </v>
      </c>
      <c r="V35" s="8" t="str">
        <f>IFERROR(VLOOKUP($A35,'Project Reference'!$B$2:$N$41,13), " ")</f>
        <v xml:space="preserve"> </v>
      </c>
      <c r="W35" s="8" t="str">
        <f>IFERROR(VLOOKUP($A35,'Project Reference'!$B$2:$O$41,14), " ")</f>
        <v xml:space="preserve"> </v>
      </c>
      <c r="X35" s="8" t="str">
        <f>IFERROR(VLOOKUP($A35,'Project Reference'!$B$2:$P$41,15), " ")</f>
        <v xml:space="preserve"> </v>
      </c>
      <c r="Y35" s="9" t="str">
        <f>IFERROR(VLOOKUP($A35,'Project Reference'!$B$2:$Q$41,16), " ")</f>
        <v xml:space="preserve"> </v>
      </c>
      <c r="Z35" s="22"/>
    </row>
    <row r="36" spans="1:26" s="1" customFormat="1" x14ac:dyDescent="0.45">
      <c r="A36" s="70"/>
      <c r="B36" s="53" t="str">
        <f>IFERROR(VLOOKUP($A36,'Project Reference'!$S$2:$T$41,2),"Enter Project Number")</f>
        <v>Enter Project Number</v>
      </c>
      <c r="C36" s="54"/>
      <c r="D36" s="8"/>
      <c r="E36" s="8"/>
      <c r="F36" s="8"/>
      <c r="G36" s="8"/>
      <c r="H36" s="47"/>
      <c r="I36" s="9"/>
      <c r="J36" s="23"/>
      <c r="K36" s="47" t="str">
        <f>IFERROR(VLOOKUP($A36,'Project Reference'!$B$2:$C$41,2), " ")</f>
        <v xml:space="preserve"> </v>
      </c>
      <c r="L36" s="8" t="str">
        <f>IFERROR(VLOOKUP($A36,'Project Reference'!$B$2:$D$41,3), " ")</f>
        <v xml:space="preserve"> </v>
      </c>
      <c r="M36" s="54" t="str">
        <f>IFERROR(VLOOKUP($A36,'Project Reference'!$B$2:$E$41,4), " ")</f>
        <v xml:space="preserve"> </v>
      </c>
      <c r="N36" s="8" t="str">
        <f>IFERROR(VLOOKUP($A36,'Project Reference'!$B$2:$F$41,5), " ")</f>
        <v xml:space="preserve"> </v>
      </c>
      <c r="O36" s="8" t="str">
        <f>IFERROR(VLOOKUP($A36,'Project Reference'!$B$2:$G$41,6), " ")</f>
        <v xml:space="preserve"> </v>
      </c>
      <c r="P36" s="8" t="str">
        <f>IFERROR(VLOOKUP($A36,'Project Reference'!$B$2:$H$41,7), " ")</f>
        <v xml:space="preserve"> </v>
      </c>
      <c r="Q36" s="8" t="str">
        <f>IFERROR(VLOOKUP($A36,'Project Reference'!$B$2:$I$41,8), " ")</f>
        <v xml:space="preserve"> </v>
      </c>
      <c r="R36" s="8" t="str">
        <f>IFERROR(VLOOKUP($A36,'Project Reference'!$B$2:$J$41,9), " ")</f>
        <v xml:space="preserve"> </v>
      </c>
      <c r="S36" s="8" t="str">
        <f>IFERROR(VLOOKUP($A36,'Project Reference'!$B$2:$K$41,10), " ")</f>
        <v xml:space="preserve"> </v>
      </c>
      <c r="T36" s="8" t="str">
        <f>IFERROR(VLOOKUP($A36,'Project Reference'!$B$2:$L$41,11), " ")</f>
        <v xml:space="preserve"> </v>
      </c>
      <c r="U36" s="8" t="str">
        <f>IFERROR(VLOOKUP($A36,'Project Reference'!$B$2:$M$41,12), " ")</f>
        <v xml:space="preserve"> </v>
      </c>
      <c r="V36" s="8" t="str">
        <f>IFERROR(VLOOKUP($A36,'Project Reference'!$B$2:$N$41,13), " ")</f>
        <v xml:space="preserve"> </v>
      </c>
      <c r="W36" s="8" t="str">
        <f>IFERROR(VLOOKUP($A36,'Project Reference'!$B$2:$O$41,14), " ")</f>
        <v xml:space="preserve"> </v>
      </c>
      <c r="X36" s="8" t="str">
        <f>IFERROR(VLOOKUP($A36,'Project Reference'!$B$2:$P$41,15), " ")</f>
        <v xml:space="preserve"> </v>
      </c>
      <c r="Y36" s="9" t="str">
        <f>IFERROR(VLOOKUP($A36,'Project Reference'!$B$2:$Q$41,16), " ")</f>
        <v xml:space="preserve"> </v>
      </c>
      <c r="Z36" s="22"/>
    </row>
    <row r="37" spans="1:26" s="1" customFormat="1" x14ac:dyDescent="0.45">
      <c r="A37" s="70"/>
      <c r="B37" s="53" t="str">
        <f>IFERROR(VLOOKUP($A37,'Project Reference'!$S$2:$T$41,2),"Enter Project Number")</f>
        <v>Enter Project Number</v>
      </c>
      <c r="C37" s="54"/>
      <c r="D37" s="8"/>
      <c r="E37" s="8"/>
      <c r="F37" s="8"/>
      <c r="G37" s="8"/>
      <c r="H37" s="47"/>
      <c r="I37" s="9"/>
      <c r="J37" s="23"/>
      <c r="K37" s="47" t="str">
        <f>IFERROR(VLOOKUP($A37,'Project Reference'!$B$2:$C$41,2), " ")</f>
        <v xml:space="preserve"> </v>
      </c>
      <c r="L37" s="8" t="str">
        <f>IFERROR(VLOOKUP($A37,'Project Reference'!$B$2:$D$41,3), " ")</f>
        <v xml:space="preserve"> </v>
      </c>
      <c r="M37" s="54" t="str">
        <f>IFERROR(VLOOKUP($A37,'Project Reference'!$B$2:$E$41,4), " ")</f>
        <v xml:space="preserve"> </v>
      </c>
      <c r="N37" s="8" t="str">
        <f>IFERROR(VLOOKUP($A37,'Project Reference'!$B$2:$F$41,5), " ")</f>
        <v xml:space="preserve"> </v>
      </c>
      <c r="O37" s="8" t="str">
        <f>IFERROR(VLOOKUP($A37,'Project Reference'!$B$2:$G$41,6), " ")</f>
        <v xml:space="preserve"> </v>
      </c>
      <c r="P37" s="8" t="str">
        <f>IFERROR(VLOOKUP($A37,'Project Reference'!$B$2:$H$41,7), " ")</f>
        <v xml:space="preserve"> </v>
      </c>
      <c r="Q37" s="8" t="str">
        <f>IFERROR(VLOOKUP($A37,'Project Reference'!$B$2:$I$41,8), " ")</f>
        <v xml:space="preserve"> </v>
      </c>
      <c r="R37" s="8" t="str">
        <f>IFERROR(VLOOKUP($A37,'Project Reference'!$B$2:$J$41,9), " ")</f>
        <v xml:space="preserve"> </v>
      </c>
      <c r="S37" s="8" t="str">
        <f>IFERROR(VLOOKUP($A37,'Project Reference'!$B$2:$K$41,10), " ")</f>
        <v xml:space="preserve"> </v>
      </c>
      <c r="T37" s="8" t="str">
        <f>IFERROR(VLOOKUP($A37,'Project Reference'!$B$2:$L$41,11), " ")</f>
        <v xml:space="preserve"> </v>
      </c>
      <c r="U37" s="8" t="str">
        <f>IFERROR(VLOOKUP($A37,'Project Reference'!$B$2:$M$41,12), " ")</f>
        <v xml:space="preserve"> </v>
      </c>
      <c r="V37" s="8" t="str">
        <f>IFERROR(VLOOKUP($A37,'Project Reference'!$B$2:$N$41,13), " ")</f>
        <v xml:space="preserve"> </v>
      </c>
      <c r="W37" s="8" t="str">
        <f>IFERROR(VLOOKUP($A37,'Project Reference'!$B$2:$O$41,14), " ")</f>
        <v xml:space="preserve"> </v>
      </c>
      <c r="X37" s="8" t="str">
        <f>IFERROR(VLOOKUP($A37,'Project Reference'!$B$2:$P$41,15), " ")</f>
        <v xml:space="preserve"> </v>
      </c>
      <c r="Y37" s="9" t="str">
        <f>IFERROR(VLOOKUP($A37,'Project Reference'!$B$2:$Q$41,16), " ")</f>
        <v xml:space="preserve"> </v>
      </c>
      <c r="Z37" s="22"/>
    </row>
    <row r="38" spans="1:26" s="1" customFormat="1" x14ac:dyDescent="0.45">
      <c r="A38" s="70"/>
      <c r="B38" s="53" t="str">
        <f>IFERROR(VLOOKUP($A38,'Project Reference'!$S$2:$T$41,2),"Enter Project Number")</f>
        <v>Enter Project Number</v>
      </c>
      <c r="C38" s="54"/>
      <c r="D38" s="8"/>
      <c r="E38" s="8"/>
      <c r="F38" s="8"/>
      <c r="G38" s="8"/>
      <c r="H38" s="47"/>
      <c r="I38" s="9"/>
      <c r="J38" s="23"/>
      <c r="K38" s="47" t="str">
        <f>IFERROR(VLOOKUP($A38,'Project Reference'!$B$2:$C$41,2), " ")</f>
        <v xml:space="preserve"> </v>
      </c>
      <c r="L38" s="8" t="str">
        <f>IFERROR(VLOOKUP($A38,'Project Reference'!$B$2:$D$41,3), " ")</f>
        <v xml:space="preserve"> </v>
      </c>
      <c r="M38" s="54" t="str">
        <f>IFERROR(VLOOKUP($A38,'Project Reference'!$B$2:$E$41,4), " ")</f>
        <v xml:space="preserve"> </v>
      </c>
      <c r="N38" s="8" t="str">
        <f>IFERROR(VLOOKUP($A38,'Project Reference'!$B$2:$F$41,5), " ")</f>
        <v xml:space="preserve"> </v>
      </c>
      <c r="O38" s="8" t="str">
        <f>IFERROR(VLOOKUP($A38,'Project Reference'!$B$2:$G$41,6), " ")</f>
        <v xml:space="preserve"> </v>
      </c>
      <c r="P38" s="8" t="str">
        <f>IFERROR(VLOOKUP($A38,'Project Reference'!$B$2:$H$41,7), " ")</f>
        <v xml:space="preserve"> </v>
      </c>
      <c r="Q38" s="8" t="str">
        <f>IFERROR(VLOOKUP($A38,'Project Reference'!$B$2:$I$41,8), " ")</f>
        <v xml:space="preserve"> </v>
      </c>
      <c r="R38" s="8" t="str">
        <f>IFERROR(VLOOKUP($A38,'Project Reference'!$B$2:$J$41,9), " ")</f>
        <v xml:space="preserve"> </v>
      </c>
      <c r="S38" s="8" t="str">
        <f>IFERROR(VLOOKUP($A38,'Project Reference'!$B$2:$K$41,10), " ")</f>
        <v xml:space="preserve"> </v>
      </c>
      <c r="T38" s="8" t="str">
        <f>IFERROR(VLOOKUP($A38,'Project Reference'!$B$2:$L$41,11), " ")</f>
        <v xml:space="preserve"> </v>
      </c>
      <c r="U38" s="8" t="str">
        <f>IFERROR(VLOOKUP($A38,'Project Reference'!$B$2:$M$41,12), " ")</f>
        <v xml:space="preserve"> </v>
      </c>
      <c r="V38" s="8" t="str">
        <f>IFERROR(VLOOKUP($A38,'Project Reference'!$B$2:$N$41,13), " ")</f>
        <v xml:space="preserve"> </v>
      </c>
      <c r="W38" s="8" t="str">
        <f>IFERROR(VLOOKUP($A38,'Project Reference'!$B$2:$O$41,14), " ")</f>
        <v xml:space="preserve"> </v>
      </c>
      <c r="X38" s="8" t="str">
        <f>IFERROR(VLOOKUP($A38,'Project Reference'!$B$2:$P$41,15), " ")</f>
        <v xml:space="preserve"> </v>
      </c>
      <c r="Y38" s="9" t="str">
        <f>IFERROR(VLOOKUP($A38,'Project Reference'!$B$2:$Q$41,16), " ")</f>
        <v xml:space="preserve"> </v>
      </c>
      <c r="Z38" s="22"/>
    </row>
    <row r="39" spans="1:26" s="1" customFormat="1" x14ac:dyDescent="0.45">
      <c r="A39" s="70"/>
      <c r="B39" s="53" t="str">
        <f>IFERROR(VLOOKUP($A39,'Project Reference'!$S$2:$T$41,2),"Enter Project Number")</f>
        <v>Enter Project Number</v>
      </c>
      <c r="C39" s="54"/>
      <c r="D39" s="8"/>
      <c r="E39" s="8"/>
      <c r="F39" s="8"/>
      <c r="G39" s="8"/>
      <c r="H39" s="47"/>
      <c r="I39" s="9"/>
      <c r="J39" s="23"/>
      <c r="K39" s="47" t="str">
        <f>IFERROR(VLOOKUP($A39,'Project Reference'!$B$2:$C$41,2), " ")</f>
        <v xml:space="preserve"> </v>
      </c>
      <c r="L39" s="8" t="str">
        <f>IFERROR(VLOOKUP($A39,'Project Reference'!$B$2:$D$41,3), " ")</f>
        <v xml:space="preserve"> </v>
      </c>
      <c r="M39" s="54" t="str">
        <f>IFERROR(VLOOKUP($A39,'Project Reference'!$B$2:$E$41,4), " ")</f>
        <v xml:space="preserve"> </v>
      </c>
      <c r="N39" s="8" t="str">
        <f>IFERROR(VLOOKUP($A39,'Project Reference'!$B$2:$F$41,5), " ")</f>
        <v xml:space="preserve"> </v>
      </c>
      <c r="O39" s="8" t="str">
        <f>IFERROR(VLOOKUP($A39,'Project Reference'!$B$2:$G$41,6), " ")</f>
        <v xml:space="preserve"> </v>
      </c>
      <c r="P39" s="8" t="str">
        <f>IFERROR(VLOOKUP($A39,'Project Reference'!$B$2:$H$41,7), " ")</f>
        <v xml:space="preserve"> </v>
      </c>
      <c r="Q39" s="8" t="str">
        <f>IFERROR(VLOOKUP($A39,'Project Reference'!$B$2:$I$41,8), " ")</f>
        <v xml:space="preserve"> </v>
      </c>
      <c r="R39" s="8" t="str">
        <f>IFERROR(VLOOKUP($A39,'Project Reference'!$B$2:$J$41,9), " ")</f>
        <v xml:space="preserve"> </v>
      </c>
      <c r="S39" s="8" t="str">
        <f>IFERROR(VLOOKUP($A39,'Project Reference'!$B$2:$K$41,10), " ")</f>
        <v xml:space="preserve"> </v>
      </c>
      <c r="T39" s="8" t="str">
        <f>IFERROR(VLOOKUP($A39,'Project Reference'!$B$2:$L$41,11), " ")</f>
        <v xml:space="preserve"> </v>
      </c>
      <c r="U39" s="8" t="str">
        <f>IFERROR(VLOOKUP($A39,'Project Reference'!$B$2:$M$41,12), " ")</f>
        <v xml:space="preserve"> </v>
      </c>
      <c r="V39" s="8" t="str">
        <f>IFERROR(VLOOKUP($A39,'Project Reference'!$B$2:$N$41,13), " ")</f>
        <v xml:space="preserve"> </v>
      </c>
      <c r="W39" s="8" t="str">
        <f>IFERROR(VLOOKUP($A39,'Project Reference'!$B$2:$O$41,14), " ")</f>
        <v xml:space="preserve"> </v>
      </c>
      <c r="X39" s="8" t="str">
        <f>IFERROR(VLOOKUP($A39,'Project Reference'!$B$2:$P$41,15), " ")</f>
        <v xml:space="preserve"> </v>
      </c>
      <c r="Y39" s="9" t="str">
        <f>IFERROR(VLOOKUP($A39,'Project Reference'!$B$2:$Q$41,16), " ")</f>
        <v xml:space="preserve"> </v>
      </c>
      <c r="Z39" s="22"/>
    </row>
    <row r="40" spans="1:26" s="1" customFormat="1" x14ac:dyDescent="0.45">
      <c r="A40" s="70"/>
      <c r="B40" s="53" t="str">
        <f>IFERROR(VLOOKUP($A40,'Project Reference'!$S$2:$T$41,2),"Enter Project Number")</f>
        <v>Enter Project Number</v>
      </c>
      <c r="C40" s="54"/>
      <c r="D40" s="8"/>
      <c r="E40" s="8"/>
      <c r="F40" s="8"/>
      <c r="G40" s="8"/>
      <c r="H40" s="47"/>
      <c r="I40" s="9"/>
      <c r="J40" s="23"/>
      <c r="K40" s="47" t="str">
        <f>IFERROR(VLOOKUP($A40,'Project Reference'!$B$2:$C$41,2), " ")</f>
        <v xml:space="preserve"> </v>
      </c>
      <c r="L40" s="8" t="str">
        <f>IFERROR(VLOOKUP($A40,'Project Reference'!$B$2:$D$41,3), " ")</f>
        <v xml:space="preserve"> </v>
      </c>
      <c r="M40" s="54" t="str">
        <f>IFERROR(VLOOKUP($A40,'Project Reference'!$B$2:$E$41,4), " ")</f>
        <v xml:space="preserve"> </v>
      </c>
      <c r="N40" s="8" t="str">
        <f>IFERROR(VLOOKUP($A40,'Project Reference'!$B$2:$F$41,5), " ")</f>
        <v xml:space="preserve"> </v>
      </c>
      <c r="O40" s="8" t="str">
        <f>IFERROR(VLOOKUP($A40,'Project Reference'!$B$2:$G$41,6), " ")</f>
        <v xml:space="preserve"> </v>
      </c>
      <c r="P40" s="8" t="str">
        <f>IFERROR(VLOOKUP($A40,'Project Reference'!$B$2:$H$41,7), " ")</f>
        <v xml:space="preserve"> </v>
      </c>
      <c r="Q40" s="8" t="str">
        <f>IFERROR(VLOOKUP($A40,'Project Reference'!$B$2:$I$41,8), " ")</f>
        <v xml:space="preserve"> </v>
      </c>
      <c r="R40" s="8" t="str">
        <f>IFERROR(VLOOKUP($A40,'Project Reference'!$B$2:$J$41,9), " ")</f>
        <v xml:space="preserve"> </v>
      </c>
      <c r="S40" s="8" t="str">
        <f>IFERROR(VLOOKUP($A40,'Project Reference'!$B$2:$K$41,10), " ")</f>
        <v xml:space="preserve"> </v>
      </c>
      <c r="T40" s="8" t="str">
        <f>IFERROR(VLOOKUP($A40,'Project Reference'!$B$2:$L$41,11), " ")</f>
        <v xml:space="preserve"> </v>
      </c>
      <c r="U40" s="8" t="str">
        <f>IFERROR(VLOOKUP($A40,'Project Reference'!$B$2:$M$41,12), " ")</f>
        <v xml:space="preserve"> </v>
      </c>
      <c r="V40" s="8" t="str">
        <f>IFERROR(VLOOKUP($A40,'Project Reference'!$B$2:$N$41,13), " ")</f>
        <v xml:space="preserve"> </v>
      </c>
      <c r="W40" s="8" t="str">
        <f>IFERROR(VLOOKUP($A40,'Project Reference'!$B$2:$O$41,14), " ")</f>
        <v xml:space="preserve"> </v>
      </c>
      <c r="X40" s="8" t="str">
        <f>IFERROR(VLOOKUP($A40,'Project Reference'!$B$2:$P$41,15), " ")</f>
        <v xml:space="preserve"> </v>
      </c>
      <c r="Y40" s="9" t="str">
        <f>IFERROR(VLOOKUP($A40,'Project Reference'!$B$2:$Q$41,16), " ")</f>
        <v xml:space="preserve"> </v>
      </c>
      <c r="Z40" s="22"/>
    </row>
    <row r="41" spans="1:26" s="1" customFormat="1" x14ac:dyDescent="0.45">
      <c r="A41" s="70"/>
      <c r="B41" s="53" t="str">
        <f>IFERROR(VLOOKUP($A41,'Project Reference'!$S$2:$T$41,2),"Enter Project Number")</f>
        <v>Enter Project Number</v>
      </c>
      <c r="C41" s="54"/>
      <c r="D41" s="8"/>
      <c r="E41" s="8"/>
      <c r="F41" s="8"/>
      <c r="G41" s="8"/>
      <c r="H41" s="47"/>
      <c r="I41" s="9"/>
      <c r="J41" s="23"/>
      <c r="K41" s="47" t="str">
        <f>IFERROR(VLOOKUP($A41,'Project Reference'!$B$2:$C$41,2), " ")</f>
        <v xml:space="preserve"> </v>
      </c>
      <c r="L41" s="8" t="str">
        <f>IFERROR(VLOOKUP($A41,'Project Reference'!$B$2:$D$41,3), " ")</f>
        <v xml:space="preserve"> </v>
      </c>
      <c r="M41" s="54" t="str">
        <f>IFERROR(VLOOKUP($A41,'Project Reference'!$B$2:$E$41,4), " ")</f>
        <v xml:space="preserve"> </v>
      </c>
      <c r="N41" s="8" t="str">
        <f>IFERROR(VLOOKUP($A41,'Project Reference'!$B$2:$F$41,5), " ")</f>
        <v xml:space="preserve"> </v>
      </c>
      <c r="O41" s="8" t="str">
        <f>IFERROR(VLOOKUP($A41,'Project Reference'!$B$2:$G$41,6), " ")</f>
        <v xml:space="preserve"> </v>
      </c>
      <c r="P41" s="8" t="str">
        <f>IFERROR(VLOOKUP($A41,'Project Reference'!$B$2:$H$41,7), " ")</f>
        <v xml:space="preserve"> </v>
      </c>
      <c r="Q41" s="8" t="str">
        <f>IFERROR(VLOOKUP($A41,'Project Reference'!$B$2:$I$41,8), " ")</f>
        <v xml:space="preserve"> </v>
      </c>
      <c r="R41" s="8" t="str">
        <f>IFERROR(VLOOKUP($A41,'Project Reference'!$B$2:$J$41,9), " ")</f>
        <v xml:space="preserve"> </v>
      </c>
      <c r="S41" s="8" t="str">
        <f>IFERROR(VLOOKUP($A41,'Project Reference'!$B$2:$K$41,10), " ")</f>
        <v xml:space="preserve"> </v>
      </c>
      <c r="T41" s="8" t="str">
        <f>IFERROR(VLOOKUP($A41,'Project Reference'!$B$2:$L$41,11), " ")</f>
        <v xml:space="preserve"> </v>
      </c>
      <c r="U41" s="8" t="str">
        <f>IFERROR(VLOOKUP($A41,'Project Reference'!$B$2:$M$41,12), " ")</f>
        <v xml:space="preserve"> </v>
      </c>
      <c r="V41" s="8" t="str">
        <f>IFERROR(VLOOKUP($A41,'Project Reference'!$B$2:$N$41,13), " ")</f>
        <v xml:space="preserve"> </v>
      </c>
      <c r="W41" s="8" t="str">
        <f>IFERROR(VLOOKUP($A41,'Project Reference'!$B$2:$O$41,14), " ")</f>
        <v xml:space="preserve"> </v>
      </c>
      <c r="X41" s="8" t="str">
        <f>IFERROR(VLOOKUP($A41,'Project Reference'!$B$2:$P$41,15), " ")</f>
        <v xml:space="preserve"> </v>
      </c>
      <c r="Y41" s="9" t="str">
        <f>IFERROR(VLOOKUP($A41,'Project Reference'!$B$2:$Q$41,16), " ")</f>
        <v xml:space="preserve"> </v>
      </c>
      <c r="Z41" s="22"/>
    </row>
    <row r="42" spans="1:26" s="1" customFormat="1" x14ac:dyDescent="0.45">
      <c r="A42" s="70"/>
      <c r="B42" s="53" t="str">
        <f>IFERROR(VLOOKUP($A42,'Project Reference'!$S$2:$T$41,2),"Enter Project Number")</f>
        <v>Enter Project Number</v>
      </c>
      <c r="C42" s="54"/>
      <c r="D42" s="8"/>
      <c r="E42" s="8"/>
      <c r="F42" s="8"/>
      <c r="G42" s="8"/>
      <c r="H42" s="47"/>
      <c r="I42" s="9"/>
      <c r="J42" s="23"/>
      <c r="K42" s="47" t="str">
        <f>IFERROR(VLOOKUP($A42,'Project Reference'!$B$2:$C$41,2), " ")</f>
        <v xml:space="preserve"> </v>
      </c>
      <c r="L42" s="8" t="str">
        <f>IFERROR(VLOOKUP($A42,'Project Reference'!$B$2:$D$41,3), " ")</f>
        <v xml:space="preserve"> </v>
      </c>
      <c r="M42" s="54" t="str">
        <f>IFERROR(VLOOKUP($A42,'Project Reference'!$B$2:$E$41,4), " ")</f>
        <v xml:space="preserve"> </v>
      </c>
      <c r="N42" s="8" t="str">
        <f>IFERROR(VLOOKUP($A42,'Project Reference'!$B$2:$F$41,5), " ")</f>
        <v xml:space="preserve"> </v>
      </c>
      <c r="O42" s="8" t="str">
        <f>IFERROR(VLOOKUP($A42,'Project Reference'!$B$2:$G$41,6), " ")</f>
        <v xml:space="preserve"> </v>
      </c>
      <c r="P42" s="8" t="str">
        <f>IFERROR(VLOOKUP($A42,'Project Reference'!$B$2:$H$41,7), " ")</f>
        <v xml:space="preserve"> </v>
      </c>
      <c r="Q42" s="8" t="str">
        <f>IFERROR(VLOOKUP($A42,'Project Reference'!$B$2:$I$41,8), " ")</f>
        <v xml:space="preserve"> </v>
      </c>
      <c r="R42" s="8" t="str">
        <f>IFERROR(VLOOKUP($A42,'Project Reference'!$B$2:$J$41,9), " ")</f>
        <v xml:space="preserve"> </v>
      </c>
      <c r="S42" s="8" t="str">
        <f>IFERROR(VLOOKUP($A42,'Project Reference'!$B$2:$K$41,10), " ")</f>
        <v xml:space="preserve"> </v>
      </c>
      <c r="T42" s="8" t="str">
        <f>IFERROR(VLOOKUP($A42,'Project Reference'!$B$2:$L$41,11), " ")</f>
        <v xml:space="preserve"> </v>
      </c>
      <c r="U42" s="8" t="str">
        <f>IFERROR(VLOOKUP($A42,'Project Reference'!$B$2:$M$41,12), " ")</f>
        <v xml:space="preserve"> </v>
      </c>
      <c r="V42" s="8" t="str">
        <f>IFERROR(VLOOKUP($A42,'Project Reference'!$B$2:$N$41,13), " ")</f>
        <v xml:space="preserve"> </v>
      </c>
      <c r="W42" s="8" t="str">
        <f>IFERROR(VLOOKUP($A42,'Project Reference'!$B$2:$O$41,14), " ")</f>
        <v xml:space="preserve"> </v>
      </c>
      <c r="X42" s="8" t="str">
        <f>IFERROR(VLOOKUP($A42,'Project Reference'!$B$2:$P$41,15), " ")</f>
        <v xml:space="preserve"> </v>
      </c>
      <c r="Y42" s="9" t="str">
        <f>IFERROR(VLOOKUP($A42,'Project Reference'!$B$2:$Q$41,16), " ")</f>
        <v xml:space="preserve"> </v>
      </c>
      <c r="Z42" s="22"/>
    </row>
    <row r="43" spans="1:26" s="1" customFormat="1" x14ac:dyDescent="0.45">
      <c r="A43" s="70"/>
      <c r="B43" s="53" t="str">
        <f>IFERROR(VLOOKUP($A43,'Project Reference'!$S$2:$T$41,2),"Enter Project Number")</f>
        <v>Enter Project Number</v>
      </c>
      <c r="C43" s="54"/>
      <c r="D43" s="8"/>
      <c r="E43" s="8"/>
      <c r="F43" s="8"/>
      <c r="G43" s="8"/>
      <c r="H43" s="47"/>
      <c r="I43" s="9"/>
      <c r="J43" s="23"/>
      <c r="K43" s="47" t="str">
        <f>IFERROR(VLOOKUP($A43,'Project Reference'!$B$2:$C$41,2), " ")</f>
        <v xml:space="preserve"> </v>
      </c>
      <c r="L43" s="8" t="str">
        <f>IFERROR(VLOOKUP($A43,'Project Reference'!$B$2:$D$41,3), " ")</f>
        <v xml:space="preserve"> </v>
      </c>
      <c r="M43" s="54" t="str">
        <f>IFERROR(VLOOKUP($A43,'Project Reference'!$B$2:$E$41,4), " ")</f>
        <v xml:space="preserve"> </v>
      </c>
      <c r="N43" s="8" t="str">
        <f>IFERROR(VLOOKUP($A43,'Project Reference'!$B$2:$F$41,5), " ")</f>
        <v xml:space="preserve"> </v>
      </c>
      <c r="O43" s="8" t="str">
        <f>IFERROR(VLOOKUP($A43,'Project Reference'!$B$2:$G$41,6), " ")</f>
        <v xml:space="preserve"> </v>
      </c>
      <c r="P43" s="8" t="str">
        <f>IFERROR(VLOOKUP($A43,'Project Reference'!$B$2:$H$41,7), " ")</f>
        <v xml:space="preserve"> </v>
      </c>
      <c r="Q43" s="8" t="str">
        <f>IFERROR(VLOOKUP($A43,'Project Reference'!$B$2:$I$41,8), " ")</f>
        <v xml:space="preserve"> </v>
      </c>
      <c r="R43" s="8" t="str">
        <f>IFERROR(VLOOKUP($A43,'Project Reference'!$B$2:$J$41,9), " ")</f>
        <v xml:space="preserve"> </v>
      </c>
      <c r="S43" s="8" t="str">
        <f>IFERROR(VLOOKUP($A43,'Project Reference'!$B$2:$K$41,10), " ")</f>
        <v xml:space="preserve"> </v>
      </c>
      <c r="T43" s="8" t="str">
        <f>IFERROR(VLOOKUP($A43,'Project Reference'!$B$2:$L$41,11), " ")</f>
        <v xml:space="preserve"> </v>
      </c>
      <c r="U43" s="8" t="str">
        <f>IFERROR(VLOOKUP($A43,'Project Reference'!$B$2:$M$41,12), " ")</f>
        <v xml:space="preserve"> </v>
      </c>
      <c r="V43" s="8" t="str">
        <f>IFERROR(VLOOKUP($A43,'Project Reference'!$B$2:$N$41,13), " ")</f>
        <v xml:space="preserve"> </v>
      </c>
      <c r="W43" s="8" t="str">
        <f>IFERROR(VLOOKUP($A43,'Project Reference'!$B$2:$O$41,14), " ")</f>
        <v xml:space="preserve"> </v>
      </c>
      <c r="X43" s="8" t="str">
        <f>IFERROR(VLOOKUP($A43,'Project Reference'!$B$2:$P$41,15), " ")</f>
        <v xml:space="preserve"> </v>
      </c>
      <c r="Y43" s="9" t="str">
        <f>IFERROR(VLOOKUP($A43,'Project Reference'!$B$2:$Q$41,16), " ")</f>
        <v xml:space="preserve"> </v>
      </c>
      <c r="Z43" s="22"/>
    </row>
    <row r="44" spans="1:26" s="1" customFormat="1" x14ac:dyDescent="0.45">
      <c r="A44" s="70"/>
      <c r="B44" s="53" t="str">
        <f>IFERROR(VLOOKUP($A44,'Project Reference'!$S$2:$T$41,2),"Enter Project Number")</f>
        <v>Enter Project Number</v>
      </c>
      <c r="C44" s="54"/>
      <c r="D44" s="8"/>
      <c r="E44" s="8"/>
      <c r="F44" s="8"/>
      <c r="G44" s="8"/>
      <c r="H44" s="47"/>
      <c r="I44" s="9"/>
      <c r="J44" s="23"/>
      <c r="K44" s="47" t="str">
        <f>IFERROR(VLOOKUP($A44,'Project Reference'!$B$2:$C$41,2), " ")</f>
        <v xml:space="preserve"> </v>
      </c>
      <c r="L44" s="8" t="str">
        <f>IFERROR(VLOOKUP($A44,'Project Reference'!$B$2:$D$41,3), " ")</f>
        <v xml:space="preserve"> </v>
      </c>
      <c r="M44" s="54" t="str">
        <f>IFERROR(VLOOKUP($A44,'Project Reference'!$B$2:$E$41,4), " ")</f>
        <v xml:space="preserve"> </v>
      </c>
      <c r="N44" s="8" t="str">
        <f>IFERROR(VLOOKUP($A44,'Project Reference'!$B$2:$F$41,5), " ")</f>
        <v xml:space="preserve"> </v>
      </c>
      <c r="O44" s="8" t="str">
        <f>IFERROR(VLOOKUP($A44,'Project Reference'!$B$2:$G$41,6), " ")</f>
        <v xml:space="preserve"> </v>
      </c>
      <c r="P44" s="8" t="str">
        <f>IFERROR(VLOOKUP($A44,'Project Reference'!$B$2:$H$41,7), " ")</f>
        <v xml:space="preserve"> </v>
      </c>
      <c r="Q44" s="8" t="str">
        <f>IFERROR(VLOOKUP($A44,'Project Reference'!$B$2:$I$41,8), " ")</f>
        <v xml:space="preserve"> </v>
      </c>
      <c r="R44" s="8" t="str">
        <f>IFERROR(VLOOKUP($A44,'Project Reference'!$B$2:$J$41,9), " ")</f>
        <v xml:space="preserve"> </v>
      </c>
      <c r="S44" s="8" t="str">
        <f>IFERROR(VLOOKUP($A44,'Project Reference'!$B$2:$K$41,10), " ")</f>
        <v xml:space="preserve"> </v>
      </c>
      <c r="T44" s="8" t="str">
        <f>IFERROR(VLOOKUP($A44,'Project Reference'!$B$2:$L$41,11), " ")</f>
        <v xml:space="preserve"> </v>
      </c>
      <c r="U44" s="8" t="str">
        <f>IFERROR(VLOOKUP($A44,'Project Reference'!$B$2:$M$41,12), " ")</f>
        <v xml:space="preserve"> </v>
      </c>
      <c r="V44" s="8" t="str">
        <f>IFERROR(VLOOKUP($A44,'Project Reference'!$B$2:$N$41,13), " ")</f>
        <v xml:space="preserve"> </v>
      </c>
      <c r="W44" s="8" t="str">
        <f>IFERROR(VLOOKUP($A44,'Project Reference'!$B$2:$O$41,14), " ")</f>
        <v xml:space="preserve"> </v>
      </c>
      <c r="X44" s="8" t="str">
        <f>IFERROR(VLOOKUP($A44,'Project Reference'!$B$2:$P$41,15), " ")</f>
        <v xml:space="preserve"> </v>
      </c>
      <c r="Y44" s="9" t="str">
        <f>IFERROR(VLOOKUP($A44,'Project Reference'!$B$2:$Q$41,16), " ")</f>
        <v xml:space="preserve"> </v>
      </c>
      <c r="Z44" s="22"/>
    </row>
    <row r="45" spans="1:26" s="1" customFormat="1" x14ac:dyDescent="0.45">
      <c r="A45" s="70"/>
      <c r="B45" s="53" t="str">
        <f>IFERROR(VLOOKUP($A45,'Project Reference'!$S$2:$T$41,2),"Enter Project Number")</f>
        <v>Enter Project Number</v>
      </c>
      <c r="C45" s="54"/>
      <c r="D45" s="8"/>
      <c r="E45" s="8"/>
      <c r="F45" s="8"/>
      <c r="G45" s="8"/>
      <c r="H45" s="47"/>
      <c r="I45" s="9"/>
      <c r="J45" s="23"/>
      <c r="K45" s="47" t="str">
        <f>IFERROR(VLOOKUP($A45,'Project Reference'!$B$2:$C$41,2), " ")</f>
        <v xml:space="preserve"> </v>
      </c>
      <c r="L45" s="8" t="str">
        <f>IFERROR(VLOOKUP($A45,'Project Reference'!$B$2:$D$41,3), " ")</f>
        <v xml:space="preserve"> </v>
      </c>
      <c r="M45" s="54" t="str">
        <f>IFERROR(VLOOKUP($A45,'Project Reference'!$B$2:$E$41,4), " ")</f>
        <v xml:space="preserve"> </v>
      </c>
      <c r="N45" s="8" t="str">
        <f>IFERROR(VLOOKUP($A45,'Project Reference'!$B$2:$F$41,5), " ")</f>
        <v xml:space="preserve"> </v>
      </c>
      <c r="O45" s="8" t="str">
        <f>IFERROR(VLOOKUP($A45,'Project Reference'!$B$2:$G$41,6), " ")</f>
        <v xml:space="preserve"> </v>
      </c>
      <c r="P45" s="8" t="str">
        <f>IFERROR(VLOOKUP($A45,'Project Reference'!$B$2:$H$41,7), " ")</f>
        <v xml:space="preserve"> </v>
      </c>
      <c r="Q45" s="8" t="str">
        <f>IFERROR(VLOOKUP($A45,'Project Reference'!$B$2:$I$41,8), " ")</f>
        <v xml:space="preserve"> </v>
      </c>
      <c r="R45" s="8" t="str">
        <f>IFERROR(VLOOKUP($A45,'Project Reference'!$B$2:$J$41,9), " ")</f>
        <v xml:space="preserve"> </v>
      </c>
      <c r="S45" s="8" t="str">
        <f>IFERROR(VLOOKUP($A45,'Project Reference'!$B$2:$K$41,10), " ")</f>
        <v xml:space="preserve"> </v>
      </c>
      <c r="T45" s="8" t="str">
        <f>IFERROR(VLOOKUP($A45,'Project Reference'!$B$2:$L$41,11), " ")</f>
        <v xml:space="preserve"> </v>
      </c>
      <c r="U45" s="8" t="str">
        <f>IFERROR(VLOOKUP($A45,'Project Reference'!$B$2:$M$41,12), " ")</f>
        <v xml:space="preserve"> </v>
      </c>
      <c r="V45" s="8" t="str">
        <f>IFERROR(VLOOKUP($A45,'Project Reference'!$B$2:$N$41,13), " ")</f>
        <v xml:space="preserve"> </v>
      </c>
      <c r="W45" s="8" t="str">
        <f>IFERROR(VLOOKUP($A45,'Project Reference'!$B$2:$O$41,14), " ")</f>
        <v xml:space="preserve"> </v>
      </c>
      <c r="X45" s="8" t="str">
        <f>IFERROR(VLOOKUP($A45,'Project Reference'!$B$2:$P$41,15), " ")</f>
        <v xml:space="preserve"> </v>
      </c>
      <c r="Y45" s="9" t="str">
        <f>IFERROR(VLOOKUP($A45,'Project Reference'!$B$2:$Q$41,16), " ")</f>
        <v xml:space="preserve"> </v>
      </c>
      <c r="Z45" s="22"/>
    </row>
    <row r="46" spans="1:26" s="1" customFormat="1" x14ac:dyDescent="0.45">
      <c r="A46" s="70"/>
      <c r="B46" s="53" t="str">
        <f>IFERROR(VLOOKUP($A46,'Project Reference'!$S$2:$T$41,2),"Enter Project Number")</f>
        <v>Enter Project Number</v>
      </c>
      <c r="C46" s="54"/>
      <c r="D46" s="8"/>
      <c r="E46" s="8"/>
      <c r="F46" s="8"/>
      <c r="G46" s="8"/>
      <c r="H46" s="47"/>
      <c r="I46" s="9"/>
      <c r="J46" s="23"/>
      <c r="K46" s="47" t="str">
        <f>IFERROR(VLOOKUP($A46,'Project Reference'!$B$2:$C$41,2), " ")</f>
        <v xml:space="preserve"> </v>
      </c>
      <c r="L46" s="8" t="str">
        <f>IFERROR(VLOOKUP($A46,'Project Reference'!$B$2:$D$41,3), " ")</f>
        <v xml:space="preserve"> </v>
      </c>
      <c r="M46" s="54" t="str">
        <f>IFERROR(VLOOKUP($A46,'Project Reference'!$B$2:$E$41,4), " ")</f>
        <v xml:space="preserve"> </v>
      </c>
      <c r="N46" s="8" t="str">
        <f>IFERROR(VLOOKUP($A46,'Project Reference'!$B$2:$F$41,5), " ")</f>
        <v xml:space="preserve"> </v>
      </c>
      <c r="O46" s="8" t="str">
        <f>IFERROR(VLOOKUP($A46,'Project Reference'!$B$2:$G$41,6), " ")</f>
        <v xml:space="preserve"> </v>
      </c>
      <c r="P46" s="8" t="str">
        <f>IFERROR(VLOOKUP($A46,'Project Reference'!$B$2:$H$41,7), " ")</f>
        <v xml:space="preserve"> </v>
      </c>
      <c r="Q46" s="8" t="str">
        <f>IFERROR(VLOOKUP($A46,'Project Reference'!$B$2:$I$41,8), " ")</f>
        <v xml:space="preserve"> </v>
      </c>
      <c r="R46" s="8" t="str">
        <f>IFERROR(VLOOKUP($A46,'Project Reference'!$B$2:$J$41,9), " ")</f>
        <v xml:space="preserve"> </v>
      </c>
      <c r="S46" s="8" t="str">
        <f>IFERROR(VLOOKUP($A46,'Project Reference'!$B$2:$K$41,10), " ")</f>
        <v xml:space="preserve"> </v>
      </c>
      <c r="T46" s="8" t="str">
        <f>IFERROR(VLOOKUP($A46,'Project Reference'!$B$2:$L$41,11), " ")</f>
        <v xml:space="preserve"> </v>
      </c>
      <c r="U46" s="8" t="str">
        <f>IFERROR(VLOOKUP($A46,'Project Reference'!$B$2:$M$41,12), " ")</f>
        <v xml:space="preserve"> </v>
      </c>
      <c r="V46" s="8" t="str">
        <f>IFERROR(VLOOKUP($A46,'Project Reference'!$B$2:$N$41,13), " ")</f>
        <v xml:space="preserve"> </v>
      </c>
      <c r="W46" s="8" t="str">
        <f>IFERROR(VLOOKUP($A46,'Project Reference'!$B$2:$O$41,14), " ")</f>
        <v xml:space="preserve"> </v>
      </c>
      <c r="X46" s="8" t="str">
        <f>IFERROR(VLOOKUP($A46,'Project Reference'!$B$2:$P$41,15), " ")</f>
        <v xml:space="preserve"> </v>
      </c>
      <c r="Y46" s="9" t="str">
        <f>IFERROR(VLOOKUP($A46,'Project Reference'!$B$2:$Q$41,16), " ")</f>
        <v xml:space="preserve"> </v>
      </c>
      <c r="Z46" s="22"/>
    </row>
    <row r="47" spans="1:26" s="1" customFormat="1" x14ac:dyDescent="0.45">
      <c r="A47" s="70"/>
      <c r="B47" s="53" t="str">
        <f>IFERROR(VLOOKUP($A47,'Project Reference'!$S$2:$T$41,2),"Enter Project Number")</f>
        <v>Enter Project Number</v>
      </c>
      <c r="C47" s="54"/>
      <c r="D47" s="8"/>
      <c r="E47" s="8"/>
      <c r="F47" s="8"/>
      <c r="G47" s="8"/>
      <c r="H47" s="47"/>
      <c r="I47" s="9"/>
      <c r="J47" s="23"/>
      <c r="K47" s="47" t="str">
        <f>IFERROR(VLOOKUP($A47,'Project Reference'!$B$2:$C$41,2), " ")</f>
        <v xml:space="preserve"> </v>
      </c>
      <c r="L47" s="8" t="str">
        <f>IFERROR(VLOOKUP($A47,'Project Reference'!$B$2:$D$41,3), " ")</f>
        <v xml:space="preserve"> </v>
      </c>
      <c r="M47" s="54" t="str">
        <f>IFERROR(VLOOKUP($A47,'Project Reference'!$B$2:$E$41,4), " ")</f>
        <v xml:space="preserve"> </v>
      </c>
      <c r="N47" s="8" t="str">
        <f>IFERROR(VLOOKUP($A47,'Project Reference'!$B$2:$F$41,5), " ")</f>
        <v xml:space="preserve"> </v>
      </c>
      <c r="O47" s="8" t="str">
        <f>IFERROR(VLOOKUP($A47,'Project Reference'!$B$2:$G$41,6), " ")</f>
        <v xml:space="preserve"> </v>
      </c>
      <c r="P47" s="8" t="str">
        <f>IFERROR(VLOOKUP($A47,'Project Reference'!$B$2:$H$41,7), " ")</f>
        <v xml:space="preserve"> </v>
      </c>
      <c r="Q47" s="8" t="str">
        <f>IFERROR(VLOOKUP($A47,'Project Reference'!$B$2:$I$41,8), " ")</f>
        <v xml:space="preserve"> </v>
      </c>
      <c r="R47" s="8" t="str">
        <f>IFERROR(VLOOKUP($A47,'Project Reference'!$B$2:$J$41,9), " ")</f>
        <v xml:space="preserve"> </v>
      </c>
      <c r="S47" s="8" t="str">
        <f>IFERROR(VLOOKUP($A47,'Project Reference'!$B$2:$K$41,10), " ")</f>
        <v xml:space="preserve"> </v>
      </c>
      <c r="T47" s="8" t="str">
        <f>IFERROR(VLOOKUP($A47,'Project Reference'!$B$2:$L$41,11), " ")</f>
        <v xml:space="preserve"> </v>
      </c>
      <c r="U47" s="8" t="str">
        <f>IFERROR(VLOOKUP($A47,'Project Reference'!$B$2:$M$41,12), " ")</f>
        <v xml:space="preserve"> </v>
      </c>
      <c r="V47" s="8" t="str">
        <f>IFERROR(VLOOKUP($A47,'Project Reference'!$B$2:$N$41,13), " ")</f>
        <v xml:space="preserve"> </v>
      </c>
      <c r="W47" s="8" t="str">
        <f>IFERROR(VLOOKUP($A47,'Project Reference'!$B$2:$O$41,14), " ")</f>
        <v xml:space="preserve"> </v>
      </c>
      <c r="X47" s="8" t="str">
        <f>IFERROR(VLOOKUP($A47,'Project Reference'!$B$2:$P$41,15), " ")</f>
        <v xml:space="preserve"> </v>
      </c>
      <c r="Y47" s="9" t="str">
        <f>IFERROR(VLOOKUP($A47,'Project Reference'!$B$2:$Q$41,16), " ")</f>
        <v xml:space="preserve"> </v>
      </c>
      <c r="Z47" s="22"/>
    </row>
    <row r="48" spans="1:26" s="1" customFormat="1" x14ac:dyDescent="0.45">
      <c r="A48" s="70"/>
      <c r="B48" s="53" t="str">
        <f>IFERROR(VLOOKUP($A48,'Project Reference'!$S$2:$T$41,2),"Enter Project Number")</f>
        <v>Enter Project Number</v>
      </c>
      <c r="C48" s="54"/>
      <c r="D48" s="8"/>
      <c r="E48" s="8"/>
      <c r="F48" s="8"/>
      <c r="G48" s="8"/>
      <c r="H48" s="47"/>
      <c r="I48" s="9"/>
      <c r="J48" s="23"/>
      <c r="K48" s="47" t="str">
        <f>IFERROR(VLOOKUP($A48,'Project Reference'!$B$2:$C$41,2), " ")</f>
        <v xml:space="preserve"> </v>
      </c>
      <c r="L48" s="8" t="str">
        <f>IFERROR(VLOOKUP($A48,'Project Reference'!$B$2:$D$41,3), " ")</f>
        <v xml:space="preserve"> </v>
      </c>
      <c r="M48" s="54" t="str">
        <f>IFERROR(VLOOKUP($A48,'Project Reference'!$B$2:$E$41,4), " ")</f>
        <v xml:space="preserve"> </v>
      </c>
      <c r="N48" s="8" t="str">
        <f>IFERROR(VLOOKUP($A48,'Project Reference'!$B$2:$F$41,5), " ")</f>
        <v xml:space="preserve"> </v>
      </c>
      <c r="O48" s="8" t="str">
        <f>IFERROR(VLOOKUP($A48,'Project Reference'!$B$2:$G$41,6), " ")</f>
        <v xml:space="preserve"> </v>
      </c>
      <c r="P48" s="8" t="str">
        <f>IFERROR(VLOOKUP($A48,'Project Reference'!$B$2:$H$41,7), " ")</f>
        <v xml:space="preserve"> </v>
      </c>
      <c r="Q48" s="8" t="str">
        <f>IFERROR(VLOOKUP($A48,'Project Reference'!$B$2:$I$41,8), " ")</f>
        <v xml:space="preserve"> </v>
      </c>
      <c r="R48" s="8" t="str">
        <f>IFERROR(VLOOKUP($A48,'Project Reference'!$B$2:$J$41,9), " ")</f>
        <v xml:space="preserve"> </v>
      </c>
      <c r="S48" s="8" t="str">
        <f>IFERROR(VLOOKUP($A48,'Project Reference'!$B$2:$K$41,10), " ")</f>
        <v xml:space="preserve"> </v>
      </c>
      <c r="T48" s="8" t="str">
        <f>IFERROR(VLOOKUP($A48,'Project Reference'!$B$2:$L$41,11), " ")</f>
        <v xml:space="preserve"> </v>
      </c>
      <c r="U48" s="8" t="str">
        <f>IFERROR(VLOOKUP($A48,'Project Reference'!$B$2:$M$41,12), " ")</f>
        <v xml:space="preserve"> </v>
      </c>
      <c r="V48" s="8" t="str">
        <f>IFERROR(VLOOKUP($A48,'Project Reference'!$B$2:$N$41,13), " ")</f>
        <v xml:space="preserve"> </v>
      </c>
      <c r="W48" s="8" t="str">
        <f>IFERROR(VLOOKUP($A48,'Project Reference'!$B$2:$O$41,14), " ")</f>
        <v xml:space="preserve"> </v>
      </c>
      <c r="X48" s="8" t="str">
        <f>IFERROR(VLOOKUP($A48,'Project Reference'!$B$2:$P$41,15), " ")</f>
        <v xml:space="preserve"> </v>
      </c>
      <c r="Y48" s="9" t="str">
        <f>IFERROR(VLOOKUP($A48,'Project Reference'!$B$2:$Q$41,16), " ")</f>
        <v xml:space="preserve"> </v>
      </c>
      <c r="Z48" s="22"/>
    </row>
    <row r="49" spans="1:26" s="1" customFormat="1" x14ac:dyDescent="0.45">
      <c r="A49" s="70"/>
      <c r="B49" s="53" t="str">
        <f>IFERROR(VLOOKUP($A49,'Project Reference'!$S$2:$T$41,2),"Enter Project Number")</f>
        <v>Enter Project Number</v>
      </c>
      <c r="C49" s="54"/>
      <c r="D49" s="8"/>
      <c r="E49" s="8"/>
      <c r="F49" s="8"/>
      <c r="G49" s="8"/>
      <c r="H49" s="47"/>
      <c r="I49" s="9"/>
      <c r="J49" s="23"/>
      <c r="K49" s="47" t="str">
        <f>IFERROR(VLOOKUP($A49,'Project Reference'!$B$2:$C$41,2), " ")</f>
        <v xml:space="preserve"> </v>
      </c>
      <c r="L49" s="8" t="str">
        <f>IFERROR(VLOOKUP($A49,'Project Reference'!$B$2:$D$41,3), " ")</f>
        <v xml:space="preserve"> </v>
      </c>
      <c r="M49" s="54" t="str">
        <f>IFERROR(VLOOKUP($A49,'Project Reference'!$B$2:$E$41,4), " ")</f>
        <v xml:space="preserve"> </v>
      </c>
      <c r="N49" s="8" t="str">
        <f>IFERROR(VLOOKUP($A49,'Project Reference'!$B$2:$F$41,5), " ")</f>
        <v xml:space="preserve"> </v>
      </c>
      <c r="O49" s="8" t="str">
        <f>IFERROR(VLOOKUP($A49,'Project Reference'!$B$2:$G$41,6), " ")</f>
        <v xml:space="preserve"> </v>
      </c>
      <c r="P49" s="8" t="str">
        <f>IFERROR(VLOOKUP($A49,'Project Reference'!$B$2:$H$41,7), " ")</f>
        <v xml:space="preserve"> </v>
      </c>
      <c r="Q49" s="8" t="str">
        <f>IFERROR(VLOOKUP($A49,'Project Reference'!$B$2:$I$41,8), " ")</f>
        <v xml:space="preserve"> </v>
      </c>
      <c r="R49" s="8" t="str">
        <f>IFERROR(VLOOKUP($A49,'Project Reference'!$B$2:$J$41,9), " ")</f>
        <v xml:space="preserve"> </v>
      </c>
      <c r="S49" s="8" t="str">
        <f>IFERROR(VLOOKUP($A49,'Project Reference'!$B$2:$K$41,10), " ")</f>
        <v xml:space="preserve"> </v>
      </c>
      <c r="T49" s="8" t="str">
        <f>IFERROR(VLOOKUP($A49,'Project Reference'!$B$2:$L$41,11), " ")</f>
        <v xml:space="preserve"> </v>
      </c>
      <c r="U49" s="8" t="str">
        <f>IFERROR(VLOOKUP($A49,'Project Reference'!$B$2:$M$41,12), " ")</f>
        <v xml:space="preserve"> </v>
      </c>
      <c r="V49" s="8" t="str">
        <f>IFERROR(VLOOKUP($A49,'Project Reference'!$B$2:$N$41,13), " ")</f>
        <v xml:space="preserve"> </v>
      </c>
      <c r="W49" s="8" t="str">
        <f>IFERROR(VLOOKUP($A49,'Project Reference'!$B$2:$O$41,14), " ")</f>
        <v xml:space="preserve"> </v>
      </c>
      <c r="X49" s="8" t="str">
        <f>IFERROR(VLOOKUP($A49,'Project Reference'!$B$2:$P$41,15), " ")</f>
        <v xml:space="preserve"> </v>
      </c>
      <c r="Y49" s="9" t="str">
        <f>IFERROR(VLOOKUP($A49,'Project Reference'!$B$2:$Q$41,16), " ")</f>
        <v xml:space="preserve"> </v>
      </c>
      <c r="Z49" s="22"/>
    </row>
    <row r="50" spans="1:26" s="1" customFormat="1" x14ac:dyDescent="0.45">
      <c r="A50" s="70"/>
      <c r="B50" s="53" t="str">
        <f>IFERROR(VLOOKUP($A50,'Project Reference'!$S$2:$T$41,2),"Enter Project Number")</f>
        <v>Enter Project Number</v>
      </c>
      <c r="C50" s="54"/>
      <c r="D50" s="8"/>
      <c r="E50" s="8"/>
      <c r="F50" s="8"/>
      <c r="G50" s="8"/>
      <c r="H50" s="47"/>
      <c r="I50" s="9"/>
      <c r="J50" s="23"/>
      <c r="K50" s="47" t="str">
        <f>IFERROR(VLOOKUP($A50,'Project Reference'!$B$2:$C$41,2), " ")</f>
        <v xml:space="preserve"> </v>
      </c>
      <c r="L50" s="8" t="str">
        <f>IFERROR(VLOOKUP($A50,'Project Reference'!$B$2:$D$41,3), " ")</f>
        <v xml:space="preserve"> </v>
      </c>
      <c r="M50" s="54" t="str">
        <f>IFERROR(VLOOKUP($A50,'Project Reference'!$B$2:$E$41,4), " ")</f>
        <v xml:space="preserve"> </v>
      </c>
      <c r="N50" s="8" t="str">
        <f>IFERROR(VLOOKUP($A50,'Project Reference'!$B$2:$F$41,5), " ")</f>
        <v xml:space="preserve"> </v>
      </c>
      <c r="O50" s="8" t="str">
        <f>IFERROR(VLOOKUP($A50,'Project Reference'!$B$2:$G$41,6), " ")</f>
        <v xml:space="preserve"> </v>
      </c>
      <c r="P50" s="8" t="str">
        <f>IFERROR(VLOOKUP($A50,'Project Reference'!$B$2:$H$41,7), " ")</f>
        <v xml:space="preserve"> </v>
      </c>
      <c r="Q50" s="8" t="str">
        <f>IFERROR(VLOOKUP($A50,'Project Reference'!$B$2:$I$41,8), " ")</f>
        <v xml:space="preserve"> </v>
      </c>
      <c r="R50" s="8" t="str">
        <f>IFERROR(VLOOKUP($A50,'Project Reference'!$B$2:$J$41,9), " ")</f>
        <v xml:space="preserve"> </v>
      </c>
      <c r="S50" s="8" t="str">
        <f>IFERROR(VLOOKUP($A50,'Project Reference'!$B$2:$K$41,10), " ")</f>
        <v xml:space="preserve"> </v>
      </c>
      <c r="T50" s="8" t="str">
        <f>IFERROR(VLOOKUP($A50,'Project Reference'!$B$2:$L$41,11), " ")</f>
        <v xml:space="preserve"> </v>
      </c>
      <c r="U50" s="8" t="str">
        <f>IFERROR(VLOOKUP($A50,'Project Reference'!$B$2:$M$41,12), " ")</f>
        <v xml:space="preserve"> </v>
      </c>
      <c r="V50" s="8" t="str">
        <f>IFERROR(VLOOKUP($A50,'Project Reference'!$B$2:$N$41,13), " ")</f>
        <v xml:space="preserve"> </v>
      </c>
      <c r="W50" s="8" t="str">
        <f>IFERROR(VLOOKUP($A50,'Project Reference'!$B$2:$O$41,14), " ")</f>
        <v xml:space="preserve"> </v>
      </c>
      <c r="X50" s="8" t="str">
        <f>IFERROR(VLOOKUP($A50,'Project Reference'!$B$2:$P$41,15), " ")</f>
        <v xml:space="preserve"> </v>
      </c>
      <c r="Y50" s="9" t="str">
        <f>IFERROR(VLOOKUP($A50,'Project Reference'!$B$2:$Q$41,16), " ")</f>
        <v xml:space="preserve"> </v>
      </c>
      <c r="Z50" s="22"/>
    </row>
    <row r="51" spans="1:26" s="1" customFormat="1" x14ac:dyDescent="0.45">
      <c r="A51" s="70"/>
      <c r="B51" s="53" t="str">
        <f>IFERROR(VLOOKUP($A51,'Project Reference'!$S$2:$T$41,2),"Enter Project Number")</f>
        <v>Enter Project Number</v>
      </c>
      <c r="C51" s="54"/>
      <c r="D51" s="8"/>
      <c r="E51" s="8"/>
      <c r="F51" s="8"/>
      <c r="G51" s="8"/>
      <c r="H51" s="47"/>
      <c r="I51" s="9"/>
      <c r="J51" s="23"/>
      <c r="K51" s="47" t="str">
        <f>IFERROR(VLOOKUP($A51,'Project Reference'!$B$2:$C$41,2), " ")</f>
        <v xml:space="preserve"> </v>
      </c>
      <c r="L51" s="8" t="str">
        <f>IFERROR(VLOOKUP($A51,'Project Reference'!$B$2:$D$41,3), " ")</f>
        <v xml:space="preserve"> </v>
      </c>
      <c r="M51" s="54" t="str">
        <f>IFERROR(VLOOKUP($A51,'Project Reference'!$B$2:$E$41,4), " ")</f>
        <v xml:space="preserve"> </v>
      </c>
      <c r="N51" s="8" t="str">
        <f>IFERROR(VLOOKUP($A51,'Project Reference'!$B$2:$F$41,5), " ")</f>
        <v xml:space="preserve"> </v>
      </c>
      <c r="O51" s="8" t="str">
        <f>IFERROR(VLOOKUP($A51,'Project Reference'!$B$2:$G$41,6), " ")</f>
        <v xml:space="preserve"> </v>
      </c>
      <c r="P51" s="8" t="str">
        <f>IFERROR(VLOOKUP($A51,'Project Reference'!$B$2:$H$41,7), " ")</f>
        <v xml:space="preserve"> </v>
      </c>
      <c r="Q51" s="8" t="str">
        <f>IFERROR(VLOOKUP($A51,'Project Reference'!$B$2:$I$41,8), " ")</f>
        <v xml:space="preserve"> </v>
      </c>
      <c r="R51" s="8" t="str">
        <f>IFERROR(VLOOKUP($A51,'Project Reference'!$B$2:$J$41,9), " ")</f>
        <v xml:space="preserve"> </v>
      </c>
      <c r="S51" s="8" t="str">
        <f>IFERROR(VLOOKUP($A51,'Project Reference'!$B$2:$K$41,10), " ")</f>
        <v xml:space="preserve"> </v>
      </c>
      <c r="T51" s="8" t="str">
        <f>IFERROR(VLOOKUP($A51,'Project Reference'!$B$2:$L$41,11), " ")</f>
        <v xml:space="preserve"> </v>
      </c>
      <c r="U51" s="8" t="str">
        <f>IFERROR(VLOOKUP($A51,'Project Reference'!$B$2:$M$41,12), " ")</f>
        <v xml:space="preserve"> </v>
      </c>
      <c r="V51" s="8" t="str">
        <f>IFERROR(VLOOKUP($A51,'Project Reference'!$B$2:$N$41,13), " ")</f>
        <v xml:space="preserve"> </v>
      </c>
      <c r="W51" s="8" t="str">
        <f>IFERROR(VLOOKUP($A51,'Project Reference'!$B$2:$O$41,14), " ")</f>
        <v xml:space="preserve"> </v>
      </c>
      <c r="X51" s="8" t="str">
        <f>IFERROR(VLOOKUP($A51,'Project Reference'!$B$2:$P$41,15), " ")</f>
        <v xml:space="preserve"> </v>
      </c>
      <c r="Y51" s="9" t="str">
        <f>IFERROR(VLOOKUP($A51,'Project Reference'!$B$2:$Q$41,16), " ")</f>
        <v xml:space="preserve"> </v>
      </c>
      <c r="Z51" s="22"/>
    </row>
    <row r="52" spans="1:26" s="1" customFormat="1" x14ac:dyDescent="0.45">
      <c r="A52" s="70"/>
      <c r="B52" s="53" t="str">
        <f>IFERROR(VLOOKUP($A52,'Project Reference'!$S$2:$T$41,2),"Enter Project Number")</f>
        <v>Enter Project Number</v>
      </c>
      <c r="C52" s="54"/>
      <c r="D52" s="8"/>
      <c r="E52" s="8"/>
      <c r="F52" s="8"/>
      <c r="G52" s="8"/>
      <c r="H52" s="47"/>
      <c r="I52" s="9"/>
      <c r="J52" s="23"/>
      <c r="K52" s="47" t="str">
        <f>IFERROR(VLOOKUP($A52,'Project Reference'!$B$2:$C$41,2), " ")</f>
        <v xml:space="preserve"> </v>
      </c>
      <c r="L52" s="8" t="str">
        <f>IFERROR(VLOOKUP($A52,'Project Reference'!$B$2:$D$41,3), " ")</f>
        <v xml:space="preserve"> </v>
      </c>
      <c r="M52" s="54" t="str">
        <f>IFERROR(VLOOKUP($A52,'Project Reference'!$B$2:$E$41,4), " ")</f>
        <v xml:space="preserve"> </v>
      </c>
      <c r="N52" s="8" t="str">
        <f>IFERROR(VLOOKUP($A52,'Project Reference'!$B$2:$F$41,5), " ")</f>
        <v xml:space="preserve"> </v>
      </c>
      <c r="O52" s="8" t="str">
        <f>IFERROR(VLOOKUP($A52,'Project Reference'!$B$2:$G$41,6), " ")</f>
        <v xml:space="preserve"> </v>
      </c>
      <c r="P52" s="8" t="str">
        <f>IFERROR(VLOOKUP($A52,'Project Reference'!$B$2:$H$41,7), " ")</f>
        <v xml:space="preserve"> </v>
      </c>
      <c r="Q52" s="8" t="str">
        <f>IFERROR(VLOOKUP($A52,'Project Reference'!$B$2:$I$41,8), " ")</f>
        <v xml:space="preserve"> </v>
      </c>
      <c r="R52" s="8" t="str">
        <f>IFERROR(VLOOKUP($A52,'Project Reference'!$B$2:$J$41,9), " ")</f>
        <v xml:space="preserve"> </v>
      </c>
      <c r="S52" s="8" t="str">
        <f>IFERROR(VLOOKUP($A52,'Project Reference'!$B$2:$K$41,10), " ")</f>
        <v xml:space="preserve"> </v>
      </c>
      <c r="T52" s="8" t="str">
        <f>IFERROR(VLOOKUP($A52,'Project Reference'!$B$2:$L$41,11), " ")</f>
        <v xml:space="preserve"> </v>
      </c>
      <c r="U52" s="8" t="str">
        <f>IFERROR(VLOOKUP($A52,'Project Reference'!$B$2:$M$41,12), " ")</f>
        <v xml:space="preserve"> </v>
      </c>
      <c r="V52" s="8" t="str">
        <f>IFERROR(VLOOKUP($A52,'Project Reference'!$B$2:$N$41,13), " ")</f>
        <v xml:space="preserve"> </v>
      </c>
      <c r="W52" s="8" t="str">
        <f>IFERROR(VLOOKUP($A52,'Project Reference'!$B$2:$O$41,14), " ")</f>
        <v xml:space="preserve"> </v>
      </c>
      <c r="X52" s="8" t="str">
        <f>IFERROR(VLOOKUP($A52,'Project Reference'!$B$2:$P$41,15), " ")</f>
        <v xml:space="preserve"> </v>
      </c>
      <c r="Y52" s="9" t="str">
        <f>IFERROR(VLOOKUP($A52,'Project Reference'!$B$2:$Q$41,16), " ")</f>
        <v xml:space="preserve"> </v>
      </c>
      <c r="Z52" s="22"/>
    </row>
    <row r="53" spans="1:26" s="1" customFormat="1" x14ac:dyDescent="0.45">
      <c r="A53" s="70"/>
      <c r="B53" s="53" t="str">
        <f>IFERROR(VLOOKUP($A53,'Project Reference'!$S$2:$T$41,2),"Enter Project Number")</f>
        <v>Enter Project Number</v>
      </c>
      <c r="C53" s="54"/>
      <c r="D53" s="8"/>
      <c r="E53" s="8"/>
      <c r="F53" s="8"/>
      <c r="G53" s="8"/>
      <c r="H53" s="47"/>
      <c r="I53" s="9"/>
      <c r="J53" s="23"/>
      <c r="K53" s="47" t="str">
        <f>IFERROR(VLOOKUP($A53,'Project Reference'!$B$2:$C$41,2), " ")</f>
        <v xml:space="preserve"> </v>
      </c>
      <c r="L53" s="8" t="str">
        <f>IFERROR(VLOOKUP($A53,'Project Reference'!$B$2:$D$41,3), " ")</f>
        <v xml:space="preserve"> </v>
      </c>
      <c r="M53" s="54" t="str">
        <f>IFERROR(VLOOKUP($A53,'Project Reference'!$B$2:$E$41,4), " ")</f>
        <v xml:space="preserve"> </v>
      </c>
      <c r="N53" s="8" t="str">
        <f>IFERROR(VLOOKUP($A53,'Project Reference'!$B$2:$F$41,5), " ")</f>
        <v xml:space="preserve"> </v>
      </c>
      <c r="O53" s="8" t="str">
        <f>IFERROR(VLOOKUP($A53,'Project Reference'!$B$2:$G$41,6), " ")</f>
        <v xml:space="preserve"> </v>
      </c>
      <c r="P53" s="8" t="str">
        <f>IFERROR(VLOOKUP($A53,'Project Reference'!$B$2:$H$41,7), " ")</f>
        <v xml:space="preserve"> </v>
      </c>
      <c r="Q53" s="8" t="str">
        <f>IFERROR(VLOOKUP($A53,'Project Reference'!$B$2:$I$41,8), " ")</f>
        <v xml:space="preserve"> </v>
      </c>
      <c r="R53" s="8" t="str">
        <f>IFERROR(VLOOKUP($A53,'Project Reference'!$B$2:$J$41,9), " ")</f>
        <v xml:space="preserve"> </v>
      </c>
      <c r="S53" s="8" t="str">
        <f>IFERROR(VLOOKUP($A53,'Project Reference'!$B$2:$K$41,10), " ")</f>
        <v xml:space="preserve"> </v>
      </c>
      <c r="T53" s="8" t="str">
        <f>IFERROR(VLOOKUP($A53,'Project Reference'!$B$2:$L$41,11), " ")</f>
        <v xml:space="preserve"> </v>
      </c>
      <c r="U53" s="8" t="str">
        <f>IFERROR(VLOOKUP($A53,'Project Reference'!$B$2:$M$41,12), " ")</f>
        <v xml:space="preserve"> </v>
      </c>
      <c r="V53" s="8" t="str">
        <f>IFERROR(VLOOKUP($A53,'Project Reference'!$B$2:$N$41,13), " ")</f>
        <v xml:space="preserve"> </v>
      </c>
      <c r="W53" s="8" t="str">
        <f>IFERROR(VLOOKUP($A53,'Project Reference'!$B$2:$O$41,14), " ")</f>
        <v xml:space="preserve"> </v>
      </c>
      <c r="X53" s="8" t="str">
        <f>IFERROR(VLOOKUP($A53,'Project Reference'!$B$2:$P$41,15), " ")</f>
        <v xml:space="preserve"> </v>
      </c>
      <c r="Y53" s="9" t="str">
        <f>IFERROR(VLOOKUP($A53,'Project Reference'!$B$2:$Q$41,16), " ")</f>
        <v xml:space="preserve"> </v>
      </c>
      <c r="Z53" s="22"/>
    </row>
    <row r="54" spans="1:26" s="1" customFormat="1" x14ac:dyDescent="0.45">
      <c r="A54" s="70"/>
      <c r="B54" s="53" t="str">
        <f>IFERROR(VLOOKUP($A54,'Project Reference'!$S$2:$T$41,2),"Enter Project Number")</f>
        <v>Enter Project Number</v>
      </c>
      <c r="C54" s="54"/>
      <c r="D54" s="8"/>
      <c r="E54" s="8"/>
      <c r="F54" s="8"/>
      <c r="G54" s="8"/>
      <c r="H54" s="47"/>
      <c r="I54" s="9"/>
      <c r="J54" s="23"/>
      <c r="K54" s="47" t="str">
        <f>IFERROR(VLOOKUP($A54,'Project Reference'!$B$2:$C$41,2), " ")</f>
        <v xml:space="preserve"> </v>
      </c>
      <c r="L54" s="8" t="str">
        <f>IFERROR(VLOOKUP($A54,'Project Reference'!$B$2:$D$41,3), " ")</f>
        <v xml:space="preserve"> </v>
      </c>
      <c r="M54" s="54" t="str">
        <f>IFERROR(VLOOKUP($A54,'Project Reference'!$B$2:$E$41,4), " ")</f>
        <v xml:space="preserve"> </v>
      </c>
      <c r="N54" s="8" t="str">
        <f>IFERROR(VLOOKUP($A54,'Project Reference'!$B$2:$F$41,5), " ")</f>
        <v xml:space="preserve"> </v>
      </c>
      <c r="O54" s="8" t="str">
        <f>IFERROR(VLOOKUP($A54,'Project Reference'!$B$2:$G$41,6), " ")</f>
        <v xml:space="preserve"> </v>
      </c>
      <c r="P54" s="8" t="str">
        <f>IFERROR(VLOOKUP($A54,'Project Reference'!$B$2:$H$41,7), " ")</f>
        <v xml:space="preserve"> </v>
      </c>
      <c r="Q54" s="8" t="str">
        <f>IFERROR(VLOOKUP($A54,'Project Reference'!$B$2:$I$41,8), " ")</f>
        <v xml:space="preserve"> </v>
      </c>
      <c r="R54" s="8" t="str">
        <f>IFERROR(VLOOKUP($A54,'Project Reference'!$B$2:$J$41,9), " ")</f>
        <v xml:space="preserve"> </v>
      </c>
      <c r="S54" s="8" t="str">
        <f>IFERROR(VLOOKUP($A54,'Project Reference'!$B$2:$K$41,10), " ")</f>
        <v xml:space="preserve"> </v>
      </c>
      <c r="T54" s="8" t="str">
        <f>IFERROR(VLOOKUP($A54,'Project Reference'!$B$2:$L$41,11), " ")</f>
        <v xml:space="preserve"> </v>
      </c>
      <c r="U54" s="8" t="str">
        <f>IFERROR(VLOOKUP($A54,'Project Reference'!$B$2:$M$41,12), " ")</f>
        <v xml:space="preserve"> </v>
      </c>
      <c r="V54" s="8" t="str">
        <f>IFERROR(VLOOKUP($A54,'Project Reference'!$B$2:$N$41,13), " ")</f>
        <v xml:space="preserve"> </v>
      </c>
      <c r="W54" s="8" t="str">
        <f>IFERROR(VLOOKUP($A54,'Project Reference'!$B$2:$O$41,14), " ")</f>
        <v xml:space="preserve"> </v>
      </c>
      <c r="X54" s="8" t="str">
        <f>IFERROR(VLOOKUP($A54,'Project Reference'!$B$2:$P$41,15), " ")</f>
        <v xml:space="preserve"> </v>
      </c>
      <c r="Y54" s="9" t="str">
        <f>IFERROR(VLOOKUP($A54,'Project Reference'!$B$2:$Q$41,16), " ")</f>
        <v xml:space="preserve"> </v>
      </c>
      <c r="Z54" s="22"/>
    </row>
    <row r="55" spans="1:26" s="1" customFormat="1" x14ac:dyDescent="0.45">
      <c r="A55" s="70"/>
      <c r="B55" s="53" t="str">
        <f>IFERROR(VLOOKUP($A55,'Project Reference'!$S$2:$T$41,2),"Enter Project Number")</f>
        <v>Enter Project Number</v>
      </c>
      <c r="C55" s="54"/>
      <c r="D55" s="8"/>
      <c r="E55" s="8"/>
      <c r="F55" s="8"/>
      <c r="G55" s="8"/>
      <c r="H55" s="47"/>
      <c r="I55" s="9"/>
      <c r="J55" s="23"/>
      <c r="K55" s="47" t="str">
        <f>IFERROR(VLOOKUP($A55,'Project Reference'!$B$2:$C$41,2), " ")</f>
        <v xml:space="preserve"> </v>
      </c>
      <c r="L55" s="8" t="str">
        <f>IFERROR(VLOOKUP($A55,'Project Reference'!$B$2:$D$41,3), " ")</f>
        <v xml:space="preserve"> </v>
      </c>
      <c r="M55" s="54" t="str">
        <f>IFERROR(VLOOKUP($A55,'Project Reference'!$B$2:$E$41,4), " ")</f>
        <v xml:space="preserve"> </v>
      </c>
      <c r="N55" s="8" t="str">
        <f>IFERROR(VLOOKUP($A55,'Project Reference'!$B$2:$F$41,5), " ")</f>
        <v xml:space="preserve"> </v>
      </c>
      <c r="O55" s="8" t="str">
        <f>IFERROR(VLOOKUP($A55,'Project Reference'!$B$2:$G$41,6), " ")</f>
        <v xml:space="preserve"> </v>
      </c>
      <c r="P55" s="8" t="str">
        <f>IFERROR(VLOOKUP($A55,'Project Reference'!$B$2:$H$41,7), " ")</f>
        <v xml:space="preserve"> </v>
      </c>
      <c r="Q55" s="8" t="str">
        <f>IFERROR(VLOOKUP($A55,'Project Reference'!$B$2:$I$41,8), " ")</f>
        <v xml:space="preserve"> </v>
      </c>
      <c r="R55" s="8" t="str">
        <f>IFERROR(VLOOKUP($A55,'Project Reference'!$B$2:$J$41,9), " ")</f>
        <v xml:space="preserve"> </v>
      </c>
      <c r="S55" s="8" t="str">
        <f>IFERROR(VLOOKUP($A55,'Project Reference'!$B$2:$K$41,10), " ")</f>
        <v xml:space="preserve"> </v>
      </c>
      <c r="T55" s="8" t="str">
        <f>IFERROR(VLOOKUP($A55,'Project Reference'!$B$2:$L$41,11), " ")</f>
        <v xml:space="preserve"> </v>
      </c>
      <c r="U55" s="8" t="str">
        <f>IFERROR(VLOOKUP($A55,'Project Reference'!$B$2:$M$41,12), " ")</f>
        <v xml:space="preserve"> </v>
      </c>
      <c r="V55" s="8" t="str">
        <f>IFERROR(VLOOKUP($A55,'Project Reference'!$B$2:$N$41,13), " ")</f>
        <v xml:space="preserve"> </v>
      </c>
      <c r="W55" s="8" t="str">
        <f>IFERROR(VLOOKUP($A55,'Project Reference'!$B$2:$O$41,14), " ")</f>
        <v xml:space="preserve"> </v>
      </c>
      <c r="X55" s="8" t="str">
        <f>IFERROR(VLOOKUP($A55,'Project Reference'!$B$2:$P$41,15), " ")</f>
        <v xml:space="preserve"> </v>
      </c>
      <c r="Y55" s="9" t="str">
        <f>IFERROR(VLOOKUP($A55,'Project Reference'!$B$2:$Q$41,16), " ")</f>
        <v xml:space="preserve"> </v>
      </c>
      <c r="Z55" s="22"/>
    </row>
    <row r="56" spans="1:26" s="1" customFormat="1" x14ac:dyDescent="0.45">
      <c r="A56" s="70"/>
      <c r="B56" s="53" t="str">
        <f>IFERROR(VLOOKUP($A56,'Project Reference'!$S$2:$T$41,2),"Enter Project Number")</f>
        <v>Enter Project Number</v>
      </c>
      <c r="C56" s="54"/>
      <c r="D56" s="8"/>
      <c r="E56" s="8"/>
      <c r="F56" s="8"/>
      <c r="G56" s="8"/>
      <c r="H56" s="47"/>
      <c r="I56" s="9"/>
      <c r="J56" s="23"/>
      <c r="K56" s="47" t="str">
        <f>IFERROR(VLOOKUP($A56,'Project Reference'!$B$2:$C$41,2), " ")</f>
        <v xml:space="preserve"> </v>
      </c>
      <c r="L56" s="8" t="str">
        <f>IFERROR(VLOOKUP($A56,'Project Reference'!$B$2:$D$41,3), " ")</f>
        <v xml:space="preserve"> </v>
      </c>
      <c r="M56" s="54" t="str">
        <f>IFERROR(VLOOKUP($A56,'Project Reference'!$B$2:$E$41,4), " ")</f>
        <v xml:space="preserve"> </v>
      </c>
      <c r="N56" s="8" t="str">
        <f>IFERROR(VLOOKUP($A56,'Project Reference'!$B$2:$F$41,5), " ")</f>
        <v xml:space="preserve"> </v>
      </c>
      <c r="O56" s="8" t="str">
        <f>IFERROR(VLOOKUP($A56,'Project Reference'!$B$2:$G$41,6), " ")</f>
        <v xml:space="preserve"> </v>
      </c>
      <c r="P56" s="8" t="str">
        <f>IFERROR(VLOOKUP($A56,'Project Reference'!$B$2:$H$41,7), " ")</f>
        <v xml:space="preserve"> </v>
      </c>
      <c r="Q56" s="8" t="str">
        <f>IFERROR(VLOOKUP($A56,'Project Reference'!$B$2:$I$41,8), " ")</f>
        <v xml:space="preserve"> </v>
      </c>
      <c r="R56" s="8" t="str">
        <f>IFERROR(VLOOKUP($A56,'Project Reference'!$B$2:$J$41,9), " ")</f>
        <v xml:space="preserve"> </v>
      </c>
      <c r="S56" s="8" t="str">
        <f>IFERROR(VLOOKUP($A56,'Project Reference'!$B$2:$K$41,10), " ")</f>
        <v xml:space="preserve"> </v>
      </c>
      <c r="T56" s="8" t="str">
        <f>IFERROR(VLOOKUP($A56,'Project Reference'!$B$2:$L$41,11), " ")</f>
        <v xml:space="preserve"> </v>
      </c>
      <c r="U56" s="8" t="str">
        <f>IFERROR(VLOOKUP($A56,'Project Reference'!$B$2:$M$41,12), " ")</f>
        <v xml:space="preserve"> </v>
      </c>
      <c r="V56" s="8" t="str">
        <f>IFERROR(VLOOKUP($A56,'Project Reference'!$B$2:$N$41,13), " ")</f>
        <v xml:space="preserve"> </v>
      </c>
      <c r="W56" s="8" t="str">
        <f>IFERROR(VLOOKUP($A56,'Project Reference'!$B$2:$O$41,14), " ")</f>
        <v xml:space="preserve"> </v>
      </c>
      <c r="X56" s="8" t="str">
        <f>IFERROR(VLOOKUP($A56,'Project Reference'!$B$2:$P$41,15), " ")</f>
        <v xml:space="preserve"> </v>
      </c>
      <c r="Y56" s="9" t="str">
        <f>IFERROR(VLOOKUP($A56,'Project Reference'!$B$2:$Q$41,16), " ")</f>
        <v xml:space="preserve"> </v>
      </c>
      <c r="Z56" s="22"/>
    </row>
    <row r="57" spans="1:26" s="1" customFormat="1" x14ac:dyDescent="0.45">
      <c r="A57" s="70"/>
      <c r="B57" s="53" t="str">
        <f>IFERROR(VLOOKUP($A57,'Project Reference'!$S$2:$T$41,2),"Enter Project Number")</f>
        <v>Enter Project Number</v>
      </c>
      <c r="C57" s="54"/>
      <c r="D57" s="8"/>
      <c r="E57" s="8"/>
      <c r="F57" s="8"/>
      <c r="G57" s="8"/>
      <c r="H57" s="47"/>
      <c r="I57" s="9"/>
      <c r="J57" s="23"/>
      <c r="K57" s="47" t="str">
        <f>IFERROR(VLOOKUP($A57,'Project Reference'!$B$2:$C$41,2), " ")</f>
        <v xml:space="preserve"> </v>
      </c>
      <c r="L57" s="8" t="str">
        <f>IFERROR(VLOOKUP($A57,'Project Reference'!$B$2:$D$41,3), " ")</f>
        <v xml:space="preserve"> </v>
      </c>
      <c r="M57" s="54" t="str">
        <f>IFERROR(VLOOKUP($A57,'Project Reference'!$B$2:$E$41,4), " ")</f>
        <v xml:space="preserve"> </v>
      </c>
      <c r="N57" s="8" t="str">
        <f>IFERROR(VLOOKUP($A57,'Project Reference'!$B$2:$F$41,5), " ")</f>
        <v xml:space="preserve"> </v>
      </c>
      <c r="O57" s="8" t="str">
        <f>IFERROR(VLOOKUP($A57,'Project Reference'!$B$2:$G$41,6), " ")</f>
        <v xml:space="preserve"> </v>
      </c>
      <c r="P57" s="8" t="str">
        <f>IFERROR(VLOOKUP($A57,'Project Reference'!$B$2:$H$41,7), " ")</f>
        <v xml:space="preserve"> </v>
      </c>
      <c r="Q57" s="8" t="str">
        <f>IFERROR(VLOOKUP($A57,'Project Reference'!$B$2:$I$41,8), " ")</f>
        <v xml:space="preserve"> </v>
      </c>
      <c r="R57" s="8" t="str">
        <f>IFERROR(VLOOKUP($A57,'Project Reference'!$B$2:$J$41,9), " ")</f>
        <v xml:space="preserve"> </v>
      </c>
      <c r="S57" s="8" t="str">
        <f>IFERROR(VLOOKUP($A57,'Project Reference'!$B$2:$K$41,10), " ")</f>
        <v xml:space="preserve"> </v>
      </c>
      <c r="T57" s="8" t="str">
        <f>IFERROR(VLOOKUP($A57,'Project Reference'!$B$2:$L$41,11), " ")</f>
        <v xml:space="preserve"> </v>
      </c>
      <c r="U57" s="8" t="str">
        <f>IFERROR(VLOOKUP($A57,'Project Reference'!$B$2:$M$41,12), " ")</f>
        <v xml:space="preserve"> </v>
      </c>
      <c r="V57" s="8" t="str">
        <f>IFERROR(VLOOKUP($A57,'Project Reference'!$B$2:$N$41,13), " ")</f>
        <v xml:space="preserve"> </v>
      </c>
      <c r="W57" s="8" t="str">
        <f>IFERROR(VLOOKUP($A57,'Project Reference'!$B$2:$O$41,14), " ")</f>
        <v xml:space="preserve"> </v>
      </c>
      <c r="X57" s="8" t="str">
        <f>IFERROR(VLOOKUP($A57,'Project Reference'!$B$2:$P$41,15), " ")</f>
        <v xml:space="preserve"> </v>
      </c>
      <c r="Y57" s="9" t="str">
        <f>IFERROR(VLOOKUP($A57,'Project Reference'!$B$2:$Q$41,16), " ")</f>
        <v xml:space="preserve"> </v>
      </c>
      <c r="Z57" s="22"/>
    </row>
    <row r="58" spans="1:26" s="1" customFormat="1" x14ac:dyDescent="0.45">
      <c r="A58" s="70"/>
      <c r="B58" s="53" t="str">
        <f>IFERROR(VLOOKUP($A58,'Project Reference'!$S$2:$T$41,2),"Enter Project Number")</f>
        <v>Enter Project Number</v>
      </c>
      <c r="C58" s="54"/>
      <c r="D58" s="8"/>
      <c r="E58" s="8"/>
      <c r="F58" s="8"/>
      <c r="G58" s="8"/>
      <c r="H58" s="47"/>
      <c r="I58" s="9"/>
      <c r="J58" s="23"/>
      <c r="K58" s="47" t="str">
        <f>IFERROR(VLOOKUP($A58,'Project Reference'!$B$2:$C$41,2), " ")</f>
        <v xml:space="preserve"> </v>
      </c>
      <c r="L58" s="8" t="str">
        <f>IFERROR(VLOOKUP($A58,'Project Reference'!$B$2:$D$41,3), " ")</f>
        <v xml:space="preserve"> </v>
      </c>
      <c r="M58" s="54" t="str">
        <f>IFERROR(VLOOKUP($A58,'Project Reference'!$B$2:$E$41,4), " ")</f>
        <v xml:space="preserve"> </v>
      </c>
      <c r="N58" s="8" t="str">
        <f>IFERROR(VLOOKUP($A58,'Project Reference'!$B$2:$F$41,5), " ")</f>
        <v xml:space="preserve"> </v>
      </c>
      <c r="O58" s="8" t="str">
        <f>IFERROR(VLOOKUP($A58,'Project Reference'!$B$2:$G$41,6), " ")</f>
        <v xml:space="preserve"> </v>
      </c>
      <c r="P58" s="8" t="str">
        <f>IFERROR(VLOOKUP($A58,'Project Reference'!$B$2:$H$41,7), " ")</f>
        <v xml:space="preserve"> </v>
      </c>
      <c r="Q58" s="8" t="str">
        <f>IFERROR(VLOOKUP($A58,'Project Reference'!$B$2:$I$41,8), " ")</f>
        <v xml:space="preserve"> </v>
      </c>
      <c r="R58" s="8" t="str">
        <f>IFERROR(VLOOKUP($A58,'Project Reference'!$B$2:$J$41,9), " ")</f>
        <v xml:space="preserve"> </v>
      </c>
      <c r="S58" s="8" t="str">
        <f>IFERROR(VLOOKUP($A58,'Project Reference'!$B$2:$K$41,10), " ")</f>
        <v xml:space="preserve"> </v>
      </c>
      <c r="T58" s="8" t="str">
        <f>IFERROR(VLOOKUP($A58,'Project Reference'!$B$2:$L$41,11), " ")</f>
        <v xml:space="preserve"> </v>
      </c>
      <c r="U58" s="8" t="str">
        <f>IFERROR(VLOOKUP($A58,'Project Reference'!$B$2:$M$41,12), " ")</f>
        <v xml:space="preserve"> </v>
      </c>
      <c r="V58" s="8" t="str">
        <f>IFERROR(VLOOKUP($A58,'Project Reference'!$B$2:$N$41,13), " ")</f>
        <v xml:space="preserve"> </v>
      </c>
      <c r="W58" s="8" t="str">
        <f>IFERROR(VLOOKUP($A58,'Project Reference'!$B$2:$O$41,14), " ")</f>
        <v xml:space="preserve"> </v>
      </c>
      <c r="X58" s="8" t="str">
        <f>IFERROR(VLOOKUP($A58,'Project Reference'!$B$2:$P$41,15), " ")</f>
        <v xml:space="preserve"> </v>
      </c>
      <c r="Y58" s="9" t="str">
        <f>IFERROR(VLOOKUP($A58,'Project Reference'!$B$2:$Q$41,16), " ")</f>
        <v xml:space="preserve"> </v>
      </c>
      <c r="Z58" s="22"/>
    </row>
    <row r="59" spans="1:26" s="1" customFormat="1" x14ac:dyDescent="0.45">
      <c r="A59" s="70"/>
      <c r="B59" s="53" t="str">
        <f>IFERROR(VLOOKUP($A59,'Project Reference'!$S$2:$T$41,2),"Enter Project Number")</f>
        <v>Enter Project Number</v>
      </c>
      <c r="C59" s="54"/>
      <c r="D59" s="8"/>
      <c r="E59" s="8"/>
      <c r="F59" s="8"/>
      <c r="G59" s="8"/>
      <c r="H59" s="47"/>
      <c r="I59" s="9"/>
      <c r="J59" s="23"/>
      <c r="K59" s="47" t="str">
        <f>IFERROR(VLOOKUP($A59,'Project Reference'!$B$2:$C$41,2), " ")</f>
        <v xml:space="preserve"> </v>
      </c>
      <c r="L59" s="8" t="str">
        <f>IFERROR(VLOOKUP($A59,'Project Reference'!$B$2:$D$41,3), " ")</f>
        <v xml:space="preserve"> </v>
      </c>
      <c r="M59" s="54" t="str">
        <f>IFERROR(VLOOKUP($A59,'Project Reference'!$B$2:$E$41,4), " ")</f>
        <v xml:space="preserve"> </v>
      </c>
      <c r="N59" s="8" t="str">
        <f>IFERROR(VLOOKUP($A59,'Project Reference'!$B$2:$F$41,5), " ")</f>
        <v xml:space="preserve"> </v>
      </c>
      <c r="O59" s="8" t="str">
        <f>IFERROR(VLOOKUP($A59,'Project Reference'!$B$2:$G$41,6), " ")</f>
        <v xml:space="preserve"> </v>
      </c>
      <c r="P59" s="8" t="str">
        <f>IFERROR(VLOOKUP($A59,'Project Reference'!$B$2:$H$41,7), " ")</f>
        <v xml:space="preserve"> </v>
      </c>
      <c r="Q59" s="8" t="str">
        <f>IFERROR(VLOOKUP($A59,'Project Reference'!$B$2:$I$41,8), " ")</f>
        <v xml:space="preserve"> </v>
      </c>
      <c r="R59" s="8" t="str">
        <f>IFERROR(VLOOKUP($A59,'Project Reference'!$B$2:$J$41,9), " ")</f>
        <v xml:space="preserve"> </v>
      </c>
      <c r="S59" s="8" t="str">
        <f>IFERROR(VLOOKUP($A59,'Project Reference'!$B$2:$K$41,10), " ")</f>
        <v xml:space="preserve"> </v>
      </c>
      <c r="T59" s="8" t="str">
        <f>IFERROR(VLOOKUP($A59,'Project Reference'!$B$2:$L$41,11), " ")</f>
        <v xml:space="preserve"> </v>
      </c>
      <c r="U59" s="8" t="str">
        <f>IFERROR(VLOOKUP($A59,'Project Reference'!$B$2:$M$41,12), " ")</f>
        <v xml:space="preserve"> </v>
      </c>
      <c r="V59" s="8" t="str">
        <f>IFERROR(VLOOKUP($A59,'Project Reference'!$B$2:$N$41,13), " ")</f>
        <v xml:space="preserve"> </v>
      </c>
      <c r="W59" s="8" t="str">
        <f>IFERROR(VLOOKUP($A59,'Project Reference'!$B$2:$O$41,14), " ")</f>
        <v xml:space="preserve"> </v>
      </c>
      <c r="X59" s="8" t="str">
        <f>IFERROR(VLOOKUP($A59,'Project Reference'!$B$2:$P$41,15), " ")</f>
        <v xml:space="preserve"> </v>
      </c>
      <c r="Y59" s="9" t="str">
        <f>IFERROR(VLOOKUP($A59,'Project Reference'!$B$2:$Q$41,16), " ")</f>
        <v xml:space="preserve"> </v>
      </c>
      <c r="Z59" s="22"/>
    </row>
    <row r="60" spans="1:26" s="1" customFormat="1" x14ac:dyDescent="0.45">
      <c r="A60" s="70"/>
      <c r="B60" s="53" t="str">
        <f>IFERROR(VLOOKUP($A60,'Project Reference'!$S$2:$T$41,2),"Enter Project Number")</f>
        <v>Enter Project Number</v>
      </c>
      <c r="C60" s="54"/>
      <c r="D60" s="8"/>
      <c r="E60" s="8"/>
      <c r="F60" s="8"/>
      <c r="G60" s="8"/>
      <c r="H60" s="47"/>
      <c r="I60" s="9"/>
      <c r="J60" s="23"/>
      <c r="K60" s="47" t="str">
        <f>IFERROR(VLOOKUP($A60,'Project Reference'!$B$2:$C$41,2), " ")</f>
        <v xml:space="preserve"> </v>
      </c>
      <c r="L60" s="8" t="str">
        <f>IFERROR(VLOOKUP($A60,'Project Reference'!$B$2:$D$41,3), " ")</f>
        <v xml:space="preserve"> </v>
      </c>
      <c r="M60" s="54" t="str">
        <f>IFERROR(VLOOKUP($A60,'Project Reference'!$B$2:$E$41,4), " ")</f>
        <v xml:space="preserve"> </v>
      </c>
      <c r="N60" s="8" t="str">
        <f>IFERROR(VLOOKUP($A60,'Project Reference'!$B$2:$F$41,5), " ")</f>
        <v xml:space="preserve"> </v>
      </c>
      <c r="O60" s="8" t="str">
        <f>IFERROR(VLOOKUP($A60,'Project Reference'!$B$2:$G$41,6), " ")</f>
        <v xml:space="preserve"> </v>
      </c>
      <c r="P60" s="8" t="str">
        <f>IFERROR(VLOOKUP($A60,'Project Reference'!$B$2:$H$41,7), " ")</f>
        <v xml:space="preserve"> </v>
      </c>
      <c r="Q60" s="8" t="str">
        <f>IFERROR(VLOOKUP($A60,'Project Reference'!$B$2:$I$41,8), " ")</f>
        <v xml:space="preserve"> </v>
      </c>
      <c r="R60" s="8" t="str">
        <f>IFERROR(VLOOKUP($A60,'Project Reference'!$B$2:$J$41,9), " ")</f>
        <v xml:space="preserve"> </v>
      </c>
      <c r="S60" s="8" t="str">
        <f>IFERROR(VLOOKUP($A60,'Project Reference'!$B$2:$K$41,10), " ")</f>
        <v xml:space="preserve"> </v>
      </c>
      <c r="T60" s="8" t="str">
        <f>IFERROR(VLOOKUP($A60,'Project Reference'!$B$2:$L$41,11), " ")</f>
        <v xml:space="preserve"> </v>
      </c>
      <c r="U60" s="8" t="str">
        <f>IFERROR(VLOOKUP($A60,'Project Reference'!$B$2:$M$41,12), " ")</f>
        <v xml:space="preserve"> </v>
      </c>
      <c r="V60" s="8" t="str">
        <f>IFERROR(VLOOKUP($A60,'Project Reference'!$B$2:$N$41,13), " ")</f>
        <v xml:space="preserve"> </v>
      </c>
      <c r="W60" s="8" t="str">
        <f>IFERROR(VLOOKUP($A60,'Project Reference'!$B$2:$O$41,14), " ")</f>
        <v xml:space="preserve"> </v>
      </c>
      <c r="X60" s="8" t="str">
        <f>IFERROR(VLOOKUP($A60,'Project Reference'!$B$2:$P$41,15), " ")</f>
        <v xml:space="preserve"> </v>
      </c>
      <c r="Y60" s="9" t="str">
        <f>IFERROR(VLOOKUP($A60,'Project Reference'!$B$2:$Q$41,16), " ")</f>
        <v xml:space="preserve"> </v>
      </c>
      <c r="Z60" s="22"/>
    </row>
    <row r="61" spans="1:26" s="1" customFormat="1" x14ac:dyDescent="0.45">
      <c r="A61" s="70"/>
      <c r="B61" s="53" t="str">
        <f>IFERROR(VLOOKUP($A61,'Project Reference'!$S$2:$T$41,2),"Enter Project Number")</f>
        <v>Enter Project Number</v>
      </c>
      <c r="C61" s="54"/>
      <c r="D61" s="8"/>
      <c r="E61" s="8"/>
      <c r="F61" s="8"/>
      <c r="G61" s="8"/>
      <c r="H61" s="47"/>
      <c r="I61" s="9"/>
      <c r="J61" s="23"/>
      <c r="K61" s="47" t="str">
        <f>IFERROR(VLOOKUP($A61,'Project Reference'!$B$2:$C$41,2), " ")</f>
        <v xml:space="preserve"> </v>
      </c>
      <c r="L61" s="8" t="str">
        <f>IFERROR(VLOOKUP($A61,'Project Reference'!$B$2:$D$41,3), " ")</f>
        <v xml:space="preserve"> </v>
      </c>
      <c r="M61" s="54" t="str">
        <f>IFERROR(VLOOKUP($A61,'Project Reference'!$B$2:$E$41,4), " ")</f>
        <v xml:space="preserve"> </v>
      </c>
      <c r="N61" s="8" t="str">
        <f>IFERROR(VLOOKUP($A61,'Project Reference'!$B$2:$F$41,5), " ")</f>
        <v xml:space="preserve"> </v>
      </c>
      <c r="O61" s="8" t="str">
        <f>IFERROR(VLOOKUP($A61,'Project Reference'!$B$2:$G$41,6), " ")</f>
        <v xml:space="preserve"> </v>
      </c>
      <c r="P61" s="8" t="str">
        <f>IFERROR(VLOOKUP($A61,'Project Reference'!$B$2:$H$41,7), " ")</f>
        <v xml:space="preserve"> </v>
      </c>
      <c r="Q61" s="8" t="str">
        <f>IFERROR(VLOOKUP($A61,'Project Reference'!$B$2:$I$41,8), " ")</f>
        <v xml:space="preserve"> </v>
      </c>
      <c r="R61" s="8" t="str">
        <f>IFERROR(VLOOKUP($A61,'Project Reference'!$B$2:$J$41,9), " ")</f>
        <v xml:space="preserve"> </v>
      </c>
      <c r="S61" s="8" t="str">
        <f>IFERROR(VLOOKUP($A61,'Project Reference'!$B$2:$K$41,10), " ")</f>
        <v xml:space="preserve"> </v>
      </c>
      <c r="T61" s="8" t="str">
        <f>IFERROR(VLOOKUP($A61,'Project Reference'!$B$2:$L$41,11), " ")</f>
        <v xml:space="preserve"> </v>
      </c>
      <c r="U61" s="8" t="str">
        <f>IFERROR(VLOOKUP($A61,'Project Reference'!$B$2:$M$41,12), " ")</f>
        <v xml:space="preserve"> </v>
      </c>
      <c r="V61" s="8" t="str">
        <f>IFERROR(VLOOKUP($A61,'Project Reference'!$B$2:$N$41,13), " ")</f>
        <v xml:space="preserve"> </v>
      </c>
      <c r="W61" s="8" t="str">
        <f>IFERROR(VLOOKUP($A61,'Project Reference'!$B$2:$O$41,14), " ")</f>
        <v xml:space="preserve"> </v>
      </c>
      <c r="X61" s="8" t="str">
        <f>IFERROR(VLOOKUP($A61,'Project Reference'!$B$2:$P$41,15), " ")</f>
        <v xml:space="preserve"> </v>
      </c>
      <c r="Y61" s="9" t="str">
        <f>IFERROR(VLOOKUP($A61,'Project Reference'!$B$2:$Q$41,16), " ")</f>
        <v xml:space="preserve"> </v>
      </c>
      <c r="Z61" s="22"/>
    </row>
    <row r="62" spans="1:26" s="1" customFormat="1" x14ac:dyDescent="0.45">
      <c r="A62" s="70"/>
      <c r="B62" s="53" t="str">
        <f>IFERROR(VLOOKUP($A62,'Project Reference'!$S$2:$T$41,2),"Enter Project Number")</f>
        <v>Enter Project Number</v>
      </c>
      <c r="C62" s="54"/>
      <c r="D62" s="8"/>
      <c r="E62" s="8"/>
      <c r="F62" s="8"/>
      <c r="G62" s="8"/>
      <c r="H62" s="47"/>
      <c r="I62" s="9"/>
      <c r="J62" s="23"/>
      <c r="K62" s="47" t="str">
        <f>IFERROR(VLOOKUP($A62,'Project Reference'!$B$2:$C$41,2), " ")</f>
        <v xml:space="preserve"> </v>
      </c>
      <c r="L62" s="8" t="str">
        <f>IFERROR(VLOOKUP($A62,'Project Reference'!$B$2:$D$41,3), " ")</f>
        <v xml:space="preserve"> </v>
      </c>
      <c r="M62" s="54" t="str">
        <f>IFERROR(VLOOKUP($A62,'Project Reference'!$B$2:$E$41,4), " ")</f>
        <v xml:space="preserve"> </v>
      </c>
      <c r="N62" s="8" t="str">
        <f>IFERROR(VLOOKUP($A62,'Project Reference'!$B$2:$F$41,5), " ")</f>
        <v xml:space="preserve"> </v>
      </c>
      <c r="O62" s="8" t="str">
        <f>IFERROR(VLOOKUP($A62,'Project Reference'!$B$2:$G$41,6), " ")</f>
        <v xml:space="preserve"> </v>
      </c>
      <c r="P62" s="8" t="str">
        <f>IFERROR(VLOOKUP($A62,'Project Reference'!$B$2:$H$41,7), " ")</f>
        <v xml:space="preserve"> </v>
      </c>
      <c r="Q62" s="8" t="str">
        <f>IFERROR(VLOOKUP($A62,'Project Reference'!$B$2:$I$41,8), " ")</f>
        <v xml:space="preserve"> </v>
      </c>
      <c r="R62" s="8" t="str">
        <f>IFERROR(VLOOKUP($A62,'Project Reference'!$B$2:$J$41,9), " ")</f>
        <v xml:space="preserve"> </v>
      </c>
      <c r="S62" s="8" t="str">
        <f>IFERROR(VLOOKUP($A62,'Project Reference'!$B$2:$K$41,10), " ")</f>
        <v xml:space="preserve"> </v>
      </c>
      <c r="T62" s="8" t="str">
        <f>IFERROR(VLOOKUP($A62,'Project Reference'!$B$2:$L$41,11), " ")</f>
        <v xml:space="preserve"> </v>
      </c>
      <c r="U62" s="8" t="str">
        <f>IFERROR(VLOOKUP($A62,'Project Reference'!$B$2:$M$41,12), " ")</f>
        <v xml:space="preserve"> </v>
      </c>
      <c r="V62" s="8" t="str">
        <f>IFERROR(VLOOKUP($A62,'Project Reference'!$B$2:$N$41,13), " ")</f>
        <v xml:space="preserve"> </v>
      </c>
      <c r="W62" s="8" t="str">
        <f>IFERROR(VLOOKUP($A62,'Project Reference'!$B$2:$O$41,14), " ")</f>
        <v xml:space="preserve"> </v>
      </c>
      <c r="X62" s="8" t="str">
        <f>IFERROR(VLOOKUP($A62,'Project Reference'!$B$2:$P$41,15), " ")</f>
        <v xml:space="preserve"> </v>
      </c>
      <c r="Y62" s="9" t="str">
        <f>IFERROR(VLOOKUP($A62,'Project Reference'!$B$2:$Q$41,16), " ")</f>
        <v xml:space="preserve"> </v>
      </c>
      <c r="Z62" s="22"/>
    </row>
    <row r="63" spans="1:26" s="1" customFormat="1" x14ac:dyDescent="0.45">
      <c r="A63" s="70"/>
      <c r="B63" s="53" t="str">
        <f>IFERROR(VLOOKUP($A63,'Project Reference'!$S$2:$T$41,2),"Enter Project Number")</f>
        <v>Enter Project Number</v>
      </c>
      <c r="C63" s="54"/>
      <c r="D63" s="8"/>
      <c r="E63" s="8"/>
      <c r="F63" s="8"/>
      <c r="G63" s="8"/>
      <c r="H63" s="47"/>
      <c r="I63" s="9"/>
      <c r="J63" s="23"/>
      <c r="K63" s="47" t="str">
        <f>IFERROR(VLOOKUP($A63,'Project Reference'!$B$2:$C$41,2), " ")</f>
        <v xml:space="preserve"> </v>
      </c>
      <c r="L63" s="8" t="str">
        <f>IFERROR(VLOOKUP($A63,'Project Reference'!$B$2:$D$41,3), " ")</f>
        <v xml:space="preserve"> </v>
      </c>
      <c r="M63" s="54" t="str">
        <f>IFERROR(VLOOKUP($A63,'Project Reference'!$B$2:$E$41,4), " ")</f>
        <v xml:space="preserve"> </v>
      </c>
      <c r="N63" s="8" t="str">
        <f>IFERROR(VLOOKUP($A63,'Project Reference'!$B$2:$F$41,5), " ")</f>
        <v xml:space="preserve"> </v>
      </c>
      <c r="O63" s="8" t="str">
        <f>IFERROR(VLOOKUP($A63,'Project Reference'!$B$2:$G$41,6), " ")</f>
        <v xml:space="preserve"> </v>
      </c>
      <c r="P63" s="8" t="str">
        <f>IFERROR(VLOOKUP($A63,'Project Reference'!$B$2:$H$41,7), " ")</f>
        <v xml:space="preserve"> </v>
      </c>
      <c r="Q63" s="8" t="str">
        <f>IFERROR(VLOOKUP($A63,'Project Reference'!$B$2:$I$41,8), " ")</f>
        <v xml:space="preserve"> </v>
      </c>
      <c r="R63" s="8" t="str">
        <f>IFERROR(VLOOKUP($A63,'Project Reference'!$B$2:$J$41,9), " ")</f>
        <v xml:space="preserve"> </v>
      </c>
      <c r="S63" s="8" t="str">
        <f>IFERROR(VLOOKUP($A63,'Project Reference'!$B$2:$K$41,10), " ")</f>
        <v xml:space="preserve"> </v>
      </c>
      <c r="T63" s="8" t="str">
        <f>IFERROR(VLOOKUP($A63,'Project Reference'!$B$2:$L$41,11), " ")</f>
        <v xml:space="preserve"> </v>
      </c>
      <c r="U63" s="8" t="str">
        <f>IFERROR(VLOOKUP($A63,'Project Reference'!$B$2:$M$41,12), " ")</f>
        <v xml:space="preserve"> </v>
      </c>
      <c r="V63" s="8" t="str">
        <f>IFERROR(VLOOKUP($A63,'Project Reference'!$B$2:$N$41,13), " ")</f>
        <v xml:space="preserve"> </v>
      </c>
      <c r="W63" s="8" t="str">
        <f>IFERROR(VLOOKUP($A63,'Project Reference'!$B$2:$O$41,14), " ")</f>
        <v xml:space="preserve"> </v>
      </c>
      <c r="X63" s="8" t="str">
        <f>IFERROR(VLOOKUP($A63,'Project Reference'!$B$2:$P$41,15), " ")</f>
        <v xml:space="preserve"> </v>
      </c>
      <c r="Y63" s="9" t="str">
        <f>IFERROR(VLOOKUP($A63,'Project Reference'!$B$2:$Q$41,16), " ")</f>
        <v xml:space="preserve"> </v>
      </c>
      <c r="Z63" s="22"/>
    </row>
    <row r="64" spans="1:26" s="1" customFormat="1" x14ac:dyDescent="0.45">
      <c r="A64" s="70"/>
      <c r="B64" s="53" t="str">
        <f>IFERROR(VLOOKUP($A64,'Project Reference'!$S$2:$T$41,2),"Enter Project Number")</f>
        <v>Enter Project Number</v>
      </c>
      <c r="C64" s="54"/>
      <c r="D64" s="8"/>
      <c r="E64" s="8"/>
      <c r="F64" s="8"/>
      <c r="G64" s="8"/>
      <c r="H64" s="47"/>
      <c r="I64" s="9"/>
      <c r="J64" s="23"/>
      <c r="K64" s="47" t="str">
        <f>IFERROR(VLOOKUP($A64,'Project Reference'!$B$2:$C$41,2), " ")</f>
        <v xml:space="preserve"> </v>
      </c>
      <c r="L64" s="8" t="str">
        <f>IFERROR(VLOOKUP($A64,'Project Reference'!$B$2:$D$41,3), " ")</f>
        <v xml:space="preserve"> </v>
      </c>
      <c r="M64" s="54" t="str">
        <f>IFERROR(VLOOKUP($A64,'Project Reference'!$B$2:$E$41,4), " ")</f>
        <v xml:space="preserve"> </v>
      </c>
      <c r="N64" s="8" t="str">
        <f>IFERROR(VLOOKUP($A64,'Project Reference'!$B$2:$F$41,5), " ")</f>
        <v xml:space="preserve"> </v>
      </c>
      <c r="O64" s="8" t="str">
        <f>IFERROR(VLOOKUP($A64,'Project Reference'!$B$2:$G$41,6), " ")</f>
        <v xml:space="preserve"> </v>
      </c>
      <c r="P64" s="8" t="str">
        <f>IFERROR(VLOOKUP($A64,'Project Reference'!$B$2:$H$41,7), " ")</f>
        <v xml:space="preserve"> </v>
      </c>
      <c r="Q64" s="8" t="str">
        <f>IFERROR(VLOOKUP($A64,'Project Reference'!$B$2:$I$41,8), " ")</f>
        <v xml:space="preserve"> </v>
      </c>
      <c r="R64" s="8" t="str">
        <f>IFERROR(VLOOKUP($A64,'Project Reference'!$B$2:$J$41,9), " ")</f>
        <v xml:space="preserve"> </v>
      </c>
      <c r="S64" s="8" t="str">
        <f>IFERROR(VLOOKUP($A64,'Project Reference'!$B$2:$K$41,10), " ")</f>
        <v xml:space="preserve"> </v>
      </c>
      <c r="T64" s="8" t="str">
        <f>IFERROR(VLOOKUP($A64,'Project Reference'!$B$2:$L$41,11), " ")</f>
        <v xml:space="preserve"> </v>
      </c>
      <c r="U64" s="8" t="str">
        <f>IFERROR(VLOOKUP($A64,'Project Reference'!$B$2:$M$41,12), " ")</f>
        <v xml:space="preserve"> </v>
      </c>
      <c r="V64" s="8" t="str">
        <f>IFERROR(VLOOKUP($A64,'Project Reference'!$B$2:$N$41,13), " ")</f>
        <v xml:space="preserve"> </v>
      </c>
      <c r="W64" s="8" t="str">
        <f>IFERROR(VLOOKUP($A64,'Project Reference'!$B$2:$O$41,14), " ")</f>
        <v xml:space="preserve"> </v>
      </c>
      <c r="X64" s="8" t="str">
        <f>IFERROR(VLOOKUP($A64,'Project Reference'!$B$2:$P$41,15), " ")</f>
        <v xml:space="preserve"> </v>
      </c>
      <c r="Y64" s="9" t="str">
        <f>IFERROR(VLOOKUP($A64,'Project Reference'!$B$2:$Q$41,16), " ")</f>
        <v xml:space="preserve"> </v>
      </c>
      <c r="Z64" s="22"/>
    </row>
    <row r="65" spans="1:26" s="1" customFormat="1" x14ac:dyDescent="0.45">
      <c r="A65" s="70"/>
      <c r="B65" s="53" t="str">
        <f>IFERROR(VLOOKUP($A65,'Project Reference'!$S$2:$T$41,2),"Enter Project Number")</f>
        <v>Enter Project Number</v>
      </c>
      <c r="C65" s="54"/>
      <c r="D65" s="8"/>
      <c r="E65" s="8"/>
      <c r="F65" s="8"/>
      <c r="G65" s="8"/>
      <c r="H65" s="47"/>
      <c r="I65" s="9"/>
      <c r="J65" s="23"/>
      <c r="K65" s="47" t="str">
        <f>IFERROR(VLOOKUP($A65,'Project Reference'!$B$2:$C$41,2), " ")</f>
        <v xml:space="preserve"> </v>
      </c>
      <c r="L65" s="8" t="str">
        <f>IFERROR(VLOOKUP($A65,'Project Reference'!$B$2:$D$41,3), " ")</f>
        <v xml:space="preserve"> </v>
      </c>
      <c r="M65" s="54" t="str">
        <f>IFERROR(VLOOKUP($A65,'Project Reference'!$B$2:$E$41,4), " ")</f>
        <v xml:space="preserve"> </v>
      </c>
      <c r="N65" s="8" t="str">
        <f>IFERROR(VLOOKUP($A65,'Project Reference'!$B$2:$F$41,5), " ")</f>
        <v xml:space="preserve"> </v>
      </c>
      <c r="O65" s="8" t="str">
        <f>IFERROR(VLOOKUP($A65,'Project Reference'!$B$2:$G$41,6), " ")</f>
        <v xml:space="preserve"> </v>
      </c>
      <c r="P65" s="8" t="str">
        <f>IFERROR(VLOOKUP($A65,'Project Reference'!$B$2:$H$41,7), " ")</f>
        <v xml:space="preserve"> </v>
      </c>
      <c r="Q65" s="8" t="str">
        <f>IFERROR(VLOOKUP($A65,'Project Reference'!$B$2:$I$41,8), " ")</f>
        <v xml:space="preserve"> </v>
      </c>
      <c r="R65" s="8" t="str">
        <f>IFERROR(VLOOKUP($A65,'Project Reference'!$B$2:$J$41,9), " ")</f>
        <v xml:space="preserve"> </v>
      </c>
      <c r="S65" s="8" t="str">
        <f>IFERROR(VLOOKUP($A65,'Project Reference'!$B$2:$K$41,10), " ")</f>
        <v xml:space="preserve"> </v>
      </c>
      <c r="T65" s="8" t="str">
        <f>IFERROR(VLOOKUP($A65,'Project Reference'!$B$2:$L$41,11), " ")</f>
        <v xml:space="preserve"> </v>
      </c>
      <c r="U65" s="8" t="str">
        <f>IFERROR(VLOOKUP($A65,'Project Reference'!$B$2:$M$41,12), " ")</f>
        <v xml:space="preserve"> </v>
      </c>
      <c r="V65" s="8" t="str">
        <f>IFERROR(VLOOKUP($A65,'Project Reference'!$B$2:$N$41,13), " ")</f>
        <v xml:space="preserve"> </v>
      </c>
      <c r="W65" s="8" t="str">
        <f>IFERROR(VLOOKUP($A65,'Project Reference'!$B$2:$O$41,14), " ")</f>
        <v xml:space="preserve"> </v>
      </c>
      <c r="X65" s="8" t="str">
        <f>IFERROR(VLOOKUP($A65,'Project Reference'!$B$2:$P$41,15), " ")</f>
        <v xml:space="preserve"> </v>
      </c>
      <c r="Y65" s="9" t="str">
        <f>IFERROR(VLOOKUP($A65,'Project Reference'!$B$2:$Q$41,16), " ")</f>
        <v xml:space="preserve"> </v>
      </c>
      <c r="Z65" s="22"/>
    </row>
    <row r="66" spans="1:26" s="1" customFormat="1" x14ac:dyDescent="0.45">
      <c r="A66" s="70"/>
      <c r="B66" s="53" t="str">
        <f>IFERROR(VLOOKUP($A66,'Project Reference'!$S$2:$T$41,2),"Enter Project Number")</f>
        <v>Enter Project Number</v>
      </c>
      <c r="C66" s="54"/>
      <c r="D66" s="8"/>
      <c r="E66" s="8"/>
      <c r="F66" s="8"/>
      <c r="G66" s="8"/>
      <c r="H66" s="47"/>
      <c r="I66" s="9"/>
      <c r="J66" s="23"/>
      <c r="K66" s="47" t="str">
        <f>IFERROR(VLOOKUP($A66,'Project Reference'!$B$2:$C$41,2), " ")</f>
        <v xml:space="preserve"> </v>
      </c>
      <c r="L66" s="8" t="str">
        <f>IFERROR(VLOOKUP($A66,'Project Reference'!$B$2:$D$41,3), " ")</f>
        <v xml:space="preserve"> </v>
      </c>
      <c r="M66" s="54" t="str">
        <f>IFERROR(VLOOKUP($A66,'Project Reference'!$B$2:$E$41,4), " ")</f>
        <v xml:space="preserve"> </v>
      </c>
      <c r="N66" s="8" t="str">
        <f>IFERROR(VLOOKUP($A66,'Project Reference'!$B$2:$F$41,5), " ")</f>
        <v xml:space="preserve"> </v>
      </c>
      <c r="O66" s="8" t="str">
        <f>IFERROR(VLOOKUP($A66,'Project Reference'!$B$2:$G$41,6), " ")</f>
        <v xml:space="preserve"> </v>
      </c>
      <c r="P66" s="8" t="str">
        <f>IFERROR(VLOOKUP($A66,'Project Reference'!$B$2:$H$41,7), " ")</f>
        <v xml:space="preserve"> </v>
      </c>
      <c r="Q66" s="8" t="str">
        <f>IFERROR(VLOOKUP($A66,'Project Reference'!$B$2:$I$41,8), " ")</f>
        <v xml:space="preserve"> </v>
      </c>
      <c r="R66" s="8" t="str">
        <f>IFERROR(VLOOKUP($A66,'Project Reference'!$B$2:$J$41,9), " ")</f>
        <v xml:space="preserve"> </v>
      </c>
      <c r="S66" s="8" t="str">
        <f>IFERROR(VLOOKUP($A66,'Project Reference'!$B$2:$K$41,10), " ")</f>
        <v xml:space="preserve"> </v>
      </c>
      <c r="T66" s="8" t="str">
        <f>IFERROR(VLOOKUP($A66,'Project Reference'!$B$2:$L$41,11), " ")</f>
        <v xml:space="preserve"> </v>
      </c>
      <c r="U66" s="8" t="str">
        <f>IFERROR(VLOOKUP($A66,'Project Reference'!$B$2:$M$41,12), " ")</f>
        <v xml:space="preserve"> </v>
      </c>
      <c r="V66" s="8" t="str">
        <f>IFERROR(VLOOKUP($A66,'Project Reference'!$B$2:$N$41,13), " ")</f>
        <v xml:space="preserve"> </v>
      </c>
      <c r="W66" s="8" t="str">
        <f>IFERROR(VLOOKUP($A66,'Project Reference'!$B$2:$O$41,14), " ")</f>
        <v xml:space="preserve"> </v>
      </c>
      <c r="X66" s="8" t="str">
        <f>IFERROR(VLOOKUP($A66,'Project Reference'!$B$2:$P$41,15), " ")</f>
        <v xml:space="preserve"> </v>
      </c>
      <c r="Y66" s="9" t="str">
        <f>IFERROR(VLOOKUP($A66,'Project Reference'!$B$2:$Q$41,16), " ")</f>
        <v xml:space="preserve"> </v>
      </c>
      <c r="Z66" s="22"/>
    </row>
    <row r="67" spans="1:26" s="1" customFormat="1" x14ac:dyDescent="0.45">
      <c r="A67" s="70"/>
      <c r="B67" s="53" t="str">
        <f>IFERROR(VLOOKUP($A67,'Project Reference'!$S$2:$T$41,2),"Enter Project Number")</f>
        <v>Enter Project Number</v>
      </c>
      <c r="C67" s="54"/>
      <c r="D67" s="8"/>
      <c r="E67" s="8"/>
      <c r="F67" s="8"/>
      <c r="G67" s="8"/>
      <c r="H67" s="47"/>
      <c r="I67" s="9"/>
      <c r="J67" s="23"/>
      <c r="K67" s="47" t="str">
        <f>IFERROR(VLOOKUP($A67,'Project Reference'!$B$2:$C$41,2), " ")</f>
        <v xml:space="preserve"> </v>
      </c>
      <c r="L67" s="8" t="str">
        <f>IFERROR(VLOOKUP($A67,'Project Reference'!$B$2:$D$41,3), " ")</f>
        <v xml:space="preserve"> </v>
      </c>
      <c r="M67" s="54" t="str">
        <f>IFERROR(VLOOKUP($A67,'Project Reference'!$B$2:$E$41,4), " ")</f>
        <v xml:space="preserve"> </v>
      </c>
      <c r="N67" s="8" t="str">
        <f>IFERROR(VLOOKUP($A67,'Project Reference'!$B$2:$F$41,5), " ")</f>
        <v xml:space="preserve"> </v>
      </c>
      <c r="O67" s="8" t="str">
        <f>IFERROR(VLOOKUP($A67,'Project Reference'!$B$2:$G$41,6), " ")</f>
        <v xml:space="preserve"> </v>
      </c>
      <c r="P67" s="8" t="str">
        <f>IFERROR(VLOOKUP($A67,'Project Reference'!$B$2:$H$41,7), " ")</f>
        <v xml:space="preserve"> </v>
      </c>
      <c r="Q67" s="8" t="str">
        <f>IFERROR(VLOOKUP($A67,'Project Reference'!$B$2:$I$41,8), " ")</f>
        <v xml:space="preserve"> </v>
      </c>
      <c r="R67" s="8" t="str">
        <f>IFERROR(VLOOKUP($A67,'Project Reference'!$B$2:$J$41,9), " ")</f>
        <v xml:space="preserve"> </v>
      </c>
      <c r="S67" s="8" t="str">
        <f>IFERROR(VLOOKUP($A67,'Project Reference'!$B$2:$K$41,10), " ")</f>
        <v xml:space="preserve"> </v>
      </c>
      <c r="T67" s="8" t="str">
        <f>IFERROR(VLOOKUP($A67,'Project Reference'!$B$2:$L$41,11), " ")</f>
        <v xml:space="preserve"> </v>
      </c>
      <c r="U67" s="8" t="str">
        <f>IFERROR(VLOOKUP($A67,'Project Reference'!$B$2:$M$41,12), " ")</f>
        <v xml:space="preserve"> </v>
      </c>
      <c r="V67" s="8" t="str">
        <f>IFERROR(VLOOKUP($A67,'Project Reference'!$B$2:$N$41,13), " ")</f>
        <v xml:space="preserve"> </v>
      </c>
      <c r="W67" s="8" t="str">
        <f>IFERROR(VLOOKUP($A67,'Project Reference'!$B$2:$O$41,14), " ")</f>
        <v xml:space="preserve"> </v>
      </c>
      <c r="X67" s="8" t="str">
        <f>IFERROR(VLOOKUP($A67,'Project Reference'!$B$2:$P$41,15), " ")</f>
        <v xml:space="preserve"> </v>
      </c>
      <c r="Y67" s="9" t="str">
        <f>IFERROR(VLOOKUP($A67,'Project Reference'!$B$2:$Q$41,16), " ")</f>
        <v xml:space="preserve"> </v>
      </c>
      <c r="Z67" s="22"/>
    </row>
    <row r="68" spans="1:26" s="1" customFormat="1" x14ac:dyDescent="0.45">
      <c r="A68" s="70"/>
      <c r="B68" s="53" t="str">
        <f>IFERROR(VLOOKUP($A68,'Project Reference'!$S$2:$T$41,2),"Enter Project Number")</f>
        <v>Enter Project Number</v>
      </c>
      <c r="C68" s="54"/>
      <c r="D68" s="8"/>
      <c r="E68" s="8"/>
      <c r="F68" s="8"/>
      <c r="G68" s="8"/>
      <c r="H68" s="47"/>
      <c r="I68" s="9"/>
      <c r="J68" s="23"/>
      <c r="K68" s="47" t="str">
        <f>IFERROR(VLOOKUP($A68,'Project Reference'!$B$2:$C$41,2), " ")</f>
        <v xml:space="preserve"> </v>
      </c>
      <c r="L68" s="8" t="str">
        <f>IFERROR(VLOOKUP($A68,'Project Reference'!$B$2:$D$41,3), " ")</f>
        <v xml:space="preserve"> </v>
      </c>
      <c r="M68" s="54" t="str">
        <f>IFERROR(VLOOKUP($A68,'Project Reference'!$B$2:$E$41,4), " ")</f>
        <v xml:space="preserve"> </v>
      </c>
      <c r="N68" s="8" t="str">
        <f>IFERROR(VLOOKUP($A68,'Project Reference'!$B$2:$F$41,5), " ")</f>
        <v xml:space="preserve"> </v>
      </c>
      <c r="O68" s="8" t="str">
        <f>IFERROR(VLOOKUP($A68,'Project Reference'!$B$2:$G$41,6), " ")</f>
        <v xml:space="preserve"> </v>
      </c>
      <c r="P68" s="8" t="str">
        <f>IFERROR(VLOOKUP($A68,'Project Reference'!$B$2:$H$41,7), " ")</f>
        <v xml:space="preserve"> </v>
      </c>
      <c r="Q68" s="8" t="str">
        <f>IFERROR(VLOOKUP($A68,'Project Reference'!$B$2:$I$41,8), " ")</f>
        <v xml:space="preserve"> </v>
      </c>
      <c r="R68" s="8" t="str">
        <f>IFERROR(VLOOKUP($A68,'Project Reference'!$B$2:$J$41,9), " ")</f>
        <v xml:space="preserve"> </v>
      </c>
      <c r="S68" s="8" t="str">
        <f>IFERROR(VLOOKUP($A68,'Project Reference'!$B$2:$K$41,10), " ")</f>
        <v xml:space="preserve"> </v>
      </c>
      <c r="T68" s="8" t="str">
        <f>IFERROR(VLOOKUP($A68,'Project Reference'!$B$2:$L$41,11), " ")</f>
        <v xml:space="preserve"> </v>
      </c>
      <c r="U68" s="8" t="str">
        <f>IFERROR(VLOOKUP($A68,'Project Reference'!$B$2:$M$41,12), " ")</f>
        <v xml:space="preserve"> </v>
      </c>
      <c r="V68" s="8" t="str">
        <f>IFERROR(VLOOKUP($A68,'Project Reference'!$B$2:$N$41,13), " ")</f>
        <v xml:space="preserve"> </v>
      </c>
      <c r="W68" s="8" t="str">
        <f>IFERROR(VLOOKUP($A68,'Project Reference'!$B$2:$O$41,14), " ")</f>
        <v xml:space="preserve"> </v>
      </c>
      <c r="X68" s="8" t="str">
        <f>IFERROR(VLOOKUP($A68,'Project Reference'!$B$2:$P$41,15), " ")</f>
        <v xml:space="preserve"> </v>
      </c>
      <c r="Y68" s="9" t="str">
        <f>IFERROR(VLOOKUP($A68,'Project Reference'!$B$2:$Q$41,16), " ")</f>
        <v xml:space="preserve"> </v>
      </c>
      <c r="Z68" s="22"/>
    </row>
    <row r="69" spans="1:26" s="1" customFormat="1" x14ac:dyDescent="0.45">
      <c r="A69" s="70"/>
      <c r="B69" s="53" t="str">
        <f>IFERROR(VLOOKUP($A69,'Project Reference'!$S$2:$T$41,2),"Enter Project Number")</f>
        <v>Enter Project Number</v>
      </c>
      <c r="C69" s="54"/>
      <c r="D69" s="8"/>
      <c r="E69" s="8"/>
      <c r="F69" s="8"/>
      <c r="G69" s="8"/>
      <c r="H69" s="47"/>
      <c r="I69" s="9"/>
      <c r="J69" s="23"/>
      <c r="K69" s="47" t="str">
        <f>IFERROR(VLOOKUP($A69,'Project Reference'!$B$2:$C$41,2), " ")</f>
        <v xml:space="preserve"> </v>
      </c>
      <c r="L69" s="8" t="str">
        <f>IFERROR(VLOOKUP($A69,'Project Reference'!$B$2:$D$41,3), " ")</f>
        <v xml:space="preserve"> </v>
      </c>
      <c r="M69" s="54" t="str">
        <f>IFERROR(VLOOKUP($A69,'Project Reference'!$B$2:$E$41,4), " ")</f>
        <v xml:space="preserve"> </v>
      </c>
      <c r="N69" s="8" t="str">
        <f>IFERROR(VLOOKUP($A69,'Project Reference'!$B$2:$F$41,5), " ")</f>
        <v xml:space="preserve"> </v>
      </c>
      <c r="O69" s="8" t="str">
        <f>IFERROR(VLOOKUP($A69,'Project Reference'!$B$2:$G$41,6), " ")</f>
        <v xml:space="preserve"> </v>
      </c>
      <c r="P69" s="8" t="str">
        <f>IFERROR(VLOOKUP($A69,'Project Reference'!$B$2:$H$41,7), " ")</f>
        <v xml:space="preserve"> </v>
      </c>
      <c r="Q69" s="8" t="str">
        <f>IFERROR(VLOOKUP($A69,'Project Reference'!$B$2:$I$41,8), " ")</f>
        <v xml:space="preserve"> </v>
      </c>
      <c r="R69" s="8" t="str">
        <f>IFERROR(VLOOKUP($A69,'Project Reference'!$B$2:$J$41,9), " ")</f>
        <v xml:space="preserve"> </v>
      </c>
      <c r="S69" s="8" t="str">
        <f>IFERROR(VLOOKUP($A69,'Project Reference'!$B$2:$K$41,10), " ")</f>
        <v xml:space="preserve"> </v>
      </c>
      <c r="T69" s="8" t="str">
        <f>IFERROR(VLOOKUP($A69,'Project Reference'!$B$2:$L$41,11), " ")</f>
        <v xml:space="preserve"> </v>
      </c>
      <c r="U69" s="8" t="str">
        <f>IFERROR(VLOOKUP($A69,'Project Reference'!$B$2:$M$41,12), " ")</f>
        <v xml:space="preserve"> </v>
      </c>
      <c r="V69" s="8" t="str">
        <f>IFERROR(VLOOKUP($A69,'Project Reference'!$B$2:$N$41,13), " ")</f>
        <v xml:space="preserve"> </v>
      </c>
      <c r="W69" s="8" t="str">
        <f>IFERROR(VLOOKUP($A69,'Project Reference'!$B$2:$O$41,14), " ")</f>
        <v xml:space="preserve"> </v>
      </c>
      <c r="X69" s="8" t="str">
        <f>IFERROR(VLOOKUP($A69,'Project Reference'!$B$2:$P$41,15), " ")</f>
        <v xml:space="preserve"> </v>
      </c>
      <c r="Y69" s="9" t="str">
        <f>IFERROR(VLOOKUP($A69,'Project Reference'!$B$2:$Q$41,16), " ")</f>
        <v xml:space="preserve"> </v>
      </c>
      <c r="Z69" s="22"/>
    </row>
    <row r="70" spans="1:26" s="1" customFormat="1" x14ac:dyDescent="0.45">
      <c r="A70" s="70"/>
      <c r="B70" s="53" t="str">
        <f>IFERROR(VLOOKUP($A70,'Project Reference'!$S$2:$T$41,2),"Enter Project Number")</f>
        <v>Enter Project Number</v>
      </c>
      <c r="C70" s="54"/>
      <c r="D70" s="8"/>
      <c r="E70" s="8"/>
      <c r="F70" s="8"/>
      <c r="G70" s="8"/>
      <c r="H70" s="47"/>
      <c r="I70" s="9"/>
      <c r="J70" s="23"/>
      <c r="K70" s="47" t="str">
        <f>IFERROR(VLOOKUP($A70,'Project Reference'!$B$2:$C$41,2), " ")</f>
        <v xml:space="preserve"> </v>
      </c>
      <c r="L70" s="8" t="str">
        <f>IFERROR(VLOOKUP($A70,'Project Reference'!$B$2:$D$41,3), " ")</f>
        <v xml:space="preserve"> </v>
      </c>
      <c r="M70" s="54" t="str">
        <f>IFERROR(VLOOKUP($A70,'Project Reference'!$B$2:$E$41,4), " ")</f>
        <v xml:space="preserve"> </v>
      </c>
      <c r="N70" s="8" t="str">
        <f>IFERROR(VLOOKUP($A70,'Project Reference'!$B$2:$F$41,5), " ")</f>
        <v xml:space="preserve"> </v>
      </c>
      <c r="O70" s="8" t="str">
        <f>IFERROR(VLOOKUP($A70,'Project Reference'!$B$2:$G$41,6), " ")</f>
        <v xml:space="preserve"> </v>
      </c>
      <c r="P70" s="8" t="str">
        <f>IFERROR(VLOOKUP($A70,'Project Reference'!$B$2:$H$41,7), " ")</f>
        <v xml:space="preserve"> </v>
      </c>
      <c r="Q70" s="8" t="str">
        <f>IFERROR(VLOOKUP($A70,'Project Reference'!$B$2:$I$41,8), " ")</f>
        <v xml:space="preserve"> </v>
      </c>
      <c r="R70" s="8" t="str">
        <f>IFERROR(VLOOKUP($A70,'Project Reference'!$B$2:$J$41,9), " ")</f>
        <v xml:space="preserve"> </v>
      </c>
      <c r="S70" s="8" t="str">
        <f>IFERROR(VLOOKUP($A70,'Project Reference'!$B$2:$K$41,10), " ")</f>
        <v xml:space="preserve"> </v>
      </c>
      <c r="T70" s="8" t="str">
        <f>IFERROR(VLOOKUP($A70,'Project Reference'!$B$2:$L$41,11), " ")</f>
        <v xml:space="preserve"> </v>
      </c>
      <c r="U70" s="8" t="str">
        <f>IFERROR(VLOOKUP($A70,'Project Reference'!$B$2:$M$41,12), " ")</f>
        <v xml:space="preserve"> </v>
      </c>
      <c r="V70" s="8" t="str">
        <f>IFERROR(VLOOKUP($A70,'Project Reference'!$B$2:$N$41,13), " ")</f>
        <v xml:space="preserve"> </v>
      </c>
      <c r="W70" s="8" t="str">
        <f>IFERROR(VLOOKUP($A70,'Project Reference'!$B$2:$O$41,14), " ")</f>
        <v xml:space="preserve"> </v>
      </c>
      <c r="X70" s="8" t="str">
        <f>IFERROR(VLOOKUP($A70,'Project Reference'!$B$2:$P$41,15), " ")</f>
        <v xml:space="preserve"> </v>
      </c>
      <c r="Y70" s="9" t="str">
        <f>IFERROR(VLOOKUP($A70,'Project Reference'!$B$2:$Q$41,16), " ")</f>
        <v xml:space="preserve"> </v>
      </c>
      <c r="Z70" s="22"/>
    </row>
    <row r="71" spans="1:26" s="1" customFormat="1" x14ac:dyDescent="0.45">
      <c r="A71" s="70"/>
      <c r="B71" s="53" t="str">
        <f>IFERROR(VLOOKUP($A71,'Project Reference'!$S$2:$T$41,2),"Enter Project Number")</f>
        <v>Enter Project Number</v>
      </c>
      <c r="C71" s="54"/>
      <c r="D71" s="8"/>
      <c r="E71" s="8"/>
      <c r="F71" s="8"/>
      <c r="G71" s="8"/>
      <c r="H71" s="47"/>
      <c r="I71" s="9"/>
      <c r="J71" s="23"/>
      <c r="K71" s="47" t="str">
        <f>IFERROR(VLOOKUP($A71,'Project Reference'!$B$2:$C$41,2), " ")</f>
        <v xml:space="preserve"> </v>
      </c>
      <c r="L71" s="8" t="str">
        <f>IFERROR(VLOOKUP($A71,'Project Reference'!$B$2:$D$41,3), " ")</f>
        <v xml:space="preserve"> </v>
      </c>
      <c r="M71" s="54" t="str">
        <f>IFERROR(VLOOKUP($A71,'Project Reference'!$B$2:$E$41,4), " ")</f>
        <v xml:space="preserve"> </v>
      </c>
      <c r="N71" s="8" t="str">
        <f>IFERROR(VLOOKUP($A71,'Project Reference'!$B$2:$F$41,5), " ")</f>
        <v xml:space="preserve"> </v>
      </c>
      <c r="O71" s="8" t="str">
        <f>IFERROR(VLOOKUP($A71,'Project Reference'!$B$2:$G$41,6), " ")</f>
        <v xml:space="preserve"> </v>
      </c>
      <c r="P71" s="8" t="str">
        <f>IFERROR(VLOOKUP($A71,'Project Reference'!$B$2:$H$41,7), " ")</f>
        <v xml:space="preserve"> </v>
      </c>
      <c r="Q71" s="8" t="str">
        <f>IFERROR(VLOOKUP($A71,'Project Reference'!$B$2:$I$41,8), " ")</f>
        <v xml:space="preserve"> </v>
      </c>
      <c r="R71" s="8" t="str">
        <f>IFERROR(VLOOKUP($A71,'Project Reference'!$B$2:$J$41,9), " ")</f>
        <v xml:space="preserve"> </v>
      </c>
      <c r="S71" s="8" t="str">
        <f>IFERROR(VLOOKUP($A71,'Project Reference'!$B$2:$K$41,10), " ")</f>
        <v xml:space="preserve"> </v>
      </c>
      <c r="T71" s="8" t="str">
        <f>IFERROR(VLOOKUP($A71,'Project Reference'!$B$2:$L$41,11), " ")</f>
        <v xml:space="preserve"> </v>
      </c>
      <c r="U71" s="8" t="str">
        <f>IFERROR(VLOOKUP($A71,'Project Reference'!$B$2:$M$41,12), " ")</f>
        <v xml:space="preserve"> </v>
      </c>
      <c r="V71" s="8" t="str">
        <f>IFERROR(VLOOKUP($A71,'Project Reference'!$B$2:$N$41,13), " ")</f>
        <v xml:space="preserve"> </v>
      </c>
      <c r="W71" s="8" t="str">
        <f>IFERROR(VLOOKUP($A71,'Project Reference'!$B$2:$O$41,14), " ")</f>
        <v xml:space="preserve"> </v>
      </c>
      <c r="X71" s="8" t="str">
        <f>IFERROR(VLOOKUP($A71,'Project Reference'!$B$2:$P$41,15), " ")</f>
        <v xml:space="preserve"> </v>
      </c>
      <c r="Y71" s="9" t="str">
        <f>IFERROR(VLOOKUP($A71,'Project Reference'!$B$2:$Q$41,16), " ")</f>
        <v xml:space="preserve"> </v>
      </c>
      <c r="Z71" s="22"/>
    </row>
    <row r="72" spans="1:26" s="1" customFormat="1" x14ac:dyDescent="0.45">
      <c r="A72" s="70"/>
      <c r="B72" s="53" t="str">
        <f>IFERROR(VLOOKUP($A72,'Project Reference'!$S$2:$T$41,2),"Enter Project Number")</f>
        <v>Enter Project Number</v>
      </c>
      <c r="C72" s="54"/>
      <c r="D72" s="8"/>
      <c r="E72" s="8"/>
      <c r="F72" s="8"/>
      <c r="G72" s="8"/>
      <c r="H72" s="47"/>
      <c r="I72" s="9"/>
      <c r="J72" s="23"/>
      <c r="K72" s="47" t="str">
        <f>IFERROR(VLOOKUP($A72,'Project Reference'!$B$2:$C$41,2), " ")</f>
        <v xml:space="preserve"> </v>
      </c>
      <c r="L72" s="8" t="str">
        <f>IFERROR(VLOOKUP($A72,'Project Reference'!$B$2:$D$41,3), " ")</f>
        <v xml:space="preserve"> </v>
      </c>
      <c r="M72" s="54" t="str">
        <f>IFERROR(VLOOKUP($A72,'Project Reference'!$B$2:$E$41,4), " ")</f>
        <v xml:space="preserve"> </v>
      </c>
      <c r="N72" s="8" t="str">
        <f>IFERROR(VLOOKUP($A72,'Project Reference'!$B$2:$F$41,5), " ")</f>
        <v xml:space="preserve"> </v>
      </c>
      <c r="O72" s="8" t="str">
        <f>IFERROR(VLOOKUP($A72,'Project Reference'!$B$2:$G$41,6), " ")</f>
        <v xml:space="preserve"> </v>
      </c>
      <c r="P72" s="8" t="str">
        <f>IFERROR(VLOOKUP($A72,'Project Reference'!$B$2:$H$41,7), " ")</f>
        <v xml:space="preserve"> </v>
      </c>
      <c r="Q72" s="8" t="str">
        <f>IFERROR(VLOOKUP($A72,'Project Reference'!$B$2:$I$41,8), " ")</f>
        <v xml:space="preserve"> </v>
      </c>
      <c r="R72" s="8" t="str">
        <f>IFERROR(VLOOKUP($A72,'Project Reference'!$B$2:$J$41,9), " ")</f>
        <v xml:space="preserve"> </v>
      </c>
      <c r="S72" s="8" t="str">
        <f>IFERROR(VLOOKUP($A72,'Project Reference'!$B$2:$K$41,10), " ")</f>
        <v xml:space="preserve"> </v>
      </c>
      <c r="T72" s="8" t="str">
        <f>IFERROR(VLOOKUP($A72,'Project Reference'!$B$2:$L$41,11), " ")</f>
        <v xml:space="preserve"> </v>
      </c>
      <c r="U72" s="8" t="str">
        <f>IFERROR(VLOOKUP($A72,'Project Reference'!$B$2:$M$41,12), " ")</f>
        <v xml:space="preserve"> </v>
      </c>
      <c r="V72" s="8" t="str">
        <f>IFERROR(VLOOKUP($A72,'Project Reference'!$B$2:$N$41,13), " ")</f>
        <v xml:space="preserve"> </v>
      </c>
      <c r="W72" s="8" t="str">
        <f>IFERROR(VLOOKUP($A72,'Project Reference'!$B$2:$O$41,14), " ")</f>
        <v xml:space="preserve"> </v>
      </c>
      <c r="X72" s="8" t="str">
        <f>IFERROR(VLOOKUP($A72,'Project Reference'!$B$2:$P$41,15), " ")</f>
        <v xml:space="preserve"> </v>
      </c>
      <c r="Y72" s="9" t="str">
        <f>IFERROR(VLOOKUP($A72,'Project Reference'!$B$2:$Q$41,16), " ")</f>
        <v xml:space="preserve"> </v>
      </c>
      <c r="Z72" s="22"/>
    </row>
    <row r="73" spans="1:26" s="1" customFormat="1" x14ac:dyDescent="0.45">
      <c r="A73" s="70"/>
      <c r="B73" s="53" t="str">
        <f>IFERROR(VLOOKUP($A73,'Project Reference'!$S$2:$T$41,2),"Enter Project Number")</f>
        <v>Enter Project Number</v>
      </c>
      <c r="C73" s="54"/>
      <c r="D73" s="8"/>
      <c r="E73" s="8"/>
      <c r="F73" s="8"/>
      <c r="G73" s="8"/>
      <c r="H73" s="47"/>
      <c r="I73" s="9"/>
      <c r="J73" s="23"/>
      <c r="K73" s="47" t="str">
        <f>IFERROR(VLOOKUP($A73,'Project Reference'!$B$2:$C$41,2), " ")</f>
        <v xml:space="preserve"> </v>
      </c>
      <c r="L73" s="8" t="str">
        <f>IFERROR(VLOOKUP($A73,'Project Reference'!$B$2:$D$41,3), " ")</f>
        <v xml:space="preserve"> </v>
      </c>
      <c r="M73" s="54" t="str">
        <f>IFERROR(VLOOKUP($A73,'Project Reference'!$B$2:$E$41,4), " ")</f>
        <v xml:space="preserve"> </v>
      </c>
      <c r="N73" s="8" t="str">
        <f>IFERROR(VLOOKUP($A73,'Project Reference'!$B$2:$F$41,5), " ")</f>
        <v xml:space="preserve"> </v>
      </c>
      <c r="O73" s="8" t="str">
        <f>IFERROR(VLOOKUP($A73,'Project Reference'!$B$2:$G$41,6), " ")</f>
        <v xml:space="preserve"> </v>
      </c>
      <c r="P73" s="8" t="str">
        <f>IFERROR(VLOOKUP($A73,'Project Reference'!$B$2:$H$41,7), " ")</f>
        <v xml:space="preserve"> </v>
      </c>
      <c r="Q73" s="8" t="str">
        <f>IFERROR(VLOOKUP($A73,'Project Reference'!$B$2:$I$41,8), " ")</f>
        <v xml:space="preserve"> </v>
      </c>
      <c r="R73" s="8" t="str">
        <f>IFERROR(VLOOKUP($A73,'Project Reference'!$B$2:$J$41,9), " ")</f>
        <v xml:space="preserve"> </v>
      </c>
      <c r="S73" s="8" t="str">
        <f>IFERROR(VLOOKUP($A73,'Project Reference'!$B$2:$K$41,10), " ")</f>
        <v xml:space="preserve"> </v>
      </c>
      <c r="T73" s="8" t="str">
        <f>IFERROR(VLOOKUP($A73,'Project Reference'!$B$2:$L$41,11), " ")</f>
        <v xml:space="preserve"> </v>
      </c>
      <c r="U73" s="8" t="str">
        <f>IFERROR(VLOOKUP($A73,'Project Reference'!$B$2:$M$41,12), " ")</f>
        <v xml:space="preserve"> </v>
      </c>
      <c r="V73" s="8" t="str">
        <f>IFERROR(VLOOKUP($A73,'Project Reference'!$B$2:$N$41,13), " ")</f>
        <v xml:space="preserve"> </v>
      </c>
      <c r="W73" s="8" t="str">
        <f>IFERROR(VLOOKUP($A73,'Project Reference'!$B$2:$O$41,14), " ")</f>
        <v xml:space="preserve"> </v>
      </c>
      <c r="X73" s="8" t="str">
        <f>IFERROR(VLOOKUP($A73,'Project Reference'!$B$2:$P$41,15), " ")</f>
        <v xml:space="preserve"> </v>
      </c>
      <c r="Y73" s="9" t="str">
        <f>IFERROR(VLOOKUP($A73,'Project Reference'!$B$2:$Q$41,16), " ")</f>
        <v xml:space="preserve"> </v>
      </c>
      <c r="Z73" s="22"/>
    </row>
    <row r="74" spans="1:26" s="1" customFormat="1" x14ac:dyDescent="0.45">
      <c r="A74" s="70"/>
      <c r="B74" s="53" t="str">
        <f>IFERROR(VLOOKUP($A74,'Project Reference'!$S$2:$T$41,2),"Enter Project Number")</f>
        <v>Enter Project Number</v>
      </c>
      <c r="C74" s="54"/>
      <c r="D74" s="8"/>
      <c r="E74" s="8"/>
      <c r="F74" s="8"/>
      <c r="G74" s="8"/>
      <c r="H74" s="47"/>
      <c r="I74" s="9"/>
      <c r="J74" s="23"/>
      <c r="K74" s="47" t="str">
        <f>IFERROR(VLOOKUP($A74,'Project Reference'!$B$2:$C$41,2), " ")</f>
        <v xml:space="preserve"> </v>
      </c>
      <c r="L74" s="8" t="str">
        <f>IFERROR(VLOOKUP($A74,'Project Reference'!$B$2:$D$41,3), " ")</f>
        <v xml:space="preserve"> </v>
      </c>
      <c r="M74" s="54" t="str">
        <f>IFERROR(VLOOKUP($A74,'Project Reference'!$B$2:$E$41,4), " ")</f>
        <v xml:space="preserve"> </v>
      </c>
      <c r="N74" s="8" t="str">
        <f>IFERROR(VLOOKUP($A74,'Project Reference'!$B$2:$F$41,5), " ")</f>
        <v xml:space="preserve"> </v>
      </c>
      <c r="O74" s="8" t="str">
        <f>IFERROR(VLOOKUP($A74,'Project Reference'!$B$2:$G$41,6), " ")</f>
        <v xml:space="preserve"> </v>
      </c>
      <c r="P74" s="8" t="str">
        <f>IFERROR(VLOOKUP($A74,'Project Reference'!$B$2:$H$41,7), " ")</f>
        <v xml:space="preserve"> </v>
      </c>
      <c r="Q74" s="8" t="str">
        <f>IFERROR(VLOOKUP($A74,'Project Reference'!$B$2:$I$41,8), " ")</f>
        <v xml:space="preserve"> </v>
      </c>
      <c r="R74" s="8" t="str">
        <f>IFERROR(VLOOKUP($A74,'Project Reference'!$B$2:$J$41,9), " ")</f>
        <v xml:space="preserve"> </v>
      </c>
      <c r="S74" s="8" t="str">
        <f>IFERROR(VLOOKUP($A74,'Project Reference'!$B$2:$K$41,10), " ")</f>
        <v xml:space="preserve"> </v>
      </c>
      <c r="T74" s="8" t="str">
        <f>IFERROR(VLOOKUP($A74,'Project Reference'!$B$2:$L$41,11), " ")</f>
        <v xml:space="preserve"> </v>
      </c>
      <c r="U74" s="8" t="str">
        <f>IFERROR(VLOOKUP($A74,'Project Reference'!$B$2:$M$41,12), " ")</f>
        <v xml:space="preserve"> </v>
      </c>
      <c r="V74" s="8" t="str">
        <f>IFERROR(VLOOKUP($A74,'Project Reference'!$B$2:$N$41,13), " ")</f>
        <v xml:space="preserve"> </v>
      </c>
      <c r="W74" s="8" t="str">
        <f>IFERROR(VLOOKUP($A74,'Project Reference'!$B$2:$O$41,14), " ")</f>
        <v xml:space="preserve"> </v>
      </c>
      <c r="X74" s="8" t="str">
        <f>IFERROR(VLOOKUP($A74,'Project Reference'!$B$2:$P$41,15), " ")</f>
        <v xml:space="preserve"> </v>
      </c>
      <c r="Y74" s="9" t="str">
        <f>IFERROR(VLOOKUP($A74,'Project Reference'!$B$2:$Q$41,16), " ")</f>
        <v xml:space="preserve"> </v>
      </c>
      <c r="Z74" s="22"/>
    </row>
    <row r="75" spans="1:26" s="1" customFormat="1" x14ac:dyDescent="0.45">
      <c r="A75" s="70"/>
      <c r="B75" s="53" t="str">
        <f>IFERROR(VLOOKUP($A75,'Project Reference'!$S$2:$T$41,2),"Enter Project Number")</f>
        <v>Enter Project Number</v>
      </c>
      <c r="C75" s="54"/>
      <c r="D75" s="8"/>
      <c r="E75" s="8"/>
      <c r="F75" s="8"/>
      <c r="G75" s="8"/>
      <c r="H75" s="47"/>
      <c r="I75" s="9"/>
      <c r="J75" s="23"/>
      <c r="K75" s="47" t="str">
        <f>IFERROR(VLOOKUP($A75,'Project Reference'!$B$2:$C$41,2), " ")</f>
        <v xml:space="preserve"> </v>
      </c>
      <c r="L75" s="8" t="str">
        <f>IFERROR(VLOOKUP($A75,'Project Reference'!$B$2:$D$41,3), " ")</f>
        <v xml:space="preserve"> </v>
      </c>
      <c r="M75" s="54" t="str">
        <f>IFERROR(VLOOKUP($A75,'Project Reference'!$B$2:$E$41,4), " ")</f>
        <v xml:space="preserve"> </v>
      </c>
      <c r="N75" s="8" t="str">
        <f>IFERROR(VLOOKUP($A75,'Project Reference'!$B$2:$F$41,5), " ")</f>
        <v xml:space="preserve"> </v>
      </c>
      <c r="O75" s="8" t="str">
        <f>IFERROR(VLOOKUP($A75,'Project Reference'!$B$2:$G$41,6), " ")</f>
        <v xml:space="preserve"> </v>
      </c>
      <c r="P75" s="8" t="str">
        <f>IFERROR(VLOOKUP($A75,'Project Reference'!$B$2:$H$41,7), " ")</f>
        <v xml:space="preserve"> </v>
      </c>
      <c r="Q75" s="8" t="str">
        <f>IFERROR(VLOOKUP($A75,'Project Reference'!$B$2:$I$41,8), " ")</f>
        <v xml:space="preserve"> </v>
      </c>
      <c r="R75" s="8" t="str">
        <f>IFERROR(VLOOKUP($A75,'Project Reference'!$B$2:$J$41,9), " ")</f>
        <v xml:space="preserve"> </v>
      </c>
      <c r="S75" s="8" t="str">
        <f>IFERROR(VLOOKUP($A75,'Project Reference'!$B$2:$K$41,10), " ")</f>
        <v xml:space="preserve"> </v>
      </c>
      <c r="T75" s="8" t="str">
        <f>IFERROR(VLOOKUP($A75,'Project Reference'!$B$2:$L$41,11), " ")</f>
        <v xml:space="preserve"> </v>
      </c>
      <c r="U75" s="8" t="str">
        <f>IFERROR(VLOOKUP($A75,'Project Reference'!$B$2:$M$41,12), " ")</f>
        <v xml:space="preserve"> </v>
      </c>
      <c r="V75" s="8" t="str">
        <f>IFERROR(VLOOKUP($A75,'Project Reference'!$B$2:$N$41,13), " ")</f>
        <v xml:space="preserve"> </v>
      </c>
      <c r="W75" s="8" t="str">
        <f>IFERROR(VLOOKUP($A75,'Project Reference'!$B$2:$O$41,14), " ")</f>
        <v xml:space="preserve"> </v>
      </c>
      <c r="X75" s="8" t="str">
        <f>IFERROR(VLOOKUP($A75,'Project Reference'!$B$2:$P$41,15), " ")</f>
        <v xml:space="preserve"> </v>
      </c>
      <c r="Y75" s="9" t="str">
        <f>IFERROR(VLOOKUP($A75,'Project Reference'!$B$2:$Q$41,16), " ")</f>
        <v xml:space="preserve"> </v>
      </c>
      <c r="Z75" s="22"/>
    </row>
    <row r="76" spans="1:26" s="1" customFormat="1" x14ac:dyDescent="0.45">
      <c r="A76" s="70"/>
      <c r="B76" s="53" t="str">
        <f>IFERROR(VLOOKUP($A76,'Project Reference'!$S$2:$T$41,2),"Enter Project Number")</f>
        <v>Enter Project Number</v>
      </c>
      <c r="C76" s="54"/>
      <c r="D76" s="8"/>
      <c r="E76" s="8"/>
      <c r="F76" s="8"/>
      <c r="G76" s="8"/>
      <c r="H76" s="47"/>
      <c r="I76" s="9"/>
      <c r="J76" s="23"/>
      <c r="K76" s="47" t="str">
        <f>IFERROR(VLOOKUP($A76,'Project Reference'!$B$2:$C$41,2), " ")</f>
        <v xml:space="preserve"> </v>
      </c>
      <c r="L76" s="8" t="str">
        <f>IFERROR(VLOOKUP($A76,'Project Reference'!$B$2:$D$41,3), " ")</f>
        <v xml:space="preserve"> </v>
      </c>
      <c r="M76" s="54" t="str">
        <f>IFERROR(VLOOKUP($A76,'Project Reference'!$B$2:$E$41,4), " ")</f>
        <v xml:space="preserve"> </v>
      </c>
      <c r="N76" s="8" t="str">
        <f>IFERROR(VLOOKUP($A76,'Project Reference'!$B$2:$F$41,5), " ")</f>
        <v xml:space="preserve"> </v>
      </c>
      <c r="O76" s="8" t="str">
        <f>IFERROR(VLOOKUP($A76,'Project Reference'!$B$2:$G$41,6), " ")</f>
        <v xml:space="preserve"> </v>
      </c>
      <c r="P76" s="8" t="str">
        <f>IFERROR(VLOOKUP($A76,'Project Reference'!$B$2:$H$41,7), " ")</f>
        <v xml:space="preserve"> </v>
      </c>
      <c r="Q76" s="8" t="str">
        <f>IFERROR(VLOOKUP($A76,'Project Reference'!$B$2:$I$41,8), " ")</f>
        <v xml:space="preserve"> </v>
      </c>
      <c r="R76" s="8" t="str">
        <f>IFERROR(VLOOKUP($A76,'Project Reference'!$B$2:$J$41,9), " ")</f>
        <v xml:space="preserve"> </v>
      </c>
      <c r="S76" s="8" t="str">
        <f>IFERROR(VLOOKUP($A76,'Project Reference'!$B$2:$K$41,10), " ")</f>
        <v xml:space="preserve"> </v>
      </c>
      <c r="T76" s="8" t="str">
        <f>IFERROR(VLOOKUP($A76,'Project Reference'!$B$2:$L$41,11), " ")</f>
        <v xml:space="preserve"> </v>
      </c>
      <c r="U76" s="8" t="str">
        <f>IFERROR(VLOOKUP($A76,'Project Reference'!$B$2:$M$41,12), " ")</f>
        <v xml:space="preserve"> </v>
      </c>
      <c r="V76" s="8" t="str">
        <f>IFERROR(VLOOKUP($A76,'Project Reference'!$B$2:$N$41,13), " ")</f>
        <v xml:space="preserve"> </v>
      </c>
      <c r="W76" s="8" t="str">
        <f>IFERROR(VLOOKUP($A76,'Project Reference'!$B$2:$O$41,14), " ")</f>
        <v xml:space="preserve"> </v>
      </c>
      <c r="X76" s="8" t="str">
        <f>IFERROR(VLOOKUP($A76,'Project Reference'!$B$2:$P$41,15), " ")</f>
        <v xml:space="preserve"> </v>
      </c>
      <c r="Y76" s="9" t="str">
        <f>IFERROR(VLOOKUP($A76,'Project Reference'!$B$2:$Q$41,16), " ")</f>
        <v xml:space="preserve"> </v>
      </c>
      <c r="Z76" s="22"/>
    </row>
    <row r="77" spans="1:26" s="1" customFormat="1" x14ac:dyDescent="0.45">
      <c r="A77" s="70"/>
      <c r="B77" s="53" t="str">
        <f>IFERROR(VLOOKUP($A77,'Project Reference'!$S$2:$T$41,2),"Enter Project Number")</f>
        <v>Enter Project Number</v>
      </c>
      <c r="C77" s="54"/>
      <c r="D77" s="8"/>
      <c r="E77" s="8"/>
      <c r="F77" s="8"/>
      <c r="G77" s="8"/>
      <c r="H77" s="47"/>
      <c r="I77" s="9"/>
      <c r="J77" s="23"/>
      <c r="K77" s="47" t="str">
        <f>IFERROR(VLOOKUP($A77,'Project Reference'!$B$2:$C$41,2), " ")</f>
        <v xml:space="preserve"> </v>
      </c>
      <c r="L77" s="8" t="str">
        <f>IFERROR(VLOOKUP($A77,'Project Reference'!$B$2:$D$41,3), " ")</f>
        <v xml:space="preserve"> </v>
      </c>
      <c r="M77" s="54" t="str">
        <f>IFERROR(VLOOKUP($A77,'Project Reference'!$B$2:$E$41,4), " ")</f>
        <v xml:space="preserve"> </v>
      </c>
      <c r="N77" s="8" t="str">
        <f>IFERROR(VLOOKUP($A77,'Project Reference'!$B$2:$F$41,5), " ")</f>
        <v xml:space="preserve"> </v>
      </c>
      <c r="O77" s="8" t="str">
        <f>IFERROR(VLOOKUP($A77,'Project Reference'!$B$2:$G$41,6), " ")</f>
        <v xml:space="preserve"> </v>
      </c>
      <c r="P77" s="8" t="str">
        <f>IFERROR(VLOOKUP($A77,'Project Reference'!$B$2:$H$41,7), " ")</f>
        <v xml:space="preserve"> </v>
      </c>
      <c r="Q77" s="8" t="str">
        <f>IFERROR(VLOOKUP($A77,'Project Reference'!$B$2:$I$41,8), " ")</f>
        <v xml:space="preserve"> </v>
      </c>
      <c r="R77" s="8" t="str">
        <f>IFERROR(VLOOKUP($A77,'Project Reference'!$B$2:$J$41,9), " ")</f>
        <v xml:space="preserve"> </v>
      </c>
      <c r="S77" s="8" t="str">
        <f>IFERROR(VLOOKUP($A77,'Project Reference'!$B$2:$K$41,10), " ")</f>
        <v xml:space="preserve"> </v>
      </c>
      <c r="T77" s="8" t="str">
        <f>IFERROR(VLOOKUP($A77,'Project Reference'!$B$2:$L$41,11), " ")</f>
        <v xml:space="preserve"> </v>
      </c>
      <c r="U77" s="8" t="str">
        <f>IFERROR(VLOOKUP($A77,'Project Reference'!$B$2:$M$41,12), " ")</f>
        <v xml:space="preserve"> </v>
      </c>
      <c r="V77" s="8" t="str">
        <f>IFERROR(VLOOKUP($A77,'Project Reference'!$B$2:$N$41,13), " ")</f>
        <v xml:space="preserve"> </v>
      </c>
      <c r="W77" s="8" t="str">
        <f>IFERROR(VLOOKUP($A77,'Project Reference'!$B$2:$O$41,14), " ")</f>
        <v xml:space="preserve"> </v>
      </c>
      <c r="X77" s="8" t="str">
        <f>IFERROR(VLOOKUP($A77,'Project Reference'!$B$2:$P$41,15), " ")</f>
        <v xml:space="preserve"> </v>
      </c>
      <c r="Y77" s="9" t="str">
        <f>IFERROR(VLOOKUP($A77,'Project Reference'!$B$2:$Q$41,16), " ")</f>
        <v xml:space="preserve"> </v>
      </c>
      <c r="Z77" s="22"/>
    </row>
    <row r="78" spans="1:26" s="1" customFormat="1" x14ac:dyDescent="0.45">
      <c r="A78" s="70"/>
      <c r="B78" s="53" t="str">
        <f>IFERROR(VLOOKUP($A78,'Project Reference'!$S$2:$T$41,2),"Enter Project Number")</f>
        <v>Enter Project Number</v>
      </c>
      <c r="C78" s="54"/>
      <c r="D78" s="8"/>
      <c r="E78" s="8"/>
      <c r="F78" s="8"/>
      <c r="G78" s="8"/>
      <c r="H78" s="47"/>
      <c r="I78" s="9"/>
      <c r="J78" s="23"/>
      <c r="K78" s="47" t="str">
        <f>IFERROR(VLOOKUP($A78,'Project Reference'!$B$2:$C$41,2), " ")</f>
        <v xml:space="preserve"> </v>
      </c>
      <c r="L78" s="8" t="str">
        <f>IFERROR(VLOOKUP($A78,'Project Reference'!$B$2:$D$41,3), " ")</f>
        <v xml:space="preserve"> </v>
      </c>
      <c r="M78" s="54" t="str">
        <f>IFERROR(VLOOKUP($A78,'Project Reference'!$B$2:$E$41,4), " ")</f>
        <v xml:space="preserve"> </v>
      </c>
      <c r="N78" s="8" t="str">
        <f>IFERROR(VLOOKUP($A78,'Project Reference'!$B$2:$F$41,5), " ")</f>
        <v xml:space="preserve"> </v>
      </c>
      <c r="O78" s="8" t="str">
        <f>IFERROR(VLOOKUP($A78,'Project Reference'!$B$2:$G$41,6), " ")</f>
        <v xml:space="preserve"> </v>
      </c>
      <c r="P78" s="8" t="str">
        <f>IFERROR(VLOOKUP($A78,'Project Reference'!$B$2:$H$41,7), " ")</f>
        <v xml:space="preserve"> </v>
      </c>
      <c r="Q78" s="8" t="str">
        <f>IFERROR(VLOOKUP($A78,'Project Reference'!$B$2:$I$41,8), " ")</f>
        <v xml:space="preserve"> </v>
      </c>
      <c r="R78" s="8" t="str">
        <f>IFERROR(VLOOKUP($A78,'Project Reference'!$B$2:$J$41,9), " ")</f>
        <v xml:space="preserve"> </v>
      </c>
      <c r="S78" s="8" t="str">
        <f>IFERROR(VLOOKUP($A78,'Project Reference'!$B$2:$K$41,10), " ")</f>
        <v xml:space="preserve"> </v>
      </c>
      <c r="T78" s="8" t="str">
        <f>IFERROR(VLOOKUP($A78,'Project Reference'!$B$2:$L$41,11), " ")</f>
        <v xml:space="preserve"> </v>
      </c>
      <c r="U78" s="8" t="str">
        <f>IFERROR(VLOOKUP($A78,'Project Reference'!$B$2:$M$41,12), " ")</f>
        <v xml:space="preserve"> </v>
      </c>
      <c r="V78" s="8" t="str">
        <f>IFERROR(VLOOKUP($A78,'Project Reference'!$B$2:$N$41,13), " ")</f>
        <v xml:space="preserve"> </v>
      </c>
      <c r="W78" s="8" t="str">
        <f>IFERROR(VLOOKUP($A78,'Project Reference'!$B$2:$O$41,14), " ")</f>
        <v xml:space="preserve"> </v>
      </c>
      <c r="X78" s="8" t="str">
        <f>IFERROR(VLOOKUP($A78,'Project Reference'!$B$2:$P$41,15), " ")</f>
        <v xml:space="preserve"> </v>
      </c>
      <c r="Y78" s="9" t="str">
        <f>IFERROR(VLOOKUP($A78,'Project Reference'!$B$2:$Q$41,16), " ")</f>
        <v xml:space="preserve"> </v>
      </c>
      <c r="Z78" s="22"/>
    </row>
    <row r="79" spans="1:26" s="1" customFormat="1" x14ac:dyDescent="0.45">
      <c r="A79" s="70"/>
      <c r="B79" s="53" t="str">
        <f>IFERROR(VLOOKUP($A79,'Project Reference'!$S$2:$T$41,2),"Enter Project Number")</f>
        <v>Enter Project Number</v>
      </c>
      <c r="C79" s="54"/>
      <c r="D79" s="8"/>
      <c r="E79" s="8"/>
      <c r="F79" s="8"/>
      <c r="G79" s="8"/>
      <c r="H79" s="47"/>
      <c r="I79" s="9"/>
      <c r="J79" s="23"/>
      <c r="K79" s="47" t="str">
        <f>IFERROR(VLOOKUP($A79,'Project Reference'!$B$2:$C$41,2), " ")</f>
        <v xml:space="preserve"> </v>
      </c>
      <c r="L79" s="8" t="str">
        <f>IFERROR(VLOOKUP($A79,'Project Reference'!$B$2:$D$41,3), " ")</f>
        <v xml:space="preserve"> </v>
      </c>
      <c r="M79" s="54" t="str">
        <f>IFERROR(VLOOKUP($A79,'Project Reference'!$B$2:$E$41,4), " ")</f>
        <v xml:space="preserve"> </v>
      </c>
      <c r="N79" s="8" t="str">
        <f>IFERROR(VLOOKUP($A79,'Project Reference'!$B$2:$F$41,5), " ")</f>
        <v xml:space="preserve"> </v>
      </c>
      <c r="O79" s="8" t="str">
        <f>IFERROR(VLOOKUP($A79,'Project Reference'!$B$2:$G$41,6), " ")</f>
        <v xml:space="preserve"> </v>
      </c>
      <c r="P79" s="8" t="str">
        <f>IFERROR(VLOOKUP($A79,'Project Reference'!$B$2:$H$41,7), " ")</f>
        <v xml:space="preserve"> </v>
      </c>
      <c r="Q79" s="8" t="str">
        <f>IFERROR(VLOOKUP($A79,'Project Reference'!$B$2:$I$41,8), " ")</f>
        <v xml:space="preserve"> </v>
      </c>
      <c r="R79" s="8" t="str">
        <f>IFERROR(VLOOKUP($A79,'Project Reference'!$B$2:$J$41,9), " ")</f>
        <v xml:space="preserve"> </v>
      </c>
      <c r="S79" s="8" t="str">
        <f>IFERROR(VLOOKUP($A79,'Project Reference'!$B$2:$K$41,10), " ")</f>
        <v xml:space="preserve"> </v>
      </c>
      <c r="T79" s="8" t="str">
        <f>IFERROR(VLOOKUP($A79,'Project Reference'!$B$2:$L$41,11), " ")</f>
        <v xml:space="preserve"> </v>
      </c>
      <c r="U79" s="8" t="str">
        <f>IFERROR(VLOOKUP($A79,'Project Reference'!$B$2:$M$41,12), " ")</f>
        <v xml:space="preserve"> </v>
      </c>
      <c r="V79" s="8" t="str">
        <f>IFERROR(VLOOKUP($A79,'Project Reference'!$B$2:$N$41,13), " ")</f>
        <v xml:space="preserve"> </v>
      </c>
      <c r="W79" s="8" t="str">
        <f>IFERROR(VLOOKUP($A79,'Project Reference'!$B$2:$O$41,14), " ")</f>
        <v xml:space="preserve"> </v>
      </c>
      <c r="X79" s="8" t="str">
        <f>IFERROR(VLOOKUP($A79,'Project Reference'!$B$2:$P$41,15), " ")</f>
        <v xml:space="preserve"> </v>
      </c>
      <c r="Y79" s="9" t="str">
        <f>IFERROR(VLOOKUP($A79,'Project Reference'!$B$2:$Q$41,16), " ")</f>
        <v xml:space="preserve"> </v>
      </c>
      <c r="Z79" s="22"/>
    </row>
    <row r="80" spans="1:26" s="1" customFormat="1" x14ac:dyDescent="0.45">
      <c r="A80" s="70"/>
      <c r="B80" s="53" t="str">
        <f>IFERROR(VLOOKUP($A80,'Project Reference'!$S$2:$T$41,2),"Enter Project Number")</f>
        <v>Enter Project Number</v>
      </c>
      <c r="C80" s="54"/>
      <c r="D80" s="8"/>
      <c r="E80" s="8"/>
      <c r="F80" s="8"/>
      <c r="G80" s="8"/>
      <c r="H80" s="47"/>
      <c r="I80" s="9"/>
      <c r="J80" s="23"/>
      <c r="K80" s="47" t="str">
        <f>IFERROR(VLOOKUP($A80,'Project Reference'!$B$2:$C$41,2), " ")</f>
        <v xml:space="preserve"> </v>
      </c>
      <c r="L80" s="8" t="str">
        <f>IFERROR(VLOOKUP($A80,'Project Reference'!$B$2:$D$41,3), " ")</f>
        <v xml:space="preserve"> </v>
      </c>
      <c r="M80" s="54" t="str">
        <f>IFERROR(VLOOKUP($A80,'Project Reference'!$B$2:$E$41,4), " ")</f>
        <v xml:space="preserve"> </v>
      </c>
      <c r="N80" s="8" t="str">
        <f>IFERROR(VLOOKUP($A80,'Project Reference'!$B$2:$F$41,5), " ")</f>
        <v xml:space="preserve"> </v>
      </c>
      <c r="O80" s="8" t="str">
        <f>IFERROR(VLOOKUP($A80,'Project Reference'!$B$2:$G$41,6), " ")</f>
        <v xml:space="preserve"> </v>
      </c>
      <c r="P80" s="8" t="str">
        <f>IFERROR(VLOOKUP($A80,'Project Reference'!$B$2:$H$41,7), " ")</f>
        <v xml:space="preserve"> </v>
      </c>
      <c r="Q80" s="8" t="str">
        <f>IFERROR(VLOOKUP($A80,'Project Reference'!$B$2:$I$41,8), " ")</f>
        <v xml:space="preserve"> </v>
      </c>
      <c r="R80" s="8" t="str">
        <f>IFERROR(VLOOKUP($A80,'Project Reference'!$B$2:$J$41,9), " ")</f>
        <v xml:space="preserve"> </v>
      </c>
      <c r="S80" s="8" t="str">
        <f>IFERROR(VLOOKUP($A80,'Project Reference'!$B$2:$K$41,10), " ")</f>
        <v xml:space="preserve"> </v>
      </c>
      <c r="T80" s="8" t="str">
        <f>IFERROR(VLOOKUP($A80,'Project Reference'!$B$2:$L$41,11), " ")</f>
        <v xml:space="preserve"> </v>
      </c>
      <c r="U80" s="8" t="str">
        <f>IFERROR(VLOOKUP($A80,'Project Reference'!$B$2:$M$41,12), " ")</f>
        <v xml:space="preserve"> </v>
      </c>
      <c r="V80" s="8" t="str">
        <f>IFERROR(VLOOKUP($A80,'Project Reference'!$B$2:$N$41,13), " ")</f>
        <v xml:space="preserve"> </v>
      </c>
      <c r="W80" s="8" t="str">
        <f>IFERROR(VLOOKUP($A80,'Project Reference'!$B$2:$O$41,14), " ")</f>
        <v xml:space="preserve"> </v>
      </c>
      <c r="X80" s="8" t="str">
        <f>IFERROR(VLOOKUP($A80,'Project Reference'!$B$2:$P$41,15), " ")</f>
        <v xml:space="preserve"> </v>
      </c>
      <c r="Y80" s="9" t="str">
        <f>IFERROR(VLOOKUP($A80,'Project Reference'!$B$2:$Q$41,16), " ")</f>
        <v xml:space="preserve"> </v>
      </c>
      <c r="Z80" s="22"/>
    </row>
    <row r="81" spans="1:26" s="1" customFormat="1" x14ac:dyDescent="0.45">
      <c r="A81" s="70"/>
      <c r="B81" s="53" t="str">
        <f>IFERROR(VLOOKUP($A81,'Project Reference'!$S$2:$T$41,2),"Enter Project Number")</f>
        <v>Enter Project Number</v>
      </c>
      <c r="C81" s="54"/>
      <c r="D81" s="8"/>
      <c r="E81" s="8"/>
      <c r="F81" s="8"/>
      <c r="G81" s="8"/>
      <c r="H81" s="47"/>
      <c r="I81" s="9"/>
      <c r="J81" s="23"/>
      <c r="K81" s="47" t="str">
        <f>IFERROR(VLOOKUP($A81,'Project Reference'!$B$2:$C$41,2), " ")</f>
        <v xml:space="preserve"> </v>
      </c>
      <c r="L81" s="8" t="str">
        <f>IFERROR(VLOOKUP($A81,'Project Reference'!$B$2:$D$41,3), " ")</f>
        <v xml:space="preserve"> </v>
      </c>
      <c r="M81" s="54" t="str">
        <f>IFERROR(VLOOKUP($A81,'Project Reference'!$B$2:$E$41,4), " ")</f>
        <v xml:space="preserve"> </v>
      </c>
      <c r="N81" s="8" t="str">
        <f>IFERROR(VLOOKUP($A81,'Project Reference'!$B$2:$F$41,5), " ")</f>
        <v xml:space="preserve"> </v>
      </c>
      <c r="O81" s="8" t="str">
        <f>IFERROR(VLOOKUP($A81,'Project Reference'!$B$2:$G$41,6), " ")</f>
        <v xml:space="preserve"> </v>
      </c>
      <c r="P81" s="8" t="str">
        <f>IFERROR(VLOOKUP($A81,'Project Reference'!$B$2:$H$41,7), " ")</f>
        <v xml:space="preserve"> </v>
      </c>
      <c r="Q81" s="8" t="str">
        <f>IFERROR(VLOOKUP($A81,'Project Reference'!$B$2:$I$41,8), " ")</f>
        <v xml:space="preserve"> </v>
      </c>
      <c r="R81" s="8" t="str">
        <f>IFERROR(VLOOKUP($A81,'Project Reference'!$B$2:$J$41,9), " ")</f>
        <v xml:space="preserve"> </v>
      </c>
      <c r="S81" s="8" t="str">
        <f>IFERROR(VLOOKUP($A81,'Project Reference'!$B$2:$K$41,10), " ")</f>
        <v xml:space="preserve"> </v>
      </c>
      <c r="T81" s="8" t="str">
        <f>IFERROR(VLOOKUP($A81,'Project Reference'!$B$2:$L$41,11), " ")</f>
        <v xml:space="preserve"> </v>
      </c>
      <c r="U81" s="8" t="str">
        <f>IFERROR(VLOOKUP($A81,'Project Reference'!$B$2:$M$41,12), " ")</f>
        <v xml:space="preserve"> </v>
      </c>
      <c r="V81" s="8" t="str">
        <f>IFERROR(VLOOKUP($A81,'Project Reference'!$B$2:$N$41,13), " ")</f>
        <v xml:space="preserve"> </v>
      </c>
      <c r="W81" s="8" t="str">
        <f>IFERROR(VLOOKUP($A81,'Project Reference'!$B$2:$O$41,14), " ")</f>
        <v xml:space="preserve"> </v>
      </c>
      <c r="X81" s="8" t="str">
        <f>IFERROR(VLOOKUP($A81,'Project Reference'!$B$2:$P$41,15), " ")</f>
        <v xml:space="preserve"> </v>
      </c>
      <c r="Y81" s="9" t="str">
        <f>IFERROR(VLOOKUP($A81,'Project Reference'!$B$2:$Q$41,16), " ")</f>
        <v xml:space="preserve"> </v>
      </c>
      <c r="Z81" s="22"/>
    </row>
    <row r="82" spans="1:26" s="1" customFormat="1" x14ac:dyDescent="0.45">
      <c r="A82" s="70"/>
      <c r="B82" s="53" t="str">
        <f>IFERROR(VLOOKUP($A82,'Project Reference'!$S$2:$T$41,2),"Enter Project Number")</f>
        <v>Enter Project Number</v>
      </c>
      <c r="C82" s="54"/>
      <c r="D82" s="8"/>
      <c r="E82" s="8"/>
      <c r="F82" s="8"/>
      <c r="G82" s="8"/>
      <c r="H82" s="47"/>
      <c r="I82" s="9"/>
      <c r="J82" s="23"/>
      <c r="K82" s="47" t="str">
        <f>IFERROR(VLOOKUP($A82,'Project Reference'!$B$2:$C$41,2), " ")</f>
        <v xml:space="preserve"> </v>
      </c>
      <c r="L82" s="8" t="str">
        <f>IFERROR(VLOOKUP($A82,'Project Reference'!$B$2:$D$41,3), " ")</f>
        <v xml:space="preserve"> </v>
      </c>
      <c r="M82" s="54" t="str">
        <f>IFERROR(VLOOKUP($A82,'Project Reference'!$B$2:$E$41,4), " ")</f>
        <v xml:space="preserve"> </v>
      </c>
      <c r="N82" s="8" t="str">
        <f>IFERROR(VLOOKUP($A82,'Project Reference'!$B$2:$F$41,5), " ")</f>
        <v xml:space="preserve"> </v>
      </c>
      <c r="O82" s="8" t="str">
        <f>IFERROR(VLOOKUP($A82,'Project Reference'!$B$2:$G$41,6), " ")</f>
        <v xml:space="preserve"> </v>
      </c>
      <c r="P82" s="8" t="str">
        <f>IFERROR(VLOOKUP($A82,'Project Reference'!$B$2:$H$41,7), " ")</f>
        <v xml:space="preserve"> </v>
      </c>
      <c r="Q82" s="8" t="str">
        <f>IFERROR(VLOOKUP($A82,'Project Reference'!$B$2:$I$41,8), " ")</f>
        <v xml:space="preserve"> </v>
      </c>
      <c r="R82" s="8" t="str">
        <f>IFERROR(VLOOKUP($A82,'Project Reference'!$B$2:$J$41,9), " ")</f>
        <v xml:space="preserve"> </v>
      </c>
      <c r="S82" s="8" t="str">
        <f>IFERROR(VLOOKUP($A82,'Project Reference'!$B$2:$K$41,10), " ")</f>
        <v xml:space="preserve"> </v>
      </c>
      <c r="T82" s="8" t="str">
        <f>IFERROR(VLOOKUP($A82,'Project Reference'!$B$2:$L$41,11), " ")</f>
        <v xml:space="preserve"> </v>
      </c>
      <c r="U82" s="8" t="str">
        <f>IFERROR(VLOOKUP($A82,'Project Reference'!$B$2:$M$41,12), " ")</f>
        <v xml:space="preserve"> </v>
      </c>
      <c r="V82" s="8" t="str">
        <f>IFERROR(VLOOKUP($A82,'Project Reference'!$B$2:$N$41,13), " ")</f>
        <v xml:space="preserve"> </v>
      </c>
      <c r="W82" s="8" t="str">
        <f>IFERROR(VLOOKUP($A82,'Project Reference'!$B$2:$O$41,14), " ")</f>
        <v xml:space="preserve"> </v>
      </c>
      <c r="X82" s="8" t="str">
        <f>IFERROR(VLOOKUP($A82,'Project Reference'!$B$2:$P$41,15), " ")</f>
        <v xml:space="preserve"> </v>
      </c>
      <c r="Y82" s="9" t="str">
        <f>IFERROR(VLOOKUP($A82,'Project Reference'!$B$2:$Q$41,16), " ")</f>
        <v xml:space="preserve"> </v>
      </c>
      <c r="Z82" s="22"/>
    </row>
    <row r="83" spans="1:26" s="1" customFormat="1" x14ac:dyDescent="0.45">
      <c r="A83" s="70"/>
      <c r="B83" s="53" t="str">
        <f>IFERROR(VLOOKUP($A83,'Project Reference'!$S$2:$T$41,2),"Enter Project Number")</f>
        <v>Enter Project Number</v>
      </c>
      <c r="C83" s="54"/>
      <c r="D83" s="8"/>
      <c r="E83" s="8"/>
      <c r="F83" s="8"/>
      <c r="G83" s="8"/>
      <c r="H83" s="47"/>
      <c r="I83" s="9"/>
      <c r="J83" s="23"/>
      <c r="K83" s="47" t="str">
        <f>IFERROR(VLOOKUP($A83,'Project Reference'!$B$2:$C$41,2), " ")</f>
        <v xml:space="preserve"> </v>
      </c>
      <c r="L83" s="8" t="str">
        <f>IFERROR(VLOOKUP($A83,'Project Reference'!$B$2:$D$41,3), " ")</f>
        <v xml:space="preserve"> </v>
      </c>
      <c r="M83" s="54" t="str">
        <f>IFERROR(VLOOKUP($A83,'Project Reference'!$B$2:$E$41,4), " ")</f>
        <v xml:space="preserve"> </v>
      </c>
      <c r="N83" s="8" t="str">
        <f>IFERROR(VLOOKUP($A83,'Project Reference'!$B$2:$F$41,5), " ")</f>
        <v xml:space="preserve"> </v>
      </c>
      <c r="O83" s="8" t="str">
        <f>IFERROR(VLOOKUP($A83,'Project Reference'!$B$2:$G$41,6), " ")</f>
        <v xml:space="preserve"> </v>
      </c>
      <c r="P83" s="8" t="str">
        <f>IFERROR(VLOOKUP($A83,'Project Reference'!$B$2:$H$41,7), " ")</f>
        <v xml:space="preserve"> </v>
      </c>
      <c r="Q83" s="8" t="str">
        <f>IFERROR(VLOOKUP($A83,'Project Reference'!$B$2:$I$41,8), " ")</f>
        <v xml:space="preserve"> </v>
      </c>
      <c r="R83" s="8" t="str">
        <f>IFERROR(VLOOKUP($A83,'Project Reference'!$B$2:$J$41,9), " ")</f>
        <v xml:space="preserve"> </v>
      </c>
      <c r="S83" s="8" t="str">
        <f>IFERROR(VLOOKUP($A83,'Project Reference'!$B$2:$K$41,10), " ")</f>
        <v xml:space="preserve"> </v>
      </c>
      <c r="T83" s="8" t="str">
        <f>IFERROR(VLOOKUP($A83,'Project Reference'!$B$2:$L$41,11), " ")</f>
        <v xml:space="preserve"> </v>
      </c>
      <c r="U83" s="8" t="str">
        <f>IFERROR(VLOOKUP($A83,'Project Reference'!$B$2:$M$41,12), " ")</f>
        <v xml:space="preserve"> </v>
      </c>
      <c r="V83" s="8" t="str">
        <f>IFERROR(VLOOKUP($A83,'Project Reference'!$B$2:$N$41,13), " ")</f>
        <v xml:space="preserve"> </v>
      </c>
      <c r="W83" s="8" t="str">
        <f>IFERROR(VLOOKUP($A83,'Project Reference'!$B$2:$O$41,14), " ")</f>
        <v xml:space="preserve"> </v>
      </c>
      <c r="X83" s="8" t="str">
        <f>IFERROR(VLOOKUP($A83,'Project Reference'!$B$2:$P$41,15), " ")</f>
        <v xml:space="preserve"> </v>
      </c>
      <c r="Y83" s="9" t="str">
        <f>IFERROR(VLOOKUP($A83,'Project Reference'!$B$2:$Q$41,16), " ")</f>
        <v xml:space="preserve"> </v>
      </c>
      <c r="Z83" s="22"/>
    </row>
    <row r="84" spans="1:26" s="1" customFormat="1" x14ac:dyDescent="0.45">
      <c r="A84" s="70"/>
      <c r="B84" s="53" t="str">
        <f>IFERROR(VLOOKUP($A84,'Project Reference'!$S$2:$T$41,2),"Enter Project Number")</f>
        <v>Enter Project Number</v>
      </c>
      <c r="C84" s="54"/>
      <c r="D84" s="8"/>
      <c r="E84" s="8"/>
      <c r="F84" s="8"/>
      <c r="G84" s="8"/>
      <c r="H84" s="47"/>
      <c r="I84" s="9"/>
      <c r="J84" s="23"/>
      <c r="K84" s="47" t="str">
        <f>IFERROR(VLOOKUP($A84,'Project Reference'!$B$2:$C$41,2), " ")</f>
        <v xml:space="preserve"> </v>
      </c>
      <c r="L84" s="8" t="str">
        <f>IFERROR(VLOOKUP($A84,'Project Reference'!$B$2:$D$41,3), " ")</f>
        <v xml:space="preserve"> </v>
      </c>
      <c r="M84" s="54" t="str">
        <f>IFERROR(VLOOKUP($A84,'Project Reference'!$B$2:$E$41,4), " ")</f>
        <v xml:space="preserve"> </v>
      </c>
      <c r="N84" s="8" t="str">
        <f>IFERROR(VLOOKUP($A84,'Project Reference'!$B$2:$F$41,5), " ")</f>
        <v xml:space="preserve"> </v>
      </c>
      <c r="O84" s="8" t="str">
        <f>IFERROR(VLOOKUP($A84,'Project Reference'!$B$2:$G$41,6), " ")</f>
        <v xml:space="preserve"> </v>
      </c>
      <c r="P84" s="8" t="str">
        <f>IFERROR(VLOOKUP($A84,'Project Reference'!$B$2:$H$41,7), " ")</f>
        <v xml:space="preserve"> </v>
      </c>
      <c r="Q84" s="8" t="str">
        <f>IFERROR(VLOOKUP($A84,'Project Reference'!$B$2:$I$41,8), " ")</f>
        <v xml:space="preserve"> </v>
      </c>
      <c r="R84" s="8" t="str">
        <f>IFERROR(VLOOKUP($A84,'Project Reference'!$B$2:$J$41,9), " ")</f>
        <v xml:space="preserve"> </v>
      </c>
      <c r="S84" s="8" t="str">
        <f>IFERROR(VLOOKUP($A84,'Project Reference'!$B$2:$K$41,10), " ")</f>
        <v xml:space="preserve"> </v>
      </c>
      <c r="T84" s="8" t="str">
        <f>IFERROR(VLOOKUP($A84,'Project Reference'!$B$2:$L$41,11), " ")</f>
        <v xml:space="preserve"> </v>
      </c>
      <c r="U84" s="8" t="str">
        <f>IFERROR(VLOOKUP($A84,'Project Reference'!$B$2:$M$41,12), " ")</f>
        <v xml:space="preserve"> </v>
      </c>
      <c r="V84" s="8" t="str">
        <f>IFERROR(VLOOKUP($A84,'Project Reference'!$B$2:$N$41,13), " ")</f>
        <v xml:space="preserve"> </v>
      </c>
      <c r="W84" s="8" t="str">
        <f>IFERROR(VLOOKUP($A84,'Project Reference'!$B$2:$O$41,14), " ")</f>
        <v xml:space="preserve"> </v>
      </c>
      <c r="X84" s="8" t="str">
        <f>IFERROR(VLOOKUP($A84,'Project Reference'!$B$2:$P$41,15), " ")</f>
        <v xml:space="preserve"> </v>
      </c>
      <c r="Y84" s="9" t="str">
        <f>IFERROR(VLOOKUP($A84,'Project Reference'!$B$2:$Q$41,16), " ")</f>
        <v xml:space="preserve"> </v>
      </c>
      <c r="Z84" s="22"/>
    </row>
    <row r="85" spans="1:26" s="1" customFormat="1" x14ac:dyDescent="0.45">
      <c r="A85" s="70"/>
      <c r="B85" s="53" t="str">
        <f>IFERROR(VLOOKUP($A85,'Project Reference'!$S$2:$T$41,2),"Enter Project Number")</f>
        <v>Enter Project Number</v>
      </c>
      <c r="C85" s="54"/>
      <c r="D85" s="8"/>
      <c r="E85" s="8"/>
      <c r="F85" s="8"/>
      <c r="G85" s="8"/>
      <c r="H85" s="47"/>
      <c r="I85" s="9"/>
      <c r="J85" s="23"/>
      <c r="K85" s="47" t="str">
        <f>IFERROR(VLOOKUP($A85,'Project Reference'!$B$2:$C$41,2), " ")</f>
        <v xml:space="preserve"> </v>
      </c>
      <c r="L85" s="8" t="str">
        <f>IFERROR(VLOOKUP($A85,'Project Reference'!$B$2:$D$41,3), " ")</f>
        <v xml:space="preserve"> </v>
      </c>
      <c r="M85" s="54" t="str">
        <f>IFERROR(VLOOKUP($A85,'Project Reference'!$B$2:$E$41,4), " ")</f>
        <v xml:space="preserve"> </v>
      </c>
      <c r="N85" s="8" t="str">
        <f>IFERROR(VLOOKUP($A85,'Project Reference'!$B$2:$F$41,5), " ")</f>
        <v xml:space="preserve"> </v>
      </c>
      <c r="O85" s="8" t="str">
        <f>IFERROR(VLOOKUP($A85,'Project Reference'!$B$2:$G$41,6), " ")</f>
        <v xml:space="preserve"> </v>
      </c>
      <c r="P85" s="8" t="str">
        <f>IFERROR(VLOOKUP($A85,'Project Reference'!$B$2:$H$41,7), " ")</f>
        <v xml:space="preserve"> </v>
      </c>
      <c r="Q85" s="8" t="str">
        <f>IFERROR(VLOOKUP($A85,'Project Reference'!$B$2:$I$41,8), " ")</f>
        <v xml:space="preserve"> </v>
      </c>
      <c r="R85" s="8" t="str">
        <f>IFERROR(VLOOKUP($A85,'Project Reference'!$B$2:$J$41,9), " ")</f>
        <v xml:space="preserve"> </v>
      </c>
      <c r="S85" s="8" t="str">
        <f>IFERROR(VLOOKUP($A85,'Project Reference'!$B$2:$K$41,10), " ")</f>
        <v xml:space="preserve"> </v>
      </c>
      <c r="T85" s="8" t="str">
        <f>IFERROR(VLOOKUP($A85,'Project Reference'!$B$2:$L$41,11), " ")</f>
        <v xml:space="preserve"> </v>
      </c>
      <c r="U85" s="8" t="str">
        <f>IFERROR(VLOOKUP($A85,'Project Reference'!$B$2:$M$41,12), " ")</f>
        <v xml:space="preserve"> </v>
      </c>
      <c r="V85" s="8" t="str">
        <f>IFERROR(VLOOKUP($A85,'Project Reference'!$B$2:$N$41,13), " ")</f>
        <v xml:space="preserve"> </v>
      </c>
      <c r="W85" s="8" t="str">
        <f>IFERROR(VLOOKUP($A85,'Project Reference'!$B$2:$O$41,14), " ")</f>
        <v xml:space="preserve"> </v>
      </c>
      <c r="X85" s="8" t="str">
        <f>IFERROR(VLOOKUP($A85,'Project Reference'!$B$2:$P$41,15), " ")</f>
        <v xml:space="preserve"> </v>
      </c>
      <c r="Y85" s="9" t="str">
        <f>IFERROR(VLOOKUP($A85,'Project Reference'!$B$2:$Q$41,16), " ")</f>
        <v xml:space="preserve"> </v>
      </c>
      <c r="Z85" s="22"/>
    </row>
    <row r="86" spans="1:26" s="1" customFormat="1" x14ac:dyDescent="0.45">
      <c r="A86" s="70"/>
      <c r="B86" s="53" t="str">
        <f>IFERROR(VLOOKUP($A86,'Project Reference'!$S$2:$T$41,2),"Enter Project Number")</f>
        <v>Enter Project Number</v>
      </c>
      <c r="C86" s="54"/>
      <c r="D86" s="8"/>
      <c r="E86" s="8"/>
      <c r="F86" s="8"/>
      <c r="G86" s="8"/>
      <c r="H86" s="47"/>
      <c r="I86" s="9"/>
      <c r="J86" s="23"/>
      <c r="K86" s="47" t="str">
        <f>IFERROR(VLOOKUP($A86,'Project Reference'!$B$2:$C$41,2), " ")</f>
        <v xml:space="preserve"> </v>
      </c>
      <c r="L86" s="8" t="str">
        <f>IFERROR(VLOOKUP($A86,'Project Reference'!$B$2:$D$41,3), " ")</f>
        <v xml:space="preserve"> </v>
      </c>
      <c r="M86" s="54" t="str">
        <f>IFERROR(VLOOKUP($A86,'Project Reference'!$B$2:$E$41,4), " ")</f>
        <v xml:space="preserve"> </v>
      </c>
      <c r="N86" s="8" t="str">
        <f>IFERROR(VLOOKUP($A86,'Project Reference'!$B$2:$F$41,5), " ")</f>
        <v xml:space="preserve"> </v>
      </c>
      <c r="O86" s="8" t="str">
        <f>IFERROR(VLOOKUP($A86,'Project Reference'!$B$2:$G$41,6), " ")</f>
        <v xml:space="preserve"> </v>
      </c>
      <c r="P86" s="8" t="str">
        <f>IFERROR(VLOOKUP($A86,'Project Reference'!$B$2:$H$41,7), " ")</f>
        <v xml:space="preserve"> </v>
      </c>
      <c r="Q86" s="8" t="str">
        <f>IFERROR(VLOOKUP($A86,'Project Reference'!$B$2:$I$41,8), " ")</f>
        <v xml:space="preserve"> </v>
      </c>
      <c r="R86" s="8" t="str">
        <f>IFERROR(VLOOKUP($A86,'Project Reference'!$B$2:$J$41,9), " ")</f>
        <v xml:space="preserve"> </v>
      </c>
      <c r="S86" s="8" t="str">
        <f>IFERROR(VLOOKUP($A86,'Project Reference'!$B$2:$K$41,10), " ")</f>
        <v xml:space="preserve"> </v>
      </c>
      <c r="T86" s="8" t="str">
        <f>IFERROR(VLOOKUP($A86,'Project Reference'!$B$2:$L$41,11), " ")</f>
        <v xml:space="preserve"> </v>
      </c>
      <c r="U86" s="8" t="str">
        <f>IFERROR(VLOOKUP($A86,'Project Reference'!$B$2:$M$41,12), " ")</f>
        <v xml:space="preserve"> </v>
      </c>
      <c r="V86" s="8" t="str">
        <f>IFERROR(VLOOKUP($A86,'Project Reference'!$B$2:$N$41,13), " ")</f>
        <v xml:space="preserve"> </v>
      </c>
      <c r="W86" s="8" t="str">
        <f>IFERROR(VLOOKUP($A86,'Project Reference'!$B$2:$O$41,14), " ")</f>
        <v xml:space="preserve"> </v>
      </c>
      <c r="X86" s="8" t="str">
        <f>IFERROR(VLOOKUP($A86,'Project Reference'!$B$2:$P$41,15), " ")</f>
        <v xml:space="preserve"> </v>
      </c>
      <c r="Y86" s="9" t="str">
        <f>IFERROR(VLOOKUP($A86,'Project Reference'!$B$2:$Q$41,16), " ")</f>
        <v xml:space="preserve"> </v>
      </c>
      <c r="Z86" s="22"/>
    </row>
    <row r="87" spans="1:26" s="1" customFormat="1" x14ac:dyDescent="0.45">
      <c r="A87" s="70"/>
      <c r="B87" s="53" t="str">
        <f>IFERROR(VLOOKUP($A87,'Project Reference'!$S$2:$T$41,2),"Enter Project Number")</f>
        <v>Enter Project Number</v>
      </c>
      <c r="C87" s="54"/>
      <c r="D87" s="8"/>
      <c r="E87" s="8"/>
      <c r="F87" s="8"/>
      <c r="G87" s="8"/>
      <c r="H87" s="47"/>
      <c r="I87" s="9"/>
      <c r="J87" s="23"/>
      <c r="K87" s="47" t="str">
        <f>IFERROR(VLOOKUP($A87,'Project Reference'!$B$2:$C$41,2), " ")</f>
        <v xml:space="preserve"> </v>
      </c>
      <c r="L87" s="8" t="str">
        <f>IFERROR(VLOOKUP($A87,'Project Reference'!$B$2:$D$41,3), " ")</f>
        <v xml:space="preserve"> </v>
      </c>
      <c r="M87" s="54" t="str">
        <f>IFERROR(VLOOKUP($A87,'Project Reference'!$B$2:$E$41,4), " ")</f>
        <v xml:space="preserve"> </v>
      </c>
      <c r="N87" s="8" t="str">
        <f>IFERROR(VLOOKUP($A87,'Project Reference'!$B$2:$F$41,5), " ")</f>
        <v xml:space="preserve"> </v>
      </c>
      <c r="O87" s="8" t="str">
        <f>IFERROR(VLOOKUP($A87,'Project Reference'!$B$2:$G$41,6), " ")</f>
        <v xml:space="preserve"> </v>
      </c>
      <c r="P87" s="8" t="str">
        <f>IFERROR(VLOOKUP($A87,'Project Reference'!$B$2:$H$41,7), " ")</f>
        <v xml:space="preserve"> </v>
      </c>
      <c r="Q87" s="8" t="str">
        <f>IFERROR(VLOOKUP($A87,'Project Reference'!$B$2:$I$41,8), " ")</f>
        <v xml:space="preserve"> </v>
      </c>
      <c r="R87" s="8" t="str">
        <f>IFERROR(VLOOKUP($A87,'Project Reference'!$B$2:$J$41,9), " ")</f>
        <v xml:space="preserve"> </v>
      </c>
      <c r="S87" s="8" t="str">
        <f>IFERROR(VLOOKUP($A87,'Project Reference'!$B$2:$K$41,10), " ")</f>
        <v xml:space="preserve"> </v>
      </c>
      <c r="T87" s="8" t="str">
        <f>IFERROR(VLOOKUP($A87,'Project Reference'!$B$2:$L$41,11), " ")</f>
        <v xml:space="preserve"> </v>
      </c>
      <c r="U87" s="8" t="str">
        <f>IFERROR(VLOOKUP($A87,'Project Reference'!$B$2:$M$41,12), " ")</f>
        <v xml:space="preserve"> </v>
      </c>
      <c r="V87" s="8" t="str">
        <f>IFERROR(VLOOKUP($A87,'Project Reference'!$B$2:$N$41,13), " ")</f>
        <v xml:space="preserve"> </v>
      </c>
      <c r="W87" s="8" t="str">
        <f>IFERROR(VLOOKUP($A87,'Project Reference'!$B$2:$O$41,14), " ")</f>
        <v xml:space="preserve"> </v>
      </c>
      <c r="X87" s="8" t="str">
        <f>IFERROR(VLOOKUP($A87,'Project Reference'!$B$2:$P$41,15), " ")</f>
        <v xml:space="preserve"> </v>
      </c>
      <c r="Y87" s="9" t="str">
        <f>IFERROR(VLOOKUP($A87,'Project Reference'!$B$2:$Q$41,16), " ")</f>
        <v xml:space="preserve"> </v>
      </c>
      <c r="Z87" s="22"/>
    </row>
    <row r="88" spans="1:26" s="1" customFormat="1" x14ac:dyDescent="0.45">
      <c r="A88" s="70"/>
      <c r="B88" s="53" t="str">
        <f>IFERROR(VLOOKUP($A88,'Project Reference'!$S$2:$T$41,2),"Enter Project Number")</f>
        <v>Enter Project Number</v>
      </c>
      <c r="C88" s="54"/>
      <c r="D88" s="8"/>
      <c r="E88" s="8"/>
      <c r="F88" s="8"/>
      <c r="G88" s="8"/>
      <c r="H88" s="47"/>
      <c r="I88" s="9"/>
      <c r="J88" s="23"/>
      <c r="K88" s="47" t="str">
        <f>IFERROR(VLOOKUP($A88,'Project Reference'!$B$2:$C$41,2), " ")</f>
        <v xml:space="preserve"> </v>
      </c>
      <c r="L88" s="8" t="str">
        <f>IFERROR(VLOOKUP($A88,'Project Reference'!$B$2:$D$41,3), " ")</f>
        <v xml:space="preserve"> </v>
      </c>
      <c r="M88" s="54" t="str">
        <f>IFERROR(VLOOKUP($A88,'Project Reference'!$B$2:$E$41,4), " ")</f>
        <v xml:space="preserve"> </v>
      </c>
      <c r="N88" s="8" t="str">
        <f>IFERROR(VLOOKUP($A88,'Project Reference'!$B$2:$F$41,5), " ")</f>
        <v xml:space="preserve"> </v>
      </c>
      <c r="O88" s="8" t="str">
        <f>IFERROR(VLOOKUP($A88,'Project Reference'!$B$2:$G$41,6), " ")</f>
        <v xml:space="preserve"> </v>
      </c>
      <c r="P88" s="8" t="str">
        <f>IFERROR(VLOOKUP($A88,'Project Reference'!$B$2:$H$41,7), " ")</f>
        <v xml:space="preserve"> </v>
      </c>
      <c r="Q88" s="8" t="str">
        <f>IFERROR(VLOOKUP($A88,'Project Reference'!$B$2:$I$41,8), " ")</f>
        <v xml:space="preserve"> </v>
      </c>
      <c r="R88" s="8" t="str">
        <f>IFERROR(VLOOKUP($A88,'Project Reference'!$B$2:$J$41,9), " ")</f>
        <v xml:space="preserve"> </v>
      </c>
      <c r="S88" s="8" t="str">
        <f>IFERROR(VLOOKUP($A88,'Project Reference'!$B$2:$K$41,10), " ")</f>
        <v xml:space="preserve"> </v>
      </c>
      <c r="T88" s="8" t="str">
        <f>IFERROR(VLOOKUP($A88,'Project Reference'!$B$2:$L$41,11), " ")</f>
        <v xml:space="preserve"> </v>
      </c>
      <c r="U88" s="8" t="str">
        <f>IFERROR(VLOOKUP($A88,'Project Reference'!$B$2:$M$41,12), " ")</f>
        <v xml:space="preserve"> </v>
      </c>
      <c r="V88" s="8" t="str">
        <f>IFERROR(VLOOKUP($A88,'Project Reference'!$B$2:$N$41,13), " ")</f>
        <v xml:space="preserve"> </v>
      </c>
      <c r="W88" s="8" t="str">
        <f>IFERROR(VLOOKUP($A88,'Project Reference'!$B$2:$O$41,14), " ")</f>
        <v xml:space="preserve"> </v>
      </c>
      <c r="X88" s="8" t="str">
        <f>IFERROR(VLOOKUP($A88,'Project Reference'!$B$2:$P$41,15), " ")</f>
        <v xml:space="preserve"> </v>
      </c>
      <c r="Y88" s="9" t="str">
        <f>IFERROR(VLOOKUP($A88,'Project Reference'!$B$2:$Q$41,16), " ")</f>
        <v xml:space="preserve"> </v>
      </c>
      <c r="Z88" s="22"/>
    </row>
    <row r="89" spans="1:26" s="1" customFormat="1" x14ac:dyDescent="0.45">
      <c r="A89" s="70"/>
      <c r="B89" s="53" t="str">
        <f>IFERROR(VLOOKUP($A89,'Project Reference'!$S$2:$T$41,2),"Enter Project Number")</f>
        <v>Enter Project Number</v>
      </c>
      <c r="C89" s="54"/>
      <c r="D89" s="8"/>
      <c r="E89" s="8"/>
      <c r="F89" s="8"/>
      <c r="G89" s="8"/>
      <c r="H89" s="47"/>
      <c r="I89" s="9"/>
      <c r="J89" s="23"/>
      <c r="K89" s="47" t="str">
        <f>IFERROR(VLOOKUP($A89,'Project Reference'!$B$2:$C$41,2), " ")</f>
        <v xml:space="preserve"> </v>
      </c>
      <c r="L89" s="8" t="str">
        <f>IFERROR(VLOOKUP($A89,'Project Reference'!$B$2:$D$41,3), " ")</f>
        <v xml:space="preserve"> </v>
      </c>
      <c r="M89" s="54" t="str">
        <f>IFERROR(VLOOKUP($A89,'Project Reference'!$B$2:$E$41,4), " ")</f>
        <v xml:space="preserve"> </v>
      </c>
      <c r="N89" s="8" t="str">
        <f>IFERROR(VLOOKUP($A89,'Project Reference'!$B$2:$F$41,5), " ")</f>
        <v xml:space="preserve"> </v>
      </c>
      <c r="O89" s="8" t="str">
        <f>IFERROR(VLOOKUP($A89,'Project Reference'!$B$2:$G$41,6), " ")</f>
        <v xml:space="preserve"> </v>
      </c>
      <c r="P89" s="8" t="str">
        <f>IFERROR(VLOOKUP($A89,'Project Reference'!$B$2:$H$41,7), " ")</f>
        <v xml:space="preserve"> </v>
      </c>
      <c r="Q89" s="8" t="str">
        <f>IFERROR(VLOOKUP($A89,'Project Reference'!$B$2:$I$41,8), " ")</f>
        <v xml:space="preserve"> </v>
      </c>
      <c r="R89" s="8" t="str">
        <f>IFERROR(VLOOKUP($A89,'Project Reference'!$B$2:$J$41,9), " ")</f>
        <v xml:space="preserve"> </v>
      </c>
      <c r="S89" s="8" t="str">
        <f>IFERROR(VLOOKUP($A89,'Project Reference'!$B$2:$K$41,10), " ")</f>
        <v xml:space="preserve"> </v>
      </c>
      <c r="T89" s="8" t="str">
        <f>IFERROR(VLOOKUP($A89,'Project Reference'!$B$2:$L$41,11), " ")</f>
        <v xml:space="preserve"> </v>
      </c>
      <c r="U89" s="8" t="str">
        <f>IFERROR(VLOOKUP($A89,'Project Reference'!$B$2:$M$41,12), " ")</f>
        <v xml:space="preserve"> </v>
      </c>
      <c r="V89" s="8" t="str">
        <f>IFERROR(VLOOKUP($A89,'Project Reference'!$B$2:$N$41,13), " ")</f>
        <v xml:space="preserve"> </v>
      </c>
      <c r="W89" s="8" t="str">
        <f>IFERROR(VLOOKUP($A89,'Project Reference'!$B$2:$O$41,14), " ")</f>
        <v xml:space="preserve"> </v>
      </c>
      <c r="X89" s="8" t="str">
        <f>IFERROR(VLOOKUP($A89,'Project Reference'!$B$2:$P$41,15), " ")</f>
        <v xml:space="preserve"> </v>
      </c>
      <c r="Y89" s="9" t="str">
        <f>IFERROR(VLOOKUP($A89,'Project Reference'!$B$2:$Q$41,16), " ")</f>
        <v xml:space="preserve"> </v>
      </c>
      <c r="Z89" s="22"/>
    </row>
    <row r="90" spans="1:26" s="1" customFormat="1" x14ac:dyDescent="0.45">
      <c r="A90" s="70"/>
      <c r="B90" s="53" t="str">
        <f>IFERROR(VLOOKUP($A90,'Project Reference'!$S$2:$T$41,2),"Enter Project Number")</f>
        <v>Enter Project Number</v>
      </c>
      <c r="C90" s="54"/>
      <c r="D90" s="8"/>
      <c r="E90" s="8"/>
      <c r="F90" s="8"/>
      <c r="G90" s="8"/>
      <c r="H90" s="47"/>
      <c r="I90" s="9"/>
      <c r="J90" s="23"/>
      <c r="K90" s="47" t="str">
        <f>IFERROR(VLOOKUP($A90,'Project Reference'!$B$2:$C$41,2), " ")</f>
        <v xml:space="preserve"> </v>
      </c>
      <c r="L90" s="8" t="str">
        <f>IFERROR(VLOOKUP($A90,'Project Reference'!$B$2:$D$41,3), " ")</f>
        <v xml:space="preserve"> </v>
      </c>
      <c r="M90" s="54" t="str">
        <f>IFERROR(VLOOKUP($A90,'Project Reference'!$B$2:$E$41,4), " ")</f>
        <v xml:space="preserve"> </v>
      </c>
      <c r="N90" s="8" t="str">
        <f>IFERROR(VLOOKUP($A90,'Project Reference'!$B$2:$F$41,5), " ")</f>
        <v xml:space="preserve"> </v>
      </c>
      <c r="O90" s="8" t="str">
        <f>IFERROR(VLOOKUP($A90,'Project Reference'!$B$2:$G$41,6), " ")</f>
        <v xml:space="preserve"> </v>
      </c>
      <c r="P90" s="8" t="str">
        <f>IFERROR(VLOOKUP($A90,'Project Reference'!$B$2:$H$41,7), " ")</f>
        <v xml:space="preserve"> </v>
      </c>
      <c r="Q90" s="8" t="str">
        <f>IFERROR(VLOOKUP($A90,'Project Reference'!$B$2:$I$41,8), " ")</f>
        <v xml:space="preserve"> </v>
      </c>
      <c r="R90" s="8" t="str">
        <f>IFERROR(VLOOKUP($A90,'Project Reference'!$B$2:$J$41,9), " ")</f>
        <v xml:space="preserve"> </v>
      </c>
      <c r="S90" s="8" t="str">
        <f>IFERROR(VLOOKUP($A90,'Project Reference'!$B$2:$K$41,10), " ")</f>
        <v xml:space="preserve"> </v>
      </c>
      <c r="T90" s="8" t="str">
        <f>IFERROR(VLOOKUP($A90,'Project Reference'!$B$2:$L$41,11), " ")</f>
        <v xml:space="preserve"> </v>
      </c>
      <c r="U90" s="8" t="str">
        <f>IFERROR(VLOOKUP($A90,'Project Reference'!$B$2:$M$41,12), " ")</f>
        <v xml:space="preserve"> </v>
      </c>
      <c r="V90" s="8" t="str">
        <f>IFERROR(VLOOKUP($A90,'Project Reference'!$B$2:$N$41,13), " ")</f>
        <v xml:space="preserve"> </v>
      </c>
      <c r="W90" s="8" t="str">
        <f>IFERROR(VLOOKUP($A90,'Project Reference'!$B$2:$O$41,14), " ")</f>
        <v xml:space="preserve"> </v>
      </c>
      <c r="X90" s="8" t="str">
        <f>IFERROR(VLOOKUP($A90,'Project Reference'!$B$2:$P$41,15), " ")</f>
        <v xml:space="preserve"> </v>
      </c>
      <c r="Y90" s="9" t="str">
        <f>IFERROR(VLOOKUP($A90,'Project Reference'!$B$2:$Q$41,16), " ")</f>
        <v xml:space="preserve"> </v>
      </c>
      <c r="Z90" s="22"/>
    </row>
    <row r="91" spans="1:26" s="1" customFormat="1" x14ac:dyDescent="0.45">
      <c r="A91" s="70"/>
      <c r="B91" s="53" t="str">
        <f>IFERROR(VLOOKUP($A91,'Project Reference'!$S$2:$T$41,2),"Enter Project Number")</f>
        <v>Enter Project Number</v>
      </c>
      <c r="C91" s="54"/>
      <c r="D91" s="8"/>
      <c r="E91" s="8"/>
      <c r="F91" s="8"/>
      <c r="G91" s="8"/>
      <c r="H91" s="47"/>
      <c r="I91" s="9"/>
      <c r="J91" s="23"/>
      <c r="K91" s="47" t="str">
        <f>IFERROR(VLOOKUP($A91,'Project Reference'!$B$2:$C$41,2), " ")</f>
        <v xml:space="preserve"> </v>
      </c>
      <c r="L91" s="8" t="str">
        <f>IFERROR(VLOOKUP($A91,'Project Reference'!$B$2:$D$41,3), " ")</f>
        <v xml:space="preserve"> </v>
      </c>
      <c r="M91" s="54" t="str">
        <f>IFERROR(VLOOKUP($A91,'Project Reference'!$B$2:$E$41,4), " ")</f>
        <v xml:space="preserve"> </v>
      </c>
      <c r="N91" s="8" t="str">
        <f>IFERROR(VLOOKUP($A91,'Project Reference'!$B$2:$F$41,5), " ")</f>
        <v xml:space="preserve"> </v>
      </c>
      <c r="O91" s="8" t="str">
        <f>IFERROR(VLOOKUP($A91,'Project Reference'!$B$2:$G$41,6), " ")</f>
        <v xml:space="preserve"> </v>
      </c>
      <c r="P91" s="8" t="str">
        <f>IFERROR(VLOOKUP($A91,'Project Reference'!$B$2:$H$41,7), " ")</f>
        <v xml:space="preserve"> </v>
      </c>
      <c r="Q91" s="8" t="str">
        <f>IFERROR(VLOOKUP($A91,'Project Reference'!$B$2:$I$41,8), " ")</f>
        <v xml:space="preserve"> </v>
      </c>
      <c r="R91" s="8" t="str">
        <f>IFERROR(VLOOKUP($A91,'Project Reference'!$B$2:$J$41,9), " ")</f>
        <v xml:space="preserve"> </v>
      </c>
      <c r="S91" s="8" t="str">
        <f>IFERROR(VLOOKUP($A91,'Project Reference'!$B$2:$K$41,10), " ")</f>
        <v xml:space="preserve"> </v>
      </c>
      <c r="T91" s="8" t="str">
        <f>IFERROR(VLOOKUP($A91,'Project Reference'!$B$2:$L$41,11), " ")</f>
        <v xml:space="preserve"> </v>
      </c>
      <c r="U91" s="8" t="str">
        <f>IFERROR(VLOOKUP($A91,'Project Reference'!$B$2:$M$41,12), " ")</f>
        <v xml:space="preserve"> </v>
      </c>
      <c r="V91" s="8" t="str">
        <f>IFERROR(VLOOKUP($A91,'Project Reference'!$B$2:$N$41,13), " ")</f>
        <v xml:space="preserve"> </v>
      </c>
      <c r="W91" s="8" t="str">
        <f>IFERROR(VLOOKUP($A91,'Project Reference'!$B$2:$O$41,14), " ")</f>
        <v xml:space="preserve"> </v>
      </c>
      <c r="X91" s="8" t="str">
        <f>IFERROR(VLOOKUP($A91,'Project Reference'!$B$2:$P$41,15), " ")</f>
        <v xml:space="preserve"> </v>
      </c>
      <c r="Y91" s="9" t="str">
        <f>IFERROR(VLOOKUP($A91,'Project Reference'!$B$2:$Q$41,16), " ")</f>
        <v xml:space="preserve"> </v>
      </c>
      <c r="Z91" s="22"/>
    </row>
    <row r="92" spans="1:26" s="1" customFormat="1" x14ac:dyDescent="0.45">
      <c r="A92" s="70"/>
      <c r="B92" s="53" t="str">
        <f>IFERROR(VLOOKUP($A92,'Project Reference'!$S$2:$T$41,2),"Enter Project Number")</f>
        <v>Enter Project Number</v>
      </c>
      <c r="C92" s="54"/>
      <c r="D92" s="8"/>
      <c r="E92" s="8"/>
      <c r="F92" s="8"/>
      <c r="G92" s="8"/>
      <c r="H92" s="47"/>
      <c r="I92" s="9"/>
      <c r="J92" s="23"/>
      <c r="K92" s="47" t="str">
        <f>IFERROR(VLOOKUP($A92,'Project Reference'!$B$2:$C$41,2), " ")</f>
        <v xml:space="preserve"> </v>
      </c>
      <c r="L92" s="8" t="str">
        <f>IFERROR(VLOOKUP($A92,'Project Reference'!$B$2:$D$41,3), " ")</f>
        <v xml:space="preserve"> </v>
      </c>
      <c r="M92" s="54" t="str">
        <f>IFERROR(VLOOKUP($A92,'Project Reference'!$B$2:$E$41,4), " ")</f>
        <v xml:space="preserve"> </v>
      </c>
      <c r="N92" s="8" t="str">
        <f>IFERROR(VLOOKUP($A92,'Project Reference'!$B$2:$F$41,5), " ")</f>
        <v xml:space="preserve"> </v>
      </c>
      <c r="O92" s="8" t="str">
        <f>IFERROR(VLOOKUP($A92,'Project Reference'!$B$2:$G$41,6), " ")</f>
        <v xml:space="preserve"> </v>
      </c>
      <c r="P92" s="8" t="str">
        <f>IFERROR(VLOOKUP($A92,'Project Reference'!$B$2:$H$41,7), " ")</f>
        <v xml:space="preserve"> </v>
      </c>
      <c r="Q92" s="8" t="str">
        <f>IFERROR(VLOOKUP($A92,'Project Reference'!$B$2:$I$41,8), " ")</f>
        <v xml:space="preserve"> </v>
      </c>
      <c r="R92" s="8" t="str">
        <f>IFERROR(VLOOKUP($A92,'Project Reference'!$B$2:$J$41,9), " ")</f>
        <v xml:space="preserve"> </v>
      </c>
      <c r="S92" s="8" t="str">
        <f>IFERROR(VLOOKUP($A92,'Project Reference'!$B$2:$K$41,10), " ")</f>
        <v xml:space="preserve"> </v>
      </c>
      <c r="T92" s="8" t="str">
        <f>IFERROR(VLOOKUP($A92,'Project Reference'!$B$2:$L$41,11), " ")</f>
        <v xml:space="preserve"> </v>
      </c>
      <c r="U92" s="8" t="str">
        <f>IFERROR(VLOOKUP($A92,'Project Reference'!$B$2:$M$41,12), " ")</f>
        <v xml:space="preserve"> </v>
      </c>
      <c r="V92" s="8" t="str">
        <f>IFERROR(VLOOKUP($A92,'Project Reference'!$B$2:$N$41,13), " ")</f>
        <v xml:space="preserve"> </v>
      </c>
      <c r="W92" s="8" t="str">
        <f>IFERROR(VLOOKUP($A92,'Project Reference'!$B$2:$O$41,14), " ")</f>
        <v xml:space="preserve"> </v>
      </c>
      <c r="X92" s="8" t="str">
        <f>IFERROR(VLOOKUP($A92,'Project Reference'!$B$2:$P$41,15), " ")</f>
        <v xml:space="preserve"> </v>
      </c>
      <c r="Y92" s="9" t="str">
        <f>IFERROR(VLOOKUP($A92,'Project Reference'!$B$2:$Q$41,16), " ")</f>
        <v xml:space="preserve"> </v>
      </c>
      <c r="Z92" s="22"/>
    </row>
    <row r="93" spans="1:26" s="1" customFormat="1" x14ac:dyDescent="0.45">
      <c r="A93" s="70"/>
      <c r="B93" s="53" t="str">
        <f>IFERROR(VLOOKUP($A93,'Project Reference'!$S$2:$T$41,2),"Enter Project Number")</f>
        <v>Enter Project Number</v>
      </c>
      <c r="C93" s="54"/>
      <c r="D93" s="8"/>
      <c r="E93" s="8"/>
      <c r="F93" s="8"/>
      <c r="G93" s="8"/>
      <c r="H93" s="47"/>
      <c r="I93" s="9"/>
      <c r="J93" s="23"/>
      <c r="K93" s="47" t="str">
        <f>IFERROR(VLOOKUP($A93,'Project Reference'!$B$2:$C$41,2), " ")</f>
        <v xml:space="preserve"> </v>
      </c>
      <c r="L93" s="8" t="str">
        <f>IFERROR(VLOOKUP($A93,'Project Reference'!$B$2:$D$41,3), " ")</f>
        <v xml:space="preserve"> </v>
      </c>
      <c r="M93" s="54" t="str">
        <f>IFERROR(VLOOKUP($A93,'Project Reference'!$B$2:$E$41,4), " ")</f>
        <v xml:space="preserve"> </v>
      </c>
      <c r="N93" s="8" t="str">
        <f>IFERROR(VLOOKUP($A93,'Project Reference'!$B$2:$F$41,5), " ")</f>
        <v xml:space="preserve"> </v>
      </c>
      <c r="O93" s="8" t="str">
        <f>IFERROR(VLOOKUP($A93,'Project Reference'!$B$2:$G$41,6), " ")</f>
        <v xml:space="preserve"> </v>
      </c>
      <c r="P93" s="8" t="str">
        <f>IFERROR(VLOOKUP($A93,'Project Reference'!$B$2:$H$41,7), " ")</f>
        <v xml:space="preserve"> </v>
      </c>
      <c r="Q93" s="8" t="str">
        <f>IFERROR(VLOOKUP($A93,'Project Reference'!$B$2:$I$41,8), " ")</f>
        <v xml:space="preserve"> </v>
      </c>
      <c r="R93" s="8" t="str">
        <f>IFERROR(VLOOKUP($A93,'Project Reference'!$B$2:$J$41,9), " ")</f>
        <v xml:space="preserve"> </v>
      </c>
      <c r="S93" s="8" t="str">
        <f>IFERROR(VLOOKUP($A93,'Project Reference'!$B$2:$K$41,10), " ")</f>
        <v xml:space="preserve"> </v>
      </c>
      <c r="T93" s="8" t="str">
        <f>IFERROR(VLOOKUP($A93,'Project Reference'!$B$2:$L$41,11), " ")</f>
        <v xml:space="preserve"> </v>
      </c>
      <c r="U93" s="8" t="str">
        <f>IFERROR(VLOOKUP($A93,'Project Reference'!$B$2:$M$41,12), " ")</f>
        <v xml:space="preserve"> </v>
      </c>
      <c r="V93" s="8" t="str">
        <f>IFERROR(VLOOKUP($A93,'Project Reference'!$B$2:$N$41,13), " ")</f>
        <v xml:space="preserve"> </v>
      </c>
      <c r="W93" s="8" t="str">
        <f>IFERROR(VLOOKUP($A93,'Project Reference'!$B$2:$O$41,14), " ")</f>
        <v xml:space="preserve"> </v>
      </c>
      <c r="X93" s="8" t="str">
        <f>IFERROR(VLOOKUP($A93,'Project Reference'!$B$2:$P$41,15), " ")</f>
        <v xml:space="preserve"> </v>
      </c>
      <c r="Y93" s="9" t="str">
        <f>IFERROR(VLOOKUP($A93,'Project Reference'!$B$2:$Q$41,16), " ")</f>
        <v xml:space="preserve"> </v>
      </c>
      <c r="Z93" s="22"/>
    </row>
    <row r="94" spans="1:26" s="1" customFormat="1" x14ac:dyDescent="0.45">
      <c r="A94" s="70"/>
      <c r="B94" s="53" t="str">
        <f>IFERROR(VLOOKUP($A94,'Project Reference'!$S$2:$T$41,2),"Enter Project Number")</f>
        <v>Enter Project Number</v>
      </c>
      <c r="C94" s="54"/>
      <c r="D94" s="8"/>
      <c r="E94" s="8"/>
      <c r="F94" s="8"/>
      <c r="G94" s="8"/>
      <c r="H94" s="47"/>
      <c r="I94" s="9"/>
      <c r="J94" s="23"/>
      <c r="K94" s="47" t="str">
        <f>IFERROR(VLOOKUP($A94,'Project Reference'!$B$2:$C$41,2), " ")</f>
        <v xml:space="preserve"> </v>
      </c>
      <c r="L94" s="8" t="str">
        <f>IFERROR(VLOOKUP($A94,'Project Reference'!$B$2:$D$41,3), " ")</f>
        <v xml:space="preserve"> </v>
      </c>
      <c r="M94" s="54" t="str">
        <f>IFERROR(VLOOKUP($A94,'Project Reference'!$B$2:$E$41,4), " ")</f>
        <v xml:space="preserve"> </v>
      </c>
      <c r="N94" s="8" t="str">
        <f>IFERROR(VLOOKUP($A94,'Project Reference'!$B$2:$F$41,5), " ")</f>
        <v xml:space="preserve"> </v>
      </c>
      <c r="O94" s="8" t="str">
        <f>IFERROR(VLOOKUP($A94,'Project Reference'!$B$2:$G$41,6), " ")</f>
        <v xml:space="preserve"> </v>
      </c>
      <c r="P94" s="8" t="str">
        <f>IFERROR(VLOOKUP($A94,'Project Reference'!$B$2:$H$41,7), " ")</f>
        <v xml:space="preserve"> </v>
      </c>
      <c r="Q94" s="8" t="str">
        <f>IFERROR(VLOOKUP($A94,'Project Reference'!$B$2:$I$41,8), " ")</f>
        <v xml:space="preserve"> </v>
      </c>
      <c r="R94" s="8" t="str">
        <f>IFERROR(VLOOKUP($A94,'Project Reference'!$B$2:$J$41,9), " ")</f>
        <v xml:space="preserve"> </v>
      </c>
      <c r="S94" s="8" t="str">
        <f>IFERROR(VLOOKUP($A94,'Project Reference'!$B$2:$K$41,10), " ")</f>
        <v xml:space="preserve"> </v>
      </c>
      <c r="T94" s="8" t="str">
        <f>IFERROR(VLOOKUP($A94,'Project Reference'!$B$2:$L$41,11), " ")</f>
        <v xml:space="preserve"> </v>
      </c>
      <c r="U94" s="8" t="str">
        <f>IFERROR(VLOOKUP($A94,'Project Reference'!$B$2:$M$41,12), " ")</f>
        <v xml:space="preserve"> </v>
      </c>
      <c r="V94" s="8" t="str">
        <f>IFERROR(VLOOKUP($A94,'Project Reference'!$B$2:$N$41,13), " ")</f>
        <v xml:space="preserve"> </v>
      </c>
      <c r="W94" s="8" t="str">
        <f>IFERROR(VLOOKUP($A94,'Project Reference'!$B$2:$O$41,14), " ")</f>
        <v xml:space="preserve"> </v>
      </c>
      <c r="X94" s="8" t="str">
        <f>IFERROR(VLOOKUP($A94,'Project Reference'!$B$2:$P$41,15), " ")</f>
        <v xml:space="preserve"> </v>
      </c>
      <c r="Y94" s="9" t="str">
        <f>IFERROR(VLOOKUP($A94,'Project Reference'!$B$2:$Q$41,16), " ")</f>
        <v xml:space="preserve"> </v>
      </c>
      <c r="Z94" s="22"/>
    </row>
    <row r="95" spans="1:26" s="1" customFormat="1" x14ac:dyDescent="0.45">
      <c r="A95" s="70"/>
      <c r="B95" s="53" t="str">
        <f>IFERROR(VLOOKUP($A95,'Project Reference'!$S$2:$T$41,2),"Enter Project Number")</f>
        <v>Enter Project Number</v>
      </c>
      <c r="C95" s="54"/>
      <c r="D95" s="8"/>
      <c r="E95" s="8"/>
      <c r="F95" s="8"/>
      <c r="G95" s="8"/>
      <c r="H95" s="47"/>
      <c r="I95" s="9"/>
      <c r="J95" s="23"/>
      <c r="K95" s="47" t="str">
        <f>IFERROR(VLOOKUP($A95,'Project Reference'!$B$2:$C$41,2), " ")</f>
        <v xml:space="preserve"> </v>
      </c>
      <c r="L95" s="8" t="str">
        <f>IFERROR(VLOOKUP($A95,'Project Reference'!$B$2:$D$41,3), " ")</f>
        <v xml:space="preserve"> </v>
      </c>
      <c r="M95" s="54" t="str">
        <f>IFERROR(VLOOKUP($A95,'Project Reference'!$B$2:$E$41,4), " ")</f>
        <v xml:space="preserve"> </v>
      </c>
      <c r="N95" s="8" t="str">
        <f>IFERROR(VLOOKUP($A95,'Project Reference'!$B$2:$F$41,5), " ")</f>
        <v xml:space="preserve"> </v>
      </c>
      <c r="O95" s="8" t="str">
        <f>IFERROR(VLOOKUP($A95,'Project Reference'!$B$2:$G$41,6), " ")</f>
        <v xml:space="preserve"> </v>
      </c>
      <c r="P95" s="8" t="str">
        <f>IFERROR(VLOOKUP($A95,'Project Reference'!$B$2:$H$41,7), " ")</f>
        <v xml:space="preserve"> </v>
      </c>
      <c r="Q95" s="8" t="str">
        <f>IFERROR(VLOOKUP($A95,'Project Reference'!$B$2:$I$41,8), " ")</f>
        <v xml:space="preserve"> </v>
      </c>
      <c r="R95" s="8" t="str">
        <f>IFERROR(VLOOKUP($A95,'Project Reference'!$B$2:$J$41,9), " ")</f>
        <v xml:space="preserve"> </v>
      </c>
      <c r="S95" s="8" t="str">
        <f>IFERROR(VLOOKUP($A95,'Project Reference'!$B$2:$K$41,10), " ")</f>
        <v xml:space="preserve"> </v>
      </c>
      <c r="T95" s="8" t="str">
        <f>IFERROR(VLOOKUP($A95,'Project Reference'!$B$2:$L$41,11), " ")</f>
        <v xml:space="preserve"> </v>
      </c>
      <c r="U95" s="8" t="str">
        <f>IFERROR(VLOOKUP($A95,'Project Reference'!$B$2:$M$41,12), " ")</f>
        <v xml:space="preserve"> </v>
      </c>
      <c r="V95" s="8" t="str">
        <f>IFERROR(VLOOKUP($A95,'Project Reference'!$B$2:$N$41,13), " ")</f>
        <v xml:space="preserve"> </v>
      </c>
      <c r="W95" s="8" t="str">
        <f>IFERROR(VLOOKUP($A95,'Project Reference'!$B$2:$O$41,14), " ")</f>
        <v xml:space="preserve"> </v>
      </c>
      <c r="X95" s="8" t="str">
        <f>IFERROR(VLOOKUP($A95,'Project Reference'!$B$2:$P$41,15), " ")</f>
        <v xml:space="preserve"> </v>
      </c>
      <c r="Y95" s="9" t="str">
        <f>IFERROR(VLOOKUP($A95,'Project Reference'!$B$2:$Q$41,16), " ")</f>
        <v xml:space="preserve"> </v>
      </c>
      <c r="Z95" s="22"/>
    </row>
    <row r="96" spans="1:26" s="1" customFormat="1" x14ac:dyDescent="0.45">
      <c r="A96" s="70"/>
      <c r="B96" s="53" t="str">
        <f>IFERROR(VLOOKUP($A96,'Project Reference'!$S$2:$T$41,2),"Enter Project Number")</f>
        <v>Enter Project Number</v>
      </c>
      <c r="C96" s="54"/>
      <c r="D96" s="8"/>
      <c r="E96" s="8"/>
      <c r="F96" s="8"/>
      <c r="G96" s="8"/>
      <c r="H96" s="47"/>
      <c r="I96" s="9"/>
      <c r="J96" s="23"/>
      <c r="K96" s="47" t="str">
        <f>IFERROR(VLOOKUP($A96,'Project Reference'!$B$2:$C$41,2), " ")</f>
        <v xml:space="preserve"> </v>
      </c>
      <c r="L96" s="8" t="str">
        <f>IFERROR(VLOOKUP($A96,'Project Reference'!$B$2:$D$41,3), " ")</f>
        <v xml:space="preserve"> </v>
      </c>
      <c r="M96" s="54" t="str">
        <f>IFERROR(VLOOKUP($A96,'Project Reference'!$B$2:$E$41,4), " ")</f>
        <v xml:space="preserve"> </v>
      </c>
      <c r="N96" s="8" t="str">
        <f>IFERROR(VLOOKUP($A96,'Project Reference'!$B$2:$F$41,5), " ")</f>
        <v xml:space="preserve"> </v>
      </c>
      <c r="O96" s="8" t="str">
        <f>IFERROR(VLOOKUP($A96,'Project Reference'!$B$2:$G$41,6), " ")</f>
        <v xml:space="preserve"> </v>
      </c>
      <c r="P96" s="8" t="str">
        <f>IFERROR(VLOOKUP($A96,'Project Reference'!$B$2:$H$41,7), " ")</f>
        <v xml:space="preserve"> </v>
      </c>
      <c r="Q96" s="8" t="str">
        <f>IFERROR(VLOOKUP($A96,'Project Reference'!$B$2:$I$41,8), " ")</f>
        <v xml:space="preserve"> </v>
      </c>
      <c r="R96" s="8" t="str">
        <f>IFERROR(VLOOKUP($A96,'Project Reference'!$B$2:$J$41,9), " ")</f>
        <v xml:space="preserve"> </v>
      </c>
      <c r="S96" s="8" t="str">
        <f>IFERROR(VLOOKUP($A96,'Project Reference'!$B$2:$K$41,10), " ")</f>
        <v xml:space="preserve"> </v>
      </c>
      <c r="T96" s="8" t="str">
        <f>IFERROR(VLOOKUP($A96,'Project Reference'!$B$2:$L$41,11), " ")</f>
        <v xml:space="preserve"> </v>
      </c>
      <c r="U96" s="8" t="str">
        <f>IFERROR(VLOOKUP($A96,'Project Reference'!$B$2:$M$41,12), " ")</f>
        <v xml:space="preserve"> </v>
      </c>
      <c r="V96" s="8" t="str">
        <f>IFERROR(VLOOKUP($A96,'Project Reference'!$B$2:$N$41,13), " ")</f>
        <v xml:space="preserve"> </v>
      </c>
      <c r="W96" s="8" t="str">
        <f>IFERROR(VLOOKUP($A96,'Project Reference'!$B$2:$O$41,14), " ")</f>
        <v xml:space="preserve"> </v>
      </c>
      <c r="X96" s="8" t="str">
        <f>IFERROR(VLOOKUP($A96,'Project Reference'!$B$2:$P$41,15), " ")</f>
        <v xml:space="preserve"> </v>
      </c>
      <c r="Y96" s="9" t="str">
        <f>IFERROR(VLOOKUP($A96,'Project Reference'!$B$2:$Q$41,16), " ")</f>
        <v xml:space="preserve"> </v>
      </c>
      <c r="Z96" s="22"/>
    </row>
    <row r="97" spans="1:26" s="1" customFormat="1" x14ac:dyDescent="0.45">
      <c r="A97" s="70"/>
      <c r="B97" s="53" t="str">
        <f>IFERROR(VLOOKUP($A97,'Project Reference'!$S$2:$T$41,2),"Enter Project Number")</f>
        <v>Enter Project Number</v>
      </c>
      <c r="C97" s="54"/>
      <c r="D97" s="8"/>
      <c r="E97" s="8"/>
      <c r="F97" s="8"/>
      <c r="G97" s="8"/>
      <c r="H97" s="47"/>
      <c r="I97" s="9"/>
      <c r="J97" s="23"/>
      <c r="K97" s="47" t="str">
        <f>IFERROR(VLOOKUP($A97,'Project Reference'!$B$2:$C$41,2), " ")</f>
        <v xml:space="preserve"> </v>
      </c>
      <c r="L97" s="8" t="str">
        <f>IFERROR(VLOOKUP($A97,'Project Reference'!$B$2:$D$41,3), " ")</f>
        <v xml:space="preserve"> </v>
      </c>
      <c r="M97" s="54" t="str">
        <f>IFERROR(VLOOKUP($A97,'Project Reference'!$B$2:$E$41,4), " ")</f>
        <v xml:space="preserve"> </v>
      </c>
      <c r="N97" s="8" t="str">
        <f>IFERROR(VLOOKUP($A97,'Project Reference'!$B$2:$F$41,5), " ")</f>
        <v xml:space="preserve"> </v>
      </c>
      <c r="O97" s="8" t="str">
        <f>IFERROR(VLOOKUP($A97,'Project Reference'!$B$2:$G$41,6), " ")</f>
        <v xml:space="preserve"> </v>
      </c>
      <c r="P97" s="8" t="str">
        <f>IFERROR(VLOOKUP($A97,'Project Reference'!$B$2:$H$41,7), " ")</f>
        <v xml:space="preserve"> </v>
      </c>
      <c r="Q97" s="8" t="str">
        <f>IFERROR(VLOOKUP($A97,'Project Reference'!$B$2:$I$41,8), " ")</f>
        <v xml:space="preserve"> </v>
      </c>
      <c r="R97" s="8" t="str">
        <f>IFERROR(VLOOKUP($A97,'Project Reference'!$B$2:$J$41,9), " ")</f>
        <v xml:space="preserve"> </v>
      </c>
      <c r="S97" s="8" t="str">
        <f>IFERROR(VLOOKUP($A97,'Project Reference'!$B$2:$K$41,10), " ")</f>
        <v xml:space="preserve"> </v>
      </c>
      <c r="T97" s="8" t="str">
        <f>IFERROR(VLOOKUP($A97,'Project Reference'!$B$2:$L$41,11), " ")</f>
        <v xml:space="preserve"> </v>
      </c>
      <c r="U97" s="8" t="str">
        <f>IFERROR(VLOOKUP($A97,'Project Reference'!$B$2:$M$41,12), " ")</f>
        <v xml:space="preserve"> </v>
      </c>
      <c r="V97" s="8" t="str">
        <f>IFERROR(VLOOKUP($A97,'Project Reference'!$B$2:$N$41,13), " ")</f>
        <v xml:space="preserve"> </v>
      </c>
      <c r="W97" s="8" t="str">
        <f>IFERROR(VLOOKUP($A97,'Project Reference'!$B$2:$O$41,14), " ")</f>
        <v xml:space="preserve"> </v>
      </c>
      <c r="X97" s="8" t="str">
        <f>IFERROR(VLOOKUP($A97,'Project Reference'!$B$2:$P$41,15), " ")</f>
        <v xml:space="preserve"> </v>
      </c>
      <c r="Y97" s="9" t="str">
        <f>IFERROR(VLOOKUP($A97,'Project Reference'!$B$2:$Q$41,16), " ")</f>
        <v xml:space="preserve"> </v>
      </c>
      <c r="Z97" s="22"/>
    </row>
    <row r="98" spans="1:26" s="1" customFormat="1" x14ac:dyDescent="0.45">
      <c r="A98" s="70"/>
      <c r="B98" s="53" t="str">
        <f>IFERROR(VLOOKUP($A98,'Project Reference'!$S$2:$T$41,2),"Enter Project Number")</f>
        <v>Enter Project Number</v>
      </c>
      <c r="C98" s="54"/>
      <c r="D98" s="8"/>
      <c r="E98" s="8"/>
      <c r="F98" s="8"/>
      <c r="G98" s="8"/>
      <c r="H98" s="47"/>
      <c r="I98" s="9"/>
      <c r="J98" s="23"/>
      <c r="K98" s="47" t="str">
        <f>IFERROR(VLOOKUP($A98,'Project Reference'!$B$2:$C$41,2), " ")</f>
        <v xml:space="preserve"> </v>
      </c>
      <c r="L98" s="8" t="str">
        <f>IFERROR(VLOOKUP($A98,'Project Reference'!$B$2:$D$41,3), " ")</f>
        <v xml:space="preserve"> </v>
      </c>
      <c r="M98" s="54" t="str">
        <f>IFERROR(VLOOKUP($A98,'Project Reference'!$B$2:$E$41,4), " ")</f>
        <v xml:space="preserve"> </v>
      </c>
      <c r="N98" s="8" t="str">
        <f>IFERROR(VLOOKUP($A98,'Project Reference'!$B$2:$F$41,5), " ")</f>
        <v xml:space="preserve"> </v>
      </c>
      <c r="O98" s="8" t="str">
        <f>IFERROR(VLOOKUP($A98,'Project Reference'!$B$2:$G$41,6), " ")</f>
        <v xml:space="preserve"> </v>
      </c>
      <c r="P98" s="8" t="str">
        <f>IFERROR(VLOOKUP($A98,'Project Reference'!$B$2:$H$41,7), " ")</f>
        <v xml:space="preserve"> </v>
      </c>
      <c r="Q98" s="8" t="str">
        <f>IFERROR(VLOOKUP($A98,'Project Reference'!$B$2:$I$41,8), " ")</f>
        <v xml:space="preserve"> </v>
      </c>
      <c r="R98" s="8" t="str">
        <f>IFERROR(VLOOKUP($A98,'Project Reference'!$B$2:$J$41,9), " ")</f>
        <v xml:space="preserve"> </v>
      </c>
      <c r="S98" s="8" t="str">
        <f>IFERROR(VLOOKUP($A98,'Project Reference'!$B$2:$K$41,10), " ")</f>
        <v xml:space="preserve"> </v>
      </c>
      <c r="T98" s="8" t="str">
        <f>IFERROR(VLOOKUP($A98,'Project Reference'!$B$2:$L$41,11), " ")</f>
        <v xml:space="preserve"> </v>
      </c>
      <c r="U98" s="8" t="str">
        <f>IFERROR(VLOOKUP($A98,'Project Reference'!$B$2:$M$41,12), " ")</f>
        <v xml:space="preserve"> </v>
      </c>
      <c r="V98" s="8" t="str">
        <f>IFERROR(VLOOKUP($A98,'Project Reference'!$B$2:$N$41,13), " ")</f>
        <v xml:space="preserve"> </v>
      </c>
      <c r="W98" s="8" t="str">
        <f>IFERROR(VLOOKUP($A98,'Project Reference'!$B$2:$O$41,14), " ")</f>
        <v xml:space="preserve"> </v>
      </c>
      <c r="X98" s="8" t="str">
        <f>IFERROR(VLOOKUP($A98,'Project Reference'!$B$2:$P$41,15), " ")</f>
        <v xml:space="preserve"> </v>
      </c>
      <c r="Y98" s="9" t="str">
        <f>IFERROR(VLOOKUP($A98,'Project Reference'!$B$2:$Q$41,16), " ")</f>
        <v xml:space="preserve"> </v>
      </c>
      <c r="Z98" s="22"/>
    </row>
    <row r="99" spans="1:26" s="1" customFormat="1" x14ac:dyDescent="0.45">
      <c r="A99" s="70"/>
      <c r="B99" s="53" t="str">
        <f>IFERROR(VLOOKUP($A99,'Project Reference'!$S$2:$T$41,2),"Enter Project Number")</f>
        <v>Enter Project Number</v>
      </c>
      <c r="C99" s="54"/>
      <c r="D99" s="8"/>
      <c r="E99" s="8"/>
      <c r="F99" s="8"/>
      <c r="G99" s="8"/>
      <c r="H99" s="47"/>
      <c r="I99" s="9"/>
      <c r="J99" s="23"/>
      <c r="K99" s="47" t="str">
        <f>IFERROR(VLOOKUP($A99,'Project Reference'!$B$2:$C$41,2), " ")</f>
        <v xml:space="preserve"> </v>
      </c>
      <c r="L99" s="8" t="str">
        <f>IFERROR(VLOOKUP($A99,'Project Reference'!$B$2:$D$41,3), " ")</f>
        <v xml:space="preserve"> </v>
      </c>
      <c r="M99" s="54" t="str">
        <f>IFERROR(VLOOKUP($A99,'Project Reference'!$B$2:$E$41,4), " ")</f>
        <v xml:space="preserve"> </v>
      </c>
      <c r="N99" s="8" t="str">
        <f>IFERROR(VLOOKUP($A99,'Project Reference'!$B$2:$F$41,5), " ")</f>
        <v xml:space="preserve"> </v>
      </c>
      <c r="O99" s="8" t="str">
        <f>IFERROR(VLOOKUP($A99,'Project Reference'!$B$2:$G$41,6), " ")</f>
        <v xml:space="preserve"> </v>
      </c>
      <c r="P99" s="8" t="str">
        <f>IFERROR(VLOOKUP($A99,'Project Reference'!$B$2:$H$41,7), " ")</f>
        <v xml:space="preserve"> </v>
      </c>
      <c r="Q99" s="8" t="str">
        <f>IFERROR(VLOOKUP($A99,'Project Reference'!$B$2:$I$41,8), " ")</f>
        <v xml:space="preserve"> </v>
      </c>
      <c r="R99" s="8" t="str">
        <f>IFERROR(VLOOKUP($A99,'Project Reference'!$B$2:$J$41,9), " ")</f>
        <v xml:space="preserve"> </v>
      </c>
      <c r="S99" s="8" t="str">
        <f>IFERROR(VLOOKUP($A99,'Project Reference'!$B$2:$K$41,10), " ")</f>
        <v xml:space="preserve"> </v>
      </c>
      <c r="T99" s="8" t="str">
        <f>IFERROR(VLOOKUP($A99,'Project Reference'!$B$2:$L$41,11), " ")</f>
        <v xml:space="preserve"> </v>
      </c>
      <c r="U99" s="8" t="str">
        <f>IFERROR(VLOOKUP($A99,'Project Reference'!$B$2:$M$41,12), " ")</f>
        <v xml:space="preserve"> </v>
      </c>
      <c r="V99" s="8" t="str">
        <f>IFERROR(VLOOKUP($A99,'Project Reference'!$B$2:$N$41,13), " ")</f>
        <v xml:space="preserve"> </v>
      </c>
      <c r="W99" s="8" t="str">
        <f>IFERROR(VLOOKUP($A99,'Project Reference'!$B$2:$O$41,14), " ")</f>
        <v xml:space="preserve"> </v>
      </c>
      <c r="X99" s="8" t="str">
        <f>IFERROR(VLOOKUP($A99,'Project Reference'!$B$2:$P$41,15), " ")</f>
        <v xml:space="preserve"> </v>
      </c>
      <c r="Y99" s="9" t="str">
        <f>IFERROR(VLOOKUP($A99,'Project Reference'!$B$2:$Q$41,16), " ")</f>
        <v xml:space="preserve"> </v>
      </c>
      <c r="Z99" s="22"/>
    </row>
    <row r="100" spans="1:26" s="1" customFormat="1" x14ac:dyDescent="0.45">
      <c r="A100" s="70"/>
      <c r="B100" s="53" t="str">
        <f>IFERROR(VLOOKUP($A100,'Project Reference'!$S$2:$T$41,2),"Enter Project Number")</f>
        <v>Enter Project Number</v>
      </c>
      <c r="C100" s="54"/>
      <c r="D100" s="8"/>
      <c r="E100" s="8"/>
      <c r="F100" s="8"/>
      <c r="G100" s="8"/>
      <c r="H100" s="47"/>
      <c r="I100" s="9"/>
      <c r="J100" s="23"/>
      <c r="K100" s="47" t="str">
        <f>IFERROR(VLOOKUP($A100,'Project Reference'!$B$2:$C$41,2), " ")</f>
        <v xml:space="preserve"> </v>
      </c>
      <c r="L100" s="8" t="str">
        <f>IFERROR(VLOOKUP($A100,'Project Reference'!$B$2:$D$41,3), " ")</f>
        <v xml:space="preserve"> </v>
      </c>
      <c r="M100" s="54" t="str">
        <f>IFERROR(VLOOKUP($A100,'Project Reference'!$B$2:$E$41,4), " ")</f>
        <v xml:space="preserve"> </v>
      </c>
      <c r="N100" s="8" t="str">
        <f>IFERROR(VLOOKUP($A100,'Project Reference'!$B$2:$F$41,5), " ")</f>
        <v xml:space="preserve"> </v>
      </c>
      <c r="O100" s="8" t="str">
        <f>IFERROR(VLOOKUP($A100,'Project Reference'!$B$2:$G$41,6), " ")</f>
        <v xml:space="preserve"> </v>
      </c>
      <c r="P100" s="8" t="str">
        <f>IFERROR(VLOOKUP($A100,'Project Reference'!$B$2:$H$41,7), " ")</f>
        <v xml:space="preserve"> </v>
      </c>
      <c r="Q100" s="8" t="str">
        <f>IFERROR(VLOOKUP($A100,'Project Reference'!$B$2:$I$41,8), " ")</f>
        <v xml:space="preserve"> </v>
      </c>
      <c r="R100" s="8" t="str">
        <f>IFERROR(VLOOKUP($A100,'Project Reference'!$B$2:$J$41,9), " ")</f>
        <v xml:space="preserve"> </v>
      </c>
      <c r="S100" s="8" t="str">
        <f>IFERROR(VLOOKUP($A100,'Project Reference'!$B$2:$K$41,10), " ")</f>
        <v xml:space="preserve"> </v>
      </c>
      <c r="T100" s="8" t="str">
        <f>IFERROR(VLOOKUP($A100,'Project Reference'!$B$2:$L$41,11), " ")</f>
        <v xml:space="preserve"> </v>
      </c>
      <c r="U100" s="8" t="str">
        <f>IFERROR(VLOOKUP($A100,'Project Reference'!$B$2:$M$41,12), " ")</f>
        <v xml:space="preserve"> </v>
      </c>
      <c r="V100" s="8" t="str">
        <f>IFERROR(VLOOKUP($A100,'Project Reference'!$B$2:$N$41,13), " ")</f>
        <v xml:space="preserve"> </v>
      </c>
      <c r="W100" s="8" t="str">
        <f>IFERROR(VLOOKUP($A100,'Project Reference'!$B$2:$O$41,14), " ")</f>
        <v xml:space="preserve"> </v>
      </c>
      <c r="X100" s="8" t="str">
        <f>IFERROR(VLOOKUP($A100,'Project Reference'!$B$2:$P$41,15), " ")</f>
        <v xml:space="preserve"> </v>
      </c>
      <c r="Y100" s="9" t="str">
        <f>IFERROR(VLOOKUP($A100,'Project Reference'!$B$2:$Q$41,16), " ")</f>
        <v xml:space="preserve"> </v>
      </c>
      <c r="Z100" s="22"/>
    </row>
    <row r="101" spans="1:26" s="1" customFormat="1" x14ac:dyDescent="0.45">
      <c r="A101" s="70"/>
      <c r="B101" s="53" t="str">
        <f>IFERROR(VLOOKUP($A101,'Project Reference'!$S$2:$T$41,2),"Enter Project Number")</f>
        <v>Enter Project Number</v>
      </c>
      <c r="C101" s="54"/>
      <c r="D101" s="8"/>
      <c r="E101" s="8"/>
      <c r="F101" s="8"/>
      <c r="G101" s="8"/>
      <c r="H101" s="47"/>
      <c r="I101" s="9"/>
      <c r="J101" s="23"/>
      <c r="K101" s="47" t="str">
        <f>IFERROR(VLOOKUP($A101,'Project Reference'!$B$2:$C$41,2), " ")</f>
        <v xml:space="preserve"> </v>
      </c>
      <c r="L101" s="8" t="str">
        <f>IFERROR(VLOOKUP($A101,'Project Reference'!$B$2:$D$41,3), " ")</f>
        <v xml:space="preserve"> </v>
      </c>
      <c r="M101" s="54" t="str">
        <f>IFERROR(VLOOKUP($A101,'Project Reference'!$B$2:$E$41,4), " ")</f>
        <v xml:space="preserve"> </v>
      </c>
      <c r="N101" s="8" t="str">
        <f>IFERROR(VLOOKUP($A101,'Project Reference'!$B$2:$F$41,5), " ")</f>
        <v xml:space="preserve"> </v>
      </c>
      <c r="O101" s="8" t="str">
        <f>IFERROR(VLOOKUP($A101,'Project Reference'!$B$2:$G$41,6), " ")</f>
        <v xml:space="preserve"> </v>
      </c>
      <c r="P101" s="8" t="str">
        <f>IFERROR(VLOOKUP($A101,'Project Reference'!$B$2:$H$41,7), " ")</f>
        <v xml:space="preserve"> </v>
      </c>
      <c r="Q101" s="8" t="str">
        <f>IFERROR(VLOOKUP($A101,'Project Reference'!$B$2:$I$41,8), " ")</f>
        <v xml:space="preserve"> </v>
      </c>
      <c r="R101" s="8" t="str">
        <f>IFERROR(VLOOKUP($A101,'Project Reference'!$B$2:$J$41,9), " ")</f>
        <v xml:space="preserve"> </v>
      </c>
      <c r="S101" s="8" t="str">
        <f>IFERROR(VLOOKUP($A101,'Project Reference'!$B$2:$K$41,10), " ")</f>
        <v xml:space="preserve"> </v>
      </c>
      <c r="T101" s="8" t="str">
        <f>IFERROR(VLOOKUP($A101,'Project Reference'!$B$2:$L$41,11), " ")</f>
        <v xml:space="preserve"> </v>
      </c>
      <c r="U101" s="8" t="str">
        <f>IFERROR(VLOOKUP($A101,'Project Reference'!$B$2:$M$41,12), " ")</f>
        <v xml:space="preserve"> </v>
      </c>
      <c r="V101" s="8" t="str">
        <f>IFERROR(VLOOKUP($A101,'Project Reference'!$B$2:$N$41,13), " ")</f>
        <v xml:space="preserve"> </v>
      </c>
      <c r="W101" s="8" t="str">
        <f>IFERROR(VLOOKUP($A101,'Project Reference'!$B$2:$O$41,14), " ")</f>
        <v xml:space="preserve"> </v>
      </c>
      <c r="X101" s="8" t="str">
        <f>IFERROR(VLOOKUP($A101,'Project Reference'!$B$2:$P$41,15), " ")</f>
        <v xml:space="preserve"> </v>
      </c>
      <c r="Y101" s="9" t="str">
        <f>IFERROR(VLOOKUP($A101,'Project Reference'!$B$2:$Q$41,16), " ")</f>
        <v xml:space="preserve"> </v>
      </c>
      <c r="Z101" s="22"/>
    </row>
    <row r="102" spans="1:26" s="1" customFormat="1" x14ac:dyDescent="0.45">
      <c r="A102" s="70"/>
      <c r="B102" s="53" t="str">
        <f>IFERROR(VLOOKUP($A102,'Project Reference'!$S$2:$T$41,2),"Enter Project Number")</f>
        <v>Enter Project Number</v>
      </c>
      <c r="C102" s="54"/>
      <c r="D102" s="8"/>
      <c r="E102" s="8"/>
      <c r="F102" s="8"/>
      <c r="G102" s="8"/>
      <c r="H102" s="47"/>
      <c r="I102" s="9"/>
      <c r="J102" s="23"/>
      <c r="K102" s="47" t="str">
        <f>IFERROR(VLOOKUP($A102,'Project Reference'!$B$2:$C$41,2), " ")</f>
        <v xml:space="preserve"> </v>
      </c>
      <c r="L102" s="8" t="str">
        <f>IFERROR(VLOOKUP($A102,'Project Reference'!$B$2:$D$41,3), " ")</f>
        <v xml:space="preserve"> </v>
      </c>
      <c r="M102" s="54" t="str">
        <f>IFERROR(VLOOKUP($A102,'Project Reference'!$B$2:$E$41,4), " ")</f>
        <v xml:space="preserve"> </v>
      </c>
      <c r="N102" s="8" t="str">
        <f>IFERROR(VLOOKUP($A102,'Project Reference'!$B$2:$F$41,5), " ")</f>
        <v xml:space="preserve"> </v>
      </c>
      <c r="O102" s="8" t="str">
        <f>IFERROR(VLOOKUP($A102,'Project Reference'!$B$2:$G$41,6), " ")</f>
        <v xml:space="preserve"> </v>
      </c>
      <c r="P102" s="8" t="str">
        <f>IFERROR(VLOOKUP($A102,'Project Reference'!$B$2:$H$41,7), " ")</f>
        <v xml:space="preserve"> </v>
      </c>
      <c r="Q102" s="8" t="str">
        <f>IFERROR(VLOOKUP($A102,'Project Reference'!$B$2:$I$41,8), " ")</f>
        <v xml:space="preserve"> </v>
      </c>
      <c r="R102" s="8" t="str">
        <f>IFERROR(VLOOKUP($A102,'Project Reference'!$B$2:$J$41,9), " ")</f>
        <v xml:space="preserve"> </v>
      </c>
      <c r="S102" s="8" t="str">
        <f>IFERROR(VLOOKUP($A102,'Project Reference'!$B$2:$K$41,10), " ")</f>
        <v xml:space="preserve"> </v>
      </c>
      <c r="T102" s="8" t="str">
        <f>IFERROR(VLOOKUP($A102,'Project Reference'!$B$2:$L$41,11), " ")</f>
        <v xml:space="preserve"> </v>
      </c>
      <c r="U102" s="8" t="str">
        <f>IFERROR(VLOOKUP($A102,'Project Reference'!$B$2:$M$41,12), " ")</f>
        <v xml:space="preserve"> </v>
      </c>
      <c r="V102" s="8" t="str">
        <f>IFERROR(VLOOKUP($A102,'Project Reference'!$B$2:$N$41,13), " ")</f>
        <v xml:space="preserve"> </v>
      </c>
      <c r="W102" s="8" t="str">
        <f>IFERROR(VLOOKUP($A102,'Project Reference'!$B$2:$O$41,14), " ")</f>
        <v xml:space="preserve"> </v>
      </c>
      <c r="X102" s="8" t="str">
        <f>IFERROR(VLOOKUP($A102,'Project Reference'!$B$2:$P$41,15), " ")</f>
        <v xml:space="preserve"> </v>
      </c>
      <c r="Y102" s="9" t="str">
        <f>IFERROR(VLOOKUP($A102,'Project Reference'!$B$2:$Q$41,16), " ")</f>
        <v xml:space="preserve"> </v>
      </c>
      <c r="Z102" s="22"/>
    </row>
    <row r="103" spans="1:26" s="1" customFormat="1" x14ac:dyDescent="0.45">
      <c r="A103" s="70"/>
      <c r="B103" s="53" t="str">
        <f>IFERROR(VLOOKUP($A103,'Project Reference'!$S$2:$T$41,2),"Enter Project Number")</f>
        <v>Enter Project Number</v>
      </c>
      <c r="C103" s="54"/>
      <c r="D103" s="8"/>
      <c r="E103" s="8"/>
      <c r="F103" s="8"/>
      <c r="G103" s="8"/>
      <c r="H103" s="47"/>
      <c r="I103" s="9"/>
      <c r="J103" s="23"/>
      <c r="K103" s="47" t="str">
        <f>IFERROR(VLOOKUP($A103,'Project Reference'!$B$2:$C$41,2), " ")</f>
        <v xml:space="preserve"> </v>
      </c>
      <c r="L103" s="8" t="str">
        <f>IFERROR(VLOOKUP($A103,'Project Reference'!$B$2:$D$41,3), " ")</f>
        <v xml:space="preserve"> </v>
      </c>
      <c r="M103" s="54" t="str">
        <f>IFERROR(VLOOKUP($A103,'Project Reference'!$B$2:$E$41,4), " ")</f>
        <v xml:space="preserve"> </v>
      </c>
      <c r="N103" s="8" t="str">
        <f>IFERROR(VLOOKUP($A103,'Project Reference'!$B$2:$F$41,5), " ")</f>
        <v xml:space="preserve"> </v>
      </c>
      <c r="O103" s="8" t="str">
        <f>IFERROR(VLOOKUP($A103,'Project Reference'!$B$2:$G$41,6), " ")</f>
        <v xml:space="preserve"> </v>
      </c>
      <c r="P103" s="8" t="str">
        <f>IFERROR(VLOOKUP($A103,'Project Reference'!$B$2:$H$41,7), " ")</f>
        <v xml:space="preserve"> </v>
      </c>
      <c r="Q103" s="8" t="str">
        <f>IFERROR(VLOOKUP($A103,'Project Reference'!$B$2:$I$41,8), " ")</f>
        <v xml:space="preserve"> </v>
      </c>
      <c r="R103" s="8" t="str">
        <f>IFERROR(VLOOKUP($A103,'Project Reference'!$B$2:$J$41,9), " ")</f>
        <v xml:space="preserve"> </v>
      </c>
      <c r="S103" s="8" t="str">
        <f>IFERROR(VLOOKUP($A103,'Project Reference'!$B$2:$K$41,10), " ")</f>
        <v xml:space="preserve"> </v>
      </c>
      <c r="T103" s="8" t="str">
        <f>IFERROR(VLOOKUP($A103,'Project Reference'!$B$2:$L$41,11), " ")</f>
        <v xml:space="preserve"> </v>
      </c>
      <c r="U103" s="8" t="str">
        <f>IFERROR(VLOOKUP($A103,'Project Reference'!$B$2:$M$41,12), " ")</f>
        <v xml:space="preserve"> </v>
      </c>
      <c r="V103" s="8" t="str">
        <f>IFERROR(VLOOKUP($A103,'Project Reference'!$B$2:$N$41,13), " ")</f>
        <v xml:space="preserve"> </v>
      </c>
      <c r="W103" s="8" t="str">
        <f>IFERROR(VLOOKUP($A103,'Project Reference'!$B$2:$O$41,14), " ")</f>
        <v xml:space="preserve"> </v>
      </c>
      <c r="X103" s="8" t="str">
        <f>IFERROR(VLOOKUP($A103,'Project Reference'!$B$2:$P$41,15), " ")</f>
        <v xml:space="preserve"> </v>
      </c>
      <c r="Y103" s="9" t="str">
        <f>IFERROR(VLOOKUP($A103,'Project Reference'!$B$2:$Q$41,16), " ")</f>
        <v xml:space="preserve"> </v>
      </c>
      <c r="Z103" s="22"/>
    </row>
    <row r="104" spans="1:26" s="1" customFormat="1" x14ac:dyDescent="0.45">
      <c r="A104" s="70"/>
      <c r="B104" s="53" t="str">
        <f>IFERROR(VLOOKUP($A104,'Project Reference'!$S$2:$T$41,2),"Enter Project Number")</f>
        <v>Enter Project Number</v>
      </c>
      <c r="C104" s="54"/>
      <c r="D104" s="8"/>
      <c r="E104" s="8"/>
      <c r="F104" s="8"/>
      <c r="G104" s="8"/>
      <c r="H104" s="47"/>
      <c r="I104" s="9"/>
      <c r="J104" s="23"/>
      <c r="K104" s="47" t="str">
        <f>IFERROR(VLOOKUP($A104,'Project Reference'!$B$2:$C$41,2), " ")</f>
        <v xml:space="preserve"> </v>
      </c>
      <c r="L104" s="8" t="str">
        <f>IFERROR(VLOOKUP($A104,'Project Reference'!$B$2:$D$41,3), " ")</f>
        <v xml:space="preserve"> </v>
      </c>
      <c r="M104" s="54" t="str">
        <f>IFERROR(VLOOKUP($A104,'Project Reference'!$B$2:$E$41,4), " ")</f>
        <v xml:space="preserve"> </v>
      </c>
      <c r="N104" s="8" t="str">
        <f>IFERROR(VLOOKUP($A104,'Project Reference'!$B$2:$F$41,5), " ")</f>
        <v xml:space="preserve"> </v>
      </c>
      <c r="O104" s="8" t="str">
        <f>IFERROR(VLOOKUP($A104,'Project Reference'!$B$2:$G$41,6), " ")</f>
        <v xml:space="preserve"> </v>
      </c>
      <c r="P104" s="8" t="str">
        <f>IFERROR(VLOOKUP($A104,'Project Reference'!$B$2:$H$41,7), " ")</f>
        <v xml:space="preserve"> </v>
      </c>
      <c r="Q104" s="8" t="str">
        <f>IFERROR(VLOOKUP($A104,'Project Reference'!$B$2:$I$41,8), " ")</f>
        <v xml:space="preserve"> </v>
      </c>
      <c r="R104" s="8" t="str">
        <f>IFERROR(VLOOKUP($A104,'Project Reference'!$B$2:$J$41,9), " ")</f>
        <v xml:space="preserve"> </v>
      </c>
      <c r="S104" s="8" t="str">
        <f>IFERROR(VLOOKUP($A104,'Project Reference'!$B$2:$K$41,10), " ")</f>
        <v xml:space="preserve"> </v>
      </c>
      <c r="T104" s="8" t="str">
        <f>IFERROR(VLOOKUP($A104,'Project Reference'!$B$2:$L$41,11), " ")</f>
        <v xml:space="preserve"> </v>
      </c>
      <c r="U104" s="8" t="str">
        <f>IFERROR(VLOOKUP($A104,'Project Reference'!$B$2:$M$41,12), " ")</f>
        <v xml:space="preserve"> </v>
      </c>
      <c r="V104" s="8" t="str">
        <f>IFERROR(VLOOKUP($A104,'Project Reference'!$B$2:$N$41,13), " ")</f>
        <v xml:space="preserve"> </v>
      </c>
      <c r="W104" s="8" t="str">
        <f>IFERROR(VLOOKUP($A104,'Project Reference'!$B$2:$O$41,14), " ")</f>
        <v xml:space="preserve"> </v>
      </c>
      <c r="X104" s="8" t="str">
        <f>IFERROR(VLOOKUP($A104,'Project Reference'!$B$2:$P$41,15), " ")</f>
        <v xml:space="preserve"> </v>
      </c>
      <c r="Y104" s="9" t="str">
        <f>IFERROR(VLOOKUP($A104,'Project Reference'!$B$2:$Q$41,16), " ")</f>
        <v xml:space="preserve"> </v>
      </c>
      <c r="Z104" s="22"/>
    </row>
    <row r="105" spans="1:26" s="1" customFormat="1" x14ac:dyDescent="0.45">
      <c r="A105" s="70"/>
      <c r="B105" s="53" t="str">
        <f>IFERROR(VLOOKUP($A105,'Project Reference'!$S$2:$T$41,2),"Enter Project Number")</f>
        <v>Enter Project Number</v>
      </c>
      <c r="C105" s="54"/>
      <c r="D105" s="8"/>
      <c r="E105" s="8"/>
      <c r="F105" s="8"/>
      <c r="G105" s="8"/>
      <c r="H105" s="47"/>
      <c r="I105" s="9"/>
      <c r="J105" s="23"/>
      <c r="K105" s="47" t="str">
        <f>IFERROR(VLOOKUP($A105,'Project Reference'!$B$2:$C$41,2), " ")</f>
        <v xml:space="preserve"> </v>
      </c>
      <c r="L105" s="8" t="str">
        <f>IFERROR(VLOOKUP($A105,'Project Reference'!$B$2:$D$41,3), " ")</f>
        <v xml:space="preserve"> </v>
      </c>
      <c r="M105" s="54" t="str">
        <f>IFERROR(VLOOKUP($A105,'Project Reference'!$B$2:$E$41,4), " ")</f>
        <v xml:space="preserve"> </v>
      </c>
      <c r="N105" s="8" t="str">
        <f>IFERROR(VLOOKUP($A105,'Project Reference'!$B$2:$F$41,5), " ")</f>
        <v xml:space="preserve"> </v>
      </c>
      <c r="O105" s="8" t="str">
        <f>IFERROR(VLOOKUP($A105,'Project Reference'!$B$2:$G$41,6), " ")</f>
        <v xml:space="preserve"> </v>
      </c>
      <c r="P105" s="8" t="str">
        <f>IFERROR(VLOOKUP($A105,'Project Reference'!$B$2:$H$41,7), " ")</f>
        <v xml:space="preserve"> </v>
      </c>
      <c r="Q105" s="8" t="str">
        <f>IFERROR(VLOOKUP($A105,'Project Reference'!$B$2:$I$41,8), " ")</f>
        <v xml:space="preserve"> </v>
      </c>
      <c r="R105" s="8" t="str">
        <f>IFERROR(VLOOKUP($A105,'Project Reference'!$B$2:$J$41,9), " ")</f>
        <v xml:space="preserve"> </v>
      </c>
      <c r="S105" s="8" t="str">
        <f>IFERROR(VLOOKUP($A105,'Project Reference'!$B$2:$K$41,10), " ")</f>
        <v xml:space="preserve"> </v>
      </c>
      <c r="T105" s="8" t="str">
        <f>IFERROR(VLOOKUP($A105,'Project Reference'!$B$2:$L$41,11), " ")</f>
        <v xml:space="preserve"> </v>
      </c>
      <c r="U105" s="8" t="str">
        <f>IFERROR(VLOOKUP($A105,'Project Reference'!$B$2:$M$41,12), " ")</f>
        <v xml:space="preserve"> </v>
      </c>
      <c r="V105" s="8" t="str">
        <f>IFERROR(VLOOKUP($A105,'Project Reference'!$B$2:$N$41,13), " ")</f>
        <v xml:space="preserve"> </v>
      </c>
      <c r="W105" s="8" t="str">
        <f>IFERROR(VLOOKUP($A105,'Project Reference'!$B$2:$O$41,14), " ")</f>
        <v xml:space="preserve"> </v>
      </c>
      <c r="X105" s="8" t="str">
        <f>IFERROR(VLOOKUP($A105,'Project Reference'!$B$2:$P$41,15), " ")</f>
        <v xml:space="preserve"> </v>
      </c>
      <c r="Y105" s="9" t="str">
        <f>IFERROR(VLOOKUP($A105,'Project Reference'!$B$2:$Q$41,16), " ")</f>
        <v xml:space="preserve"> </v>
      </c>
      <c r="Z105" s="22"/>
    </row>
    <row r="106" spans="1:26" s="1" customFormat="1" x14ac:dyDescent="0.45">
      <c r="A106" s="70"/>
      <c r="B106" s="53" t="str">
        <f>IFERROR(VLOOKUP($A106,'Project Reference'!$S$2:$T$41,2),"Enter Project Number")</f>
        <v>Enter Project Number</v>
      </c>
      <c r="C106" s="54"/>
      <c r="D106" s="8"/>
      <c r="E106" s="8"/>
      <c r="F106" s="8"/>
      <c r="G106" s="8"/>
      <c r="H106" s="47"/>
      <c r="I106" s="9"/>
      <c r="J106" s="23"/>
      <c r="K106" s="47" t="str">
        <f>IFERROR(VLOOKUP($A106,'Project Reference'!$B$2:$C$41,2), " ")</f>
        <v xml:space="preserve"> </v>
      </c>
      <c r="L106" s="8" t="str">
        <f>IFERROR(VLOOKUP($A106,'Project Reference'!$B$2:$D$41,3), " ")</f>
        <v xml:space="preserve"> </v>
      </c>
      <c r="M106" s="54" t="str">
        <f>IFERROR(VLOOKUP($A106,'Project Reference'!$B$2:$E$41,4), " ")</f>
        <v xml:space="preserve"> </v>
      </c>
      <c r="N106" s="8" t="str">
        <f>IFERROR(VLOOKUP($A106,'Project Reference'!$B$2:$F$41,5), " ")</f>
        <v xml:space="preserve"> </v>
      </c>
      <c r="O106" s="8" t="str">
        <f>IFERROR(VLOOKUP($A106,'Project Reference'!$B$2:$G$41,6), " ")</f>
        <v xml:space="preserve"> </v>
      </c>
      <c r="P106" s="8" t="str">
        <f>IFERROR(VLOOKUP($A106,'Project Reference'!$B$2:$H$41,7), " ")</f>
        <v xml:space="preserve"> </v>
      </c>
      <c r="Q106" s="8" t="str">
        <f>IFERROR(VLOOKUP($A106,'Project Reference'!$B$2:$I$41,8), " ")</f>
        <v xml:space="preserve"> </v>
      </c>
      <c r="R106" s="8" t="str">
        <f>IFERROR(VLOOKUP($A106,'Project Reference'!$B$2:$J$41,9), " ")</f>
        <v xml:space="preserve"> </v>
      </c>
      <c r="S106" s="8" t="str">
        <f>IFERROR(VLOOKUP($A106,'Project Reference'!$B$2:$K$41,10), " ")</f>
        <v xml:space="preserve"> </v>
      </c>
      <c r="T106" s="8" t="str">
        <f>IFERROR(VLOOKUP($A106,'Project Reference'!$B$2:$L$41,11), " ")</f>
        <v xml:space="preserve"> </v>
      </c>
      <c r="U106" s="8" t="str">
        <f>IFERROR(VLOOKUP($A106,'Project Reference'!$B$2:$M$41,12), " ")</f>
        <v xml:space="preserve"> </v>
      </c>
      <c r="V106" s="8" t="str">
        <f>IFERROR(VLOOKUP($A106,'Project Reference'!$B$2:$N$41,13), " ")</f>
        <v xml:space="preserve"> </v>
      </c>
      <c r="W106" s="8" t="str">
        <f>IFERROR(VLOOKUP($A106,'Project Reference'!$B$2:$O$41,14), " ")</f>
        <v xml:space="preserve"> </v>
      </c>
      <c r="X106" s="8" t="str">
        <f>IFERROR(VLOOKUP($A106,'Project Reference'!$B$2:$P$41,15), " ")</f>
        <v xml:space="preserve"> </v>
      </c>
      <c r="Y106" s="9" t="str">
        <f>IFERROR(VLOOKUP($A106,'Project Reference'!$B$2:$Q$41,16), " ")</f>
        <v xml:space="preserve"> </v>
      </c>
      <c r="Z106" s="22"/>
    </row>
    <row r="107" spans="1:26" s="1" customFormat="1" x14ac:dyDescent="0.45">
      <c r="A107" s="70"/>
      <c r="B107" s="53" t="str">
        <f>IFERROR(VLOOKUP($A107,'Project Reference'!$S$2:$T$41,2),"Enter Project Number")</f>
        <v>Enter Project Number</v>
      </c>
      <c r="C107" s="54"/>
      <c r="D107" s="8"/>
      <c r="E107" s="8"/>
      <c r="F107" s="8"/>
      <c r="G107" s="8"/>
      <c r="H107" s="47"/>
      <c r="I107" s="9"/>
      <c r="J107" s="23"/>
      <c r="K107" s="47" t="str">
        <f>IFERROR(VLOOKUP($A107,'Project Reference'!$B$2:$C$41,2), " ")</f>
        <v xml:space="preserve"> </v>
      </c>
      <c r="L107" s="8" t="str">
        <f>IFERROR(VLOOKUP($A107,'Project Reference'!$B$2:$D$41,3), " ")</f>
        <v xml:space="preserve"> </v>
      </c>
      <c r="M107" s="54" t="str">
        <f>IFERROR(VLOOKUP($A107,'Project Reference'!$B$2:$E$41,4), " ")</f>
        <v xml:space="preserve"> </v>
      </c>
      <c r="N107" s="8" t="str">
        <f>IFERROR(VLOOKUP($A107,'Project Reference'!$B$2:$F$41,5), " ")</f>
        <v xml:space="preserve"> </v>
      </c>
      <c r="O107" s="8" t="str">
        <f>IFERROR(VLOOKUP($A107,'Project Reference'!$B$2:$G$41,6), " ")</f>
        <v xml:space="preserve"> </v>
      </c>
      <c r="P107" s="8" t="str">
        <f>IFERROR(VLOOKUP($A107,'Project Reference'!$B$2:$H$41,7), " ")</f>
        <v xml:space="preserve"> </v>
      </c>
      <c r="Q107" s="8" t="str">
        <f>IFERROR(VLOOKUP($A107,'Project Reference'!$B$2:$I$41,8), " ")</f>
        <v xml:space="preserve"> </v>
      </c>
      <c r="R107" s="8" t="str">
        <f>IFERROR(VLOOKUP($A107,'Project Reference'!$B$2:$J$41,9), " ")</f>
        <v xml:space="preserve"> </v>
      </c>
      <c r="S107" s="8" t="str">
        <f>IFERROR(VLOOKUP($A107,'Project Reference'!$B$2:$K$41,10), " ")</f>
        <v xml:space="preserve"> </v>
      </c>
      <c r="T107" s="8" t="str">
        <f>IFERROR(VLOOKUP($A107,'Project Reference'!$B$2:$L$41,11), " ")</f>
        <v xml:space="preserve"> </v>
      </c>
      <c r="U107" s="8" t="str">
        <f>IFERROR(VLOOKUP($A107,'Project Reference'!$B$2:$M$41,12), " ")</f>
        <v xml:space="preserve"> </v>
      </c>
      <c r="V107" s="8" t="str">
        <f>IFERROR(VLOOKUP($A107,'Project Reference'!$B$2:$N$41,13), " ")</f>
        <v xml:space="preserve"> </v>
      </c>
      <c r="W107" s="8" t="str">
        <f>IFERROR(VLOOKUP($A107,'Project Reference'!$B$2:$O$41,14), " ")</f>
        <v xml:space="preserve"> </v>
      </c>
      <c r="X107" s="8" t="str">
        <f>IFERROR(VLOOKUP($A107,'Project Reference'!$B$2:$P$41,15), " ")</f>
        <v xml:space="preserve"> </v>
      </c>
      <c r="Y107" s="9" t="str">
        <f>IFERROR(VLOOKUP($A107,'Project Reference'!$B$2:$Q$41,16), " ")</f>
        <v xml:space="preserve"> </v>
      </c>
      <c r="Z107" s="22"/>
    </row>
    <row r="108" spans="1:26" s="1" customFormat="1" x14ac:dyDescent="0.45">
      <c r="A108" s="70"/>
      <c r="B108" s="53" t="str">
        <f>IFERROR(VLOOKUP($A108,'Project Reference'!$S$2:$T$41,2),"Enter Project Number")</f>
        <v>Enter Project Number</v>
      </c>
      <c r="C108" s="54"/>
      <c r="D108" s="8"/>
      <c r="E108" s="8"/>
      <c r="F108" s="8"/>
      <c r="G108" s="8"/>
      <c r="H108" s="47"/>
      <c r="I108" s="9"/>
      <c r="J108" s="23"/>
      <c r="K108" s="47" t="str">
        <f>IFERROR(VLOOKUP($A108,'Project Reference'!$B$2:$C$41,2), " ")</f>
        <v xml:space="preserve"> </v>
      </c>
      <c r="L108" s="8" t="str">
        <f>IFERROR(VLOOKUP($A108,'Project Reference'!$B$2:$D$41,3), " ")</f>
        <v xml:space="preserve"> </v>
      </c>
      <c r="M108" s="54" t="str">
        <f>IFERROR(VLOOKUP($A108,'Project Reference'!$B$2:$E$41,4), " ")</f>
        <v xml:space="preserve"> </v>
      </c>
      <c r="N108" s="8" t="str">
        <f>IFERROR(VLOOKUP($A108,'Project Reference'!$B$2:$F$41,5), " ")</f>
        <v xml:space="preserve"> </v>
      </c>
      <c r="O108" s="8" t="str">
        <f>IFERROR(VLOOKUP($A108,'Project Reference'!$B$2:$G$41,6), " ")</f>
        <v xml:space="preserve"> </v>
      </c>
      <c r="P108" s="8" t="str">
        <f>IFERROR(VLOOKUP($A108,'Project Reference'!$B$2:$H$41,7), " ")</f>
        <v xml:space="preserve"> </v>
      </c>
      <c r="Q108" s="8" t="str">
        <f>IFERROR(VLOOKUP($A108,'Project Reference'!$B$2:$I$41,8), " ")</f>
        <v xml:space="preserve"> </v>
      </c>
      <c r="R108" s="8" t="str">
        <f>IFERROR(VLOOKUP($A108,'Project Reference'!$B$2:$J$41,9), " ")</f>
        <v xml:space="preserve"> </v>
      </c>
      <c r="S108" s="8" t="str">
        <f>IFERROR(VLOOKUP($A108,'Project Reference'!$B$2:$K$41,10), " ")</f>
        <v xml:space="preserve"> </v>
      </c>
      <c r="T108" s="8" t="str">
        <f>IFERROR(VLOOKUP($A108,'Project Reference'!$B$2:$L$41,11), " ")</f>
        <v xml:space="preserve"> </v>
      </c>
      <c r="U108" s="8" t="str">
        <f>IFERROR(VLOOKUP($A108,'Project Reference'!$B$2:$M$41,12), " ")</f>
        <v xml:space="preserve"> </v>
      </c>
      <c r="V108" s="8" t="str">
        <f>IFERROR(VLOOKUP($A108,'Project Reference'!$B$2:$N$41,13), " ")</f>
        <v xml:space="preserve"> </v>
      </c>
      <c r="W108" s="8" t="str">
        <f>IFERROR(VLOOKUP($A108,'Project Reference'!$B$2:$O$41,14), " ")</f>
        <v xml:space="preserve"> </v>
      </c>
      <c r="X108" s="8" t="str">
        <f>IFERROR(VLOOKUP($A108,'Project Reference'!$B$2:$P$41,15), " ")</f>
        <v xml:space="preserve"> </v>
      </c>
      <c r="Y108" s="9" t="str">
        <f>IFERROR(VLOOKUP($A108,'Project Reference'!$B$2:$Q$41,16), " ")</f>
        <v xml:space="preserve"> </v>
      </c>
      <c r="Z108" s="22"/>
    </row>
    <row r="109" spans="1:26" s="1" customFormat="1" x14ac:dyDescent="0.45">
      <c r="A109" s="70"/>
      <c r="B109" s="53" t="str">
        <f>IFERROR(VLOOKUP($A109,'Project Reference'!$S$2:$T$41,2),"Enter Project Number")</f>
        <v>Enter Project Number</v>
      </c>
      <c r="C109" s="54"/>
      <c r="D109" s="8"/>
      <c r="E109" s="8"/>
      <c r="F109" s="8"/>
      <c r="G109" s="8"/>
      <c r="H109" s="47"/>
      <c r="I109" s="9"/>
      <c r="J109" s="23"/>
      <c r="K109" s="47" t="str">
        <f>IFERROR(VLOOKUP($A109,'Project Reference'!$B$2:$C$41,2), " ")</f>
        <v xml:space="preserve"> </v>
      </c>
      <c r="L109" s="8" t="str">
        <f>IFERROR(VLOOKUP($A109,'Project Reference'!$B$2:$D$41,3), " ")</f>
        <v xml:space="preserve"> </v>
      </c>
      <c r="M109" s="54" t="str">
        <f>IFERROR(VLOOKUP($A109,'Project Reference'!$B$2:$E$41,4), " ")</f>
        <v xml:space="preserve"> </v>
      </c>
      <c r="N109" s="8" t="str">
        <f>IFERROR(VLOOKUP($A109,'Project Reference'!$B$2:$F$41,5), " ")</f>
        <v xml:space="preserve"> </v>
      </c>
      <c r="O109" s="8" t="str">
        <f>IFERROR(VLOOKUP($A109,'Project Reference'!$B$2:$G$41,6), " ")</f>
        <v xml:space="preserve"> </v>
      </c>
      <c r="P109" s="8" t="str">
        <f>IFERROR(VLOOKUP($A109,'Project Reference'!$B$2:$H$41,7), " ")</f>
        <v xml:space="preserve"> </v>
      </c>
      <c r="Q109" s="8" t="str">
        <f>IFERROR(VLOOKUP($A109,'Project Reference'!$B$2:$I$41,8), " ")</f>
        <v xml:space="preserve"> </v>
      </c>
      <c r="R109" s="8" t="str">
        <f>IFERROR(VLOOKUP($A109,'Project Reference'!$B$2:$J$41,9), " ")</f>
        <v xml:space="preserve"> </v>
      </c>
      <c r="S109" s="8" t="str">
        <f>IFERROR(VLOOKUP($A109,'Project Reference'!$B$2:$K$41,10), " ")</f>
        <v xml:space="preserve"> </v>
      </c>
      <c r="T109" s="8" t="str">
        <f>IFERROR(VLOOKUP($A109,'Project Reference'!$B$2:$L$41,11), " ")</f>
        <v xml:space="preserve"> </v>
      </c>
      <c r="U109" s="8" t="str">
        <f>IFERROR(VLOOKUP($A109,'Project Reference'!$B$2:$M$41,12), " ")</f>
        <v xml:space="preserve"> </v>
      </c>
      <c r="V109" s="8" t="str">
        <f>IFERROR(VLOOKUP($A109,'Project Reference'!$B$2:$N$41,13), " ")</f>
        <v xml:space="preserve"> </v>
      </c>
      <c r="W109" s="8" t="str">
        <f>IFERROR(VLOOKUP($A109,'Project Reference'!$B$2:$O$41,14), " ")</f>
        <v xml:space="preserve"> </v>
      </c>
      <c r="X109" s="8" t="str">
        <f>IFERROR(VLOOKUP($A109,'Project Reference'!$B$2:$P$41,15), " ")</f>
        <v xml:space="preserve"> </v>
      </c>
      <c r="Y109" s="9" t="str">
        <f>IFERROR(VLOOKUP($A109,'Project Reference'!$B$2:$Q$41,16), " ")</f>
        <v xml:space="preserve"> </v>
      </c>
      <c r="Z109" s="22"/>
    </row>
    <row r="110" spans="1:26" s="1" customFormat="1" x14ac:dyDescent="0.45">
      <c r="A110" s="70"/>
      <c r="B110" s="53" t="str">
        <f>IFERROR(VLOOKUP($A110,'Project Reference'!$S$2:$T$41,2),"Enter Project Number")</f>
        <v>Enter Project Number</v>
      </c>
      <c r="C110" s="54"/>
      <c r="D110" s="8"/>
      <c r="E110" s="8"/>
      <c r="F110" s="8"/>
      <c r="G110" s="8"/>
      <c r="H110" s="47"/>
      <c r="I110" s="9"/>
      <c r="J110" s="23"/>
      <c r="K110" s="47" t="str">
        <f>IFERROR(VLOOKUP($A110,'Project Reference'!$B$2:$C$41,2), " ")</f>
        <v xml:space="preserve"> </v>
      </c>
      <c r="L110" s="8" t="str">
        <f>IFERROR(VLOOKUP($A110,'Project Reference'!$B$2:$D$41,3), " ")</f>
        <v xml:space="preserve"> </v>
      </c>
      <c r="M110" s="54" t="str">
        <f>IFERROR(VLOOKUP($A110,'Project Reference'!$B$2:$E$41,4), " ")</f>
        <v xml:space="preserve"> </v>
      </c>
      <c r="N110" s="8" t="str">
        <f>IFERROR(VLOOKUP($A110,'Project Reference'!$B$2:$F$41,5), " ")</f>
        <v xml:space="preserve"> </v>
      </c>
      <c r="O110" s="8" t="str">
        <f>IFERROR(VLOOKUP($A110,'Project Reference'!$B$2:$G$41,6), " ")</f>
        <v xml:space="preserve"> </v>
      </c>
      <c r="P110" s="8" t="str">
        <f>IFERROR(VLOOKUP($A110,'Project Reference'!$B$2:$H$41,7), " ")</f>
        <v xml:space="preserve"> </v>
      </c>
      <c r="Q110" s="8" t="str">
        <f>IFERROR(VLOOKUP($A110,'Project Reference'!$B$2:$I$41,8), " ")</f>
        <v xml:space="preserve"> </v>
      </c>
      <c r="R110" s="8" t="str">
        <f>IFERROR(VLOOKUP($A110,'Project Reference'!$B$2:$J$41,9), " ")</f>
        <v xml:space="preserve"> </v>
      </c>
      <c r="S110" s="8" t="str">
        <f>IFERROR(VLOOKUP($A110,'Project Reference'!$B$2:$K$41,10), " ")</f>
        <v xml:space="preserve"> </v>
      </c>
      <c r="T110" s="8" t="str">
        <f>IFERROR(VLOOKUP($A110,'Project Reference'!$B$2:$L$41,11), " ")</f>
        <v xml:space="preserve"> </v>
      </c>
      <c r="U110" s="8" t="str">
        <f>IFERROR(VLOOKUP($A110,'Project Reference'!$B$2:$M$41,12), " ")</f>
        <v xml:space="preserve"> </v>
      </c>
      <c r="V110" s="8" t="str">
        <f>IFERROR(VLOOKUP($A110,'Project Reference'!$B$2:$N$41,13), " ")</f>
        <v xml:space="preserve"> </v>
      </c>
      <c r="W110" s="8" t="str">
        <f>IFERROR(VLOOKUP($A110,'Project Reference'!$B$2:$O$41,14), " ")</f>
        <v xml:space="preserve"> </v>
      </c>
      <c r="X110" s="8" t="str">
        <f>IFERROR(VLOOKUP($A110,'Project Reference'!$B$2:$P$41,15), " ")</f>
        <v xml:space="preserve"> </v>
      </c>
      <c r="Y110" s="9" t="str">
        <f>IFERROR(VLOOKUP($A110,'Project Reference'!$B$2:$Q$41,16), " ")</f>
        <v xml:space="preserve"> </v>
      </c>
      <c r="Z110" s="22"/>
    </row>
    <row r="111" spans="1:26" s="1" customFormat="1" x14ac:dyDescent="0.45">
      <c r="A111" s="70"/>
      <c r="B111" s="53" t="str">
        <f>IFERROR(VLOOKUP($A111,'Project Reference'!$S$2:$T$41,2),"Enter Project Number")</f>
        <v>Enter Project Number</v>
      </c>
      <c r="C111" s="54"/>
      <c r="D111" s="8"/>
      <c r="E111" s="8"/>
      <c r="F111" s="8"/>
      <c r="G111" s="8"/>
      <c r="H111" s="47"/>
      <c r="I111" s="9"/>
      <c r="J111" s="23"/>
      <c r="K111" s="47" t="str">
        <f>IFERROR(VLOOKUP($A111,'Project Reference'!$B$2:$C$41,2), " ")</f>
        <v xml:space="preserve"> </v>
      </c>
      <c r="L111" s="8" t="str">
        <f>IFERROR(VLOOKUP($A111,'Project Reference'!$B$2:$D$41,3), " ")</f>
        <v xml:space="preserve"> </v>
      </c>
      <c r="M111" s="54" t="str">
        <f>IFERROR(VLOOKUP($A111,'Project Reference'!$B$2:$E$41,4), " ")</f>
        <v xml:space="preserve"> </v>
      </c>
      <c r="N111" s="8" t="str">
        <f>IFERROR(VLOOKUP($A111,'Project Reference'!$B$2:$F$41,5), " ")</f>
        <v xml:space="preserve"> </v>
      </c>
      <c r="O111" s="8" t="str">
        <f>IFERROR(VLOOKUP($A111,'Project Reference'!$B$2:$G$41,6), " ")</f>
        <v xml:space="preserve"> </v>
      </c>
      <c r="P111" s="8" t="str">
        <f>IFERROR(VLOOKUP($A111,'Project Reference'!$B$2:$H$41,7), " ")</f>
        <v xml:space="preserve"> </v>
      </c>
      <c r="Q111" s="8" t="str">
        <f>IFERROR(VLOOKUP($A111,'Project Reference'!$B$2:$I$41,8), " ")</f>
        <v xml:space="preserve"> </v>
      </c>
      <c r="R111" s="8" t="str">
        <f>IFERROR(VLOOKUP($A111,'Project Reference'!$B$2:$J$41,9), " ")</f>
        <v xml:space="preserve"> </v>
      </c>
      <c r="S111" s="8" t="str">
        <f>IFERROR(VLOOKUP($A111,'Project Reference'!$B$2:$K$41,10), " ")</f>
        <v xml:space="preserve"> </v>
      </c>
      <c r="T111" s="8" t="str">
        <f>IFERROR(VLOOKUP($A111,'Project Reference'!$B$2:$L$41,11), " ")</f>
        <v xml:space="preserve"> </v>
      </c>
      <c r="U111" s="8" t="str">
        <f>IFERROR(VLOOKUP($A111,'Project Reference'!$B$2:$M$41,12), " ")</f>
        <v xml:space="preserve"> </v>
      </c>
      <c r="V111" s="8" t="str">
        <f>IFERROR(VLOOKUP($A111,'Project Reference'!$B$2:$N$41,13), " ")</f>
        <v xml:space="preserve"> </v>
      </c>
      <c r="W111" s="8" t="str">
        <f>IFERROR(VLOOKUP($A111,'Project Reference'!$B$2:$O$41,14), " ")</f>
        <v xml:space="preserve"> </v>
      </c>
      <c r="X111" s="8" t="str">
        <f>IFERROR(VLOOKUP($A111,'Project Reference'!$B$2:$P$41,15), " ")</f>
        <v xml:space="preserve"> </v>
      </c>
      <c r="Y111" s="9" t="str">
        <f>IFERROR(VLOOKUP($A111,'Project Reference'!$B$2:$Q$41,16), " ")</f>
        <v xml:space="preserve"> </v>
      </c>
      <c r="Z111" s="22"/>
    </row>
    <row r="112" spans="1:26" s="1" customFormat="1" x14ac:dyDescent="0.45">
      <c r="A112" s="70"/>
      <c r="B112" s="53" t="str">
        <f>IFERROR(VLOOKUP($A112,'Project Reference'!$S$2:$T$41,2),"Enter Project Number")</f>
        <v>Enter Project Number</v>
      </c>
      <c r="C112" s="54"/>
      <c r="D112" s="8"/>
      <c r="E112" s="8"/>
      <c r="F112" s="8"/>
      <c r="G112" s="8"/>
      <c r="H112" s="47"/>
      <c r="I112" s="9"/>
      <c r="J112" s="23"/>
      <c r="K112" s="47" t="str">
        <f>IFERROR(VLOOKUP($A112,'Project Reference'!$B$2:$C$41,2), " ")</f>
        <v xml:space="preserve"> </v>
      </c>
      <c r="L112" s="8" t="str">
        <f>IFERROR(VLOOKUP($A112,'Project Reference'!$B$2:$D$41,3), " ")</f>
        <v xml:space="preserve"> </v>
      </c>
      <c r="M112" s="54" t="str">
        <f>IFERROR(VLOOKUP($A112,'Project Reference'!$B$2:$E$41,4), " ")</f>
        <v xml:space="preserve"> </v>
      </c>
      <c r="N112" s="8" t="str">
        <f>IFERROR(VLOOKUP($A112,'Project Reference'!$B$2:$F$41,5), " ")</f>
        <v xml:space="preserve"> </v>
      </c>
      <c r="O112" s="8" t="str">
        <f>IFERROR(VLOOKUP($A112,'Project Reference'!$B$2:$G$41,6), " ")</f>
        <v xml:space="preserve"> </v>
      </c>
      <c r="P112" s="8" t="str">
        <f>IFERROR(VLOOKUP($A112,'Project Reference'!$B$2:$H$41,7), " ")</f>
        <v xml:space="preserve"> </v>
      </c>
      <c r="Q112" s="8" t="str">
        <f>IFERROR(VLOOKUP($A112,'Project Reference'!$B$2:$I$41,8), " ")</f>
        <v xml:space="preserve"> </v>
      </c>
      <c r="R112" s="8" t="str">
        <f>IFERROR(VLOOKUP($A112,'Project Reference'!$B$2:$J$41,9), " ")</f>
        <v xml:space="preserve"> </v>
      </c>
      <c r="S112" s="8" t="str">
        <f>IFERROR(VLOOKUP($A112,'Project Reference'!$B$2:$K$41,10), " ")</f>
        <v xml:space="preserve"> </v>
      </c>
      <c r="T112" s="8" t="str">
        <f>IFERROR(VLOOKUP($A112,'Project Reference'!$B$2:$L$41,11), " ")</f>
        <v xml:space="preserve"> </v>
      </c>
      <c r="U112" s="8" t="str">
        <f>IFERROR(VLOOKUP($A112,'Project Reference'!$B$2:$M$41,12), " ")</f>
        <v xml:space="preserve"> </v>
      </c>
      <c r="V112" s="8" t="str">
        <f>IFERROR(VLOOKUP($A112,'Project Reference'!$B$2:$N$41,13), " ")</f>
        <v xml:space="preserve"> </v>
      </c>
      <c r="W112" s="8" t="str">
        <f>IFERROR(VLOOKUP($A112,'Project Reference'!$B$2:$O$41,14), " ")</f>
        <v xml:space="preserve"> </v>
      </c>
      <c r="X112" s="8" t="str">
        <f>IFERROR(VLOOKUP($A112,'Project Reference'!$B$2:$P$41,15), " ")</f>
        <v xml:space="preserve"> </v>
      </c>
      <c r="Y112" s="9" t="str">
        <f>IFERROR(VLOOKUP($A112,'Project Reference'!$B$2:$Q$41,16), " ")</f>
        <v xml:space="preserve"> </v>
      </c>
      <c r="Z112" s="22"/>
    </row>
    <row r="113" spans="1:26" s="1" customFormat="1" x14ac:dyDescent="0.45">
      <c r="A113" s="70"/>
      <c r="B113" s="53" t="str">
        <f>IFERROR(VLOOKUP($A113,'Project Reference'!$S$2:$T$41,2),"Enter Project Number")</f>
        <v>Enter Project Number</v>
      </c>
      <c r="C113" s="54"/>
      <c r="D113" s="8"/>
      <c r="E113" s="8"/>
      <c r="F113" s="8"/>
      <c r="G113" s="8"/>
      <c r="H113" s="47"/>
      <c r="I113" s="9"/>
      <c r="J113" s="23"/>
      <c r="K113" s="47" t="str">
        <f>IFERROR(VLOOKUP($A113,'Project Reference'!$B$2:$C$41,2), " ")</f>
        <v xml:space="preserve"> </v>
      </c>
      <c r="L113" s="8" t="str">
        <f>IFERROR(VLOOKUP($A113,'Project Reference'!$B$2:$D$41,3), " ")</f>
        <v xml:space="preserve"> </v>
      </c>
      <c r="M113" s="54" t="str">
        <f>IFERROR(VLOOKUP($A113,'Project Reference'!$B$2:$E$41,4), " ")</f>
        <v xml:space="preserve"> </v>
      </c>
      <c r="N113" s="8" t="str">
        <f>IFERROR(VLOOKUP($A113,'Project Reference'!$B$2:$F$41,5), " ")</f>
        <v xml:space="preserve"> </v>
      </c>
      <c r="O113" s="8" t="str">
        <f>IFERROR(VLOOKUP($A113,'Project Reference'!$B$2:$G$41,6), " ")</f>
        <v xml:space="preserve"> </v>
      </c>
      <c r="P113" s="8" t="str">
        <f>IFERROR(VLOOKUP($A113,'Project Reference'!$B$2:$H$41,7), " ")</f>
        <v xml:space="preserve"> </v>
      </c>
      <c r="Q113" s="8" t="str">
        <f>IFERROR(VLOOKUP($A113,'Project Reference'!$B$2:$I$41,8), " ")</f>
        <v xml:space="preserve"> </v>
      </c>
      <c r="R113" s="8" t="str">
        <f>IFERROR(VLOOKUP($A113,'Project Reference'!$B$2:$J$41,9), " ")</f>
        <v xml:space="preserve"> </v>
      </c>
      <c r="S113" s="8" t="str">
        <f>IFERROR(VLOOKUP($A113,'Project Reference'!$B$2:$K$41,10), " ")</f>
        <v xml:space="preserve"> </v>
      </c>
      <c r="T113" s="8" t="str">
        <f>IFERROR(VLOOKUP($A113,'Project Reference'!$B$2:$L$41,11), " ")</f>
        <v xml:space="preserve"> </v>
      </c>
      <c r="U113" s="8" t="str">
        <f>IFERROR(VLOOKUP($A113,'Project Reference'!$B$2:$M$41,12), " ")</f>
        <v xml:space="preserve"> </v>
      </c>
      <c r="V113" s="8" t="str">
        <f>IFERROR(VLOOKUP($A113,'Project Reference'!$B$2:$N$41,13), " ")</f>
        <v xml:space="preserve"> </v>
      </c>
      <c r="W113" s="8" t="str">
        <f>IFERROR(VLOOKUP($A113,'Project Reference'!$B$2:$O$41,14), " ")</f>
        <v xml:space="preserve"> </v>
      </c>
      <c r="X113" s="8" t="str">
        <f>IFERROR(VLOOKUP($A113,'Project Reference'!$B$2:$P$41,15), " ")</f>
        <v xml:space="preserve"> </v>
      </c>
      <c r="Y113" s="9" t="str">
        <f>IFERROR(VLOOKUP($A113,'Project Reference'!$B$2:$Q$41,16), " ")</f>
        <v xml:space="preserve"> </v>
      </c>
      <c r="Z113" s="22"/>
    </row>
    <row r="114" spans="1:26" s="1" customFormat="1" x14ac:dyDescent="0.45">
      <c r="A114" s="70"/>
      <c r="B114" s="53" t="str">
        <f>IFERROR(VLOOKUP($A114,'Project Reference'!$S$2:$T$41,2),"Enter Project Number")</f>
        <v>Enter Project Number</v>
      </c>
      <c r="C114" s="54"/>
      <c r="D114" s="8"/>
      <c r="E114" s="8"/>
      <c r="F114" s="8"/>
      <c r="G114" s="8"/>
      <c r="H114" s="47"/>
      <c r="I114" s="9"/>
      <c r="J114" s="23"/>
      <c r="K114" s="47" t="str">
        <f>IFERROR(VLOOKUP($A114,'Project Reference'!$B$2:$C$41,2), " ")</f>
        <v xml:space="preserve"> </v>
      </c>
      <c r="L114" s="8" t="str">
        <f>IFERROR(VLOOKUP($A114,'Project Reference'!$B$2:$D$41,3), " ")</f>
        <v xml:space="preserve"> </v>
      </c>
      <c r="M114" s="54" t="str">
        <f>IFERROR(VLOOKUP($A114,'Project Reference'!$B$2:$E$41,4), " ")</f>
        <v xml:space="preserve"> </v>
      </c>
      <c r="N114" s="8" t="str">
        <f>IFERROR(VLOOKUP($A114,'Project Reference'!$B$2:$F$41,5), " ")</f>
        <v xml:space="preserve"> </v>
      </c>
      <c r="O114" s="8" t="str">
        <f>IFERROR(VLOOKUP($A114,'Project Reference'!$B$2:$G$41,6), " ")</f>
        <v xml:space="preserve"> </v>
      </c>
      <c r="P114" s="8" t="str">
        <f>IFERROR(VLOOKUP($A114,'Project Reference'!$B$2:$H$41,7), " ")</f>
        <v xml:space="preserve"> </v>
      </c>
      <c r="Q114" s="8" t="str">
        <f>IFERROR(VLOOKUP($A114,'Project Reference'!$B$2:$I$41,8), " ")</f>
        <v xml:space="preserve"> </v>
      </c>
      <c r="R114" s="8" t="str">
        <f>IFERROR(VLOOKUP($A114,'Project Reference'!$B$2:$J$41,9), " ")</f>
        <v xml:space="preserve"> </v>
      </c>
      <c r="S114" s="8" t="str">
        <f>IFERROR(VLOOKUP($A114,'Project Reference'!$B$2:$K$41,10), " ")</f>
        <v xml:space="preserve"> </v>
      </c>
      <c r="T114" s="8" t="str">
        <f>IFERROR(VLOOKUP($A114,'Project Reference'!$B$2:$L$41,11), " ")</f>
        <v xml:space="preserve"> </v>
      </c>
      <c r="U114" s="8" t="str">
        <f>IFERROR(VLOOKUP($A114,'Project Reference'!$B$2:$M$41,12), " ")</f>
        <v xml:space="preserve"> </v>
      </c>
      <c r="V114" s="8" t="str">
        <f>IFERROR(VLOOKUP($A114,'Project Reference'!$B$2:$N$41,13), " ")</f>
        <v xml:space="preserve"> </v>
      </c>
      <c r="W114" s="8" t="str">
        <f>IFERROR(VLOOKUP($A114,'Project Reference'!$B$2:$O$41,14), " ")</f>
        <v xml:space="preserve"> </v>
      </c>
      <c r="X114" s="8" t="str">
        <f>IFERROR(VLOOKUP($A114,'Project Reference'!$B$2:$P$41,15), " ")</f>
        <v xml:space="preserve"> </v>
      </c>
      <c r="Y114" s="9" t="str">
        <f>IFERROR(VLOOKUP($A114,'Project Reference'!$B$2:$Q$41,16), " ")</f>
        <v xml:space="preserve"> </v>
      </c>
      <c r="Z114" s="22"/>
    </row>
    <row r="115" spans="1:26" s="1" customFormat="1" x14ac:dyDescent="0.45">
      <c r="A115" s="70"/>
      <c r="B115" s="53" t="str">
        <f>IFERROR(VLOOKUP($A115,'Project Reference'!$S$2:$T$41,2),"Enter Project Number")</f>
        <v>Enter Project Number</v>
      </c>
      <c r="C115" s="54"/>
      <c r="D115" s="8"/>
      <c r="E115" s="8"/>
      <c r="F115" s="8"/>
      <c r="G115" s="8"/>
      <c r="H115" s="47"/>
      <c r="I115" s="9"/>
      <c r="J115" s="23"/>
      <c r="K115" s="47" t="str">
        <f>IFERROR(VLOOKUP($A115,'Project Reference'!$B$2:$C$41,2), " ")</f>
        <v xml:space="preserve"> </v>
      </c>
      <c r="L115" s="8" t="str">
        <f>IFERROR(VLOOKUP($A115,'Project Reference'!$B$2:$D$41,3), " ")</f>
        <v xml:space="preserve"> </v>
      </c>
      <c r="M115" s="54" t="str">
        <f>IFERROR(VLOOKUP($A115,'Project Reference'!$B$2:$E$41,4), " ")</f>
        <v xml:space="preserve"> </v>
      </c>
      <c r="N115" s="8" t="str">
        <f>IFERROR(VLOOKUP($A115,'Project Reference'!$B$2:$F$41,5), " ")</f>
        <v xml:space="preserve"> </v>
      </c>
      <c r="O115" s="8" t="str">
        <f>IFERROR(VLOOKUP($A115,'Project Reference'!$B$2:$G$41,6), " ")</f>
        <v xml:space="preserve"> </v>
      </c>
      <c r="P115" s="8" t="str">
        <f>IFERROR(VLOOKUP($A115,'Project Reference'!$B$2:$H$41,7), " ")</f>
        <v xml:space="preserve"> </v>
      </c>
      <c r="Q115" s="8" t="str">
        <f>IFERROR(VLOOKUP($A115,'Project Reference'!$B$2:$I$41,8), " ")</f>
        <v xml:space="preserve"> </v>
      </c>
      <c r="R115" s="8" t="str">
        <f>IFERROR(VLOOKUP($A115,'Project Reference'!$B$2:$J$41,9), " ")</f>
        <v xml:space="preserve"> </v>
      </c>
      <c r="S115" s="8" t="str">
        <f>IFERROR(VLOOKUP($A115,'Project Reference'!$B$2:$K$41,10), " ")</f>
        <v xml:space="preserve"> </v>
      </c>
      <c r="T115" s="8" t="str">
        <f>IFERROR(VLOOKUP($A115,'Project Reference'!$B$2:$L$41,11), " ")</f>
        <v xml:space="preserve"> </v>
      </c>
      <c r="U115" s="8" t="str">
        <f>IFERROR(VLOOKUP($A115,'Project Reference'!$B$2:$M$41,12), " ")</f>
        <v xml:space="preserve"> </v>
      </c>
      <c r="V115" s="8" t="str">
        <f>IFERROR(VLOOKUP($A115,'Project Reference'!$B$2:$N$41,13), " ")</f>
        <v xml:space="preserve"> </v>
      </c>
      <c r="W115" s="8" t="str">
        <f>IFERROR(VLOOKUP($A115,'Project Reference'!$B$2:$O$41,14), " ")</f>
        <v xml:space="preserve"> </v>
      </c>
      <c r="X115" s="8" t="str">
        <f>IFERROR(VLOOKUP($A115,'Project Reference'!$B$2:$P$41,15), " ")</f>
        <v xml:space="preserve"> </v>
      </c>
      <c r="Y115" s="9" t="str">
        <f>IFERROR(VLOOKUP($A115,'Project Reference'!$B$2:$Q$41,16), " ")</f>
        <v xml:space="preserve"> </v>
      </c>
      <c r="Z115" s="22"/>
    </row>
    <row r="116" spans="1:26" s="1" customFormat="1" x14ac:dyDescent="0.45">
      <c r="A116" s="70"/>
      <c r="B116" s="53" t="str">
        <f>IFERROR(VLOOKUP($A116,'Project Reference'!$S$2:$T$41,2),"Enter Project Number")</f>
        <v>Enter Project Number</v>
      </c>
      <c r="C116" s="54"/>
      <c r="D116" s="8"/>
      <c r="E116" s="8"/>
      <c r="F116" s="8"/>
      <c r="G116" s="8"/>
      <c r="H116" s="47"/>
      <c r="I116" s="9"/>
      <c r="J116" s="23"/>
      <c r="K116" s="47" t="str">
        <f>IFERROR(VLOOKUP($A116,'Project Reference'!$B$2:$C$41,2), " ")</f>
        <v xml:space="preserve"> </v>
      </c>
      <c r="L116" s="8" t="str">
        <f>IFERROR(VLOOKUP($A116,'Project Reference'!$B$2:$D$41,3), " ")</f>
        <v xml:space="preserve"> </v>
      </c>
      <c r="M116" s="54" t="str">
        <f>IFERROR(VLOOKUP($A116,'Project Reference'!$B$2:$E$41,4), " ")</f>
        <v xml:space="preserve"> </v>
      </c>
      <c r="N116" s="8" t="str">
        <f>IFERROR(VLOOKUP($A116,'Project Reference'!$B$2:$F$41,5), " ")</f>
        <v xml:space="preserve"> </v>
      </c>
      <c r="O116" s="8" t="str">
        <f>IFERROR(VLOOKUP($A116,'Project Reference'!$B$2:$G$41,6), " ")</f>
        <v xml:space="preserve"> </v>
      </c>
      <c r="P116" s="8" t="str">
        <f>IFERROR(VLOOKUP($A116,'Project Reference'!$B$2:$H$41,7), " ")</f>
        <v xml:space="preserve"> </v>
      </c>
      <c r="Q116" s="8" t="str">
        <f>IFERROR(VLOOKUP($A116,'Project Reference'!$B$2:$I$41,8), " ")</f>
        <v xml:space="preserve"> </v>
      </c>
      <c r="R116" s="8" t="str">
        <f>IFERROR(VLOOKUP($A116,'Project Reference'!$B$2:$J$41,9), " ")</f>
        <v xml:space="preserve"> </v>
      </c>
      <c r="S116" s="8" t="str">
        <f>IFERROR(VLOOKUP($A116,'Project Reference'!$B$2:$K$41,10), " ")</f>
        <v xml:space="preserve"> </v>
      </c>
      <c r="T116" s="8" t="str">
        <f>IFERROR(VLOOKUP($A116,'Project Reference'!$B$2:$L$41,11), " ")</f>
        <v xml:space="preserve"> </v>
      </c>
      <c r="U116" s="8" t="str">
        <f>IFERROR(VLOOKUP($A116,'Project Reference'!$B$2:$M$41,12), " ")</f>
        <v xml:space="preserve"> </v>
      </c>
      <c r="V116" s="8" t="str">
        <f>IFERROR(VLOOKUP($A116,'Project Reference'!$B$2:$N$41,13), " ")</f>
        <v xml:space="preserve"> </v>
      </c>
      <c r="W116" s="8" t="str">
        <f>IFERROR(VLOOKUP($A116,'Project Reference'!$B$2:$O$41,14), " ")</f>
        <v xml:space="preserve"> </v>
      </c>
      <c r="X116" s="8" t="str">
        <f>IFERROR(VLOOKUP($A116,'Project Reference'!$B$2:$P$41,15), " ")</f>
        <v xml:space="preserve"> </v>
      </c>
      <c r="Y116" s="9" t="str">
        <f>IFERROR(VLOOKUP($A116,'Project Reference'!$B$2:$Q$41,16), " ")</f>
        <v xml:space="preserve"> </v>
      </c>
      <c r="Z116" s="22"/>
    </row>
    <row r="117" spans="1:26" s="1" customFormat="1" x14ac:dyDescent="0.45">
      <c r="A117" s="70"/>
      <c r="B117" s="53" t="str">
        <f>IFERROR(VLOOKUP($A117,'Project Reference'!$S$2:$T$41,2),"Enter Project Number")</f>
        <v>Enter Project Number</v>
      </c>
      <c r="C117" s="54"/>
      <c r="D117" s="8"/>
      <c r="E117" s="8"/>
      <c r="F117" s="8"/>
      <c r="G117" s="8"/>
      <c r="H117" s="47"/>
      <c r="I117" s="9"/>
      <c r="J117" s="23"/>
      <c r="K117" s="47" t="str">
        <f>IFERROR(VLOOKUP($A117,'Project Reference'!$B$2:$C$41,2), " ")</f>
        <v xml:space="preserve"> </v>
      </c>
      <c r="L117" s="8" t="str">
        <f>IFERROR(VLOOKUP($A117,'Project Reference'!$B$2:$D$41,3), " ")</f>
        <v xml:space="preserve"> </v>
      </c>
      <c r="M117" s="54" t="str">
        <f>IFERROR(VLOOKUP($A117,'Project Reference'!$B$2:$E$41,4), " ")</f>
        <v xml:space="preserve"> </v>
      </c>
      <c r="N117" s="8" t="str">
        <f>IFERROR(VLOOKUP($A117,'Project Reference'!$B$2:$F$41,5), " ")</f>
        <v xml:space="preserve"> </v>
      </c>
      <c r="O117" s="8" t="str">
        <f>IFERROR(VLOOKUP($A117,'Project Reference'!$B$2:$G$41,6), " ")</f>
        <v xml:space="preserve"> </v>
      </c>
      <c r="P117" s="8" t="str">
        <f>IFERROR(VLOOKUP($A117,'Project Reference'!$B$2:$H$41,7), " ")</f>
        <v xml:space="preserve"> </v>
      </c>
      <c r="Q117" s="8" t="str">
        <f>IFERROR(VLOOKUP($A117,'Project Reference'!$B$2:$I$41,8), " ")</f>
        <v xml:space="preserve"> </v>
      </c>
      <c r="R117" s="8" t="str">
        <f>IFERROR(VLOOKUP($A117,'Project Reference'!$B$2:$J$41,9), " ")</f>
        <v xml:space="preserve"> </v>
      </c>
      <c r="S117" s="8" t="str">
        <f>IFERROR(VLOOKUP($A117,'Project Reference'!$B$2:$K$41,10), " ")</f>
        <v xml:space="preserve"> </v>
      </c>
      <c r="T117" s="8" t="str">
        <f>IFERROR(VLOOKUP($A117,'Project Reference'!$B$2:$L$41,11), " ")</f>
        <v xml:space="preserve"> </v>
      </c>
      <c r="U117" s="8" t="str">
        <f>IFERROR(VLOOKUP($A117,'Project Reference'!$B$2:$M$41,12), " ")</f>
        <v xml:space="preserve"> </v>
      </c>
      <c r="V117" s="8" t="str">
        <f>IFERROR(VLOOKUP($A117,'Project Reference'!$B$2:$N$41,13), " ")</f>
        <v xml:space="preserve"> </v>
      </c>
      <c r="W117" s="8" t="str">
        <f>IFERROR(VLOOKUP($A117,'Project Reference'!$B$2:$O$41,14), " ")</f>
        <v xml:space="preserve"> </v>
      </c>
      <c r="X117" s="8" t="str">
        <f>IFERROR(VLOOKUP($A117,'Project Reference'!$B$2:$P$41,15), " ")</f>
        <v xml:space="preserve"> </v>
      </c>
      <c r="Y117" s="9" t="str">
        <f>IFERROR(VLOOKUP($A117,'Project Reference'!$B$2:$Q$41,16), " ")</f>
        <v xml:space="preserve"> </v>
      </c>
      <c r="Z117" s="22"/>
    </row>
    <row r="118" spans="1:26" s="1" customFormat="1" x14ac:dyDescent="0.45">
      <c r="A118" s="70"/>
      <c r="B118" s="53" t="str">
        <f>IFERROR(VLOOKUP($A118,'Project Reference'!$S$2:$T$41,2),"Enter Project Number")</f>
        <v>Enter Project Number</v>
      </c>
      <c r="C118" s="54"/>
      <c r="D118" s="8"/>
      <c r="E118" s="8"/>
      <c r="F118" s="8"/>
      <c r="G118" s="8"/>
      <c r="H118" s="47"/>
      <c r="I118" s="9"/>
      <c r="J118" s="23"/>
      <c r="K118" s="47" t="str">
        <f>IFERROR(VLOOKUP($A118,'Project Reference'!$B$2:$C$41,2), " ")</f>
        <v xml:space="preserve"> </v>
      </c>
      <c r="L118" s="8" t="str">
        <f>IFERROR(VLOOKUP($A118,'Project Reference'!$B$2:$D$41,3), " ")</f>
        <v xml:space="preserve"> </v>
      </c>
      <c r="M118" s="54" t="str">
        <f>IFERROR(VLOOKUP($A118,'Project Reference'!$B$2:$E$41,4), " ")</f>
        <v xml:space="preserve"> </v>
      </c>
      <c r="N118" s="8" t="str">
        <f>IFERROR(VLOOKUP($A118,'Project Reference'!$B$2:$F$41,5), " ")</f>
        <v xml:space="preserve"> </v>
      </c>
      <c r="O118" s="8" t="str">
        <f>IFERROR(VLOOKUP($A118,'Project Reference'!$B$2:$G$41,6), " ")</f>
        <v xml:space="preserve"> </v>
      </c>
      <c r="P118" s="8" t="str">
        <f>IFERROR(VLOOKUP($A118,'Project Reference'!$B$2:$H$41,7), " ")</f>
        <v xml:space="preserve"> </v>
      </c>
      <c r="Q118" s="8" t="str">
        <f>IFERROR(VLOOKUP($A118,'Project Reference'!$B$2:$I$41,8), " ")</f>
        <v xml:space="preserve"> </v>
      </c>
      <c r="R118" s="8" t="str">
        <f>IFERROR(VLOOKUP($A118,'Project Reference'!$B$2:$J$41,9), " ")</f>
        <v xml:space="preserve"> </v>
      </c>
      <c r="S118" s="8" t="str">
        <f>IFERROR(VLOOKUP($A118,'Project Reference'!$B$2:$K$41,10), " ")</f>
        <v xml:space="preserve"> </v>
      </c>
      <c r="T118" s="8" t="str">
        <f>IFERROR(VLOOKUP($A118,'Project Reference'!$B$2:$L$41,11), " ")</f>
        <v xml:space="preserve"> </v>
      </c>
      <c r="U118" s="8" t="str">
        <f>IFERROR(VLOOKUP($A118,'Project Reference'!$B$2:$M$41,12), " ")</f>
        <v xml:space="preserve"> </v>
      </c>
      <c r="V118" s="8" t="str">
        <f>IFERROR(VLOOKUP($A118,'Project Reference'!$B$2:$N$41,13), " ")</f>
        <v xml:space="preserve"> </v>
      </c>
      <c r="W118" s="8" t="str">
        <f>IFERROR(VLOOKUP($A118,'Project Reference'!$B$2:$O$41,14), " ")</f>
        <v xml:space="preserve"> </v>
      </c>
      <c r="X118" s="8" t="str">
        <f>IFERROR(VLOOKUP($A118,'Project Reference'!$B$2:$P$41,15), " ")</f>
        <v xml:space="preserve"> </v>
      </c>
      <c r="Y118" s="9" t="str">
        <f>IFERROR(VLOOKUP($A118,'Project Reference'!$B$2:$Q$41,16), " ")</f>
        <v xml:space="preserve"> </v>
      </c>
      <c r="Z118" s="22"/>
    </row>
    <row r="119" spans="1:26" s="1" customFormat="1" x14ac:dyDescent="0.45">
      <c r="A119" s="70"/>
      <c r="B119" s="53" t="str">
        <f>IFERROR(VLOOKUP($A119,'Project Reference'!$S$2:$T$41,2),"Enter Project Number")</f>
        <v>Enter Project Number</v>
      </c>
      <c r="C119" s="54"/>
      <c r="D119" s="8"/>
      <c r="E119" s="8"/>
      <c r="F119" s="8"/>
      <c r="G119" s="8"/>
      <c r="H119" s="47"/>
      <c r="I119" s="9"/>
      <c r="J119" s="23"/>
      <c r="K119" s="47" t="str">
        <f>IFERROR(VLOOKUP($A119,'Project Reference'!$B$2:$C$41,2), " ")</f>
        <v xml:space="preserve"> </v>
      </c>
      <c r="L119" s="8" t="str">
        <f>IFERROR(VLOOKUP($A119,'Project Reference'!$B$2:$D$41,3), " ")</f>
        <v xml:space="preserve"> </v>
      </c>
      <c r="M119" s="54" t="str">
        <f>IFERROR(VLOOKUP($A119,'Project Reference'!$B$2:$E$41,4), " ")</f>
        <v xml:space="preserve"> </v>
      </c>
      <c r="N119" s="8" t="str">
        <f>IFERROR(VLOOKUP($A119,'Project Reference'!$B$2:$F$41,5), " ")</f>
        <v xml:space="preserve"> </v>
      </c>
      <c r="O119" s="8" t="str">
        <f>IFERROR(VLOOKUP($A119,'Project Reference'!$B$2:$G$41,6), " ")</f>
        <v xml:space="preserve"> </v>
      </c>
      <c r="P119" s="8" t="str">
        <f>IFERROR(VLOOKUP($A119,'Project Reference'!$B$2:$H$41,7), " ")</f>
        <v xml:space="preserve"> </v>
      </c>
      <c r="Q119" s="8" t="str">
        <f>IFERROR(VLOOKUP($A119,'Project Reference'!$B$2:$I$41,8), " ")</f>
        <v xml:space="preserve"> </v>
      </c>
      <c r="R119" s="8" t="str">
        <f>IFERROR(VLOOKUP($A119,'Project Reference'!$B$2:$J$41,9), " ")</f>
        <v xml:space="preserve"> </v>
      </c>
      <c r="S119" s="8" t="str">
        <f>IFERROR(VLOOKUP($A119,'Project Reference'!$B$2:$K$41,10), " ")</f>
        <v xml:space="preserve"> </v>
      </c>
      <c r="T119" s="8" t="str">
        <f>IFERROR(VLOOKUP($A119,'Project Reference'!$B$2:$L$41,11), " ")</f>
        <v xml:space="preserve"> </v>
      </c>
      <c r="U119" s="8" t="str">
        <f>IFERROR(VLOOKUP($A119,'Project Reference'!$B$2:$M$41,12), " ")</f>
        <v xml:space="preserve"> </v>
      </c>
      <c r="V119" s="8" t="str">
        <f>IFERROR(VLOOKUP($A119,'Project Reference'!$B$2:$N$41,13), " ")</f>
        <v xml:space="preserve"> </v>
      </c>
      <c r="W119" s="8" t="str">
        <f>IFERROR(VLOOKUP($A119,'Project Reference'!$B$2:$O$41,14), " ")</f>
        <v xml:space="preserve"> </v>
      </c>
      <c r="X119" s="8" t="str">
        <f>IFERROR(VLOOKUP($A119,'Project Reference'!$B$2:$P$41,15), " ")</f>
        <v xml:space="preserve"> </v>
      </c>
      <c r="Y119" s="9" t="str">
        <f>IFERROR(VLOOKUP($A119,'Project Reference'!$B$2:$Q$41,16), " ")</f>
        <v xml:space="preserve"> </v>
      </c>
      <c r="Z119" s="22"/>
    </row>
    <row r="120" spans="1:26" s="1" customFormat="1" x14ac:dyDescent="0.45">
      <c r="A120" s="70"/>
      <c r="B120" s="53" t="str">
        <f>IFERROR(VLOOKUP($A120,'Project Reference'!$S$2:$T$41,2),"Enter Project Number")</f>
        <v>Enter Project Number</v>
      </c>
      <c r="C120" s="54"/>
      <c r="D120" s="8"/>
      <c r="E120" s="8"/>
      <c r="F120" s="8"/>
      <c r="G120" s="8"/>
      <c r="H120" s="47"/>
      <c r="I120" s="9"/>
      <c r="J120" s="23"/>
      <c r="K120" s="47" t="str">
        <f>IFERROR(VLOOKUP($A120,'Project Reference'!$B$2:$C$41,2), " ")</f>
        <v xml:space="preserve"> </v>
      </c>
      <c r="L120" s="8" t="str">
        <f>IFERROR(VLOOKUP($A120,'Project Reference'!$B$2:$D$41,3), " ")</f>
        <v xml:space="preserve"> </v>
      </c>
      <c r="M120" s="54" t="str">
        <f>IFERROR(VLOOKUP($A120,'Project Reference'!$B$2:$E$41,4), " ")</f>
        <v xml:space="preserve"> </v>
      </c>
      <c r="N120" s="8" t="str">
        <f>IFERROR(VLOOKUP($A120,'Project Reference'!$B$2:$F$41,5), " ")</f>
        <v xml:space="preserve"> </v>
      </c>
      <c r="O120" s="8" t="str">
        <f>IFERROR(VLOOKUP($A120,'Project Reference'!$B$2:$G$41,6), " ")</f>
        <v xml:space="preserve"> </v>
      </c>
      <c r="P120" s="8" t="str">
        <f>IFERROR(VLOOKUP($A120,'Project Reference'!$B$2:$H$41,7), " ")</f>
        <v xml:space="preserve"> </v>
      </c>
      <c r="Q120" s="8" t="str">
        <f>IFERROR(VLOOKUP($A120,'Project Reference'!$B$2:$I$41,8), " ")</f>
        <v xml:space="preserve"> </v>
      </c>
      <c r="R120" s="8" t="str">
        <f>IFERROR(VLOOKUP($A120,'Project Reference'!$B$2:$J$41,9), " ")</f>
        <v xml:space="preserve"> </v>
      </c>
      <c r="S120" s="8" t="str">
        <f>IFERROR(VLOOKUP($A120,'Project Reference'!$B$2:$K$41,10), " ")</f>
        <v xml:space="preserve"> </v>
      </c>
      <c r="T120" s="8" t="str">
        <f>IFERROR(VLOOKUP($A120,'Project Reference'!$B$2:$L$41,11), " ")</f>
        <v xml:space="preserve"> </v>
      </c>
      <c r="U120" s="8" t="str">
        <f>IFERROR(VLOOKUP($A120,'Project Reference'!$B$2:$M$41,12), " ")</f>
        <v xml:space="preserve"> </v>
      </c>
      <c r="V120" s="8" t="str">
        <f>IFERROR(VLOOKUP($A120,'Project Reference'!$B$2:$N$41,13), " ")</f>
        <v xml:space="preserve"> </v>
      </c>
      <c r="W120" s="8" t="str">
        <f>IFERROR(VLOOKUP($A120,'Project Reference'!$B$2:$O$41,14), " ")</f>
        <v xml:space="preserve"> </v>
      </c>
      <c r="X120" s="8" t="str">
        <f>IFERROR(VLOOKUP($A120,'Project Reference'!$B$2:$P$41,15), " ")</f>
        <v xml:space="preserve"> </v>
      </c>
      <c r="Y120" s="9" t="str">
        <f>IFERROR(VLOOKUP($A120,'Project Reference'!$B$2:$Q$41,16), " ")</f>
        <v xml:space="preserve"> </v>
      </c>
      <c r="Z120" s="22"/>
    </row>
    <row r="121" spans="1:26" s="1" customFormat="1" x14ac:dyDescent="0.45">
      <c r="A121" s="70"/>
      <c r="B121" s="53" t="str">
        <f>IFERROR(VLOOKUP($A121,'Project Reference'!$S$2:$T$41,2),"Enter Project Number")</f>
        <v>Enter Project Number</v>
      </c>
      <c r="C121" s="54"/>
      <c r="D121" s="8"/>
      <c r="E121" s="8"/>
      <c r="F121" s="8"/>
      <c r="G121" s="8"/>
      <c r="H121" s="47"/>
      <c r="I121" s="9"/>
      <c r="J121" s="23"/>
      <c r="K121" s="47" t="str">
        <f>IFERROR(VLOOKUP($A121,'Project Reference'!$B$2:$C$41,2), " ")</f>
        <v xml:space="preserve"> </v>
      </c>
      <c r="L121" s="8" t="str">
        <f>IFERROR(VLOOKUP($A121,'Project Reference'!$B$2:$D$41,3), " ")</f>
        <v xml:space="preserve"> </v>
      </c>
      <c r="M121" s="54" t="str">
        <f>IFERROR(VLOOKUP($A121,'Project Reference'!$B$2:$E$41,4), " ")</f>
        <v xml:space="preserve"> </v>
      </c>
      <c r="N121" s="8" t="str">
        <f>IFERROR(VLOOKUP($A121,'Project Reference'!$B$2:$F$41,5), " ")</f>
        <v xml:space="preserve"> </v>
      </c>
      <c r="O121" s="8" t="str">
        <f>IFERROR(VLOOKUP($A121,'Project Reference'!$B$2:$G$41,6), " ")</f>
        <v xml:space="preserve"> </v>
      </c>
      <c r="P121" s="8" t="str">
        <f>IFERROR(VLOOKUP($A121,'Project Reference'!$B$2:$H$41,7), " ")</f>
        <v xml:space="preserve"> </v>
      </c>
      <c r="Q121" s="8" t="str">
        <f>IFERROR(VLOOKUP($A121,'Project Reference'!$B$2:$I$41,8), " ")</f>
        <v xml:space="preserve"> </v>
      </c>
      <c r="R121" s="8" t="str">
        <f>IFERROR(VLOOKUP($A121,'Project Reference'!$B$2:$J$41,9), " ")</f>
        <v xml:space="preserve"> </v>
      </c>
      <c r="S121" s="8" t="str">
        <f>IFERROR(VLOOKUP($A121,'Project Reference'!$B$2:$K$41,10), " ")</f>
        <v xml:space="preserve"> </v>
      </c>
      <c r="T121" s="8" t="str">
        <f>IFERROR(VLOOKUP($A121,'Project Reference'!$B$2:$L$41,11), " ")</f>
        <v xml:space="preserve"> </v>
      </c>
      <c r="U121" s="8" t="str">
        <f>IFERROR(VLOOKUP($A121,'Project Reference'!$B$2:$M$41,12), " ")</f>
        <v xml:space="preserve"> </v>
      </c>
      <c r="V121" s="8" t="str">
        <f>IFERROR(VLOOKUP($A121,'Project Reference'!$B$2:$N$41,13), " ")</f>
        <v xml:space="preserve"> </v>
      </c>
      <c r="W121" s="8" t="str">
        <f>IFERROR(VLOOKUP($A121,'Project Reference'!$B$2:$O$41,14), " ")</f>
        <v xml:space="preserve"> </v>
      </c>
      <c r="X121" s="8" t="str">
        <f>IFERROR(VLOOKUP($A121,'Project Reference'!$B$2:$P$41,15), " ")</f>
        <v xml:space="preserve"> </v>
      </c>
      <c r="Y121" s="9" t="str">
        <f>IFERROR(VLOOKUP($A121,'Project Reference'!$B$2:$Q$41,16), " ")</f>
        <v xml:space="preserve"> </v>
      </c>
      <c r="Z121" s="22"/>
    </row>
    <row r="122" spans="1:26" s="1" customFormat="1" x14ac:dyDescent="0.45">
      <c r="A122" s="70"/>
      <c r="B122" s="53" t="str">
        <f>IFERROR(VLOOKUP($A122,'Project Reference'!$S$2:$T$41,2),"Enter Project Number")</f>
        <v>Enter Project Number</v>
      </c>
      <c r="C122" s="54"/>
      <c r="D122" s="8"/>
      <c r="E122" s="8"/>
      <c r="F122" s="8"/>
      <c r="G122" s="8"/>
      <c r="H122" s="47"/>
      <c r="I122" s="9"/>
      <c r="J122" s="23"/>
      <c r="K122" s="47" t="str">
        <f>IFERROR(VLOOKUP($A122,'Project Reference'!$B$2:$C$41,2), " ")</f>
        <v xml:space="preserve"> </v>
      </c>
      <c r="L122" s="8" t="str">
        <f>IFERROR(VLOOKUP($A122,'Project Reference'!$B$2:$D$41,3), " ")</f>
        <v xml:space="preserve"> </v>
      </c>
      <c r="M122" s="54" t="str">
        <f>IFERROR(VLOOKUP($A122,'Project Reference'!$B$2:$E$41,4), " ")</f>
        <v xml:space="preserve"> </v>
      </c>
      <c r="N122" s="8" t="str">
        <f>IFERROR(VLOOKUP($A122,'Project Reference'!$B$2:$F$41,5), " ")</f>
        <v xml:space="preserve"> </v>
      </c>
      <c r="O122" s="8" t="str">
        <f>IFERROR(VLOOKUP($A122,'Project Reference'!$B$2:$G$41,6), " ")</f>
        <v xml:space="preserve"> </v>
      </c>
      <c r="P122" s="8" t="str">
        <f>IFERROR(VLOOKUP($A122,'Project Reference'!$B$2:$H$41,7), " ")</f>
        <v xml:space="preserve"> </v>
      </c>
      <c r="Q122" s="8" t="str">
        <f>IFERROR(VLOOKUP($A122,'Project Reference'!$B$2:$I$41,8), " ")</f>
        <v xml:space="preserve"> </v>
      </c>
      <c r="R122" s="8" t="str">
        <f>IFERROR(VLOOKUP($A122,'Project Reference'!$B$2:$J$41,9), " ")</f>
        <v xml:space="preserve"> </v>
      </c>
      <c r="S122" s="8" t="str">
        <f>IFERROR(VLOOKUP($A122,'Project Reference'!$B$2:$K$41,10), " ")</f>
        <v xml:space="preserve"> </v>
      </c>
      <c r="T122" s="8" t="str">
        <f>IFERROR(VLOOKUP($A122,'Project Reference'!$B$2:$L$41,11), " ")</f>
        <v xml:space="preserve"> </v>
      </c>
      <c r="U122" s="8" t="str">
        <f>IFERROR(VLOOKUP($A122,'Project Reference'!$B$2:$M$41,12), " ")</f>
        <v xml:space="preserve"> </v>
      </c>
      <c r="V122" s="8" t="str">
        <f>IFERROR(VLOOKUP($A122,'Project Reference'!$B$2:$N$41,13), " ")</f>
        <v xml:space="preserve"> </v>
      </c>
      <c r="W122" s="8" t="str">
        <f>IFERROR(VLOOKUP($A122,'Project Reference'!$B$2:$O$41,14), " ")</f>
        <v xml:space="preserve"> </v>
      </c>
      <c r="X122" s="8" t="str">
        <f>IFERROR(VLOOKUP($A122,'Project Reference'!$B$2:$P$41,15), " ")</f>
        <v xml:space="preserve"> </v>
      </c>
      <c r="Y122" s="9" t="str">
        <f>IFERROR(VLOOKUP($A122,'Project Reference'!$B$2:$Q$41,16), " ")</f>
        <v xml:space="preserve"> </v>
      </c>
      <c r="Z122" s="22"/>
    </row>
    <row r="123" spans="1:26" s="1" customFormat="1" x14ac:dyDescent="0.45">
      <c r="A123" s="70"/>
      <c r="B123" s="53" t="str">
        <f>IFERROR(VLOOKUP($A123,'Project Reference'!$S$2:$T$41,2),"Enter Project Number")</f>
        <v>Enter Project Number</v>
      </c>
      <c r="C123" s="54"/>
      <c r="D123" s="8"/>
      <c r="E123" s="8"/>
      <c r="F123" s="8"/>
      <c r="G123" s="8"/>
      <c r="H123" s="47"/>
      <c r="I123" s="9"/>
      <c r="J123" s="23"/>
      <c r="K123" s="47" t="str">
        <f>IFERROR(VLOOKUP($A123,'Project Reference'!$B$2:$C$41,2), " ")</f>
        <v xml:space="preserve"> </v>
      </c>
      <c r="L123" s="8" t="str">
        <f>IFERROR(VLOOKUP($A123,'Project Reference'!$B$2:$D$41,3), " ")</f>
        <v xml:space="preserve"> </v>
      </c>
      <c r="M123" s="54" t="str">
        <f>IFERROR(VLOOKUP($A123,'Project Reference'!$B$2:$E$41,4), " ")</f>
        <v xml:space="preserve"> </v>
      </c>
      <c r="N123" s="8" t="str">
        <f>IFERROR(VLOOKUP($A123,'Project Reference'!$B$2:$F$41,5), " ")</f>
        <v xml:space="preserve"> </v>
      </c>
      <c r="O123" s="8" t="str">
        <f>IFERROR(VLOOKUP($A123,'Project Reference'!$B$2:$G$41,6), " ")</f>
        <v xml:space="preserve"> </v>
      </c>
      <c r="P123" s="8" t="str">
        <f>IFERROR(VLOOKUP($A123,'Project Reference'!$B$2:$H$41,7), " ")</f>
        <v xml:space="preserve"> </v>
      </c>
      <c r="Q123" s="8" t="str">
        <f>IFERROR(VLOOKUP($A123,'Project Reference'!$B$2:$I$41,8), " ")</f>
        <v xml:space="preserve"> </v>
      </c>
      <c r="R123" s="8" t="str">
        <f>IFERROR(VLOOKUP($A123,'Project Reference'!$B$2:$J$41,9), " ")</f>
        <v xml:space="preserve"> </v>
      </c>
      <c r="S123" s="8" t="str">
        <f>IFERROR(VLOOKUP($A123,'Project Reference'!$B$2:$K$41,10), " ")</f>
        <v xml:space="preserve"> </v>
      </c>
      <c r="T123" s="8" t="str">
        <f>IFERROR(VLOOKUP($A123,'Project Reference'!$B$2:$L$41,11), " ")</f>
        <v xml:space="preserve"> </v>
      </c>
      <c r="U123" s="8" t="str">
        <f>IFERROR(VLOOKUP($A123,'Project Reference'!$B$2:$M$41,12), " ")</f>
        <v xml:space="preserve"> </v>
      </c>
      <c r="V123" s="8" t="str">
        <f>IFERROR(VLOOKUP($A123,'Project Reference'!$B$2:$N$41,13), " ")</f>
        <v xml:space="preserve"> </v>
      </c>
      <c r="W123" s="8" t="str">
        <f>IFERROR(VLOOKUP($A123,'Project Reference'!$B$2:$O$41,14), " ")</f>
        <v xml:space="preserve"> </v>
      </c>
      <c r="X123" s="8" t="str">
        <f>IFERROR(VLOOKUP($A123,'Project Reference'!$B$2:$P$41,15), " ")</f>
        <v xml:space="preserve"> </v>
      </c>
      <c r="Y123" s="9" t="str">
        <f>IFERROR(VLOOKUP($A123,'Project Reference'!$B$2:$Q$41,16), " ")</f>
        <v xml:space="preserve"> </v>
      </c>
      <c r="Z123" s="22"/>
    </row>
    <row r="124" spans="1:26" s="1" customFormat="1" x14ac:dyDescent="0.45">
      <c r="A124" s="70"/>
      <c r="B124" s="53" t="str">
        <f>IFERROR(VLOOKUP($A124,'Project Reference'!$S$2:$T$41,2),"Enter Project Number")</f>
        <v>Enter Project Number</v>
      </c>
      <c r="C124" s="54"/>
      <c r="D124" s="8"/>
      <c r="E124" s="8"/>
      <c r="F124" s="8"/>
      <c r="G124" s="8"/>
      <c r="H124" s="47"/>
      <c r="I124" s="9"/>
      <c r="J124" s="23"/>
      <c r="K124" s="47" t="str">
        <f>IFERROR(VLOOKUP($A124,'Project Reference'!$B$2:$C$41,2), " ")</f>
        <v xml:space="preserve"> </v>
      </c>
      <c r="L124" s="8" t="str">
        <f>IFERROR(VLOOKUP($A124,'Project Reference'!$B$2:$D$41,3), " ")</f>
        <v xml:space="preserve"> </v>
      </c>
      <c r="M124" s="54" t="str">
        <f>IFERROR(VLOOKUP($A124,'Project Reference'!$B$2:$E$41,4), " ")</f>
        <v xml:space="preserve"> </v>
      </c>
      <c r="N124" s="8" t="str">
        <f>IFERROR(VLOOKUP($A124,'Project Reference'!$B$2:$F$41,5), " ")</f>
        <v xml:space="preserve"> </v>
      </c>
      <c r="O124" s="8" t="str">
        <f>IFERROR(VLOOKUP($A124,'Project Reference'!$B$2:$G$41,6), " ")</f>
        <v xml:space="preserve"> </v>
      </c>
      <c r="P124" s="8" t="str">
        <f>IFERROR(VLOOKUP($A124,'Project Reference'!$B$2:$H$41,7), " ")</f>
        <v xml:space="preserve"> </v>
      </c>
      <c r="Q124" s="8" t="str">
        <f>IFERROR(VLOOKUP($A124,'Project Reference'!$B$2:$I$41,8), " ")</f>
        <v xml:space="preserve"> </v>
      </c>
      <c r="R124" s="8" t="str">
        <f>IFERROR(VLOOKUP($A124,'Project Reference'!$B$2:$J$41,9), " ")</f>
        <v xml:space="preserve"> </v>
      </c>
      <c r="S124" s="8" t="str">
        <f>IFERROR(VLOOKUP($A124,'Project Reference'!$B$2:$K$41,10), " ")</f>
        <v xml:space="preserve"> </v>
      </c>
      <c r="T124" s="8" t="str">
        <f>IFERROR(VLOOKUP($A124,'Project Reference'!$B$2:$L$41,11), " ")</f>
        <v xml:space="preserve"> </v>
      </c>
      <c r="U124" s="8" t="str">
        <f>IFERROR(VLOOKUP($A124,'Project Reference'!$B$2:$M$41,12), " ")</f>
        <v xml:space="preserve"> </v>
      </c>
      <c r="V124" s="8" t="str">
        <f>IFERROR(VLOOKUP($A124,'Project Reference'!$B$2:$N$41,13), " ")</f>
        <v xml:space="preserve"> </v>
      </c>
      <c r="W124" s="8" t="str">
        <f>IFERROR(VLOOKUP($A124,'Project Reference'!$B$2:$O$41,14), " ")</f>
        <v xml:space="preserve"> </v>
      </c>
      <c r="X124" s="8" t="str">
        <f>IFERROR(VLOOKUP($A124,'Project Reference'!$B$2:$P$41,15), " ")</f>
        <v xml:space="preserve"> </v>
      </c>
      <c r="Y124" s="9" t="str">
        <f>IFERROR(VLOOKUP($A124,'Project Reference'!$B$2:$Q$41,16), " ")</f>
        <v xml:space="preserve"> </v>
      </c>
      <c r="Z124" s="22"/>
    </row>
    <row r="125" spans="1:26" s="1" customFormat="1" x14ac:dyDescent="0.45">
      <c r="A125" s="70"/>
      <c r="B125" s="53" t="str">
        <f>IFERROR(VLOOKUP($A125,'Project Reference'!$S$2:$T$41,2),"Enter Project Number")</f>
        <v>Enter Project Number</v>
      </c>
      <c r="C125" s="54"/>
      <c r="D125" s="8"/>
      <c r="E125" s="8"/>
      <c r="F125" s="8"/>
      <c r="G125" s="8"/>
      <c r="H125" s="47"/>
      <c r="I125" s="9"/>
      <c r="J125" s="23"/>
      <c r="K125" s="47" t="str">
        <f>IFERROR(VLOOKUP($A125,'Project Reference'!$B$2:$C$41,2), " ")</f>
        <v xml:space="preserve"> </v>
      </c>
      <c r="L125" s="8" t="str">
        <f>IFERROR(VLOOKUP($A125,'Project Reference'!$B$2:$D$41,3), " ")</f>
        <v xml:space="preserve"> </v>
      </c>
      <c r="M125" s="54" t="str">
        <f>IFERROR(VLOOKUP($A125,'Project Reference'!$B$2:$E$41,4), " ")</f>
        <v xml:space="preserve"> </v>
      </c>
      <c r="N125" s="8" t="str">
        <f>IFERROR(VLOOKUP($A125,'Project Reference'!$B$2:$F$41,5), " ")</f>
        <v xml:space="preserve"> </v>
      </c>
      <c r="O125" s="8" t="str">
        <f>IFERROR(VLOOKUP($A125,'Project Reference'!$B$2:$G$41,6), " ")</f>
        <v xml:space="preserve"> </v>
      </c>
      <c r="P125" s="8" t="str">
        <f>IFERROR(VLOOKUP($A125,'Project Reference'!$B$2:$H$41,7), " ")</f>
        <v xml:space="preserve"> </v>
      </c>
      <c r="Q125" s="8" t="str">
        <f>IFERROR(VLOOKUP($A125,'Project Reference'!$B$2:$I$41,8), " ")</f>
        <v xml:space="preserve"> </v>
      </c>
      <c r="R125" s="8" t="str">
        <f>IFERROR(VLOOKUP($A125,'Project Reference'!$B$2:$J$41,9), " ")</f>
        <v xml:space="preserve"> </v>
      </c>
      <c r="S125" s="8" t="str">
        <f>IFERROR(VLOOKUP($A125,'Project Reference'!$B$2:$K$41,10), " ")</f>
        <v xml:space="preserve"> </v>
      </c>
      <c r="T125" s="8" t="str">
        <f>IFERROR(VLOOKUP($A125,'Project Reference'!$B$2:$L$41,11), " ")</f>
        <v xml:space="preserve"> </v>
      </c>
      <c r="U125" s="8" t="str">
        <f>IFERROR(VLOOKUP($A125,'Project Reference'!$B$2:$M$41,12), " ")</f>
        <v xml:space="preserve"> </v>
      </c>
      <c r="V125" s="8" t="str">
        <f>IFERROR(VLOOKUP($A125,'Project Reference'!$B$2:$N$41,13), " ")</f>
        <v xml:space="preserve"> </v>
      </c>
      <c r="W125" s="8" t="str">
        <f>IFERROR(VLOOKUP($A125,'Project Reference'!$B$2:$O$41,14), " ")</f>
        <v xml:space="preserve"> </v>
      </c>
      <c r="X125" s="8" t="str">
        <f>IFERROR(VLOOKUP($A125,'Project Reference'!$B$2:$P$41,15), " ")</f>
        <v xml:space="preserve"> </v>
      </c>
      <c r="Y125" s="9" t="str">
        <f>IFERROR(VLOOKUP($A125,'Project Reference'!$B$2:$Q$41,16), " ")</f>
        <v xml:space="preserve"> </v>
      </c>
      <c r="Z125" s="22"/>
    </row>
    <row r="126" spans="1:26" s="1" customFormat="1" x14ac:dyDescent="0.45">
      <c r="A126" s="70"/>
      <c r="B126" s="53" t="str">
        <f>IFERROR(VLOOKUP($A126,'Project Reference'!$S$2:$T$41,2),"Enter Project Number")</f>
        <v>Enter Project Number</v>
      </c>
      <c r="C126" s="54"/>
      <c r="D126" s="8"/>
      <c r="E126" s="8"/>
      <c r="F126" s="8"/>
      <c r="G126" s="8"/>
      <c r="H126" s="47"/>
      <c r="I126" s="9"/>
      <c r="J126" s="23"/>
      <c r="K126" s="47" t="str">
        <f>IFERROR(VLOOKUP($A126,'Project Reference'!$B$2:$C$41,2), " ")</f>
        <v xml:space="preserve"> </v>
      </c>
      <c r="L126" s="8" t="str">
        <f>IFERROR(VLOOKUP($A126,'Project Reference'!$B$2:$D$41,3), " ")</f>
        <v xml:space="preserve"> </v>
      </c>
      <c r="M126" s="54" t="str">
        <f>IFERROR(VLOOKUP($A126,'Project Reference'!$B$2:$E$41,4), " ")</f>
        <v xml:space="preserve"> </v>
      </c>
      <c r="N126" s="8" t="str">
        <f>IFERROR(VLOOKUP($A126,'Project Reference'!$B$2:$F$41,5), " ")</f>
        <v xml:space="preserve"> </v>
      </c>
      <c r="O126" s="8" t="str">
        <f>IFERROR(VLOOKUP($A126,'Project Reference'!$B$2:$G$41,6), " ")</f>
        <v xml:space="preserve"> </v>
      </c>
      <c r="P126" s="8" t="str">
        <f>IFERROR(VLOOKUP($A126,'Project Reference'!$B$2:$H$41,7), " ")</f>
        <v xml:space="preserve"> </v>
      </c>
      <c r="Q126" s="8" t="str">
        <f>IFERROR(VLOOKUP($A126,'Project Reference'!$B$2:$I$41,8), " ")</f>
        <v xml:space="preserve"> </v>
      </c>
      <c r="R126" s="8" t="str">
        <f>IFERROR(VLOOKUP($A126,'Project Reference'!$B$2:$J$41,9), " ")</f>
        <v xml:space="preserve"> </v>
      </c>
      <c r="S126" s="8" t="str">
        <f>IFERROR(VLOOKUP($A126,'Project Reference'!$B$2:$K$41,10), " ")</f>
        <v xml:space="preserve"> </v>
      </c>
      <c r="T126" s="8" t="str">
        <f>IFERROR(VLOOKUP($A126,'Project Reference'!$B$2:$L$41,11), " ")</f>
        <v xml:space="preserve"> </v>
      </c>
      <c r="U126" s="8" t="str">
        <f>IFERROR(VLOOKUP($A126,'Project Reference'!$B$2:$M$41,12), " ")</f>
        <v xml:space="preserve"> </v>
      </c>
      <c r="V126" s="8" t="str">
        <f>IFERROR(VLOOKUP($A126,'Project Reference'!$B$2:$N$41,13), " ")</f>
        <v xml:space="preserve"> </v>
      </c>
      <c r="W126" s="8" t="str">
        <f>IFERROR(VLOOKUP($A126,'Project Reference'!$B$2:$O$41,14), " ")</f>
        <v xml:space="preserve"> </v>
      </c>
      <c r="X126" s="8" t="str">
        <f>IFERROR(VLOOKUP($A126,'Project Reference'!$B$2:$P$41,15), " ")</f>
        <v xml:space="preserve"> </v>
      </c>
      <c r="Y126" s="9" t="str">
        <f>IFERROR(VLOOKUP($A126,'Project Reference'!$B$2:$Q$41,16), " ")</f>
        <v xml:space="preserve"> </v>
      </c>
      <c r="Z126" s="22"/>
    </row>
    <row r="127" spans="1:26" s="1" customFormat="1" x14ac:dyDescent="0.45">
      <c r="A127" s="70"/>
      <c r="B127" s="53" t="str">
        <f>IFERROR(VLOOKUP($A127,'Project Reference'!$S$2:$T$41,2),"Enter Project Number")</f>
        <v>Enter Project Number</v>
      </c>
      <c r="C127" s="54"/>
      <c r="D127" s="8"/>
      <c r="E127" s="8"/>
      <c r="F127" s="8"/>
      <c r="G127" s="8"/>
      <c r="H127" s="47"/>
      <c r="I127" s="9"/>
      <c r="J127" s="23"/>
      <c r="K127" s="47" t="str">
        <f>IFERROR(VLOOKUP($A127,'Project Reference'!$B$2:$C$41,2), " ")</f>
        <v xml:space="preserve"> </v>
      </c>
      <c r="L127" s="8" t="str">
        <f>IFERROR(VLOOKUP($A127,'Project Reference'!$B$2:$D$41,3), " ")</f>
        <v xml:space="preserve"> </v>
      </c>
      <c r="M127" s="54" t="str">
        <f>IFERROR(VLOOKUP($A127,'Project Reference'!$B$2:$E$41,4), " ")</f>
        <v xml:space="preserve"> </v>
      </c>
      <c r="N127" s="8" t="str">
        <f>IFERROR(VLOOKUP($A127,'Project Reference'!$B$2:$F$41,5), " ")</f>
        <v xml:space="preserve"> </v>
      </c>
      <c r="O127" s="8" t="str">
        <f>IFERROR(VLOOKUP($A127,'Project Reference'!$B$2:$G$41,6), " ")</f>
        <v xml:space="preserve"> </v>
      </c>
      <c r="P127" s="8" t="str">
        <f>IFERROR(VLOOKUP($A127,'Project Reference'!$B$2:$H$41,7), " ")</f>
        <v xml:space="preserve"> </v>
      </c>
      <c r="Q127" s="8" t="str">
        <f>IFERROR(VLOOKUP($A127,'Project Reference'!$B$2:$I$41,8), " ")</f>
        <v xml:space="preserve"> </v>
      </c>
      <c r="R127" s="8" t="str">
        <f>IFERROR(VLOOKUP($A127,'Project Reference'!$B$2:$J$41,9), " ")</f>
        <v xml:space="preserve"> </v>
      </c>
      <c r="S127" s="8" t="str">
        <f>IFERROR(VLOOKUP($A127,'Project Reference'!$B$2:$K$41,10), " ")</f>
        <v xml:space="preserve"> </v>
      </c>
      <c r="T127" s="8" t="str">
        <f>IFERROR(VLOOKUP($A127,'Project Reference'!$B$2:$L$41,11), " ")</f>
        <v xml:space="preserve"> </v>
      </c>
      <c r="U127" s="8" t="str">
        <f>IFERROR(VLOOKUP($A127,'Project Reference'!$B$2:$M$41,12), " ")</f>
        <v xml:space="preserve"> </v>
      </c>
      <c r="V127" s="8" t="str">
        <f>IFERROR(VLOOKUP($A127,'Project Reference'!$B$2:$N$41,13), " ")</f>
        <v xml:space="preserve"> </v>
      </c>
      <c r="W127" s="8" t="str">
        <f>IFERROR(VLOOKUP($A127,'Project Reference'!$B$2:$O$41,14), " ")</f>
        <v xml:space="preserve"> </v>
      </c>
      <c r="X127" s="8" t="str">
        <f>IFERROR(VLOOKUP($A127,'Project Reference'!$B$2:$P$41,15), " ")</f>
        <v xml:space="preserve"> </v>
      </c>
      <c r="Y127" s="9" t="str">
        <f>IFERROR(VLOOKUP($A127,'Project Reference'!$B$2:$Q$41,16), " ")</f>
        <v xml:space="preserve"> </v>
      </c>
      <c r="Z127" s="22"/>
    </row>
    <row r="128" spans="1:26" s="1" customFormat="1" x14ac:dyDescent="0.45">
      <c r="A128" s="70"/>
      <c r="B128" s="53" t="str">
        <f>IFERROR(VLOOKUP($A128,'Project Reference'!$S$2:$T$41,2),"Enter Project Number")</f>
        <v>Enter Project Number</v>
      </c>
      <c r="C128" s="54"/>
      <c r="D128" s="8"/>
      <c r="E128" s="8"/>
      <c r="F128" s="8"/>
      <c r="G128" s="8"/>
      <c r="H128" s="47"/>
      <c r="I128" s="9"/>
      <c r="J128" s="23"/>
      <c r="K128" s="47" t="str">
        <f>IFERROR(VLOOKUP($A128,'Project Reference'!$B$2:$C$41,2), " ")</f>
        <v xml:space="preserve"> </v>
      </c>
      <c r="L128" s="8" t="str">
        <f>IFERROR(VLOOKUP($A128,'Project Reference'!$B$2:$D$41,3), " ")</f>
        <v xml:space="preserve"> </v>
      </c>
      <c r="M128" s="54" t="str">
        <f>IFERROR(VLOOKUP($A128,'Project Reference'!$B$2:$E$41,4), " ")</f>
        <v xml:space="preserve"> </v>
      </c>
      <c r="N128" s="8" t="str">
        <f>IFERROR(VLOOKUP($A128,'Project Reference'!$B$2:$F$41,5), " ")</f>
        <v xml:space="preserve"> </v>
      </c>
      <c r="O128" s="8" t="str">
        <f>IFERROR(VLOOKUP($A128,'Project Reference'!$B$2:$G$41,6), " ")</f>
        <v xml:space="preserve"> </v>
      </c>
      <c r="P128" s="8" t="str">
        <f>IFERROR(VLOOKUP($A128,'Project Reference'!$B$2:$H$41,7), " ")</f>
        <v xml:space="preserve"> </v>
      </c>
      <c r="Q128" s="8" t="str">
        <f>IFERROR(VLOOKUP($A128,'Project Reference'!$B$2:$I$41,8), " ")</f>
        <v xml:space="preserve"> </v>
      </c>
      <c r="R128" s="8" t="str">
        <f>IFERROR(VLOOKUP($A128,'Project Reference'!$B$2:$J$41,9), " ")</f>
        <v xml:space="preserve"> </v>
      </c>
      <c r="S128" s="8" t="str">
        <f>IFERROR(VLOOKUP($A128,'Project Reference'!$B$2:$K$41,10), " ")</f>
        <v xml:space="preserve"> </v>
      </c>
      <c r="T128" s="8" t="str">
        <f>IFERROR(VLOOKUP($A128,'Project Reference'!$B$2:$L$41,11), " ")</f>
        <v xml:space="preserve"> </v>
      </c>
      <c r="U128" s="8" t="str">
        <f>IFERROR(VLOOKUP($A128,'Project Reference'!$B$2:$M$41,12), " ")</f>
        <v xml:space="preserve"> </v>
      </c>
      <c r="V128" s="8" t="str">
        <f>IFERROR(VLOOKUP($A128,'Project Reference'!$B$2:$N$41,13), " ")</f>
        <v xml:space="preserve"> </v>
      </c>
      <c r="W128" s="8" t="str">
        <f>IFERROR(VLOOKUP($A128,'Project Reference'!$B$2:$O$41,14), " ")</f>
        <v xml:space="preserve"> </v>
      </c>
      <c r="X128" s="8" t="str">
        <f>IFERROR(VLOOKUP($A128,'Project Reference'!$B$2:$P$41,15), " ")</f>
        <v xml:space="preserve"> </v>
      </c>
      <c r="Y128" s="9" t="str">
        <f>IFERROR(VLOOKUP($A128,'Project Reference'!$B$2:$Q$41,16), " ")</f>
        <v xml:space="preserve"> </v>
      </c>
      <c r="Z128" s="22"/>
    </row>
    <row r="129" spans="1:26" s="1" customFormat="1" x14ac:dyDescent="0.45">
      <c r="A129" s="70"/>
      <c r="B129" s="53" t="str">
        <f>IFERROR(VLOOKUP($A129,'Project Reference'!$S$2:$T$41,2),"Enter Project Number")</f>
        <v>Enter Project Number</v>
      </c>
      <c r="C129" s="54"/>
      <c r="D129" s="8"/>
      <c r="E129" s="8"/>
      <c r="F129" s="8"/>
      <c r="G129" s="8"/>
      <c r="H129" s="47"/>
      <c r="I129" s="9"/>
      <c r="J129" s="23"/>
      <c r="K129" s="47" t="str">
        <f>IFERROR(VLOOKUP($A129,'Project Reference'!$B$2:$C$41,2), " ")</f>
        <v xml:space="preserve"> </v>
      </c>
      <c r="L129" s="8" t="str">
        <f>IFERROR(VLOOKUP($A129,'Project Reference'!$B$2:$D$41,3), " ")</f>
        <v xml:space="preserve"> </v>
      </c>
      <c r="M129" s="54" t="str">
        <f>IFERROR(VLOOKUP($A129,'Project Reference'!$B$2:$E$41,4), " ")</f>
        <v xml:space="preserve"> </v>
      </c>
      <c r="N129" s="8" t="str">
        <f>IFERROR(VLOOKUP($A129,'Project Reference'!$B$2:$F$41,5), " ")</f>
        <v xml:space="preserve"> </v>
      </c>
      <c r="O129" s="8" t="str">
        <f>IFERROR(VLOOKUP($A129,'Project Reference'!$B$2:$G$41,6), " ")</f>
        <v xml:space="preserve"> </v>
      </c>
      <c r="P129" s="8" t="str">
        <f>IFERROR(VLOOKUP($A129,'Project Reference'!$B$2:$H$41,7), " ")</f>
        <v xml:space="preserve"> </v>
      </c>
      <c r="Q129" s="8" t="str">
        <f>IFERROR(VLOOKUP($A129,'Project Reference'!$B$2:$I$41,8), " ")</f>
        <v xml:space="preserve"> </v>
      </c>
      <c r="R129" s="8" t="str">
        <f>IFERROR(VLOOKUP($A129,'Project Reference'!$B$2:$J$41,9), " ")</f>
        <v xml:space="preserve"> </v>
      </c>
      <c r="S129" s="8" t="str">
        <f>IFERROR(VLOOKUP($A129,'Project Reference'!$B$2:$K$41,10), " ")</f>
        <v xml:space="preserve"> </v>
      </c>
      <c r="T129" s="8" t="str">
        <f>IFERROR(VLOOKUP($A129,'Project Reference'!$B$2:$L$41,11), " ")</f>
        <v xml:space="preserve"> </v>
      </c>
      <c r="U129" s="8" t="str">
        <f>IFERROR(VLOOKUP($A129,'Project Reference'!$B$2:$M$41,12), " ")</f>
        <v xml:space="preserve"> </v>
      </c>
      <c r="V129" s="8" t="str">
        <f>IFERROR(VLOOKUP($A129,'Project Reference'!$B$2:$N$41,13), " ")</f>
        <v xml:space="preserve"> </v>
      </c>
      <c r="W129" s="8" t="str">
        <f>IFERROR(VLOOKUP($A129,'Project Reference'!$B$2:$O$41,14), " ")</f>
        <v xml:space="preserve"> </v>
      </c>
      <c r="X129" s="8" t="str">
        <f>IFERROR(VLOOKUP($A129,'Project Reference'!$B$2:$P$41,15), " ")</f>
        <v xml:space="preserve"> </v>
      </c>
      <c r="Y129" s="9" t="str">
        <f>IFERROR(VLOOKUP($A129,'Project Reference'!$B$2:$Q$41,16), " ")</f>
        <v xml:space="preserve"> </v>
      </c>
      <c r="Z129" s="22"/>
    </row>
    <row r="130" spans="1:26" s="1" customFormat="1" x14ac:dyDescent="0.45">
      <c r="A130" s="70"/>
      <c r="B130" s="53" t="str">
        <f>IFERROR(VLOOKUP($A130,'Project Reference'!$S$2:$T$41,2),"Enter Project Number")</f>
        <v>Enter Project Number</v>
      </c>
      <c r="C130" s="54"/>
      <c r="D130" s="8"/>
      <c r="E130" s="8"/>
      <c r="F130" s="8"/>
      <c r="G130" s="8"/>
      <c r="H130" s="47"/>
      <c r="I130" s="9"/>
      <c r="J130" s="23"/>
      <c r="K130" s="47" t="str">
        <f>IFERROR(VLOOKUP($A130,'Project Reference'!$B$2:$C$41,2), " ")</f>
        <v xml:space="preserve"> </v>
      </c>
      <c r="L130" s="8" t="str">
        <f>IFERROR(VLOOKUP($A130,'Project Reference'!$B$2:$D$41,3), " ")</f>
        <v xml:space="preserve"> </v>
      </c>
      <c r="M130" s="54" t="str">
        <f>IFERROR(VLOOKUP($A130,'Project Reference'!$B$2:$E$41,4), " ")</f>
        <v xml:space="preserve"> </v>
      </c>
      <c r="N130" s="8" t="str">
        <f>IFERROR(VLOOKUP($A130,'Project Reference'!$B$2:$F$41,5), " ")</f>
        <v xml:space="preserve"> </v>
      </c>
      <c r="O130" s="8" t="str">
        <f>IFERROR(VLOOKUP($A130,'Project Reference'!$B$2:$G$41,6), " ")</f>
        <v xml:space="preserve"> </v>
      </c>
      <c r="P130" s="8" t="str">
        <f>IFERROR(VLOOKUP($A130,'Project Reference'!$B$2:$H$41,7), " ")</f>
        <v xml:space="preserve"> </v>
      </c>
      <c r="Q130" s="8" t="str">
        <f>IFERROR(VLOOKUP($A130,'Project Reference'!$B$2:$I$41,8), " ")</f>
        <v xml:space="preserve"> </v>
      </c>
      <c r="R130" s="8" t="str">
        <f>IFERROR(VLOOKUP($A130,'Project Reference'!$B$2:$J$41,9), " ")</f>
        <v xml:space="preserve"> </v>
      </c>
      <c r="S130" s="8" t="str">
        <f>IFERROR(VLOOKUP($A130,'Project Reference'!$B$2:$K$41,10), " ")</f>
        <v xml:space="preserve"> </v>
      </c>
      <c r="T130" s="8" t="str">
        <f>IFERROR(VLOOKUP($A130,'Project Reference'!$B$2:$L$41,11), " ")</f>
        <v xml:space="preserve"> </v>
      </c>
      <c r="U130" s="8" t="str">
        <f>IFERROR(VLOOKUP($A130,'Project Reference'!$B$2:$M$41,12), " ")</f>
        <v xml:space="preserve"> </v>
      </c>
      <c r="V130" s="8" t="str">
        <f>IFERROR(VLOOKUP($A130,'Project Reference'!$B$2:$N$41,13), " ")</f>
        <v xml:space="preserve"> </v>
      </c>
      <c r="W130" s="8" t="str">
        <f>IFERROR(VLOOKUP($A130,'Project Reference'!$B$2:$O$41,14), " ")</f>
        <v xml:space="preserve"> </v>
      </c>
      <c r="X130" s="8" t="str">
        <f>IFERROR(VLOOKUP($A130,'Project Reference'!$B$2:$P$41,15), " ")</f>
        <v xml:space="preserve"> </v>
      </c>
      <c r="Y130" s="9" t="str">
        <f>IFERROR(VLOOKUP($A130,'Project Reference'!$B$2:$Q$41,16), " ")</f>
        <v xml:space="preserve"> </v>
      </c>
      <c r="Z130" s="22"/>
    </row>
    <row r="131" spans="1:26" s="1" customFormat="1" x14ac:dyDescent="0.45">
      <c r="A131" s="70"/>
      <c r="B131" s="53" t="str">
        <f>IFERROR(VLOOKUP($A131,'Project Reference'!$S$2:$T$41,2),"Enter Project Number")</f>
        <v>Enter Project Number</v>
      </c>
      <c r="C131" s="54"/>
      <c r="D131" s="8"/>
      <c r="E131" s="8"/>
      <c r="F131" s="8"/>
      <c r="G131" s="8"/>
      <c r="H131" s="47"/>
      <c r="I131" s="9"/>
      <c r="J131" s="23"/>
      <c r="K131" s="47" t="str">
        <f>IFERROR(VLOOKUP($A131,'Project Reference'!$B$2:$C$41,2), " ")</f>
        <v xml:space="preserve"> </v>
      </c>
      <c r="L131" s="8" t="str">
        <f>IFERROR(VLOOKUP($A131,'Project Reference'!$B$2:$D$41,3), " ")</f>
        <v xml:space="preserve"> </v>
      </c>
      <c r="M131" s="54" t="str">
        <f>IFERROR(VLOOKUP($A131,'Project Reference'!$B$2:$E$41,4), " ")</f>
        <v xml:space="preserve"> </v>
      </c>
      <c r="N131" s="8" t="str">
        <f>IFERROR(VLOOKUP($A131,'Project Reference'!$B$2:$F$41,5), " ")</f>
        <v xml:space="preserve"> </v>
      </c>
      <c r="O131" s="8" t="str">
        <f>IFERROR(VLOOKUP($A131,'Project Reference'!$B$2:$G$41,6), " ")</f>
        <v xml:space="preserve"> </v>
      </c>
      <c r="P131" s="8" t="str">
        <f>IFERROR(VLOOKUP($A131,'Project Reference'!$B$2:$H$41,7), " ")</f>
        <v xml:space="preserve"> </v>
      </c>
      <c r="Q131" s="8" t="str">
        <f>IFERROR(VLOOKUP($A131,'Project Reference'!$B$2:$I$41,8), " ")</f>
        <v xml:space="preserve"> </v>
      </c>
      <c r="R131" s="8" t="str">
        <f>IFERROR(VLOOKUP($A131,'Project Reference'!$B$2:$J$41,9), " ")</f>
        <v xml:space="preserve"> </v>
      </c>
      <c r="S131" s="8" t="str">
        <f>IFERROR(VLOOKUP($A131,'Project Reference'!$B$2:$K$41,10), " ")</f>
        <v xml:space="preserve"> </v>
      </c>
      <c r="T131" s="8" t="str">
        <f>IFERROR(VLOOKUP($A131,'Project Reference'!$B$2:$L$41,11), " ")</f>
        <v xml:space="preserve"> </v>
      </c>
      <c r="U131" s="8" t="str">
        <f>IFERROR(VLOOKUP($A131,'Project Reference'!$B$2:$M$41,12), " ")</f>
        <v xml:space="preserve"> </v>
      </c>
      <c r="V131" s="8" t="str">
        <f>IFERROR(VLOOKUP($A131,'Project Reference'!$B$2:$N$41,13), " ")</f>
        <v xml:space="preserve"> </v>
      </c>
      <c r="W131" s="8" t="str">
        <f>IFERROR(VLOOKUP($A131,'Project Reference'!$B$2:$O$41,14), " ")</f>
        <v xml:space="preserve"> </v>
      </c>
      <c r="X131" s="8" t="str">
        <f>IFERROR(VLOOKUP($A131,'Project Reference'!$B$2:$P$41,15), " ")</f>
        <v xml:space="preserve"> </v>
      </c>
      <c r="Y131" s="9" t="str">
        <f>IFERROR(VLOOKUP($A131,'Project Reference'!$B$2:$Q$41,16), " ")</f>
        <v xml:space="preserve"> </v>
      </c>
      <c r="Z131" s="22"/>
    </row>
    <row r="132" spans="1:26" s="1" customFormat="1" x14ac:dyDescent="0.45">
      <c r="A132" s="70"/>
      <c r="B132" s="53" t="str">
        <f>IFERROR(VLOOKUP($A132,'Project Reference'!$S$2:$T$41,2),"Enter Project Number")</f>
        <v>Enter Project Number</v>
      </c>
      <c r="C132" s="54"/>
      <c r="D132" s="8"/>
      <c r="E132" s="8"/>
      <c r="F132" s="8"/>
      <c r="G132" s="8"/>
      <c r="H132" s="47"/>
      <c r="I132" s="9"/>
      <c r="J132" s="23"/>
      <c r="K132" s="47" t="str">
        <f>IFERROR(VLOOKUP($A132,'Project Reference'!$B$2:$C$41,2), " ")</f>
        <v xml:space="preserve"> </v>
      </c>
      <c r="L132" s="8" t="str">
        <f>IFERROR(VLOOKUP($A132,'Project Reference'!$B$2:$D$41,3), " ")</f>
        <v xml:space="preserve"> </v>
      </c>
      <c r="M132" s="54" t="str">
        <f>IFERROR(VLOOKUP($A132,'Project Reference'!$B$2:$E$41,4), " ")</f>
        <v xml:space="preserve"> </v>
      </c>
      <c r="N132" s="8" t="str">
        <f>IFERROR(VLOOKUP($A132,'Project Reference'!$B$2:$F$41,5), " ")</f>
        <v xml:space="preserve"> </v>
      </c>
      <c r="O132" s="8" t="str">
        <f>IFERROR(VLOOKUP($A132,'Project Reference'!$B$2:$G$41,6), " ")</f>
        <v xml:space="preserve"> </v>
      </c>
      <c r="P132" s="8" t="str">
        <f>IFERROR(VLOOKUP($A132,'Project Reference'!$B$2:$H$41,7), " ")</f>
        <v xml:space="preserve"> </v>
      </c>
      <c r="Q132" s="8" t="str">
        <f>IFERROR(VLOOKUP($A132,'Project Reference'!$B$2:$I$41,8), " ")</f>
        <v xml:space="preserve"> </v>
      </c>
      <c r="R132" s="8" t="str">
        <f>IFERROR(VLOOKUP($A132,'Project Reference'!$B$2:$J$41,9), " ")</f>
        <v xml:space="preserve"> </v>
      </c>
      <c r="S132" s="8" t="str">
        <f>IFERROR(VLOOKUP($A132,'Project Reference'!$B$2:$K$41,10), " ")</f>
        <v xml:space="preserve"> </v>
      </c>
      <c r="T132" s="8" t="str">
        <f>IFERROR(VLOOKUP($A132,'Project Reference'!$B$2:$L$41,11), " ")</f>
        <v xml:space="preserve"> </v>
      </c>
      <c r="U132" s="8" t="str">
        <f>IFERROR(VLOOKUP($A132,'Project Reference'!$B$2:$M$41,12), " ")</f>
        <v xml:space="preserve"> </v>
      </c>
      <c r="V132" s="8" t="str">
        <f>IFERROR(VLOOKUP($A132,'Project Reference'!$B$2:$N$41,13), " ")</f>
        <v xml:space="preserve"> </v>
      </c>
      <c r="W132" s="8" t="str">
        <f>IFERROR(VLOOKUP($A132,'Project Reference'!$B$2:$O$41,14), " ")</f>
        <v xml:space="preserve"> </v>
      </c>
      <c r="X132" s="8" t="str">
        <f>IFERROR(VLOOKUP($A132,'Project Reference'!$B$2:$P$41,15), " ")</f>
        <v xml:space="preserve"> </v>
      </c>
      <c r="Y132" s="9" t="str">
        <f>IFERROR(VLOOKUP($A132,'Project Reference'!$B$2:$Q$41,16), " ")</f>
        <v xml:space="preserve"> </v>
      </c>
      <c r="Z132" s="22"/>
    </row>
    <row r="133" spans="1:26" s="1" customFormat="1" x14ac:dyDescent="0.45">
      <c r="A133" s="70"/>
      <c r="B133" s="53" t="str">
        <f>IFERROR(VLOOKUP($A133,'Project Reference'!$S$2:$T$41,2),"Enter Project Number")</f>
        <v>Enter Project Number</v>
      </c>
      <c r="C133" s="54"/>
      <c r="D133" s="8"/>
      <c r="E133" s="8"/>
      <c r="F133" s="8"/>
      <c r="G133" s="8"/>
      <c r="H133" s="47"/>
      <c r="I133" s="9"/>
      <c r="J133" s="23"/>
      <c r="K133" s="47" t="str">
        <f>IFERROR(VLOOKUP($A133,'Project Reference'!$B$2:$C$41,2), " ")</f>
        <v xml:space="preserve"> </v>
      </c>
      <c r="L133" s="8" t="str">
        <f>IFERROR(VLOOKUP($A133,'Project Reference'!$B$2:$D$41,3), " ")</f>
        <v xml:space="preserve"> </v>
      </c>
      <c r="M133" s="54" t="str">
        <f>IFERROR(VLOOKUP($A133,'Project Reference'!$B$2:$E$41,4), " ")</f>
        <v xml:space="preserve"> </v>
      </c>
      <c r="N133" s="8" t="str">
        <f>IFERROR(VLOOKUP($A133,'Project Reference'!$B$2:$F$41,5), " ")</f>
        <v xml:space="preserve"> </v>
      </c>
      <c r="O133" s="8" t="str">
        <f>IFERROR(VLOOKUP($A133,'Project Reference'!$B$2:$G$41,6), " ")</f>
        <v xml:space="preserve"> </v>
      </c>
      <c r="P133" s="8" t="str">
        <f>IFERROR(VLOOKUP($A133,'Project Reference'!$B$2:$H$41,7), " ")</f>
        <v xml:space="preserve"> </v>
      </c>
      <c r="Q133" s="8" t="str">
        <f>IFERROR(VLOOKUP($A133,'Project Reference'!$B$2:$I$41,8), " ")</f>
        <v xml:space="preserve"> </v>
      </c>
      <c r="R133" s="8" t="str">
        <f>IFERROR(VLOOKUP($A133,'Project Reference'!$B$2:$J$41,9), " ")</f>
        <v xml:space="preserve"> </v>
      </c>
      <c r="S133" s="8" t="str">
        <f>IFERROR(VLOOKUP($A133,'Project Reference'!$B$2:$K$41,10), " ")</f>
        <v xml:space="preserve"> </v>
      </c>
      <c r="T133" s="8" t="str">
        <f>IFERROR(VLOOKUP($A133,'Project Reference'!$B$2:$L$41,11), " ")</f>
        <v xml:space="preserve"> </v>
      </c>
      <c r="U133" s="8" t="str">
        <f>IFERROR(VLOOKUP($A133,'Project Reference'!$B$2:$M$41,12), " ")</f>
        <v xml:space="preserve"> </v>
      </c>
      <c r="V133" s="8" t="str">
        <f>IFERROR(VLOOKUP($A133,'Project Reference'!$B$2:$N$41,13), " ")</f>
        <v xml:space="preserve"> </v>
      </c>
      <c r="W133" s="8" t="str">
        <f>IFERROR(VLOOKUP($A133,'Project Reference'!$B$2:$O$41,14), " ")</f>
        <v xml:space="preserve"> </v>
      </c>
      <c r="X133" s="8" t="str">
        <f>IFERROR(VLOOKUP($A133,'Project Reference'!$B$2:$P$41,15), " ")</f>
        <v xml:space="preserve"> </v>
      </c>
      <c r="Y133" s="9" t="str">
        <f>IFERROR(VLOOKUP($A133,'Project Reference'!$B$2:$Q$41,16), " ")</f>
        <v xml:space="preserve"> </v>
      </c>
      <c r="Z133" s="22"/>
    </row>
    <row r="134" spans="1:26" s="1" customFormat="1" x14ac:dyDescent="0.45">
      <c r="A134" s="70"/>
      <c r="B134" s="53" t="str">
        <f>IFERROR(VLOOKUP($A134,'Project Reference'!$S$2:$T$41,2),"Enter Project Number")</f>
        <v>Enter Project Number</v>
      </c>
      <c r="C134" s="54"/>
      <c r="D134" s="8"/>
      <c r="E134" s="8"/>
      <c r="F134" s="8"/>
      <c r="G134" s="8"/>
      <c r="H134" s="47"/>
      <c r="I134" s="9"/>
      <c r="J134" s="23"/>
      <c r="K134" s="47" t="str">
        <f>IFERROR(VLOOKUP($A134,'Project Reference'!$B$2:$C$41,2), " ")</f>
        <v xml:space="preserve"> </v>
      </c>
      <c r="L134" s="8" t="str">
        <f>IFERROR(VLOOKUP($A134,'Project Reference'!$B$2:$D$41,3), " ")</f>
        <v xml:space="preserve"> </v>
      </c>
      <c r="M134" s="54" t="str">
        <f>IFERROR(VLOOKUP($A134,'Project Reference'!$B$2:$E$41,4), " ")</f>
        <v xml:space="preserve"> </v>
      </c>
      <c r="N134" s="8" t="str">
        <f>IFERROR(VLOOKUP($A134,'Project Reference'!$B$2:$F$41,5), " ")</f>
        <v xml:space="preserve"> </v>
      </c>
      <c r="O134" s="8" t="str">
        <f>IFERROR(VLOOKUP($A134,'Project Reference'!$B$2:$G$41,6), " ")</f>
        <v xml:space="preserve"> </v>
      </c>
      <c r="P134" s="8" t="str">
        <f>IFERROR(VLOOKUP($A134,'Project Reference'!$B$2:$H$41,7), " ")</f>
        <v xml:space="preserve"> </v>
      </c>
      <c r="Q134" s="8" t="str">
        <f>IFERROR(VLOOKUP($A134,'Project Reference'!$B$2:$I$41,8), " ")</f>
        <v xml:space="preserve"> </v>
      </c>
      <c r="R134" s="8" t="str">
        <f>IFERROR(VLOOKUP($A134,'Project Reference'!$B$2:$J$41,9), " ")</f>
        <v xml:space="preserve"> </v>
      </c>
      <c r="S134" s="8" t="str">
        <f>IFERROR(VLOOKUP($A134,'Project Reference'!$B$2:$K$41,10), " ")</f>
        <v xml:space="preserve"> </v>
      </c>
      <c r="T134" s="8" t="str">
        <f>IFERROR(VLOOKUP($A134,'Project Reference'!$B$2:$L$41,11), " ")</f>
        <v xml:space="preserve"> </v>
      </c>
      <c r="U134" s="8" t="str">
        <f>IFERROR(VLOOKUP($A134,'Project Reference'!$B$2:$M$41,12), " ")</f>
        <v xml:space="preserve"> </v>
      </c>
      <c r="V134" s="8" t="str">
        <f>IFERROR(VLOOKUP($A134,'Project Reference'!$B$2:$N$41,13), " ")</f>
        <v xml:space="preserve"> </v>
      </c>
      <c r="W134" s="8" t="str">
        <f>IFERROR(VLOOKUP($A134,'Project Reference'!$B$2:$O$41,14), " ")</f>
        <v xml:space="preserve"> </v>
      </c>
      <c r="X134" s="8" t="str">
        <f>IFERROR(VLOOKUP($A134,'Project Reference'!$B$2:$P$41,15), " ")</f>
        <v xml:space="preserve"> </v>
      </c>
      <c r="Y134" s="9" t="str">
        <f>IFERROR(VLOOKUP($A134,'Project Reference'!$B$2:$Q$41,16), " ")</f>
        <v xml:space="preserve"> </v>
      </c>
      <c r="Z134" s="22"/>
    </row>
    <row r="135" spans="1:26" s="1" customFormat="1" x14ac:dyDescent="0.45">
      <c r="A135" s="70"/>
      <c r="B135" s="53" t="str">
        <f>IFERROR(VLOOKUP($A135,'Project Reference'!$S$2:$T$41,2),"Enter Project Number")</f>
        <v>Enter Project Number</v>
      </c>
      <c r="C135" s="54"/>
      <c r="D135" s="8"/>
      <c r="E135" s="8"/>
      <c r="F135" s="8"/>
      <c r="G135" s="8"/>
      <c r="H135" s="47"/>
      <c r="I135" s="9"/>
      <c r="J135" s="23"/>
      <c r="K135" s="47" t="str">
        <f>IFERROR(VLOOKUP($A135,'Project Reference'!$B$2:$C$41,2), " ")</f>
        <v xml:space="preserve"> </v>
      </c>
      <c r="L135" s="8" t="str">
        <f>IFERROR(VLOOKUP($A135,'Project Reference'!$B$2:$D$41,3), " ")</f>
        <v xml:space="preserve"> </v>
      </c>
      <c r="M135" s="54" t="str">
        <f>IFERROR(VLOOKUP($A135,'Project Reference'!$B$2:$E$41,4), " ")</f>
        <v xml:space="preserve"> </v>
      </c>
      <c r="N135" s="8" t="str">
        <f>IFERROR(VLOOKUP($A135,'Project Reference'!$B$2:$F$41,5), " ")</f>
        <v xml:space="preserve"> </v>
      </c>
      <c r="O135" s="8" t="str">
        <f>IFERROR(VLOOKUP($A135,'Project Reference'!$B$2:$G$41,6), " ")</f>
        <v xml:space="preserve"> </v>
      </c>
      <c r="P135" s="8" t="str">
        <f>IFERROR(VLOOKUP($A135,'Project Reference'!$B$2:$H$41,7), " ")</f>
        <v xml:space="preserve"> </v>
      </c>
      <c r="Q135" s="8" t="str">
        <f>IFERROR(VLOOKUP($A135,'Project Reference'!$B$2:$I$41,8), " ")</f>
        <v xml:space="preserve"> </v>
      </c>
      <c r="R135" s="8" t="str">
        <f>IFERROR(VLOOKUP($A135,'Project Reference'!$B$2:$J$41,9), " ")</f>
        <v xml:space="preserve"> </v>
      </c>
      <c r="S135" s="8" t="str">
        <f>IFERROR(VLOOKUP($A135,'Project Reference'!$B$2:$K$41,10), " ")</f>
        <v xml:space="preserve"> </v>
      </c>
      <c r="T135" s="8" t="str">
        <f>IFERROR(VLOOKUP($A135,'Project Reference'!$B$2:$L$41,11), " ")</f>
        <v xml:space="preserve"> </v>
      </c>
      <c r="U135" s="8" t="str">
        <f>IFERROR(VLOOKUP($A135,'Project Reference'!$B$2:$M$41,12), " ")</f>
        <v xml:space="preserve"> </v>
      </c>
      <c r="V135" s="8" t="str">
        <f>IFERROR(VLOOKUP($A135,'Project Reference'!$B$2:$N$41,13), " ")</f>
        <v xml:space="preserve"> </v>
      </c>
      <c r="W135" s="8" t="str">
        <f>IFERROR(VLOOKUP($A135,'Project Reference'!$B$2:$O$41,14), " ")</f>
        <v xml:space="preserve"> </v>
      </c>
      <c r="X135" s="8" t="str">
        <f>IFERROR(VLOOKUP($A135,'Project Reference'!$B$2:$P$41,15), " ")</f>
        <v xml:space="preserve"> </v>
      </c>
      <c r="Y135" s="9" t="str">
        <f>IFERROR(VLOOKUP($A135,'Project Reference'!$B$2:$Q$41,16), " ")</f>
        <v xml:space="preserve"> </v>
      </c>
      <c r="Z135" s="22"/>
    </row>
    <row r="136" spans="1:26" s="1" customFormat="1" x14ac:dyDescent="0.45">
      <c r="A136" s="70"/>
      <c r="B136" s="53" t="str">
        <f>IFERROR(VLOOKUP($A136,'Project Reference'!$S$2:$T$41,2),"Enter Project Number")</f>
        <v>Enter Project Number</v>
      </c>
      <c r="C136" s="54"/>
      <c r="D136" s="8"/>
      <c r="E136" s="8"/>
      <c r="F136" s="8"/>
      <c r="G136" s="8"/>
      <c r="H136" s="47"/>
      <c r="I136" s="9"/>
      <c r="J136" s="23"/>
      <c r="K136" s="47" t="str">
        <f>IFERROR(VLOOKUP($A136,'Project Reference'!$B$2:$C$41,2), " ")</f>
        <v xml:space="preserve"> </v>
      </c>
      <c r="L136" s="8" t="str">
        <f>IFERROR(VLOOKUP($A136,'Project Reference'!$B$2:$D$41,3), " ")</f>
        <v xml:space="preserve"> </v>
      </c>
      <c r="M136" s="54" t="str">
        <f>IFERROR(VLOOKUP($A136,'Project Reference'!$B$2:$E$41,4), " ")</f>
        <v xml:space="preserve"> </v>
      </c>
      <c r="N136" s="8" t="str">
        <f>IFERROR(VLOOKUP($A136,'Project Reference'!$B$2:$F$41,5), " ")</f>
        <v xml:space="preserve"> </v>
      </c>
      <c r="O136" s="8" t="str">
        <f>IFERROR(VLOOKUP($A136,'Project Reference'!$B$2:$G$41,6), " ")</f>
        <v xml:space="preserve"> </v>
      </c>
      <c r="P136" s="8" t="str">
        <f>IFERROR(VLOOKUP($A136,'Project Reference'!$B$2:$H$41,7), " ")</f>
        <v xml:space="preserve"> </v>
      </c>
      <c r="Q136" s="8" t="str">
        <f>IFERROR(VLOOKUP($A136,'Project Reference'!$B$2:$I$41,8), " ")</f>
        <v xml:space="preserve"> </v>
      </c>
      <c r="R136" s="8" t="str">
        <f>IFERROR(VLOOKUP($A136,'Project Reference'!$B$2:$J$41,9), " ")</f>
        <v xml:space="preserve"> </v>
      </c>
      <c r="S136" s="8" t="str">
        <f>IFERROR(VLOOKUP($A136,'Project Reference'!$B$2:$K$41,10), " ")</f>
        <v xml:space="preserve"> </v>
      </c>
      <c r="T136" s="8" t="str">
        <f>IFERROR(VLOOKUP($A136,'Project Reference'!$B$2:$L$41,11), " ")</f>
        <v xml:space="preserve"> </v>
      </c>
      <c r="U136" s="8" t="str">
        <f>IFERROR(VLOOKUP($A136,'Project Reference'!$B$2:$M$41,12), " ")</f>
        <v xml:space="preserve"> </v>
      </c>
      <c r="V136" s="8" t="str">
        <f>IFERROR(VLOOKUP($A136,'Project Reference'!$B$2:$N$41,13), " ")</f>
        <v xml:space="preserve"> </v>
      </c>
      <c r="W136" s="8" t="str">
        <f>IFERROR(VLOOKUP($A136,'Project Reference'!$B$2:$O$41,14), " ")</f>
        <v xml:space="preserve"> </v>
      </c>
      <c r="X136" s="8" t="str">
        <f>IFERROR(VLOOKUP($A136,'Project Reference'!$B$2:$P$41,15), " ")</f>
        <v xml:space="preserve"> </v>
      </c>
      <c r="Y136" s="9" t="str">
        <f>IFERROR(VLOOKUP($A136,'Project Reference'!$B$2:$Q$41,16), " ")</f>
        <v xml:space="preserve"> </v>
      </c>
      <c r="Z136" s="22"/>
    </row>
    <row r="137" spans="1:26" s="1" customFormat="1" x14ac:dyDescent="0.45">
      <c r="A137" s="70"/>
      <c r="B137" s="53" t="str">
        <f>IFERROR(VLOOKUP($A137,'Project Reference'!$S$2:$T$41,2),"Enter Project Number")</f>
        <v>Enter Project Number</v>
      </c>
      <c r="C137" s="54"/>
      <c r="D137" s="8"/>
      <c r="E137" s="8"/>
      <c r="F137" s="8"/>
      <c r="G137" s="8"/>
      <c r="H137" s="47"/>
      <c r="I137" s="9"/>
      <c r="J137" s="23"/>
      <c r="K137" s="47" t="str">
        <f>IFERROR(VLOOKUP($A137,'Project Reference'!$B$2:$C$41,2), " ")</f>
        <v xml:space="preserve"> </v>
      </c>
      <c r="L137" s="8" t="str">
        <f>IFERROR(VLOOKUP($A137,'Project Reference'!$B$2:$D$41,3), " ")</f>
        <v xml:space="preserve"> </v>
      </c>
      <c r="M137" s="54" t="str">
        <f>IFERROR(VLOOKUP($A137,'Project Reference'!$B$2:$E$41,4), " ")</f>
        <v xml:space="preserve"> </v>
      </c>
      <c r="N137" s="8" t="str">
        <f>IFERROR(VLOOKUP($A137,'Project Reference'!$B$2:$F$41,5), " ")</f>
        <v xml:space="preserve"> </v>
      </c>
      <c r="O137" s="8" t="str">
        <f>IFERROR(VLOOKUP($A137,'Project Reference'!$B$2:$G$41,6), " ")</f>
        <v xml:space="preserve"> </v>
      </c>
      <c r="P137" s="8" t="str">
        <f>IFERROR(VLOOKUP($A137,'Project Reference'!$B$2:$H$41,7), " ")</f>
        <v xml:space="preserve"> </v>
      </c>
      <c r="Q137" s="8" t="str">
        <f>IFERROR(VLOOKUP($A137,'Project Reference'!$B$2:$I$41,8), " ")</f>
        <v xml:space="preserve"> </v>
      </c>
      <c r="R137" s="8" t="str">
        <f>IFERROR(VLOOKUP($A137,'Project Reference'!$B$2:$J$41,9), " ")</f>
        <v xml:space="preserve"> </v>
      </c>
      <c r="S137" s="8" t="str">
        <f>IFERROR(VLOOKUP($A137,'Project Reference'!$B$2:$K$41,10), " ")</f>
        <v xml:space="preserve"> </v>
      </c>
      <c r="T137" s="8" t="str">
        <f>IFERROR(VLOOKUP($A137,'Project Reference'!$B$2:$L$41,11), " ")</f>
        <v xml:space="preserve"> </v>
      </c>
      <c r="U137" s="8" t="str">
        <f>IFERROR(VLOOKUP($A137,'Project Reference'!$B$2:$M$41,12), " ")</f>
        <v xml:space="preserve"> </v>
      </c>
      <c r="V137" s="8" t="str">
        <f>IFERROR(VLOOKUP($A137,'Project Reference'!$B$2:$N$41,13), " ")</f>
        <v xml:space="preserve"> </v>
      </c>
      <c r="W137" s="8" t="str">
        <f>IFERROR(VLOOKUP($A137,'Project Reference'!$B$2:$O$41,14), " ")</f>
        <v xml:space="preserve"> </v>
      </c>
      <c r="X137" s="8" t="str">
        <f>IFERROR(VLOOKUP($A137,'Project Reference'!$B$2:$P$41,15), " ")</f>
        <v xml:space="preserve"> </v>
      </c>
      <c r="Y137" s="9" t="str">
        <f>IFERROR(VLOOKUP($A137,'Project Reference'!$B$2:$Q$41,16), " ")</f>
        <v xml:space="preserve"> </v>
      </c>
      <c r="Z137" s="22"/>
    </row>
    <row r="138" spans="1:26" s="1" customFormat="1" x14ac:dyDescent="0.45">
      <c r="A138" s="70"/>
      <c r="B138" s="53" t="str">
        <f>IFERROR(VLOOKUP($A138,'Project Reference'!$S$2:$T$41,2),"Enter Project Number")</f>
        <v>Enter Project Number</v>
      </c>
      <c r="C138" s="54"/>
      <c r="D138" s="8"/>
      <c r="E138" s="8"/>
      <c r="F138" s="8"/>
      <c r="G138" s="8"/>
      <c r="H138" s="47"/>
      <c r="I138" s="9"/>
      <c r="J138" s="23"/>
      <c r="K138" s="47" t="str">
        <f>IFERROR(VLOOKUP($A138,'Project Reference'!$B$2:$C$41,2), " ")</f>
        <v xml:space="preserve"> </v>
      </c>
      <c r="L138" s="8" t="str">
        <f>IFERROR(VLOOKUP($A138,'Project Reference'!$B$2:$D$41,3), " ")</f>
        <v xml:space="preserve"> </v>
      </c>
      <c r="M138" s="54" t="str">
        <f>IFERROR(VLOOKUP($A138,'Project Reference'!$B$2:$E$41,4), " ")</f>
        <v xml:space="preserve"> </v>
      </c>
      <c r="N138" s="8" t="str">
        <f>IFERROR(VLOOKUP($A138,'Project Reference'!$B$2:$F$41,5), " ")</f>
        <v xml:space="preserve"> </v>
      </c>
      <c r="O138" s="8" t="str">
        <f>IFERROR(VLOOKUP($A138,'Project Reference'!$B$2:$G$41,6), " ")</f>
        <v xml:space="preserve"> </v>
      </c>
      <c r="P138" s="8" t="str">
        <f>IFERROR(VLOOKUP($A138,'Project Reference'!$B$2:$H$41,7), " ")</f>
        <v xml:space="preserve"> </v>
      </c>
      <c r="Q138" s="8" t="str">
        <f>IFERROR(VLOOKUP($A138,'Project Reference'!$B$2:$I$41,8), " ")</f>
        <v xml:space="preserve"> </v>
      </c>
      <c r="R138" s="8" t="str">
        <f>IFERROR(VLOOKUP($A138,'Project Reference'!$B$2:$J$41,9), " ")</f>
        <v xml:space="preserve"> </v>
      </c>
      <c r="S138" s="8" t="str">
        <f>IFERROR(VLOOKUP($A138,'Project Reference'!$B$2:$K$41,10), " ")</f>
        <v xml:space="preserve"> </v>
      </c>
      <c r="T138" s="8" t="str">
        <f>IFERROR(VLOOKUP($A138,'Project Reference'!$B$2:$L$41,11), " ")</f>
        <v xml:space="preserve"> </v>
      </c>
      <c r="U138" s="8" t="str">
        <f>IFERROR(VLOOKUP($A138,'Project Reference'!$B$2:$M$41,12), " ")</f>
        <v xml:space="preserve"> </v>
      </c>
      <c r="V138" s="8" t="str">
        <f>IFERROR(VLOOKUP($A138,'Project Reference'!$B$2:$N$41,13), " ")</f>
        <v xml:space="preserve"> </v>
      </c>
      <c r="W138" s="8" t="str">
        <f>IFERROR(VLOOKUP($A138,'Project Reference'!$B$2:$O$41,14), " ")</f>
        <v xml:space="preserve"> </v>
      </c>
      <c r="X138" s="8" t="str">
        <f>IFERROR(VLOOKUP($A138,'Project Reference'!$B$2:$P$41,15), " ")</f>
        <v xml:space="preserve"> </v>
      </c>
      <c r="Y138" s="9" t="str">
        <f>IFERROR(VLOOKUP($A138,'Project Reference'!$B$2:$Q$41,16), " ")</f>
        <v xml:space="preserve"> </v>
      </c>
      <c r="Z138" s="22"/>
    </row>
    <row r="139" spans="1:26" s="1" customFormat="1" x14ac:dyDescent="0.45">
      <c r="A139" s="70"/>
      <c r="B139" s="53" t="str">
        <f>IFERROR(VLOOKUP($A139,'Project Reference'!$S$2:$T$41,2),"Enter Project Number")</f>
        <v>Enter Project Number</v>
      </c>
      <c r="C139" s="54"/>
      <c r="D139" s="8"/>
      <c r="E139" s="8"/>
      <c r="F139" s="8"/>
      <c r="G139" s="8"/>
      <c r="H139" s="47"/>
      <c r="I139" s="9"/>
      <c r="J139" s="23"/>
      <c r="K139" s="47" t="str">
        <f>IFERROR(VLOOKUP($A139,'Project Reference'!$B$2:$C$41,2), " ")</f>
        <v xml:space="preserve"> </v>
      </c>
      <c r="L139" s="8" t="str">
        <f>IFERROR(VLOOKUP($A139,'Project Reference'!$B$2:$D$41,3), " ")</f>
        <v xml:space="preserve"> </v>
      </c>
      <c r="M139" s="54" t="str">
        <f>IFERROR(VLOOKUP($A139,'Project Reference'!$B$2:$E$41,4), " ")</f>
        <v xml:space="preserve"> </v>
      </c>
      <c r="N139" s="8" t="str">
        <f>IFERROR(VLOOKUP($A139,'Project Reference'!$B$2:$F$41,5), " ")</f>
        <v xml:space="preserve"> </v>
      </c>
      <c r="O139" s="8" t="str">
        <f>IFERROR(VLOOKUP($A139,'Project Reference'!$B$2:$G$41,6), " ")</f>
        <v xml:space="preserve"> </v>
      </c>
      <c r="P139" s="8" t="str">
        <f>IFERROR(VLOOKUP($A139,'Project Reference'!$B$2:$H$41,7), " ")</f>
        <v xml:space="preserve"> </v>
      </c>
      <c r="Q139" s="8" t="str">
        <f>IFERROR(VLOOKUP($A139,'Project Reference'!$B$2:$I$41,8), " ")</f>
        <v xml:space="preserve"> </v>
      </c>
      <c r="R139" s="8" t="str">
        <f>IFERROR(VLOOKUP($A139,'Project Reference'!$B$2:$J$41,9), " ")</f>
        <v xml:space="preserve"> </v>
      </c>
      <c r="S139" s="8" t="str">
        <f>IFERROR(VLOOKUP($A139,'Project Reference'!$B$2:$K$41,10), " ")</f>
        <v xml:space="preserve"> </v>
      </c>
      <c r="T139" s="8" t="str">
        <f>IFERROR(VLOOKUP($A139,'Project Reference'!$B$2:$L$41,11), " ")</f>
        <v xml:space="preserve"> </v>
      </c>
      <c r="U139" s="8" t="str">
        <f>IFERROR(VLOOKUP($A139,'Project Reference'!$B$2:$M$41,12), " ")</f>
        <v xml:space="preserve"> </v>
      </c>
      <c r="V139" s="8" t="str">
        <f>IFERROR(VLOOKUP($A139,'Project Reference'!$B$2:$N$41,13), " ")</f>
        <v xml:space="preserve"> </v>
      </c>
      <c r="W139" s="8" t="str">
        <f>IFERROR(VLOOKUP($A139,'Project Reference'!$B$2:$O$41,14), " ")</f>
        <v xml:space="preserve"> </v>
      </c>
      <c r="X139" s="8" t="str">
        <f>IFERROR(VLOOKUP($A139,'Project Reference'!$B$2:$P$41,15), " ")</f>
        <v xml:space="preserve"> </v>
      </c>
      <c r="Y139" s="9" t="str">
        <f>IFERROR(VLOOKUP($A139,'Project Reference'!$B$2:$Q$41,16), " ")</f>
        <v xml:space="preserve"> </v>
      </c>
      <c r="Z139" s="22"/>
    </row>
    <row r="140" spans="1:26" s="1" customFormat="1" x14ac:dyDescent="0.45">
      <c r="A140" s="70"/>
      <c r="B140" s="53" t="str">
        <f>IFERROR(VLOOKUP($A140,'Project Reference'!$S$2:$T$41,2),"Enter Project Number")</f>
        <v>Enter Project Number</v>
      </c>
      <c r="C140" s="54"/>
      <c r="D140" s="8"/>
      <c r="E140" s="8"/>
      <c r="F140" s="8"/>
      <c r="G140" s="8"/>
      <c r="H140" s="47"/>
      <c r="I140" s="9"/>
      <c r="J140" s="23"/>
      <c r="K140" s="47" t="str">
        <f>IFERROR(VLOOKUP($A140,'Project Reference'!$B$2:$C$41,2), " ")</f>
        <v xml:space="preserve"> </v>
      </c>
      <c r="L140" s="8" t="str">
        <f>IFERROR(VLOOKUP($A140,'Project Reference'!$B$2:$D$41,3), " ")</f>
        <v xml:space="preserve"> </v>
      </c>
      <c r="M140" s="54" t="str">
        <f>IFERROR(VLOOKUP($A140,'Project Reference'!$B$2:$E$41,4), " ")</f>
        <v xml:space="preserve"> </v>
      </c>
      <c r="N140" s="8" t="str">
        <f>IFERROR(VLOOKUP($A140,'Project Reference'!$B$2:$F$41,5), " ")</f>
        <v xml:space="preserve"> </v>
      </c>
      <c r="O140" s="8" t="str">
        <f>IFERROR(VLOOKUP($A140,'Project Reference'!$B$2:$G$41,6), " ")</f>
        <v xml:space="preserve"> </v>
      </c>
      <c r="P140" s="8" t="str">
        <f>IFERROR(VLOOKUP($A140,'Project Reference'!$B$2:$H$41,7), " ")</f>
        <v xml:space="preserve"> </v>
      </c>
      <c r="Q140" s="8" t="str">
        <f>IFERROR(VLOOKUP($A140,'Project Reference'!$B$2:$I$41,8), " ")</f>
        <v xml:space="preserve"> </v>
      </c>
      <c r="R140" s="8" t="str">
        <f>IFERROR(VLOOKUP($A140,'Project Reference'!$B$2:$J$41,9), " ")</f>
        <v xml:space="preserve"> </v>
      </c>
      <c r="S140" s="8" t="str">
        <f>IFERROR(VLOOKUP($A140,'Project Reference'!$B$2:$K$41,10), " ")</f>
        <v xml:space="preserve"> </v>
      </c>
      <c r="T140" s="8" t="str">
        <f>IFERROR(VLOOKUP($A140,'Project Reference'!$B$2:$L$41,11), " ")</f>
        <v xml:space="preserve"> </v>
      </c>
      <c r="U140" s="8" t="str">
        <f>IFERROR(VLOOKUP($A140,'Project Reference'!$B$2:$M$41,12), " ")</f>
        <v xml:space="preserve"> </v>
      </c>
      <c r="V140" s="8" t="str">
        <f>IFERROR(VLOOKUP($A140,'Project Reference'!$B$2:$N$41,13), " ")</f>
        <v xml:space="preserve"> </v>
      </c>
      <c r="W140" s="8" t="str">
        <f>IFERROR(VLOOKUP($A140,'Project Reference'!$B$2:$O$41,14), " ")</f>
        <v xml:space="preserve"> </v>
      </c>
      <c r="X140" s="8" t="str">
        <f>IFERROR(VLOOKUP($A140,'Project Reference'!$B$2:$P$41,15), " ")</f>
        <v xml:space="preserve"> </v>
      </c>
      <c r="Y140" s="9" t="str">
        <f>IFERROR(VLOOKUP($A140,'Project Reference'!$B$2:$Q$41,16), " ")</f>
        <v xml:space="preserve"> </v>
      </c>
      <c r="Z140" s="22"/>
    </row>
    <row r="141" spans="1:26" s="1" customFormat="1" x14ac:dyDescent="0.45">
      <c r="A141" s="70"/>
      <c r="B141" s="53" t="str">
        <f>IFERROR(VLOOKUP($A141,'Project Reference'!$S$2:$T$41,2),"Enter Project Number")</f>
        <v>Enter Project Number</v>
      </c>
      <c r="C141" s="54"/>
      <c r="D141" s="8"/>
      <c r="E141" s="8"/>
      <c r="F141" s="8"/>
      <c r="G141" s="8"/>
      <c r="H141" s="47"/>
      <c r="I141" s="9"/>
      <c r="J141" s="23"/>
      <c r="K141" s="47" t="str">
        <f>IFERROR(VLOOKUP($A141,'Project Reference'!$B$2:$C$41,2), " ")</f>
        <v xml:space="preserve"> </v>
      </c>
      <c r="L141" s="8" t="str">
        <f>IFERROR(VLOOKUP($A141,'Project Reference'!$B$2:$D$41,3), " ")</f>
        <v xml:space="preserve"> </v>
      </c>
      <c r="M141" s="54" t="str">
        <f>IFERROR(VLOOKUP($A141,'Project Reference'!$B$2:$E$41,4), " ")</f>
        <v xml:space="preserve"> </v>
      </c>
      <c r="N141" s="8" t="str">
        <f>IFERROR(VLOOKUP($A141,'Project Reference'!$B$2:$F$41,5), " ")</f>
        <v xml:space="preserve"> </v>
      </c>
      <c r="O141" s="8" t="str">
        <f>IFERROR(VLOOKUP($A141,'Project Reference'!$B$2:$G$41,6), " ")</f>
        <v xml:space="preserve"> </v>
      </c>
      <c r="P141" s="8" t="str">
        <f>IFERROR(VLOOKUP($A141,'Project Reference'!$B$2:$H$41,7), " ")</f>
        <v xml:space="preserve"> </v>
      </c>
      <c r="Q141" s="8" t="str">
        <f>IFERROR(VLOOKUP($A141,'Project Reference'!$B$2:$I$41,8), " ")</f>
        <v xml:space="preserve"> </v>
      </c>
      <c r="R141" s="8" t="str">
        <f>IFERROR(VLOOKUP($A141,'Project Reference'!$B$2:$J$41,9), " ")</f>
        <v xml:space="preserve"> </v>
      </c>
      <c r="S141" s="8" t="str">
        <f>IFERROR(VLOOKUP($A141,'Project Reference'!$B$2:$K$41,10), " ")</f>
        <v xml:space="preserve"> </v>
      </c>
      <c r="T141" s="8" t="str">
        <f>IFERROR(VLOOKUP($A141,'Project Reference'!$B$2:$L$41,11), " ")</f>
        <v xml:space="preserve"> </v>
      </c>
      <c r="U141" s="8" t="str">
        <f>IFERROR(VLOOKUP($A141,'Project Reference'!$B$2:$M$41,12), " ")</f>
        <v xml:space="preserve"> </v>
      </c>
      <c r="V141" s="8" t="str">
        <f>IFERROR(VLOOKUP($A141,'Project Reference'!$B$2:$N$41,13), " ")</f>
        <v xml:space="preserve"> </v>
      </c>
      <c r="W141" s="8" t="str">
        <f>IFERROR(VLOOKUP($A141,'Project Reference'!$B$2:$O$41,14), " ")</f>
        <v xml:space="preserve"> </v>
      </c>
      <c r="X141" s="8" t="str">
        <f>IFERROR(VLOOKUP($A141,'Project Reference'!$B$2:$P$41,15), " ")</f>
        <v xml:space="preserve"> </v>
      </c>
      <c r="Y141" s="9" t="str">
        <f>IFERROR(VLOOKUP($A141,'Project Reference'!$B$2:$Q$41,16), " ")</f>
        <v xml:space="preserve"> </v>
      </c>
      <c r="Z141" s="22"/>
    </row>
    <row r="142" spans="1:26" s="1" customFormat="1" x14ac:dyDescent="0.45">
      <c r="A142" s="70"/>
      <c r="B142" s="53" t="str">
        <f>IFERROR(VLOOKUP($A142,'Project Reference'!$S$2:$T$41,2),"Enter Project Number")</f>
        <v>Enter Project Number</v>
      </c>
      <c r="C142" s="54"/>
      <c r="D142" s="8"/>
      <c r="E142" s="8"/>
      <c r="F142" s="8"/>
      <c r="G142" s="8"/>
      <c r="H142" s="47"/>
      <c r="I142" s="9"/>
      <c r="J142" s="23"/>
      <c r="K142" s="47" t="str">
        <f>IFERROR(VLOOKUP($A142,'Project Reference'!$B$2:$C$41,2), " ")</f>
        <v xml:space="preserve"> </v>
      </c>
      <c r="L142" s="8" t="str">
        <f>IFERROR(VLOOKUP($A142,'Project Reference'!$B$2:$D$41,3), " ")</f>
        <v xml:space="preserve"> </v>
      </c>
      <c r="M142" s="54" t="str">
        <f>IFERROR(VLOOKUP($A142,'Project Reference'!$B$2:$E$41,4), " ")</f>
        <v xml:space="preserve"> </v>
      </c>
      <c r="N142" s="8" t="str">
        <f>IFERROR(VLOOKUP($A142,'Project Reference'!$B$2:$F$41,5), " ")</f>
        <v xml:space="preserve"> </v>
      </c>
      <c r="O142" s="8" t="str">
        <f>IFERROR(VLOOKUP($A142,'Project Reference'!$B$2:$G$41,6), " ")</f>
        <v xml:space="preserve"> </v>
      </c>
      <c r="P142" s="8" t="str">
        <f>IFERROR(VLOOKUP($A142,'Project Reference'!$B$2:$H$41,7), " ")</f>
        <v xml:space="preserve"> </v>
      </c>
      <c r="Q142" s="8" t="str">
        <f>IFERROR(VLOOKUP($A142,'Project Reference'!$B$2:$I$41,8), " ")</f>
        <v xml:space="preserve"> </v>
      </c>
      <c r="R142" s="8" t="str">
        <f>IFERROR(VLOOKUP($A142,'Project Reference'!$B$2:$J$41,9), " ")</f>
        <v xml:space="preserve"> </v>
      </c>
      <c r="S142" s="8" t="str">
        <f>IFERROR(VLOOKUP($A142,'Project Reference'!$B$2:$K$41,10), " ")</f>
        <v xml:space="preserve"> </v>
      </c>
      <c r="T142" s="8" t="str">
        <f>IFERROR(VLOOKUP($A142,'Project Reference'!$B$2:$L$41,11), " ")</f>
        <v xml:space="preserve"> </v>
      </c>
      <c r="U142" s="8" t="str">
        <f>IFERROR(VLOOKUP($A142,'Project Reference'!$B$2:$M$41,12), " ")</f>
        <v xml:space="preserve"> </v>
      </c>
      <c r="V142" s="8" t="str">
        <f>IFERROR(VLOOKUP($A142,'Project Reference'!$B$2:$N$41,13), " ")</f>
        <v xml:space="preserve"> </v>
      </c>
      <c r="W142" s="8" t="str">
        <f>IFERROR(VLOOKUP($A142,'Project Reference'!$B$2:$O$41,14), " ")</f>
        <v xml:space="preserve"> </v>
      </c>
      <c r="X142" s="8" t="str">
        <f>IFERROR(VLOOKUP($A142,'Project Reference'!$B$2:$P$41,15), " ")</f>
        <v xml:space="preserve"> </v>
      </c>
      <c r="Y142" s="9" t="str">
        <f>IFERROR(VLOOKUP($A142,'Project Reference'!$B$2:$Q$41,16), " ")</f>
        <v xml:space="preserve"> </v>
      </c>
      <c r="Z142" s="22"/>
    </row>
    <row r="143" spans="1:26" s="1" customFormat="1" x14ac:dyDescent="0.45">
      <c r="A143" s="70"/>
      <c r="B143" s="53" t="str">
        <f>IFERROR(VLOOKUP($A143,'Project Reference'!$S$2:$T$41,2),"Enter Project Number")</f>
        <v>Enter Project Number</v>
      </c>
      <c r="C143" s="54"/>
      <c r="D143" s="8"/>
      <c r="E143" s="8"/>
      <c r="F143" s="8"/>
      <c r="G143" s="8"/>
      <c r="H143" s="47"/>
      <c r="I143" s="9"/>
      <c r="J143" s="23"/>
      <c r="K143" s="47" t="str">
        <f>IFERROR(VLOOKUP($A143,'Project Reference'!$B$2:$C$41,2), " ")</f>
        <v xml:space="preserve"> </v>
      </c>
      <c r="L143" s="8" t="str">
        <f>IFERROR(VLOOKUP($A143,'Project Reference'!$B$2:$D$41,3), " ")</f>
        <v xml:space="preserve"> </v>
      </c>
      <c r="M143" s="54" t="str">
        <f>IFERROR(VLOOKUP($A143,'Project Reference'!$B$2:$E$41,4), " ")</f>
        <v xml:space="preserve"> </v>
      </c>
      <c r="N143" s="8" t="str">
        <f>IFERROR(VLOOKUP($A143,'Project Reference'!$B$2:$F$41,5), " ")</f>
        <v xml:space="preserve"> </v>
      </c>
      <c r="O143" s="8" t="str">
        <f>IFERROR(VLOOKUP($A143,'Project Reference'!$B$2:$G$41,6), " ")</f>
        <v xml:space="preserve"> </v>
      </c>
      <c r="P143" s="8" t="str">
        <f>IFERROR(VLOOKUP($A143,'Project Reference'!$B$2:$H$41,7), " ")</f>
        <v xml:space="preserve"> </v>
      </c>
      <c r="Q143" s="8" t="str">
        <f>IFERROR(VLOOKUP($A143,'Project Reference'!$B$2:$I$41,8), " ")</f>
        <v xml:space="preserve"> </v>
      </c>
      <c r="R143" s="8" t="str">
        <f>IFERROR(VLOOKUP($A143,'Project Reference'!$B$2:$J$41,9), " ")</f>
        <v xml:space="preserve"> </v>
      </c>
      <c r="S143" s="8" t="str">
        <f>IFERROR(VLOOKUP($A143,'Project Reference'!$B$2:$K$41,10), " ")</f>
        <v xml:space="preserve"> </v>
      </c>
      <c r="T143" s="8" t="str">
        <f>IFERROR(VLOOKUP($A143,'Project Reference'!$B$2:$L$41,11), " ")</f>
        <v xml:space="preserve"> </v>
      </c>
      <c r="U143" s="8" t="str">
        <f>IFERROR(VLOOKUP($A143,'Project Reference'!$B$2:$M$41,12), " ")</f>
        <v xml:space="preserve"> </v>
      </c>
      <c r="V143" s="8" t="str">
        <f>IFERROR(VLOOKUP($A143,'Project Reference'!$B$2:$N$41,13), " ")</f>
        <v xml:space="preserve"> </v>
      </c>
      <c r="W143" s="8" t="str">
        <f>IFERROR(VLOOKUP($A143,'Project Reference'!$B$2:$O$41,14), " ")</f>
        <v xml:space="preserve"> </v>
      </c>
      <c r="X143" s="8" t="str">
        <f>IFERROR(VLOOKUP($A143,'Project Reference'!$B$2:$P$41,15), " ")</f>
        <v xml:space="preserve"> </v>
      </c>
      <c r="Y143" s="9" t="str">
        <f>IFERROR(VLOOKUP($A143,'Project Reference'!$B$2:$Q$41,16), " ")</f>
        <v xml:space="preserve"> </v>
      </c>
      <c r="Z143" s="22"/>
    </row>
    <row r="144" spans="1:26" s="1" customFormat="1" x14ac:dyDescent="0.45">
      <c r="A144" s="70"/>
      <c r="B144" s="53" t="str">
        <f>IFERROR(VLOOKUP($A144,'Project Reference'!$S$2:$T$41,2),"Enter Project Number")</f>
        <v>Enter Project Number</v>
      </c>
      <c r="C144" s="54"/>
      <c r="D144" s="8"/>
      <c r="E144" s="8"/>
      <c r="F144" s="8"/>
      <c r="G144" s="8"/>
      <c r="H144" s="47"/>
      <c r="I144" s="9"/>
      <c r="J144" s="23"/>
      <c r="K144" s="47" t="str">
        <f>IFERROR(VLOOKUP($A144,'Project Reference'!$B$2:$C$41,2), " ")</f>
        <v xml:space="preserve"> </v>
      </c>
      <c r="L144" s="8" t="str">
        <f>IFERROR(VLOOKUP($A144,'Project Reference'!$B$2:$D$41,3), " ")</f>
        <v xml:space="preserve"> </v>
      </c>
      <c r="M144" s="54" t="str">
        <f>IFERROR(VLOOKUP($A144,'Project Reference'!$B$2:$E$41,4), " ")</f>
        <v xml:space="preserve"> </v>
      </c>
      <c r="N144" s="8" t="str">
        <f>IFERROR(VLOOKUP($A144,'Project Reference'!$B$2:$F$41,5), " ")</f>
        <v xml:space="preserve"> </v>
      </c>
      <c r="O144" s="8" t="str">
        <f>IFERROR(VLOOKUP($A144,'Project Reference'!$B$2:$G$41,6), " ")</f>
        <v xml:space="preserve"> </v>
      </c>
      <c r="P144" s="8" t="str">
        <f>IFERROR(VLOOKUP($A144,'Project Reference'!$B$2:$H$41,7), " ")</f>
        <v xml:space="preserve"> </v>
      </c>
      <c r="Q144" s="8" t="str">
        <f>IFERROR(VLOOKUP($A144,'Project Reference'!$B$2:$I$41,8), " ")</f>
        <v xml:space="preserve"> </v>
      </c>
      <c r="R144" s="8" t="str">
        <f>IFERROR(VLOOKUP($A144,'Project Reference'!$B$2:$J$41,9), " ")</f>
        <v xml:space="preserve"> </v>
      </c>
      <c r="S144" s="8" t="str">
        <f>IFERROR(VLOOKUP($A144,'Project Reference'!$B$2:$K$41,10), " ")</f>
        <v xml:space="preserve"> </v>
      </c>
      <c r="T144" s="8" t="str">
        <f>IFERROR(VLOOKUP($A144,'Project Reference'!$B$2:$L$41,11), " ")</f>
        <v xml:space="preserve"> </v>
      </c>
      <c r="U144" s="8" t="str">
        <f>IFERROR(VLOOKUP($A144,'Project Reference'!$B$2:$M$41,12), " ")</f>
        <v xml:space="preserve"> </v>
      </c>
      <c r="V144" s="8" t="str">
        <f>IFERROR(VLOOKUP($A144,'Project Reference'!$B$2:$N$41,13), " ")</f>
        <v xml:space="preserve"> </v>
      </c>
      <c r="W144" s="8" t="str">
        <f>IFERROR(VLOOKUP($A144,'Project Reference'!$B$2:$O$41,14), " ")</f>
        <v xml:space="preserve"> </v>
      </c>
      <c r="X144" s="8" t="str">
        <f>IFERROR(VLOOKUP($A144,'Project Reference'!$B$2:$P$41,15), " ")</f>
        <v xml:space="preserve"> </v>
      </c>
      <c r="Y144" s="9" t="str">
        <f>IFERROR(VLOOKUP($A144,'Project Reference'!$B$2:$Q$41,16), " ")</f>
        <v xml:space="preserve"> </v>
      </c>
      <c r="Z144" s="22"/>
    </row>
    <row r="145" spans="1:26" s="1" customFormat="1" x14ac:dyDescent="0.45">
      <c r="A145" s="70"/>
      <c r="B145" s="53" t="str">
        <f>IFERROR(VLOOKUP($A145,'Project Reference'!$S$2:$T$41,2),"Enter Project Number")</f>
        <v>Enter Project Number</v>
      </c>
      <c r="C145" s="54"/>
      <c r="D145" s="8"/>
      <c r="E145" s="8"/>
      <c r="F145" s="8"/>
      <c r="G145" s="8"/>
      <c r="H145" s="47"/>
      <c r="I145" s="9"/>
      <c r="J145" s="23"/>
      <c r="K145" s="47" t="str">
        <f>IFERROR(VLOOKUP($A145,'Project Reference'!$B$2:$C$41,2), " ")</f>
        <v xml:space="preserve"> </v>
      </c>
      <c r="L145" s="8" t="str">
        <f>IFERROR(VLOOKUP($A145,'Project Reference'!$B$2:$D$41,3), " ")</f>
        <v xml:space="preserve"> </v>
      </c>
      <c r="M145" s="54" t="str">
        <f>IFERROR(VLOOKUP($A145,'Project Reference'!$B$2:$E$41,4), " ")</f>
        <v xml:space="preserve"> </v>
      </c>
      <c r="N145" s="8" t="str">
        <f>IFERROR(VLOOKUP($A145,'Project Reference'!$B$2:$F$41,5), " ")</f>
        <v xml:space="preserve"> </v>
      </c>
      <c r="O145" s="8" t="str">
        <f>IFERROR(VLOOKUP($A145,'Project Reference'!$B$2:$G$41,6), " ")</f>
        <v xml:space="preserve"> </v>
      </c>
      <c r="P145" s="8" t="str">
        <f>IFERROR(VLOOKUP($A145,'Project Reference'!$B$2:$H$41,7), " ")</f>
        <v xml:space="preserve"> </v>
      </c>
      <c r="Q145" s="8" t="str">
        <f>IFERROR(VLOOKUP($A145,'Project Reference'!$B$2:$I$41,8), " ")</f>
        <v xml:space="preserve"> </v>
      </c>
      <c r="R145" s="8" t="str">
        <f>IFERROR(VLOOKUP($A145,'Project Reference'!$B$2:$J$41,9), " ")</f>
        <v xml:space="preserve"> </v>
      </c>
      <c r="S145" s="8" t="str">
        <f>IFERROR(VLOOKUP($A145,'Project Reference'!$B$2:$K$41,10), " ")</f>
        <v xml:space="preserve"> </v>
      </c>
      <c r="T145" s="8" t="str">
        <f>IFERROR(VLOOKUP($A145,'Project Reference'!$B$2:$L$41,11), " ")</f>
        <v xml:space="preserve"> </v>
      </c>
      <c r="U145" s="8" t="str">
        <f>IFERROR(VLOOKUP($A145,'Project Reference'!$B$2:$M$41,12), " ")</f>
        <v xml:space="preserve"> </v>
      </c>
      <c r="V145" s="8" t="str">
        <f>IFERROR(VLOOKUP($A145,'Project Reference'!$B$2:$N$41,13), " ")</f>
        <v xml:space="preserve"> </v>
      </c>
      <c r="W145" s="8" t="str">
        <f>IFERROR(VLOOKUP($A145,'Project Reference'!$B$2:$O$41,14), " ")</f>
        <v xml:space="preserve"> </v>
      </c>
      <c r="X145" s="8" t="str">
        <f>IFERROR(VLOOKUP($A145,'Project Reference'!$B$2:$P$41,15), " ")</f>
        <v xml:space="preserve"> </v>
      </c>
      <c r="Y145" s="9" t="str">
        <f>IFERROR(VLOOKUP($A145,'Project Reference'!$B$2:$Q$41,16), " ")</f>
        <v xml:space="preserve"> </v>
      </c>
      <c r="Z145" s="22"/>
    </row>
    <row r="146" spans="1:26" s="1" customFormat="1" x14ac:dyDescent="0.45">
      <c r="A146" s="70"/>
      <c r="B146" s="53" t="str">
        <f>IFERROR(VLOOKUP($A146,'Project Reference'!$S$2:$T$41,2),"Enter Project Number")</f>
        <v>Enter Project Number</v>
      </c>
      <c r="C146" s="54"/>
      <c r="D146" s="8"/>
      <c r="E146" s="8"/>
      <c r="F146" s="8"/>
      <c r="G146" s="8"/>
      <c r="H146" s="47"/>
      <c r="I146" s="9"/>
      <c r="J146" s="23"/>
      <c r="K146" s="47" t="str">
        <f>IFERROR(VLOOKUP($A146,'Project Reference'!$B$2:$C$41,2), " ")</f>
        <v xml:space="preserve"> </v>
      </c>
      <c r="L146" s="8" t="str">
        <f>IFERROR(VLOOKUP($A146,'Project Reference'!$B$2:$D$41,3), " ")</f>
        <v xml:space="preserve"> </v>
      </c>
      <c r="M146" s="54" t="str">
        <f>IFERROR(VLOOKUP($A146,'Project Reference'!$B$2:$E$41,4), " ")</f>
        <v xml:space="preserve"> </v>
      </c>
      <c r="N146" s="8" t="str">
        <f>IFERROR(VLOOKUP($A146,'Project Reference'!$B$2:$F$41,5), " ")</f>
        <v xml:space="preserve"> </v>
      </c>
      <c r="O146" s="8" t="str">
        <f>IFERROR(VLOOKUP($A146,'Project Reference'!$B$2:$G$41,6), " ")</f>
        <v xml:space="preserve"> </v>
      </c>
      <c r="P146" s="8" t="str">
        <f>IFERROR(VLOOKUP($A146,'Project Reference'!$B$2:$H$41,7), " ")</f>
        <v xml:space="preserve"> </v>
      </c>
      <c r="Q146" s="8" t="str">
        <f>IFERROR(VLOOKUP($A146,'Project Reference'!$B$2:$I$41,8), " ")</f>
        <v xml:space="preserve"> </v>
      </c>
      <c r="R146" s="8" t="str">
        <f>IFERROR(VLOOKUP($A146,'Project Reference'!$B$2:$J$41,9), " ")</f>
        <v xml:space="preserve"> </v>
      </c>
      <c r="S146" s="8" t="str">
        <f>IFERROR(VLOOKUP($A146,'Project Reference'!$B$2:$K$41,10), " ")</f>
        <v xml:space="preserve"> </v>
      </c>
      <c r="T146" s="8" t="str">
        <f>IFERROR(VLOOKUP($A146,'Project Reference'!$B$2:$L$41,11), " ")</f>
        <v xml:space="preserve"> </v>
      </c>
      <c r="U146" s="8" t="str">
        <f>IFERROR(VLOOKUP($A146,'Project Reference'!$B$2:$M$41,12), " ")</f>
        <v xml:space="preserve"> </v>
      </c>
      <c r="V146" s="8" t="str">
        <f>IFERROR(VLOOKUP($A146,'Project Reference'!$B$2:$N$41,13), " ")</f>
        <v xml:space="preserve"> </v>
      </c>
      <c r="W146" s="8" t="str">
        <f>IFERROR(VLOOKUP($A146,'Project Reference'!$B$2:$O$41,14), " ")</f>
        <v xml:space="preserve"> </v>
      </c>
      <c r="X146" s="8" t="str">
        <f>IFERROR(VLOOKUP($A146,'Project Reference'!$B$2:$P$41,15), " ")</f>
        <v xml:space="preserve"> </v>
      </c>
      <c r="Y146" s="9" t="str">
        <f>IFERROR(VLOOKUP($A146,'Project Reference'!$B$2:$Q$41,16), " ")</f>
        <v xml:space="preserve"> </v>
      </c>
      <c r="Z146" s="22"/>
    </row>
    <row r="147" spans="1:26" s="1" customFormat="1" x14ac:dyDescent="0.45">
      <c r="A147" s="70"/>
      <c r="B147" s="53" t="str">
        <f>IFERROR(VLOOKUP($A147,'Project Reference'!$S$2:$T$41,2),"Enter Project Number")</f>
        <v>Enter Project Number</v>
      </c>
      <c r="C147" s="54"/>
      <c r="D147" s="8"/>
      <c r="E147" s="8"/>
      <c r="F147" s="8"/>
      <c r="G147" s="8"/>
      <c r="H147" s="47"/>
      <c r="I147" s="9"/>
      <c r="J147" s="23"/>
      <c r="K147" s="47" t="str">
        <f>IFERROR(VLOOKUP($A147,'Project Reference'!$B$2:$C$41,2), " ")</f>
        <v xml:space="preserve"> </v>
      </c>
      <c r="L147" s="8" t="str">
        <f>IFERROR(VLOOKUP($A147,'Project Reference'!$B$2:$D$41,3), " ")</f>
        <v xml:space="preserve"> </v>
      </c>
      <c r="M147" s="54" t="str">
        <f>IFERROR(VLOOKUP($A147,'Project Reference'!$B$2:$E$41,4), " ")</f>
        <v xml:space="preserve"> </v>
      </c>
      <c r="N147" s="8" t="str">
        <f>IFERROR(VLOOKUP($A147,'Project Reference'!$B$2:$F$41,5), " ")</f>
        <v xml:space="preserve"> </v>
      </c>
      <c r="O147" s="8" t="str">
        <f>IFERROR(VLOOKUP($A147,'Project Reference'!$B$2:$G$41,6), " ")</f>
        <v xml:space="preserve"> </v>
      </c>
      <c r="P147" s="8" t="str">
        <f>IFERROR(VLOOKUP($A147,'Project Reference'!$B$2:$H$41,7), " ")</f>
        <v xml:space="preserve"> </v>
      </c>
      <c r="Q147" s="8" t="str">
        <f>IFERROR(VLOOKUP($A147,'Project Reference'!$B$2:$I$41,8), " ")</f>
        <v xml:space="preserve"> </v>
      </c>
      <c r="R147" s="8" t="str">
        <f>IFERROR(VLOOKUP($A147,'Project Reference'!$B$2:$J$41,9), " ")</f>
        <v xml:space="preserve"> </v>
      </c>
      <c r="S147" s="8" t="str">
        <f>IFERROR(VLOOKUP($A147,'Project Reference'!$B$2:$K$41,10), " ")</f>
        <v xml:space="preserve"> </v>
      </c>
      <c r="T147" s="8" t="str">
        <f>IFERROR(VLOOKUP($A147,'Project Reference'!$B$2:$L$41,11), " ")</f>
        <v xml:space="preserve"> </v>
      </c>
      <c r="U147" s="8" t="str">
        <f>IFERROR(VLOOKUP($A147,'Project Reference'!$B$2:$M$41,12), " ")</f>
        <v xml:space="preserve"> </v>
      </c>
      <c r="V147" s="8" t="str">
        <f>IFERROR(VLOOKUP($A147,'Project Reference'!$B$2:$N$41,13), " ")</f>
        <v xml:space="preserve"> </v>
      </c>
      <c r="W147" s="8" t="str">
        <f>IFERROR(VLOOKUP($A147,'Project Reference'!$B$2:$O$41,14), " ")</f>
        <v xml:space="preserve"> </v>
      </c>
      <c r="X147" s="8" t="str">
        <f>IFERROR(VLOOKUP($A147,'Project Reference'!$B$2:$P$41,15), " ")</f>
        <v xml:space="preserve"> </v>
      </c>
      <c r="Y147" s="9" t="str">
        <f>IFERROR(VLOOKUP($A147,'Project Reference'!$B$2:$Q$41,16), " ")</f>
        <v xml:space="preserve"> </v>
      </c>
      <c r="Z147" s="22"/>
    </row>
    <row r="148" spans="1:26" s="1" customFormat="1" x14ac:dyDescent="0.45">
      <c r="A148" s="70"/>
      <c r="B148" s="53" t="str">
        <f>IFERROR(VLOOKUP($A148,'Project Reference'!$S$2:$T$41,2),"Enter Project Number")</f>
        <v>Enter Project Number</v>
      </c>
      <c r="C148" s="54"/>
      <c r="D148" s="8"/>
      <c r="E148" s="8"/>
      <c r="F148" s="8"/>
      <c r="G148" s="8"/>
      <c r="H148" s="47"/>
      <c r="I148" s="9"/>
      <c r="J148" s="23"/>
      <c r="K148" s="47" t="str">
        <f>IFERROR(VLOOKUP($A148,'Project Reference'!$B$2:$C$41,2), " ")</f>
        <v xml:space="preserve"> </v>
      </c>
      <c r="L148" s="8" t="str">
        <f>IFERROR(VLOOKUP($A148,'Project Reference'!$B$2:$D$41,3), " ")</f>
        <v xml:space="preserve"> </v>
      </c>
      <c r="M148" s="54" t="str">
        <f>IFERROR(VLOOKUP($A148,'Project Reference'!$B$2:$E$41,4), " ")</f>
        <v xml:space="preserve"> </v>
      </c>
      <c r="N148" s="8" t="str">
        <f>IFERROR(VLOOKUP($A148,'Project Reference'!$B$2:$F$41,5), " ")</f>
        <v xml:space="preserve"> </v>
      </c>
      <c r="O148" s="8" t="str">
        <f>IFERROR(VLOOKUP($A148,'Project Reference'!$B$2:$G$41,6), " ")</f>
        <v xml:space="preserve"> </v>
      </c>
      <c r="P148" s="8" t="str">
        <f>IFERROR(VLOOKUP($A148,'Project Reference'!$B$2:$H$41,7), " ")</f>
        <v xml:space="preserve"> </v>
      </c>
      <c r="Q148" s="8" t="str">
        <f>IFERROR(VLOOKUP($A148,'Project Reference'!$B$2:$I$41,8), " ")</f>
        <v xml:space="preserve"> </v>
      </c>
      <c r="R148" s="8" t="str">
        <f>IFERROR(VLOOKUP($A148,'Project Reference'!$B$2:$J$41,9), " ")</f>
        <v xml:space="preserve"> </v>
      </c>
      <c r="S148" s="8" t="str">
        <f>IFERROR(VLOOKUP($A148,'Project Reference'!$B$2:$K$41,10), " ")</f>
        <v xml:space="preserve"> </v>
      </c>
      <c r="T148" s="8" t="str">
        <f>IFERROR(VLOOKUP($A148,'Project Reference'!$B$2:$L$41,11), " ")</f>
        <v xml:space="preserve"> </v>
      </c>
      <c r="U148" s="8" t="str">
        <f>IFERROR(VLOOKUP($A148,'Project Reference'!$B$2:$M$41,12), " ")</f>
        <v xml:space="preserve"> </v>
      </c>
      <c r="V148" s="8" t="str">
        <f>IFERROR(VLOOKUP($A148,'Project Reference'!$B$2:$N$41,13), " ")</f>
        <v xml:space="preserve"> </v>
      </c>
      <c r="W148" s="8" t="str">
        <f>IFERROR(VLOOKUP($A148,'Project Reference'!$B$2:$O$41,14), " ")</f>
        <v xml:space="preserve"> </v>
      </c>
      <c r="X148" s="8" t="str">
        <f>IFERROR(VLOOKUP($A148,'Project Reference'!$B$2:$P$41,15), " ")</f>
        <v xml:space="preserve"> </v>
      </c>
      <c r="Y148" s="9" t="str">
        <f>IFERROR(VLOOKUP($A148,'Project Reference'!$B$2:$Q$41,16), " ")</f>
        <v xml:space="preserve"> </v>
      </c>
      <c r="Z148" s="22"/>
    </row>
    <row r="149" spans="1:26" s="1" customFormat="1" x14ac:dyDescent="0.45">
      <c r="A149" s="70"/>
      <c r="B149" s="53" t="str">
        <f>IFERROR(VLOOKUP($A149,'Project Reference'!$S$2:$T$41,2),"Enter Project Number")</f>
        <v>Enter Project Number</v>
      </c>
      <c r="C149" s="54"/>
      <c r="D149" s="8"/>
      <c r="E149" s="8"/>
      <c r="F149" s="8"/>
      <c r="G149" s="8"/>
      <c r="H149" s="47"/>
      <c r="I149" s="9"/>
      <c r="J149" s="23"/>
      <c r="K149" s="47" t="str">
        <f>IFERROR(VLOOKUP($A149,'Project Reference'!$B$2:$C$41,2), " ")</f>
        <v xml:space="preserve"> </v>
      </c>
      <c r="L149" s="8" t="str">
        <f>IFERROR(VLOOKUP($A149,'Project Reference'!$B$2:$D$41,3), " ")</f>
        <v xml:space="preserve"> </v>
      </c>
      <c r="M149" s="54" t="str">
        <f>IFERROR(VLOOKUP($A149,'Project Reference'!$B$2:$E$41,4), " ")</f>
        <v xml:space="preserve"> </v>
      </c>
      <c r="N149" s="8" t="str">
        <f>IFERROR(VLOOKUP($A149,'Project Reference'!$B$2:$F$41,5), " ")</f>
        <v xml:space="preserve"> </v>
      </c>
      <c r="O149" s="8" t="str">
        <f>IFERROR(VLOOKUP($A149,'Project Reference'!$B$2:$G$41,6), " ")</f>
        <v xml:space="preserve"> </v>
      </c>
      <c r="P149" s="8" t="str">
        <f>IFERROR(VLOOKUP($A149,'Project Reference'!$B$2:$H$41,7), " ")</f>
        <v xml:space="preserve"> </v>
      </c>
      <c r="Q149" s="8" t="str">
        <f>IFERROR(VLOOKUP($A149,'Project Reference'!$B$2:$I$41,8), " ")</f>
        <v xml:space="preserve"> </v>
      </c>
      <c r="R149" s="8" t="str">
        <f>IFERROR(VLOOKUP($A149,'Project Reference'!$B$2:$J$41,9), " ")</f>
        <v xml:space="preserve"> </v>
      </c>
      <c r="S149" s="8" t="str">
        <f>IFERROR(VLOOKUP($A149,'Project Reference'!$B$2:$K$41,10), " ")</f>
        <v xml:space="preserve"> </v>
      </c>
      <c r="T149" s="8" t="str">
        <f>IFERROR(VLOOKUP($A149,'Project Reference'!$B$2:$L$41,11), " ")</f>
        <v xml:space="preserve"> </v>
      </c>
      <c r="U149" s="8" t="str">
        <f>IFERROR(VLOOKUP($A149,'Project Reference'!$B$2:$M$41,12), " ")</f>
        <v xml:space="preserve"> </v>
      </c>
      <c r="V149" s="8" t="str">
        <f>IFERROR(VLOOKUP($A149,'Project Reference'!$B$2:$N$41,13), " ")</f>
        <v xml:space="preserve"> </v>
      </c>
      <c r="W149" s="8" t="str">
        <f>IFERROR(VLOOKUP($A149,'Project Reference'!$B$2:$O$41,14), " ")</f>
        <v xml:space="preserve"> </v>
      </c>
      <c r="X149" s="8" t="str">
        <f>IFERROR(VLOOKUP($A149,'Project Reference'!$B$2:$P$41,15), " ")</f>
        <v xml:space="preserve"> </v>
      </c>
      <c r="Y149" s="9" t="str">
        <f>IFERROR(VLOOKUP($A149,'Project Reference'!$B$2:$Q$41,16), " ")</f>
        <v xml:space="preserve"> </v>
      </c>
      <c r="Z149" s="22"/>
    </row>
    <row r="150" spans="1:26" s="1" customFormat="1" x14ac:dyDescent="0.45">
      <c r="A150" s="70"/>
      <c r="B150" s="53" t="str">
        <f>IFERROR(VLOOKUP($A150,'Project Reference'!$S$2:$T$41,2),"Enter Project Number")</f>
        <v>Enter Project Number</v>
      </c>
      <c r="C150" s="54"/>
      <c r="D150" s="8"/>
      <c r="E150" s="8"/>
      <c r="F150" s="8"/>
      <c r="G150" s="8"/>
      <c r="H150" s="47"/>
      <c r="I150" s="9"/>
      <c r="J150" s="23"/>
      <c r="K150" s="47" t="str">
        <f>IFERROR(VLOOKUP($A150,'Project Reference'!$B$2:$C$41,2), " ")</f>
        <v xml:space="preserve"> </v>
      </c>
      <c r="L150" s="8" t="str">
        <f>IFERROR(VLOOKUP($A150,'Project Reference'!$B$2:$D$41,3), " ")</f>
        <v xml:space="preserve"> </v>
      </c>
      <c r="M150" s="54" t="str">
        <f>IFERROR(VLOOKUP($A150,'Project Reference'!$B$2:$E$41,4), " ")</f>
        <v xml:space="preserve"> </v>
      </c>
      <c r="N150" s="8" t="str">
        <f>IFERROR(VLOOKUP($A150,'Project Reference'!$B$2:$F$41,5), " ")</f>
        <v xml:space="preserve"> </v>
      </c>
      <c r="O150" s="8" t="str">
        <f>IFERROR(VLOOKUP($A150,'Project Reference'!$B$2:$G$41,6), " ")</f>
        <v xml:space="preserve"> </v>
      </c>
      <c r="P150" s="8" t="str">
        <f>IFERROR(VLOOKUP($A150,'Project Reference'!$B$2:$H$41,7), " ")</f>
        <v xml:space="preserve"> </v>
      </c>
      <c r="Q150" s="8" t="str">
        <f>IFERROR(VLOOKUP($A150,'Project Reference'!$B$2:$I$41,8), " ")</f>
        <v xml:space="preserve"> </v>
      </c>
      <c r="R150" s="8" t="str">
        <f>IFERROR(VLOOKUP($A150,'Project Reference'!$B$2:$J$41,9), " ")</f>
        <v xml:space="preserve"> </v>
      </c>
      <c r="S150" s="8" t="str">
        <f>IFERROR(VLOOKUP($A150,'Project Reference'!$B$2:$K$41,10), " ")</f>
        <v xml:space="preserve"> </v>
      </c>
      <c r="T150" s="8" t="str">
        <f>IFERROR(VLOOKUP($A150,'Project Reference'!$B$2:$L$41,11), " ")</f>
        <v xml:space="preserve"> </v>
      </c>
      <c r="U150" s="8" t="str">
        <f>IFERROR(VLOOKUP($A150,'Project Reference'!$B$2:$M$41,12), " ")</f>
        <v xml:space="preserve"> </v>
      </c>
      <c r="V150" s="8" t="str">
        <f>IFERROR(VLOOKUP($A150,'Project Reference'!$B$2:$N$41,13), " ")</f>
        <v xml:space="preserve"> </v>
      </c>
      <c r="W150" s="8" t="str">
        <f>IFERROR(VLOOKUP($A150,'Project Reference'!$B$2:$O$41,14), " ")</f>
        <v xml:space="preserve"> </v>
      </c>
      <c r="X150" s="8" t="str">
        <f>IFERROR(VLOOKUP($A150,'Project Reference'!$B$2:$P$41,15), " ")</f>
        <v xml:space="preserve"> </v>
      </c>
      <c r="Y150" s="9" t="str">
        <f>IFERROR(VLOOKUP($A150,'Project Reference'!$B$2:$Q$41,16), " ")</f>
        <v xml:space="preserve"> </v>
      </c>
      <c r="Z150" s="22"/>
    </row>
    <row r="151" spans="1:26" s="1" customFormat="1" x14ac:dyDescent="0.45">
      <c r="A151" s="70"/>
      <c r="B151" s="53" t="str">
        <f>IFERROR(VLOOKUP($A151,'Project Reference'!$S$2:$T$41,2),"Enter Project Number")</f>
        <v>Enter Project Number</v>
      </c>
      <c r="C151" s="54"/>
      <c r="D151" s="8"/>
      <c r="E151" s="8"/>
      <c r="F151" s="8"/>
      <c r="G151" s="8"/>
      <c r="H151" s="47"/>
      <c r="I151" s="9"/>
      <c r="J151" s="23"/>
      <c r="K151" s="47" t="str">
        <f>IFERROR(VLOOKUP($A151,'Project Reference'!$B$2:$C$41,2), " ")</f>
        <v xml:space="preserve"> </v>
      </c>
      <c r="L151" s="8" t="str">
        <f>IFERROR(VLOOKUP($A151,'Project Reference'!$B$2:$D$41,3), " ")</f>
        <v xml:space="preserve"> </v>
      </c>
      <c r="M151" s="54" t="str">
        <f>IFERROR(VLOOKUP($A151,'Project Reference'!$B$2:$E$41,4), " ")</f>
        <v xml:space="preserve"> </v>
      </c>
      <c r="N151" s="8" t="str">
        <f>IFERROR(VLOOKUP($A151,'Project Reference'!$B$2:$F$41,5), " ")</f>
        <v xml:space="preserve"> </v>
      </c>
      <c r="O151" s="8" t="str">
        <f>IFERROR(VLOOKUP($A151,'Project Reference'!$B$2:$G$41,6), " ")</f>
        <v xml:space="preserve"> </v>
      </c>
      <c r="P151" s="8" t="str">
        <f>IFERROR(VLOOKUP($A151,'Project Reference'!$B$2:$H$41,7), " ")</f>
        <v xml:space="preserve"> </v>
      </c>
      <c r="Q151" s="8" t="str">
        <f>IFERROR(VLOOKUP($A151,'Project Reference'!$B$2:$I$41,8), " ")</f>
        <v xml:space="preserve"> </v>
      </c>
      <c r="R151" s="8" t="str">
        <f>IFERROR(VLOOKUP($A151,'Project Reference'!$B$2:$J$41,9), " ")</f>
        <v xml:space="preserve"> </v>
      </c>
      <c r="S151" s="8" t="str">
        <f>IFERROR(VLOOKUP($A151,'Project Reference'!$B$2:$K$41,10), " ")</f>
        <v xml:space="preserve"> </v>
      </c>
      <c r="T151" s="8" t="str">
        <f>IFERROR(VLOOKUP($A151,'Project Reference'!$B$2:$L$41,11), " ")</f>
        <v xml:space="preserve"> </v>
      </c>
      <c r="U151" s="8" t="str">
        <f>IFERROR(VLOOKUP($A151,'Project Reference'!$B$2:$M$41,12), " ")</f>
        <v xml:space="preserve"> </v>
      </c>
      <c r="V151" s="8" t="str">
        <f>IFERROR(VLOOKUP($A151,'Project Reference'!$B$2:$N$41,13), " ")</f>
        <v xml:space="preserve"> </v>
      </c>
      <c r="W151" s="8" t="str">
        <f>IFERROR(VLOOKUP($A151,'Project Reference'!$B$2:$O$41,14), " ")</f>
        <v xml:space="preserve"> </v>
      </c>
      <c r="X151" s="8" t="str">
        <f>IFERROR(VLOOKUP($A151,'Project Reference'!$B$2:$P$41,15), " ")</f>
        <v xml:space="preserve"> </v>
      </c>
      <c r="Y151" s="9" t="str">
        <f>IFERROR(VLOOKUP($A151,'Project Reference'!$B$2:$Q$41,16), " ")</f>
        <v xml:space="preserve"> </v>
      </c>
      <c r="Z151" s="22"/>
    </row>
    <row r="152" spans="1:26" s="1" customFormat="1" x14ac:dyDescent="0.45">
      <c r="A152" s="70"/>
      <c r="B152" s="53" t="str">
        <f>IFERROR(VLOOKUP($A152,'Project Reference'!$S$2:$T$41,2),"Enter Project Number")</f>
        <v>Enter Project Number</v>
      </c>
      <c r="C152" s="54"/>
      <c r="D152" s="8"/>
      <c r="E152" s="8"/>
      <c r="F152" s="8"/>
      <c r="G152" s="8"/>
      <c r="H152" s="47"/>
      <c r="I152" s="9"/>
      <c r="J152" s="23"/>
      <c r="K152" s="47" t="str">
        <f>IFERROR(VLOOKUP($A152,'Project Reference'!$B$2:$C$41,2), " ")</f>
        <v xml:space="preserve"> </v>
      </c>
      <c r="L152" s="8" t="str">
        <f>IFERROR(VLOOKUP($A152,'Project Reference'!$B$2:$D$41,3), " ")</f>
        <v xml:space="preserve"> </v>
      </c>
      <c r="M152" s="54" t="str">
        <f>IFERROR(VLOOKUP($A152,'Project Reference'!$B$2:$E$41,4), " ")</f>
        <v xml:space="preserve"> </v>
      </c>
      <c r="N152" s="8" t="str">
        <f>IFERROR(VLOOKUP($A152,'Project Reference'!$B$2:$F$41,5), " ")</f>
        <v xml:space="preserve"> </v>
      </c>
      <c r="O152" s="8" t="str">
        <f>IFERROR(VLOOKUP($A152,'Project Reference'!$B$2:$G$41,6), " ")</f>
        <v xml:space="preserve"> </v>
      </c>
      <c r="P152" s="8" t="str">
        <f>IFERROR(VLOOKUP($A152,'Project Reference'!$B$2:$H$41,7), " ")</f>
        <v xml:space="preserve"> </v>
      </c>
      <c r="Q152" s="8" t="str">
        <f>IFERROR(VLOOKUP($A152,'Project Reference'!$B$2:$I$41,8), " ")</f>
        <v xml:space="preserve"> </v>
      </c>
      <c r="R152" s="8" t="str">
        <f>IFERROR(VLOOKUP($A152,'Project Reference'!$B$2:$J$41,9), " ")</f>
        <v xml:space="preserve"> </v>
      </c>
      <c r="S152" s="8" t="str">
        <f>IFERROR(VLOOKUP($A152,'Project Reference'!$B$2:$K$41,10), " ")</f>
        <v xml:space="preserve"> </v>
      </c>
      <c r="T152" s="8" t="str">
        <f>IFERROR(VLOOKUP($A152,'Project Reference'!$B$2:$L$41,11), " ")</f>
        <v xml:space="preserve"> </v>
      </c>
      <c r="U152" s="8" t="str">
        <f>IFERROR(VLOOKUP($A152,'Project Reference'!$B$2:$M$41,12), " ")</f>
        <v xml:space="preserve"> </v>
      </c>
      <c r="V152" s="8" t="str">
        <f>IFERROR(VLOOKUP($A152,'Project Reference'!$B$2:$N$41,13), " ")</f>
        <v xml:space="preserve"> </v>
      </c>
      <c r="W152" s="8" t="str">
        <f>IFERROR(VLOOKUP($A152,'Project Reference'!$B$2:$O$41,14), " ")</f>
        <v xml:space="preserve"> </v>
      </c>
      <c r="X152" s="8" t="str">
        <f>IFERROR(VLOOKUP($A152,'Project Reference'!$B$2:$P$41,15), " ")</f>
        <v xml:space="preserve"> </v>
      </c>
      <c r="Y152" s="9" t="str">
        <f>IFERROR(VLOOKUP($A152,'Project Reference'!$B$2:$Q$41,16), " ")</f>
        <v xml:space="preserve"> </v>
      </c>
      <c r="Z152" s="22"/>
    </row>
    <row r="153" spans="1:26" s="1" customFormat="1" x14ac:dyDescent="0.45">
      <c r="A153" s="70"/>
      <c r="B153" s="53" t="str">
        <f>IFERROR(VLOOKUP($A153,'Project Reference'!$S$2:$T$41,2),"Enter Project Number")</f>
        <v>Enter Project Number</v>
      </c>
      <c r="C153" s="54"/>
      <c r="D153" s="8"/>
      <c r="E153" s="8"/>
      <c r="F153" s="8"/>
      <c r="G153" s="8"/>
      <c r="H153" s="47"/>
      <c r="I153" s="9"/>
      <c r="J153" s="23"/>
      <c r="K153" s="47" t="str">
        <f>IFERROR(VLOOKUP($A153,'Project Reference'!$B$2:$C$41,2), " ")</f>
        <v xml:space="preserve"> </v>
      </c>
      <c r="L153" s="8" t="str">
        <f>IFERROR(VLOOKUP($A153,'Project Reference'!$B$2:$D$41,3), " ")</f>
        <v xml:space="preserve"> </v>
      </c>
      <c r="M153" s="54" t="str">
        <f>IFERROR(VLOOKUP($A153,'Project Reference'!$B$2:$E$41,4), " ")</f>
        <v xml:space="preserve"> </v>
      </c>
      <c r="N153" s="8" t="str">
        <f>IFERROR(VLOOKUP($A153,'Project Reference'!$B$2:$F$41,5), " ")</f>
        <v xml:space="preserve"> </v>
      </c>
      <c r="O153" s="8" t="str">
        <f>IFERROR(VLOOKUP($A153,'Project Reference'!$B$2:$G$41,6), " ")</f>
        <v xml:space="preserve"> </v>
      </c>
      <c r="P153" s="8" t="str">
        <f>IFERROR(VLOOKUP($A153,'Project Reference'!$B$2:$H$41,7), " ")</f>
        <v xml:space="preserve"> </v>
      </c>
      <c r="Q153" s="8" t="str">
        <f>IFERROR(VLOOKUP($A153,'Project Reference'!$B$2:$I$41,8), " ")</f>
        <v xml:space="preserve"> </v>
      </c>
      <c r="R153" s="8" t="str">
        <f>IFERROR(VLOOKUP($A153,'Project Reference'!$B$2:$J$41,9), " ")</f>
        <v xml:space="preserve"> </v>
      </c>
      <c r="S153" s="8" t="str">
        <f>IFERROR(VLOOKUP($A153,'Project Reference'!$B$2:$K$41,10), " ")</f>
        <v xml:space="preserve"> </v>
      </c>
      <c r="T153" s="8" t="str">
        <f>IFERROR(VLOOKUP($A153,'Project Reference'!$B$2:$L$41,11), " ")</f>
        <v xml:space="preserve"> </v>
      </c>
      <c r="U153" s="8" t="str">
        <f>IFERROR(VLOOKUP($A153,'Project Reference'!$B$2:$M$41,12), " ")</f>
        <v xml:space="preserve"> </v>
      </c>
      <c r="V153" s="8" t="str">
        <f>IFERROR(VLOOKUP($A153,'Project Reference'!$B$2:$N$41,13), " ")</f>
        <v xml:space="preserve"> </v>
      </c>
      <c r="W153" s="8" t="str">
        <f>IFERROR(VLOOKUP($A153,'Project Reference'!$B$2:$O$41,14), " ")</f>
        <v xml:space="preserve"> </v>
      </c>
      <c r="X153" s="8" t="str">
        <f>IFERROR(VLOOKUP($A153,'Project Reference'!$B$2:$P$41,15), " ")</f>
        <v xml:space="preserve"> </v>
      </c>
      <c r="Y153" s="9" t="str">
        <f>IFERROR(VLOOKUP($A153,'Project Reference'!$B$2:$Q$41,16), " ")</f>
        <v xml:space="preserve"> </v>
      </c>
      <c r="Z153" s="22"/>
    </row>
    <row r="154" spans="1:26" s="1" customFormat="1" x14ac:dyDescent="0.45">
      <c r="A154" s="70"/>
      <c r="B154" s="53" t="str">
        <f>IFERROR(VLOOKUP($A154,'Project Reference'!$S$2:$T$41,2),"Enter Project Number")</f>
        <v>Enter Project Number</v>
      </c>
      <c r="C154" s="54"/>
      <c r="D154" s="8"/>
      <c r="E154" s="8"/>
      <c r="F154" s="8"/>
      <c r="G154" s="8"/>
      <c r="H154" s="47"/>
      <c r="I154" s="9"/>
      <c r="J154" s="23"/>
      <c r="K154" s="47" t="str">
        <f>IFERROR(VLOOKUP($A154,'Project Reference'!$B$2:$C$41,2), " ")</f>
        <v xml:space="preserve"> </v>
      </c>
      <c r="L154" s="8" t="str">
        <f>IFERROR(VLOOKUP($A154,'Project Reference'!$B$2:$D$41,3), " ")</f>
        <v xml:space="preserve"> </v>
      </c>
      <c r="M154" s="54" t="str">
        <f>IFERROR(VLOOKUP($A154,'Project Reference'!$B$2:$E$41,4), " ")</f>
        <v xml:space="preserve"> </v>
      </c>
      <c r="N154" s="8" t="str">
        <f>IFERROR(VLOOKUP($A154,'Project Reference'!$B$2:$F$41,5), " ")</f>
        <v xml:space="preserve"> </v>
      </c>
      <c r="O154" s="8" t="str">
        <f>IFERROR(VLOOKUP($A154,'Project Reference'!$B$2:$G$41,6), " ")</f>
        <v xml:space="preserve"> </v>
      </c>
      <c r="P154" s="8" t="str">
        <f>IFERROR(VLOOKUP($A154,'Project Reference'!$B$2:$H$41,7), " ")</f>
        <v xml:space="preserve"> </v>
      </c>
      <c r="Q154" s="8" t="str">
        <f>IFERROR(VLOOKUP($A154,'Project Reference'!$B$2:$I$41,8), " ")</f>
        <v xml:space="preserve"> </v>
      </c>
      <c r="R154" s="8" t="str">
        <f>IFERROR(VLOOKUP($A154,'Project Reference'!$B$2:$J$41,9), " ")</f>
        <v xml:space="preserve"> </v>
      </c>
      <c r="S154" s="8" t="str">
        <f>IFERROR(VLOOKUP($A154,'Project Reference'!$B$2:$K$41,10), " ")</f>
        <v xml:space="preserve"> </v>
      </c>
      <c r="T154" s="8" t="str">
        <f>IFERROR(VLOOKUP($A154,'Project Reference'!$B$2:$L$41,11), " ")</f>
        <v xml:space="preserve"> </v>
      </c>
      <c r="U154" s="8" t="str">
        <f>IFERROR(VLOOKUP($A154,'Project Reference'!$B$2:$M$41,12), " ")</f>
        <v xml:space="preserve"> </v>
      </c>
      <c r="V154" s="8" t="str">
        <f>IFERROR(VLOOKUP($A154,'Project Reference'!$B$2:$N$41,13), " ")</f>
        <v xml:space="preserve"> </v>
      </c>
      <c r="W154" s="8" t="str">
        <f>IFERROR(VLOOKUP($A154,'Project Reference'!$B$2:$O$41,14), " ")</f>
        <v xml:space="preserve"> </v>
      </c>
      <c r="X154" s="8" t="str">
        <f>IFERROR(VLOOKUP($A154,'Project Reference'!$B$2:$P$41,15), " ")</f>
        <v xml:space="preserve"> </v>
      </c>
      <c r="Y154" s="9" t="str">
        <f>IFERROR(VLOOKUP($A154,'Project Reference'!$B$2:$Q$41,16), " ")</f>
        <v xml:space="preserve"> </v>
      </c>
      <c r="Z154" s="22"/>
    </row>
    <row r="155" spans="1:26" s="1" customFormat="1" x14ac:dyDescent="0.45">
      <c r="A155" s="70"/>
      <c r="B155" s="53" t="str">
        <f>IFERROR(VLOOKUP($A155,'Project Reference'!$S$2:$T$41,2),"Enter Project Number")</f>
        <v>Enter Project Number</v>
      </c>
      <c r="C155" s="54"/>
      <c r="D155" s="8"/>
      <c r="E155" s="8"/>
      <c r="F155" s="8"/>
      <c r="G155" s="8"/>
      <c r="H155" s="47"/>
      <c r="I155" s="9"/>
      <c r="J155" s="23"/>
      <c r="K155" s="47" t="str">
        <f>IFERROR(VLOOKUP($A155,'Project Reference'!$B$2:$C$41,2), " ")</f>
        <v xml:space="preserve"> </v>
      </c>
      <c r="L155" s="8" t="str">
        <f>IFERROR(VLOOKUP($A155,'Project Reference'!$B$2:$D$41,3), " ")</f>
        <v xml:space="preserve"> </v>
      </c>
      <c r="M155" s="54" t="str">
        <f>IFERROR(VLOOKUP($A155,'Project Reference'!$B$2:$E$41,4), " ")</f>
        <v xml:space="preserve"> </v>
      </c>
      <c r="N155" s="8" t="str">
        <f>IFERROR(VLOOKUP($A155,'Project Reference'!$B$2:$F$41,5), " ")</f>
        <v xml:space="preserve"> </v>
      </c>
      <c r="O155" s="8" t="str">
        <f>IFERROR(VLOOKUP($A155,'Project Reference'!$B$2:$G$41,6), " ")</f>
        <v xml:space="preserve"> </v>
      </c>
      <c r="P155" s="8" t="str">
        <f>IFERROR(VLOOKUP($A155,'Project Reference'!$B$2:$H$41,7), " ")</f>
        <v xml:space="preserve"> </v>
      </c>
      <c r="Q155" s="8" t="str">
        <f>IFERROR(VLOOKUP($A155,'Project Reference'!$B$2:$I$41,8), " ")</f>
        <v xml:space="preserve"> </v>
      </c>
      <c r="R155" s="8" t="str">
        <f>IFERROR(VLOOKUP($A155,'Project Reference'!$B$2:$J$41,9), " ")</f>
        <v xml:space="preserve"> </v>
      </c>
      <c r="S155" s="8" t="str">
        <f>IFERROR(VLOOKUP($A155,'Project Reference'!$B$2:$K$41,10), " ")</f>
        <v xml:space="preserve"> </v>
      </c>
      <c r="T155" s="8" t="str">
        <f>IFERROR(VLOOKUP($A155,'Project Reference'!$B$2:$L$41,11), " ")</f>
        <v xml:space="preserve"> </v>
      </c>
      <c r="U155" s="8" t="str">
        <f>IFERROR(VLOOKUP($A155,'Project Reference'!$B$2:$M$41,12), " ")</f>
        <v xml:space="preserve"> </v>
      </c>
      <c r="V155" s="8" t="str">
        <f>IFERROR(VLOOKUP($A155,'Project Reference'!$B$2:$N$41,13), " ")</f>
        <v xml:space="preserve"> </v>
      </c>
      <c r="W155" s="8" t="str">
        <f>IFERROR(VLOOKUP($A155,'Project Reference'!$B$2:$O$41,14), " ")</f>
        <v xml:space="preserve"> </v>
      </c>
      <c r="X155" s="8" t="str">
        <f>IFERROR(VLOOKUP($A155,'Project Reference'!$B$2:$P$41,15), " ")</f>
        <v xml:space="preserve"> </v>
      </c>
      <c r="Y155" s="9" t="str">
        <f>IFERROR(VLOOKUP($A155,'Project Reference'!$B$2:$Q$41,16), " ")</f>
        <v xml:space="preserve"> </v>
      </c>
      <c r="Z155" s="22"/>
    </row>
    <row r="156" spans="1:26" s="1" customFormat="1" x14ac:dyDescent="0.45">
      <c r="A156" s="70"/>
      <c r="B156" s="53" t="str">
        <f>IFERROR(VLOOKUP($A156,'Project Reference'!$S$2:$T$41,2),"Enter Project Number")</f>
        <v>Enter Project Number</v>
      </c>
      <c r="C156" s="54"/>
      <c r="D156" s="8"/>
      <c r="E156" s="8"/>
      <c r="F156" s="8"/>
      <c r="G156" s="8"/>
      <c r="H156" s="47"/>
      <c r="I156" s="9"/>
      <c r="J156" s="23"/>
      <c r="K156" s="47" t="str">
        <f>IFERROR(VLOOKUP($A156,'Project Reference'!$B$2:$C$41,2), " ")</f>
        <v xml:space="preserve"> </v>
      </c>
      <c r="L156" s="8" t="str">
        <f>IFERROR(VLOOKUP($A156,'Project Reference'!$B$2:$D$41,3), " ")</f>
        <v xml:space="preserve"> </v>
      </c>
      <c r="M156" s="54" t="str">
        <f>IFERROR(VLOOKUP($A156,'Project Reference'!$B$2:$E$41,4), " ")</f>
        <v xml:space="preserve"> </v>
      </c>
      <c r="N156" s="8" t="str">
        <f>IFERROR(VLOOKUP($A156,'Project Reference'!$B$2:$F$41,5), " ")</f>
        <v xml:space="preserve"> </v>
      </c>
      <c r="O156" s="8" t="str">
        <f>IFERROR(VLOOKUP($A156,'Project Reference'!$B$2:$G$41,6), " ")</f>
        <v xml:space="preserve"> </v>
      </c>
      <c r="P156" s="8" t="str">
        <f>IFERROR(VLOOKUP($A156,'Project Reference'!$B$2:$H$41,7), " ")</f>
        <v xml:space="preserve"> </v>
      </c>
      <c r="Q156" s="8" t="str">
        <f>IFERROR(VLOOKUP($A156,'Project Reference'!$B$2:$I$41,8), " ")</f>
        <v xml:space="preserve"> </v>
      </c>
      <c r="R156" s="8" t="str">
        <f>IFERROR(VLOOKUP($A156,'Project Reference'!$B$2:$J$41,9), " ")</f>
        <v xml:space="preserve"> </v>
      </c>
      <c r="S156" s="8" t="str">
        <f>IFERROR(VLOOKUP($A156,'Project Reference'!$B$2:$K$41,10), " ")</f>
        <v xml:space="preserve"> </v>
      </c>
      <c r="T156" s="8" t="str">
        <f>IFERROR(VLOOKUP($A156,'Project Reference'!$B$2:$L$41,11), " ")</f>
        <v xml:space="preserve"> </v>
      </c>
      <c r="U156" s="8" t="str">
        <f>IFERROR(VLOOKUP($A156,'Project Reference'!$B$2:$M$41,12), " ")</f>
        <v xml:space="preserve"> </v>
      </c>
      <c r="V156" s="8" t="str">
        <f>IFERROR(VLOOKUP($A156,'Project Reference'!$B$2:$N$41,13), " ")</f>
        <v xml:space="preserve"> </v>
      </c>
      <c r="W156" s="8" t="str">
        <f>IFERROR(VLOOKUP($A156,'Project Reference'!$B$2:$O$41,14), " ")</f>
        <v xml:space="preserve"> </v>
      </c>
      <c r="X156" s="8" t="str">
        <f>IFERROR(VLOOKUP($A156,'Project Reference'!$B$2:$P$41,15), " ")</f>
        <v xml:space="preserve"> </v>
      </c>
      <c r="Y156" s="9" t="str">
        <f>IFERROR(VLOOKUP($A156,'Project Reference'!$B$2:$Q$41,16), " ")</f>
        <v xml:space="preserve"> </v>
      </c>
      <c r="Z156" s="22"/>
    </row>
    <row r="157" spans="1:26" s="1" customFormat="1" x14ac:dyDescent="0.45">
      <c r="A157" s="70"/>
      <c r="B157" s="53" t="str">
        <f>IFERROR(VLOOKUP($A157,'Project Reference'!$S$2:$T$41,2),"Enter Project Number")</f>
        <v>Enter Project Number</v>
      </c>
      <c r="C157" s="54"/>
      <c r="D157" s="8"/>
      <c r="E157" s="8"/>
      <c r="F157" s="8"/>
      <c r="G157" s="8"/>
      <c r="H157" s="47"/>
      <c r="I157" s="9"/>
      <c r="J157" s="23"/>
      <c r="K157" s="47" t="str">
        <f>IFERROR(VLOOKUP($A157,'Project Reference'!$B$2:$C$41,2), " ")</f>
        <v xml:space="preserve"> </v>
      </c>
      <c r="L157" s="8" t="str">
        <f>IFERROR(VLOOKUP($A157,'Project Reference'!$B$2:$D$41,3), " ")</f>
        <v xml:space="preserve"> </v>
      </c>
      <c r="M157" s="54" t="str">
        <f>IFERROR(VLOOKUP($A157,'Project Reference'!$B$2:$E$41,4), " ")</f>
        <v xml:space="preserve"> </v>
      </c>
      <c r="N157" s="8" t="str">
        <f>IFERROR(VLOOKUP($A157,'Project Reference'!$B$2:$F$41,5), " ")</f>
        <v xml:space="preserve"> </v>
      </c>
      <c r="O157" s="8" t="str">
        <f>IFERROR(VLOOKUP($A157,'Project Reference'!$B$2:$G$41,6), " ")</f>
        <v xml:space="preserve"> </v>
      </c>
      <c r="P157" s="8" t="str">
        <f>IFERROR(VLOOKUP($A157,'Project Reference'!$B$2:$H$41,7), " ")</f>
        <v xml:space="preserve"> </v>
      </c>
      <c r="Q157" s="8" t="str">
        <f>IFERROR(VLOOKUP($A157,'Project Reference'!$B$2:$I$41,8), " ")</f>
        <v xml:space="preserve"> </v>
      </c>
      <c r="R157" s="8" t="str">
        <f>IFERROR(VLOOKUP($A157,'Project Reference'!$B$2:$J$41,9), " ")</f>
        <v xml:space="preserve"> </v>
      </c>
      <c r="S157" s="8" t="str">
        <f>IFERROR(VLOOKUP($A157,'Project Reference'!$B$2:$K$41,10), " ")</f>
        <v xml:space="preserve"> </v>
      </c>
      <c r="T157" s="8" t="str">
        <f>IFERROR(VLOOKUP($A157,'Project Reference'!$B$2:$L$41,11), " ")</f>
        <v xml:space="preserve"> </v>
      </c>
      <c r="U157" s="8" t="str">
        <f>IFERROR(VLOOKUP($A157,'Project Reference'!$B$2:$M$41,12), " ")</f>
        <v xml:space="preserve"> </v>
      </c>
      <c r="V157" s="8" t="str">
        <f>IFERROR(VLOOKUP($A157,'Project Reference'!$B$2:$N$41,13), " ")</f>
        <v xml:space="preserve"> </v>
      </c>
      <c r="W157" s="8" t="str">
        <f>IFERROR(VLOOKUP($A157,'Project Reference'!$B$2:$O$41,14), " ")</f>
        <v xml:space="preserve"> </v>
      </c>
      <c r="X157" s="8" t="str">
        <f>IFERROR(VLOOKUP($A157,'Project Reference'!$B$2:$P$41,15), " ")</f>
        <v xml:space="preserve"> </v>
      </c>
      <c r="Y157" s="9" t="str">
        <f>IFERROR(VLOOKUP($A157,'Project Reference'!$B$2:$Q$41,16), " ")</f>
        <v xml:space="preserve"> </v>
      </c>
      <c r="Z157" s="22"/>
    </row>
    <row r="158" spans="1:26" s="1" customFormat="1" x14ac:dyDescent="0.45">
      <c r="A158" s="70"/>
      <c r="B158" s="53" t="str">
        <f>IFERROR(VLOOKUP($A158,'Project Reference'!$S$2:$T$41,2),"Enter Project Number")</f>
        <v>Enter Project Number</v>
      </c>
      <c r="C158" s="54"/>
      <c r="D158" s="8"/>
      <c r="E158" s="8"/>
      <c r="F158" s="8"/>
      <c r="G158" s="8"/>
      <c r="H158" s="47"/>
      <c r="I158" s="9"/>
      <c r="J158" s="23"/>
      <c r="K158" s="47" t="str">
        <f>IFERROR(VLOOKUP($A158,'Project Reference'!$B$2:$C$41,2), " ")</f>
        <v xml:space="preserve"> </v>
      </c>
      <c r="L158" s="8" t="str">
        <f>IFERROR(VLOOKUP($A158,'Project Reference'!$B$2:$D$41,3), " ")</f>
        <v xml:space="preserve"> </v>
      </c>
      <c r="M158" s="54" t="str">
        <f>IFERROR(VLOOKUP($A158,'Project Reference'!$B$2:$E$41,4), " ")</f>
        <v xml:space="preserve"> </v>
      </c>
      <c r="N158" s="8" t="str">
        <f>IFERROR(VLOOKUP($A158,'Project Reference'!$B$2:$F$41,5), " ")</f>
        <v xml:space="preserve"> </v>
      </c>
      <c r="O158" s="8" t="str">
        <f>IFERROR(VLOOKUP($A158,'Project Reference'!$B$2:$G$41,6), " ")</f>
        <v xml:space="preserve"> </v>
      </c>
      <c r="P158" s="8" t="str">
        <f>IFERROR(VLOOKUP($A158,'Project Reference'!$B$2:$H$41,7), " ")</f>
        <v xml:space="preserve"> </v>
      </c>
      <c r="Q158" s="8" t="str">
        <f>IFERROR(VLOOKUP($A158,'Project Reference'!$B$2:$I$41,8), " ")</f>
        <v xml:space="preserve"> </v>
      </c>
      <c r="R158" s="8" t="str">
        <f>IFERROR(VLOOKUP($A158,'Project Reference'!$B$2:$J$41,9), " ")</f>
        <v xml:space="preserve"> </v>
      </c>
      <c r="S158" s="8" t="str">
        <f>IFERROR(VLOOKUP($A158,'Project Reference'!$B$2:$K$41,10), " ")</f>
        <v xml:space="preserve"> </v>
      </c>
      <c r="T158" s="8" t="str">
        <f>IFERROR(VLOOKUP($A158,'Project Reference'!$B$2:$L$41,11), " ")</f>
        <v xml:space="preserve"> </v>
      </c>
      <c r="U158" s="8" t="str">
        <f>IFERROR(VLOOKUP($A158,'Project Reference'!$B$2:$M$41,12), " ")</f>
        <v xml:space="preserve"> </v>
      </c>
      <c r="V158" s="8" t="str">
        <f>IFERROR(VLOOKUP($A158,'Project Reference'!$B$2:$N$41,13), " ")</f>
        <v xml:space="preserve"> </v>
      </c>
      <c r="W158" s="8" t="str">
        <f>IFERROR(VLOOKUP($A158,'Project Reference'!$B$2:$O$41,14), " ")</f>
        <v xml:space="preserve"> </v>
      </c>
      <c r="X158" s="8" t="str">
        <f>IFERROR(VLOOKUP($A158,'Project Reference'!$B$2:$P$41,15), " ")</f>
        <v xml:space="preserve"> </v>
      </c>
      <c r="Y158" s="9" t="str">
        <f>IFERROR(VLOOKUP($A158,'Project Reference'!$B$2:$Q$41,16), " ")</f>
        <v xml:space="preserve"> </v>
      </c>
      <c r="Z158" s="22"/>
    </row>
    <row r="159" spans="1:26" s="1" customFormat="1" x14ac:dyDescent="0.45">
      <c r="A159" s="70"/>
      <c r="B159" s="53" t="str">
        <f>IFERROR(VLOOKUP($A159,'Project Reference'!$S$2:$T$41,2),"Enter Project Number")</f>
        <v>Enter Project Number</v>
      </c>
      <c r="C159" s="54"/>
      <c r="D159" s="8"/>
      <c r="E159" s="8"/>
      <c r="F159" s="8"/>
      <c r="G159" s="8"/>
      <c r="H159" s="47"/>
      <c r="I159" s="9"/>
      <c r="J159" s="23"/>
      <c r="K159" s="47" t="str">
        <f>IFERROR(VLOOKUP($A159,'Project Reference'!$B$2:$C$41,2), " ")</f>
        <v xml:space="preserve"> </v>
      </c>
      <c r="L159" s="8" t="str">
        <f>IFERROR(VLOOKUP($A159,'Project Reference'!$B$2:$D$41,3), " ")</f>
        <v xml:space="preserve"> </v>
      </c>
      <c r="M159" s="54" t="str">
        <f>IFERROR(VLOOKUP($A159,'Project Reference'!$B$2:$E$41,4), " ")</f>
        <v xml:space="preserve"> </v>
      </c>
      <c r="N159" s="8" t="str">
        <f>IFERROR(VLOOKUP($A159,'Project Reference'!$B$2:$F$41,5), " ")</f>
        <v xml:space="preserve"> </v>
      </c>
      <c r="O159" s="8" t="str">
        <f>IFERROR(VLOOKUP($A159,'Project Reference'!$B$2:$G$41,6), " ")</f>
        <v xml:space="preserve"> </v>
      </c>
      <c r="P159" s="8" t="str">
        <f>IFERROR(VLOOKUP($A159,'Project Reference'!$B$2:$H$41,7), " ")</f>
        <v xml:space="preserve"> </v>
      </c>
      <c r="Q159" s="8" t="str">
        <f>IFERROR(VLOOKUP($A159,'Project Reference'!$B$2:$I$41,8), " ")</f>
        <v xml:space="preserve"> </v>
      </c>
      <c r="R159" s="8" t="str">
        <f>IFERROR(VLOOKUP($A159,'Project Reference'!$B$2:$J$41,9), " ")</f>
        <v xml:space="preserve"> </v>
      </c>
      <c r="S159" s="8" t="str">
        <f>IFERROR(VLOOKUP($A159,'Project Reference'!$B$2:$K$41,10), " ")</f>
        <v xml:space="preserve"> </v>
      </c>
      <c r="T159" s="8" t="str">
        <f>IFERROR(VLOOKUP($A159,'Project Reference'!$B$2:$L$41,11), " ")</f>
        <v xml:space="preserve"> </v>
      </c>
      <c r="U159" s="8" t="str">
        <f>IFERROR(VLOOKUP($A159,'Project Reference'!$B$2:$M$41,12), " ")</f>
        <v xml:space="preserve"> </v>
      </c>
      <c r="V159" s="8" t="str">
        <f>IFERROR(VLOOKUP($A159,'Project Reference'!$B$2:$N$41,13), " ")</f>
        <v xml:space="preserve"> </v>
      </c>
      <c r="W159" s="8" t="str">
        <f>IFERROR(VLOOKUP($A159,'Project Reference'!$B$2:$O$41,14), " ")</f>
        <v xml:space="preserve"> </v>
      </c>
      <c r="X159" s="8" t="str">
        <f>IFERROR(VLOOKUP($A159,'Project Reference'!$B$2:$P$41,15), " ")</f>
        <v xml:space="preserve"> </v>
      </c>
      <c r="Y159" s="9" t="str">
        <f>IFERROR(VLOOKUP($A159,'Project Reference'!$B$2:$Q$41,16), " ")</f>
        <v xml:space="preserve"> </v>
      </c>
      <c r="Z159" s="22"/>
    </row>
    <row r="160" spans="1:26" s="1" customFormat="1" x14ac:dyDescent="0.45">
      <c r="A160" s="70"/>
      <c r="B160" s="53" t="str">
        <f>IFERROR(VLOOKUP($A160,'Project Reference'!$S$2:$T$41,2),"Enter Project Number")</f>
        <v>Enter Project Number</v>
      </c>
      <c r="C160" s="54"/>
      <c r="D160" s="8"/>
      <c r="E160" s="8"/>
      <c r="F160" s="8"/>
      <c r="G160" s="8"/>
      <c r="H160" s="47"/>
      <c r="I160" s="9"/>
      <c r="J160" s="23"/>
      <c r="K160" s="47" t="str">
        <f>IFERROR(VLOOKUP($A160,'Project Reference'!$B$2:$C$41,2), " ")</f>
        <v xml:space="preserve"> </v>
      </c>
      <c r="L160" s="8" t="str">
        <f>IFERROR(VLOOKUP($A160,'Project Reference'!$B$2:$D$41,3), " ")</f>
        <v xml:space="preserve"> </v>
      </c>
      <c r="M160" s="54" t="str">
        <f>IFERROR(VLOOKUP($A160,'Project Reference'!$B$2:$E$41,4), " ")</f>
        <v xml:space="preserve"> </v>
      </c>
      <c r="N160" s="8" t="str">
        <f>IFERROR(VLOOKUP($A160,'Project Reference'!$B$2:$F$41,5), " ")</f>
        <v xml:space="preserve"> </v>
      </c>
      <c r="O160" s="8" t="str">
        <f>IFERROR(VLOOKUP($A160,'Project Reference'!$B$2:$G$41,6), " ")</f>
        <v xml:space="preserve"> </v>
      </c>
      <c r="P160" s="8" t="str">
        <f>IFERROR(VLOOKUP($A160,'Project Reference'!$B$2:$H$41,7), " ")</f>
        <v xml:space="preserve"> </v>
      </c>
      <c r="Q160" s="8" t="str">
        <f>IFERROR(VLOOKUP($A160,'Project Reference'!$B$2:$I$41,8), " ")</f>
        <v xml:space="preserve"> </v>
      </c>
      <c r="R160" s="8" t="str">
        <f>IFERROR(VLOOKUP($A160,'Project Reference'!$B$2:$J$41,9), " ")</f>
        <v xml:space="preserve"> </v>
      </c>
      <c r="S160" s="8" t="str">
        <f>IFERROR(VLOOKUP($A160,'Project Reference'!$B$2:$K$41,10), " ")</f>
        <v xml:space="preserve"> </v>
      </c>
      <c r="T160" s="8" t="str">
        <f>IFERROR(VLOOKUP($A160,'Project Reference'!$B$2:$L$41,11), " ")</f>
        <v xml:space="preserve"> </v>
      </c>
      <c r="U160" s="8" t="str">
        <f>IFERROR(VLOOKUP($A160,'Project Reference'!$B$2:$M$41,12), " ")</f>
        <v xml:space="preserve"> </v>
      </c>
      <c r="V160" s="8" t="str">
        <f>IFERROR(VLOOKUP($A160,'Project Reference'!$B$2:$N$41,13), " ")</f>
        <v xml:space="preserve"> </v>
      </c>
      <c r="W160" s="8" t="str">
        <f>IFERROR(VLOOKUP($A160,'Project Reference'!$B$2:$O$41,14), " ")</f>
        <v xml:space="preserve"> </v>
      </c>
      <c r="X160" s="8" t="str">
        <f>IFERROR(VLOOKUP($A160,'Project Reference'!$B$2:$P$41,15), " ")</f>
        <v xml:space="preserve"> </v>
      </c>
      <c r="Y160" s="9" t="str">
        <f>IFERROR(VLOOKUP($A160,'Project Reference'!$B$2:$Q$41,16), " ")</f>
        <v xml:space="preserve"> </v>
      </c>
      <c r="Z160" s="22"/>
    </row>
    <row r="161" spans="1:26" s="1" customFormat="1" x14ac:dyDescent="0.45">
      <c r="A161" s="70"/>
      <c r="B161" s="53" t="str">
        <f>IFERROR(VLOOKUP($A161,'Project Reference'!$S$2:$T$41,2),"Enter Project Number")</f>
        <v>Enter Project Number</v>
      </c>
      <c r="C161" s="54"/>
      <c r="D161" s="8"/>
      <c r="E161" s="8"/>
      <c r="F161" s="8"/>
      <c r="G161" s="8"/>
      <c r="H161" s="47"/>
      <c r="I161" s="9"/>
      <c r="J161" s="23"/>
      <c r="K161" s="47" t="str">
        <f>IFERROR(VLOOKUP($A161,'Project Reference'!$B$2:$C$41,2), " ")</f>
        <v xml:space="preserve"> </v>
      </c>
      <c r="L161" s="8" t="str">
        <f>IFERROR(VLOOKUP($A161,'Project Reference'!$B$2:$D$41,3), " ")</f>
        <v xml:space="preserve"> </v>
      </c>
      <c r="M161" s="54" t="str">
        <f>IFERROR(VLOOKUP($A161,'Project Reference'!$B$2:$E$41,4), " ")</f>
        <v xml:space="preserve"> </v>
      </c>
      <c r="N161" s="8" t="str">
        <f>IFERROR(VLOOKUP($A161,'Project Reference'!$B$2:$F$41,5), " ")</f>
        <v xml:space="preserve"> </v>
      </c>
      <c r="O161" s="8" t="str">
        <f>IFERROR(VLOOKUP($A161,'Project Reference'!$B$2:$G$41,6), " ")</f>
        <v xml:space="preserve"> </v>
      </c>
      <c r="P161" s="8" t="str">
        <f>IFERROR(VLOOKUP($A161,'Project Reference'!$B$2:$H$41,7), " ")</f>
        <v xml:space="preserve"> </v>
      </c>
      <c r="Q161" s="8" t="str">
        <f>IFERROR(VLOOKUP($A161,'Project Reference'!$B$2:$I$41,8), " ")</f>
        <v xml:space="preserve"> </v>
      </c>
      <c r="R161" s="8" t="str">
        <f>IFERROR(VLOOKUP($A161,'Project Reference'!$B$2:$J$41,9), " ")</f>
        <v xml:space="preserve"> </v>
      </c>
      <c r="S161" s="8" t="str">
        <f>IFERROR(VLOOKUP($A161,'Project Reference'!$B$2:$K$41,10), " ")</f>
        <v xml:space="preserve"> </v>
      </c>
      <c r="T161" s="8" t="str">
        <f>IFERROR(VLOOKUP($A161,'Project Reference'!$B$2:$L$41,11), " ")</f>
        <v xml:space="preserve"> </v>
      </c>
      <c r="U161" s="8" t="str">
        <f>IFERROR(VLOOKUP($A161,'Project Reference'!$B$2:$M$41,12), " ")</f>
        <v xml:space="preserve"> </v>
      </c>
      <c r="V161" s="8" t="str">
        <f>IFERROR(VLOOKUP($A161,'Project Reference'!$B$2:$N$41,13), " ")</f>
        <v xml:space="preserve"> </v>
      </c>
      <c r="W161" s="8" t="str">
        <f>IFERROR(VLOOKUP($A161,'Project Reference'!$B$2:$O$41,14), " ")</f>
        <v xml:space="preserve"> </v>
      </c>
      <c r="X161" s="8" t="str">
        <f>IFERROR(VLOOKUP($A161,'Project Reference'!$B$2:$P$41,15), " ")</f>
        <v xml:space="preserve"> </v>
      </c>
      <c r="Y161" s="9" t="str">
        <f>IFERROR(VLOOKUP($A161,'Project Reference'!$B$2:$Q$41,16), " ")</f>
        <v xml:space="preserve"> </v>
      </c>
      <c r="Z161" s="22"/>
    </row>
    <row r="162" spans="1:26" s="1" customFormat="1" x14ac:dyDescent="0.45">
      <c r="A162" s="70"/>
      <c r="B162" s="53" t="str">
        <f>IFERROR(VLOOKUP($A162,'Project Reference'!$S$2:$T$41,2),"Enter Project Number")</f>
        <v>Enter Project Number</v>
      </c>
      <c r="C162" s="54"/>
      <c r="D162" s="8"/>
      <c r="E162" s="8"/>
      <c r="F162" s="8"/>
      <c r="G162" s="8"/>
      <c r="H162" s="47"/>
      <c r="I162" s="9"/>
      <c r="J162" s="23"/>
      <c r="K162" s="47" t="str">
        <f>IFERROR(VLOOKUP($A162,'Project Reference'!$B$2:$C$41,2), " ")</f>
        <v xml:space="preserve"> </v>
      </c>
      <c r="L162" s="8" t="str">
        <f>IFERROR(VLOOKUP($A162,'Project Reference'!$B$2:$D$41,3), " ")</f>
        <v xml:space="preserve"> </v>
      </c>
      <c r="M162" s="54" t="str">
        <f>IFERROR(VLOOKUP($A162,'Project Reference'!$B$2:$E$41,4), " ")</f>
        <v xml:space="preserve"> </v>
      </c>
      <c r="N162" s="8" t="str">
        <f>IFERROR(VLOOKUP($A162,'Project Reference'!$B$2:$F$41,5), " ")</f>
        <v xml:space="preserve"> </v>
      </c>
      <c r="O162" s="8" t="str">
        <f>IFERROR(VLOOKUP($A162,'Project Reference'!$B$2:$G$41,6), " ")</f>
        <v xml:space="preserve"> </v>
      </c>
      <c r="P162" s="8" t="str">
        <f>IFERROR(VLOOKUP($A162,'Project Reference'!$B$2:$H$41,7), " ")</f>
        <v xml:space="preserve"> </v>
      </c>
      <c r="Q162" s="8" t="str">
        <f>IFERROR(VLOOKUP($A162,'Project Reference'!$B$2:$I$41,8), " ")</f>
        <v xml:space="preserve"> </v>
      </c>
      <c r="R162" s="8" t="str">
        <f>IFERROR(VLOOKUP($A162,'Project Reference'!$B$2:$J$41,9), " ")</f>
        <v xml:space="preserve"> </v>
      </c>
      <c r="S162" s="8" t="str">
        <f>IFERROR(VLOOKUP($A162,'Project Reference'!$B$2:$K$41,10), " ")</f>
        <v xml:space="preserve"> </v>
      </c>
      <c r="T162" s="8" t="str">
        <f>IFERROR(VLOOKUP($A162,'Project Reference'!$B$2:$L$41,11), " ")</f>
        <v xml:space="preserve"> </v>
      </c>
      <c r="U162" s="8" t="str">
        <f>IFERROR(VLOOKUP($A162,'Project Reference'!$B$2:$M$41,12), " ")</f>
        <v xml:space="preserve"> </v>
      </c>
      <c r="V162" s="8" t="str">
        <f>IFERROR(VLOOKUP($A162,'Project Reference'!$B$2:$N$41,13), " ")</f>
        <v xml:space="preserve"> </v>
      </c>
      <c r="W162" s="8" t="str">
        <f>IFERROR(VLOOKUP($A162,'Project Reference'!$B$2:$O$41,14), " ")</f>
        <v xml:space="preserve"> </v>
      </c>
      <c r="X162" s="8" t="str">
        <f>IFERROR(VLOOKUP($A162,'Project Reference'!$B$2:$P$41,15), " ")</f>
        <v xml:space="preserve"> </v>
      </c>
      <c r="Y162" s="9" t="str">
        <f>IFERROR(VLOOKUP($A162,'Project Reference'!$B$2:$Q$41,16), " ")</f>
        <v xml:space="preserve"> </v>
      </c>
      <c r="Z162" s="22"/>
    </row>
    <row r="163" spans="1:26" s="1" customFormat="1" x14ac:dyDescent="0.45">
      <c r="A163" s="70"/>
      <c r="B163" s="53" t="str">
        <f>IFERROR(VLOOKUP($A163,'Project Reference'!$S$2:$T$41,2),"Enter Project Number")</f>
        <v>Enter Project Number</v>
      </c>
      <c r="C163" s="54"/>
      <c r="D163" s="8"/>
      <c r="E163" s="8"/>
      <c r="F163" s="8"/>
      <c r="G163" s="8"/>
      <c r="H163" s="47"/>
      <c r="I163" s="9"/>
      <c r="J163" s="23"/>
      <c r="K163" s="47" t="str">
        <f>IFERROR(VLOOKUP($A163,'Project Reference'!$B$2:$C$41,2), " ")</f>
        <v xml:space="preserve"> </v>
      </c>
      <c r="L163" s="8" t="str">
        <f>IFERROR(VLOOKUP($A163,'Project Reference'!$B$2:$D$41,3), " ")</f>
        <v xml:space="preserve"> </v>
      </c>
      <c r="M163" s="54" t="str">
        <f>IFERROR(VLOOKUP($A163,'Project Reference'!$B$2:$E$41,4), " ")</f>
        <v xml:space="preserve"> </v>
      </c>
      <c r="N163" s="8" t="str">
        <f>IFERROR(VLOOKUP($A163,'Project Reference'!$B$2:$F$41,5), " ")</f>
        <v xml:space="preserve"> </v>
      </c>
      <c r="O163" s="8" t="str">
        <f>IFERROR(VLOOKUP($A163,'Project Reference'!$B$2:$G$41,6), " ")</f>
        <v xml:space="preserve"> </v>
      </c>
      <c r="P163" s="8" t="str">
        <f>IFERROR(VLOOKUP($A163,'Project Reference'!$B$2:$H$41,7), " ")</f>
        <v xml:space="preserve"> </v>
      </c>
      <c r="Q163" s="8" t="str">
        <f>IFERROR(VLOOKUP($A163,'Project Reference'!$B$2:$I$41,8), " ")</f>
        <v xml:space="preserve"> </v>
      </c>
      <c r="R163" s="8" t="str">
        <f>IFERROR(VLOOKUP($A163,'Project Reference'!$B$2:$J$41,9), " ")</f>
        <v xml:space="preserve"> </v>
      </c>
      <c r="S163" s="8" t="str">
        <f>IFERROR(VLOOKUP($A163,'Project Reference'!$B$2:$K$41,10), " ")</f>
        <v xml:space="preserve"> </v>
      </c>
      <c r="T163" s="8" t="str">
        <f>IFERROR(VLOOKUP($A163,'Project Reference'!$B$2:$L$41,11), " ")</f>
        <v xml:space="preserve"> </v>
      </c>
      <c r="U163" s="8" t="str">
        <f>IFERROR(VLOOKUP($A163,'Project Reference'!$B$2:$M$41,12), " ")</f>
        <v xml:space="preserve"> </v>
      </c>
      <c r="V163" s="8" t="str">
        <f>IFERROR(VLOOKUP($A163,'Project Reference'!$B$2:$N$41,13), " ")</f>
        <v xml:space="preserve"> </v>
      </c>
      <c r="W163" s="8" t="str">
        <f>IFERROR(VLOOKUP($A163,'Project Reference'!$B$2:$O$41,14), " ")</f>
        <v xml:space="preserve"> </v>
      </c>
      <c r="X163" s="8" t="str">
        <f>IFERROR(VLOOKUP($A163,'Project Reference'!$B$2:$P$41,15), " ")</f>
        <v xml:space="preserve"> </v>
      </c>
      <c r="Y163" s="9" t="str">
        <f>IFERROR(VLOOKUP($A163,'Project Reference'!$B$2:$Q$41,16), " ")</f>
        <v xml:space="preserve"> </v>
      </c>
      <c r="Z163" s="22"/>
    </row>
    <row r="164" spans="1:26" s="1" customFormat="1" x14ac:dyDescent="0.45">
      <c r="A164" s="70"/>
      <c r="B164" s="53" t="str">
        <f>IFERROR(VLOOKUP($A164,'Project Reference'!$S$2:$T$41,2),"Enter Project Number")</f>
        <v>Enter Project Number</v>
      </c>
      <c r="C164" s="54"/>
      <c r="D164" s="8"/>
      <c r="E164" s="8"/>
      <c r="F164" s="8"/>
      <c r="G164" s="8"/>
      <c r="H164" s="47"/>
      <c r="I164" s="9"/>
      <c r="J164" s="23"/>
      <c r="K164" s="47" t="str">
        <f>IFERROR(VLOOKUP($A164,'Project Reference'!$B$2:$C$41,2), " ")</f>
        <v xml:space="preserve"> </v>
      </c>
      <c r="L164" s="8" t="str">
        <f>IFERROR(VLOOKUP($A164,'Project Reference'!$B$2:$D$41,3), " ")</f>
        <v xml:space="preserve"> </v>
      </c>
      <c r="M164" s="54" t="str">
        <f>IFERROR(VLOOKUP($A164,'Project Reference'!$B$2:$E$41,4), " ")</f>
        <v xml:space="preserve"> </v>
      </c>
      <c r="N164" s="8" t="str">
        <f>IFERROR(VLOOKUP($A164,'Project Reference'!$B$2:$F$41,5), " ")</f>
        <v xml:space="preserve"> </v>
      </c>
      <c r="O164" s="8" t="str">
        <f>IFERROR(VLOOKUP($A164,'Project Reference'!$B$2:$G$41,6), " ")</f>
        <v xml:space="preserve"> </v>
      </c>
      <c r="P164" s="8" t="str">
        <f>IFERROR(VLOOKUP($A164,'Project Reference'!$B$2:$H$41,7), " ")</f>
        <v xml:space="preserve"> </v>
      </c>
      <c r="Q164" s="8" t="str">
        <f>IFERROR(VLOOKUP($A164,'Project Reference'!$B$2:$I$41,8), " ")</f>
        <v xml:space="preserve"> </v>
      </c>
      <c r="R164" s="8" t="str">
        <f>IFERROR(VLOOKUP($A164,'Project Reference'!$B$2:$J$41,9), " ")</f>
        <v xml:space="preserve"> </v>
      </c>
      <c r="S164" s="8" t="str">
        <f>IFERROR(VLOOKUP($A164,'Project Reference'!$B$2:$K$41,10), " ")</f>
        <v xml:space="preserve"> </v>
      </c>
      <c r="T164" s="8" t="str">
        <f>IFERROR(VLOOKUP($A164,'Project Reference'!$B$2:$L$41,11), " ")</f>
        <v xml:space="preserve"> </v>
      </c>
      <c r="U164" s="8" t="str">
        <f>IFERROR(VLOOKUP($A164,'Project Reference'!$B$2:$M$41,12), " ")</f>
        <v xml:space="preserve"> </v>
      </c>
      <c r="V164" s="8" t="str">
        <f>IFERROR(VLOOKUP($A164,'Project Reference'!$B$2:$N$41,13), " ")</f>
        <v xml:space="preserve"> </v>
      </c>
      <c r="W164" s="8" t="str">
        <f>IFERROR(VLOOKUP($A164,'Project Reference'!$B$2:$O$41,14), " ")</f>
        <v xml:space="preserve"> </v>
      </c>
      <c r="X164" s="8" t="str">
        <f>IFERROR(VLOOKUP($A164,'Project Reference'!$B$2:$P$41,15), " ")</f>
        <v xml:space="preserve"> </v>
      </c>
      <c r="Y164" s="9" t="str">
        <f>IFERROR(VLOOKUP($A164,'Project Reference'!$B$2:$Q$41,16), " ")</f>
        <v xml:space="preserve"> </v>
      </c>
      <c r="Z164" s="22"/>
    </row>
    <row r="165" spans="1:26" s="1" customFormat="1" x14ac:dyDescent="0.45">
      <c r="A165" s="70"/>
      <c r="B165" s="53" t="str">
        <f>IFERROR(VLOOKUP($A165,'Project Reference'!$S$2:$T$41,2),"Enter Project Number")</f>
        <v>Enter Project Number</v>
      </c>
      <c r="C165" s="54"/>
      <c r="D165" s="8"/>
      <c r="E165" s="8"/>
      <c r="F165" s="8"/>
      <c r="G165" s="8"/>
      <c r="H165" s="47"/>
      <c r="I165" s="9"/>
      <c r="J165" s="23"/>
      <c r="K165" s="47" t="str">
        <f>IFERROR(VLOOKUP($A165,'Project Reference'!$B$2:$C$41,2), " ")</f>
        <v xml:space="preserve"> </v>
      </c>
      <c r="L165" s="8" t="str">
        <f>IFERROR(VLOOKUP($A165,'Project Reference'!$B$2:$D$41,3), " ")</f>
        <v xml:space="preserve"> </v>
      </c>
      <c r="M165" s="54" t="str">
        <f>IFERROR(VLOOKUP($A165,'Project Reference'!$B$2:$E$41,4), " ")</f>
        <v xml:space="preserve"> </v>
      </c>
      <c r="N165" s="8" t="str">
        <f>IFERROR(VLOOKUP($A165,'Project Reference'!$B$2:$F$41,5), " ")</f>
        <v xml:space="preserve"> </v>
      </c>
      <c r="O165" s="8" t="str">
        <f>IFERROR(VLOOKUP($A165,'Project Reference'!$B$2:$G$41,6), " ")</f>
        <v xml:space="preserve"> </v>
      </c>
      <c r="P165" s="8" t="str">
        <f>IFERROR(VLOOKUP($A165,'Project Reference'!$B$2:$H$41,7), " ")</f>
        <v xml:space="preserve"> </v>
      </c>
      <c r="Q165" s="8" t="str">
        <f>IFERROR(VLOOKUP($A165,'Project Reference'!$B$2:$I$41,8), " ")</f>
        <v xml:space="preserve"> </v>
      </c>
      <c r="R165" s="8" t="str">
        <f>IFERROR(VLOOKUP($A165,'Project Reference'!$B$2:$J$41,9), " ")</f>
        <v xml:space="preserve"> </v>
      </c>
      <c r="S165" s="8" t="str">
        <f>IFERROR(VLOOKUP($A165,'Project Reference'!$B$2:$K$41,10), " ")</f>
        <v xml:space="preserve"> </v>
      </c>
      <c r="T165" s="8" t="str">
        <f>IFERROR(VLOOKUP($A165,'Project Reference'!$B$2:$L$41,11), " ")</f>
        <v xml:space="preserve"> </v>
      </c>
      <c r="U165" s="8" t="str">
        <f>IFERROR(VLOOKUP($A165,'Project Reference'!$B$2:$M$41,12), " ")</f>
        <v xml:space="preserve"> </v>
      </c>
      <c r="V165" s="8" t="str">
        <f>IFERROR(VLOOKUP($A165,'Project Reference'!$B$2:$N$41,13), " ")</f>
        <v xml:space="preserve"> </v>
      </c>
      <c r="W165" s="8" t="str">
        <f>IFERROR(VLOOKUP($A165,'Project Reference'!$B$2:$O$41,14), " ")</f>
        <v xml:space="preserve"> </v>
      </c>
      <c r="X165" s="8" t="str">
        <f>IFERROR(VLOOKUP($A165,'Project Reference'!$B$2:$P$41,15), " ")</f>
        <v xml:space="preserve"> </v>
      </c>
      <c r="Y165" s="9" t="str">
        <f>IFERROR(VLOOKUP($A165,'Project Reference'!$B$2:$Q$41,16), " ")</f>
        <v xml:space="preserve"> </v>
      </c>
      <c r="Z165" s="22"/>
    </row>
    <row r="166" spans="1:26" s="1" customFormat="1" x14ac:dyDescent="0.45">
      <c r="A166" s="70"/>
      <c r="B166" s="53" t="str">
        <f>IFERROR(VLOOKUP($A166,'Project Reference'!$S$2:$T$41,2),"Enter Project Number")</f>
        <v>Enter Project Number</v>
      </c>
      <c r="C166" s="54"/>
      <c r="D166" s="8"/>
      <c r="E166" s="8"/>
      <c r="F166" s="8"/>
      <c r="G166" s="8"/>
      <c r="H166" s="47"/>
      <c r="I166" s="9"/>
      <c r="J166" s="23"/>
      <c r="K166" s="47" t="str">
        <f>IFERROR(VLOOKUP($A166,'Project Reference'!$B$2:$C$41,2), " ")</f>
        <v xml:space="preserve"> </v>
      </c>
      <c r="L166" s="8" t="str">
        <f>IFERROR(VLOOKUP($A166,'Project Reference'!$B$2:$D$41,3), " ")</f>
        <v xml:space="preserve"> </v>
      </c>
      <c r="M166" s="54" t="str">
        <f>IFERROR(VLOOKUP($A166,'Project Reference'!$B$2:$E$41,4), " ")</f>
        <v xml:space="preserve"> </v>
      </c>
      <c r="N166" s="8" t="str">
        <f>IFERROR(VLOOKUP($A166,'Project Reference'!$B$2:$F$41,5), " ")</f>
        <v xml:space="preserve"> </v>
      </c>
      <c r="O166" s="8" t="str">
        <f>IFERROR(VLOOKUP($A166,'Project Reference'!$B$2:$G$41,6), " ")</f>
        <v xml:space="preserve"> </v>
      </c>
      <c r="P166" s="8" t="str">
        <f>IFERROR(VLOOKUP($A166,'Project Reference'!$B$2:$H$41,7), " ")</f>
        <v xml:space="preserve"> </v>
      </c>
      <c r="Q166" s="8" t="str">
        <f>IFERROR(VLOOKUP($A166,'Project Reference'!$B$2:$I$41,8), " ")</f>
        <v xml:space="preserve"> </v>
      </c>
      <c r="R166" s="8" t="str">
        <f>IFERROR(VLOOKUP($A166,'Project Reference'!$B$2:$J$41,9), " ")</f>
        <v xml:space="preserve"> </v>
      </c>
      <c r="S166" s="8" t="str">
        <f>IFERROR(VLOOKUP($A166,'Project Reference'!$B$2:$K$41,10), " ")</f>
        <v xml:space="preserve"> </v>
      </c>
      <c r="T166" s="8" t="str">
        <f>IFERROR(VLOOKUP($A166,'Project Reference'!$B$2:$L$41,11), " ")</f>
        <v xml:space="preserve"> </v>
      </c>
      <c r="U166" s="8" t="str">
        <f>IFERROR(VLOOKUP($A166,'Project Reference'!$B$2:$M$41,12), " ")</f>
        <v xml:space="preserve"> </v>
      </c>
      <c r="V166" s="8" t="str">
        <f>IFERROR(VLOOKUP($A166,'Project Reference'!$B$2:$N$41,13), " ")</f>
        <v xml:space="preserve"> </v>
      </c>
      <c r="W166" s="8" t="str">
        <f>IFERROR(VLOOKUP($A166,'Project Reference'!$B$2:$O$41,14), " ")</f>
        <v xml:space="preserve"> </v>
      </c>
      <c r="X166" s="8" t="str">
        <f>IFERROR(VLOOKUP($A166,'Project Reference'!$B$2:$P$41,15), " ")</f>
        <v xml:space="preserve"> </v>
      </c>
      <c r="Y166" s="9" t="str">
        <f>IFERROR(VLOOKUP($A166,'Project Reference'!$B$2:$Q$41,16), " ")</f>
        <v xml:space="preserve"> </v>
      </c>
      <c r="Z166" s="22"/>
    </row>
    <row r="167" spans="1:26" s="1" customFormat="1" x14ac:dyDescent="0.45">
      <c r="A167" s="70"/>
      <c r="B167" s="53" t="str">
        <f>IFERROR(VLOOKUP($A167,'Project Reference'!$S$2:$T$41,2),"Enter Project Number")</f>
        <v>Enter Project Number</v>
      </c>
      <c r="C167" s="54"/>
      <c r="D167" s="8"/>
      <c r="E167" s="8"/>
      <c r="F167" s="8"/>
      <c r="G167" s="8"/>
      <c r="H167" s="47"/>
      <c r="I167" s="9"/>
      <c r="J167" s="23"/>
      <c r="K167" s="47" t="str">
        <f>IFERROR(VLOOKUP($A167,'Project Reference'!$B$2:$C$41,2), " ")</f>
        <v xml:space="preserve"> </v>
      </c>
      <c r="L167" s="8" t="str">
        <f>IFERROR(VLOOKUP($A167,'Project Reference'!$B$2:$D$41,3), " ")</f>
        <v xml:space="preserve"> </v>
      </c>
      <c r="M167" s="54" t="str">
        <f>IFERROR(VLOOKUP($A167,'Project Reference'!$B$2:$E$41,4), " ")</f>
        <v xml:space="preserve"> </v>
      </c>
      <c r="N167" s="8" t="str">
        <f>IFERROR(VLOOKUP($A167,'Project Reference'!$B$2:$F$41,5), " ")</f>
        <v xml:space="preserve"> </v>
      </c>
      <c r="O167" s="8" t="str">
        <f>IFERROR(VLOOKUP($A167,'Project Reference'!$B$2:$G$41,6), " ")</f>
        <v xml:space="preserve"> </v>
      </c>
      <c r="P167" s="8" t="str">
        <f>IFERROR(VLOOKUP($A167,'Project Reference'!$B$2:$H$41,7), " ")</f>
        <v xml:space="preserve"> </v>
      </c>
      <c r="Q167" s="8" t="str">
        <f>IFERROR(VLOOKUP($A167,'Project Reference'!$B$2:$I$41,8), " ")</f>
        <v xml:space="preserve"> </v>
      </c>
      <c r="R167" s="8" t="str">
        <f>IFERROR(VLOOKUP($A167,'Project Reference'!$B$2:$J$41,9), " ")</f>
        <v xml:space="preserve"> </v>
      </c>
      <c r="S167" s="8" t="str">
        <f>IFERROR(VLOOKUP($A167,'Project Reference'!$B$2:$K$41,10), " ")</f>
        <v xml:space="preserve"> </v>
      </c>
      <c r="T167" s="8" t="str">
        <f>IFERROR(VLOOKUP($A167,'Project Reference'!$B$2:$L$41,11), " ")</f>
        <v xml:space="preserve"> </v>
      </c>
      <c r="U167" s="8" t="str">
        <f>IFERROR(VLOOKUP($A167,'Project Reference'!$B$2:$M$41,12), " ")</f>
        <v xml:space="preserve"> </v>
      </c>
      <c r="V167" s="8" t="str">
        <f>IFERROR(VLOOKUP($A167,'Project Reference'!$B$2:$N$41,13), " ")</f>
        <v xml:space="preserve"> </v>
      </c>
      <c r="W167" s="8" t="str">
        <f>IFERROR(VLOOKUP($A167,'Project Reference'!$B$2:$O$41,14), " ")</f>
        <v xml:space="preserve"> </v>
      </c>
      <c r="X167" s="8" t="str">
        <f>IFERROR(VLOOKUP($A167,'Project Reference'!$B$2:$P$41,15), " ")</f>
        <v xml:space="preserve"> </v>
      </c>
      <c r="Y167" s="9" t="str">
        <f>IFERROR(VLOOKUP($A167,'Project Reference'!$B$2:$Q$41,16), " ")</f>
        <v xml:space="preserve"> </v>
      </c>
      <c r="Z167" s="22"/>
    </row>
    <row r="168" spans="1:26" s="1" customFormat="1" x14ac:dyDescent="0.45">
      <c r="A168" s="70"/>
      <c r="B168" s="53" t="str">
        <f>IFERROR(VLOOKUP($A168,'Project Reference'!$S$2:$T$41,2),"Enter Project Number")</f>
        <v>Enter Project Number</v>
      </c>
      <c r="C168" s="54"/>
      <c r="D168" s="8"/>
      <c r="E168" s="8"/>
      <c r="F168" s="8"/>
      <c r="G168" s="8"/>
      <c r="H168" s="47"/>
      <c r="I168" s="9"/>
      <c r="J168" s="23"/>
      <c r="K168" s="47" t="str">
        <f>IFERROR(VLOOKUP($A168,'Project Reference'!$B$2:$C$41,2), " ")</f>
        <v xml:space="preserve"> </v>
      </c>
      <c r="L168" s="8" t="str">
        <f>IFERROR(VLOOKUP($A168,'Project Reference'!$B$2:$D$41,3), " ")</f>
        <v xml:space="preserve"> </v>
      </c>
      <c r="M168" s="54" t="str">
        <f>IFERROR(VLOOKUP($A168,'Project Reference'!$B$2:$E$41,4), " ")</f>
        <v xml:space="preserve"> </v>
      </c>
      <c r="N168" s="8" t="str">
        <f>IFERROR(VLOOKUP($A168,'Project Reference'!$B$2:$F$41,5), " ")</f>
        <v xml:space="preserve"> </v>
      </c>
      <c r="O168" s="8" t="str">
        <f>IFERROR(VLOOKUP($A168,'Project Reference'!$B$2:$G$41,6), " ")</f>
        <v xml:space="preserve"> </v>
      </c>
      <c r="P168" s="8" t="str">
        <f>IFERROR(VLOOKUP($A168,'Project Reference'!$B$2:$H$41,7), " ")</f>
        <v xml:space="preserve"> </v>
      </c>
      <c r="Q168" s="8" t="str">
        <f>IFERROR(VLOOKUP($A168,'Project Reference'!$B$2:$I$41,8), " ")</f>
        <v xml:space="preserve"> </v>
      </c>
      <c r="R168" s="8" t="str">
        <f>IFERROR(VLOOKUP($A168,'Project Reference'!$B$2:$J$41,9), " ")</f>
        <v xml:space="preserve"> </v>
      </c>
      <c r="S168" s="8" t="str">
        <f>IFERROR(VLOOKUP($A168,'Project Reference'!$B$2:$K$41,10), " ")</f>
        <v xml:space="preserve"> </v>
      </c>
      <c r="T168" s="8" t="str">
        <f>IFERROR(VLOOKUP($A168,'Project Reference'!$B$2:$L$41,11), " ")</f>
        <v xml:space="preserve"> </v>
      </c>
      <c r="U168" s="8" t="str">
        <f>IFERROR(VLOOKUP($A168,'Project Reference'!$B$2:$M$41,12), " ")</f>
        <v xml:space="preserve"> </v>
      </c>
      <c r="V168" s="8" t="str">
        <f>IFERROR(VLOOKUP($A168,'Project Reference'!$B$2:$N$41,13), " ")</f>
        <v xml:space="preserve"> </v>
      </c>
      <c r="W168" s="8" t="str">
        <f>IFERROR(VLOOKUP($A168,'Project Reference'!$B$2:$O$41,14), " ")</f>
        <v xml:space="preserve"> </v>
      </c>
      <c r="X168" s="8" t="str">
        <f>IFERROR(VLOOKUP($A168,'Project Reference'!$B$2:$P$41,15), " ")</f>
        <v xml:space="preserve"> </v>
      </c>
      <c r="Y168" s="9" t="str">
        <f>IFERROR(VLOOKUP($A168,'Project Reference'!$B$2:$Q$41,16), " ")</f>
        <v xml:space="preserve"> </v>
      </c>
      <c r="Z168" s="22"/>
    </row>
    <row r="169" spans="1:26" s="1" customFormat="1" x14ac:dyDescent="0.45">
      <c r="A169" s="70"/>
      <c r="B169" s="53" t="str">
        <f>IFERROR(VLOOKUP($A169,'Project Reference'!$S$2:$T$41,2),"Enter Project Number")</f>
        <v>Enter Project Number</v>
      </c>
      <c r="C169" s="54"/>
      <c r="D169" s="8"/>
      <c r="E169" s="8"/>
      <c r="F169" s="8"/>
      <c r="G169" s="8"/>
      <c r="H169" s="47"/>
      <c r="I169" s="9"/>
      <c r="J169" s="23"/>
      <c r="K169" s="47" t="str">
        <f>IFERROR(VLOOKUP($A169,'Project Reference'!$B$2:$C$41,2), " ")</f>
        <v xml:space="preserve"> </v>
      </c>
      <c r="L169" s="8" t="str">
        <f>IFERROR(VLOOKUP($A169,'Project Reference'!$B$2:$D$41,3), " ")</f>
        <v xml:space="preserve"> </v>
      </c>
      <c r="M169" s="54" t="str">
        <f>IFERROR(VLOOKUP($A169,'Project Reference'!$B$2:$E$41,4), " ")</f>
        <v xml:space="preserve"> </v>
      </c>
      <c r="N169" s="8" t="str">
        <f>IFERROR(VLOOKUP($A169,'Project Reference'!$B$2:$F$41,5), " ")</f>
        <v xml:space="preserve"> </v>
      </c>
      <c r="O169" s="8" t="str">
        <f>IFERROR(VLOOKUP($A169,'Project Reference'!$B$2:$G$41,6), " ")</f>
        <v xml:space="preserve"> </v>
      </c>
      <c r="P169" s="8" t="str">
        <f>IFERROR(VLOOKUP($A169,'Project Reference'!$B$2:$H$41,7), " ")</f>
        <v xml:space="preserve"> </v>
      </c>
      <c r="Q169" s="8" t="str">
        <f>IFERROR(VLOOKUP($A169,'Project Reference'!$B$2:$I$41,8), " ")</f>
        <v xml:space="preserve"> </v>
      </c>
      <c r="R169" s="8" t="str">
        <f>IFERROR(VLOOKUP($A169,'Project Reference'!$B$2:$J$41,9), " ")</f>
        <v xml:space="preserve"> </v>
      </c>
      <c r="S169" s="8" t="str">
        <f>IFERROR(VLOOKUP($A169,'Project Reference'!$B$2:$K$41,10), " ")</f>
        <v xml:space="preserve"> </v>
      </c>
      <c r="T169" s="8" t="str">
        <f>IFERROR(VLOOKUP($A169,'Project Reference'!$B$2:$L$41,11), " ")</f>
        <v xml:space="preserve"> </v>
      </c>
      <c r="U169" s="8" t="str">
        <f>IFERROR(VLOOKUP($A169,'Project Reference'!$B$2:$M$41,12), " ")</f>
        <v xml:space="preserve"> </v>
      </c>
      <c r="V169" s="8" t="str">
        <f>IFERROR(VLOOKUP($A169,'Project Reference'!$B$2:$N$41,13), " ")</f>
        <v xml:space="preserve"> </v>
      </c>
      <c r="W169" s="8" t="str">
        <f>IFERROR(VLOOKUP($A169,'Project Reference'!$B$2:$O$41,14), " ")</f>
        <v xml:space="preserve"> </v>
      </c>
      <c r="X169" s="8" t="str">
        <f>IFERROR(VLOOKUP($A169,'Project Reference'!$B$2:$P$41,15), " ")</f>
        <v xml:space="preserve"> </v>
      </c>
      <c r="Y169" s="9" t="str">
        <f>IFERROR(VLOOKUP($A169,'Project Reference'!$B$2:$Q$41,16), " ")</f>
        <v xml:space="preserve"> </v>
      </c>
      <c r="Z169" s="22"/>
    </row>
    <row r="170" spans="1:26" s="1" customFormat="1" x14ac:dyDescent="0.45">
      <c r="A170" s="70"/>
      <c r="B170" s="53" t="str">
        <f>IFERROR(VLOOKUP($A170,'Project Reference'!$S$2:$T$41,2),"Enter Project Number")</f>
        <v>Enter Project Number</v>
      </c>
      <c r="C170" s="54"/>
      <c r="D170" s="8"/>
      <c r="E170" s="8"/>
      <c r="F170" s="8"/>
      <c r="G170" s="8"/>
      <c r="H170" s="47"/>
      <c r="I170" s="9"/>
      <c r="J170" s="23"/>
      <c r="K170" s="47" t="str">
        <f>IFERROR(VLOOKUP($A170,'Project Reference'!$B$2:$C$41,2), " ")</f>
        <v xml:space="preserve"> </v>
      </c>
      <c r="L170" s="8" t="str">
        <f>IFERROR(VLOOKUP($A170,'Project Reference'!$B$2:$D$41,3), " ")</f>
        <v xml:space="preserve"> </v>
      </c>
      <c r="M170" s="54" t="str">
        <f>IFERROR(VLOOKUP($A170,'Project Reference'!$B$2:$E$41,4), " ")</f>
        <v xml:space="preserve"> </v>
      </c>
      <c r="N170" s="8" t="str">
        <f>IFERROR(VLOOKUP($A170,'Project Reference'!$B$2:$F$41,5), " ")</f>
        <v xml:space="preserve"> </v>
      </c>
      <c r="O170" s="8" t="str">
        <f>IFERROR(VLOOKUP($A170,'Project Reference'!$B$2:$G$41,6), " ")</f>
        <v xml:space="preserve"> </v>
      </c>
      <c r="P170" s="8" t="str">
        <f>IFERROR(VLOOKUP($A170,'Project Reference'!$B$2:$H$41,7), " ")</f>
        <v xml:space="preserve"> </v>
      </c>
      <c r="Q170" s="8" t="str">
        <f>IFERROR(VLOOKUP($A170,'Project Reference'!$B$2:$I$41,8), " ")</f>
        <v xml:space="preserve"> </v>
      </c>
      <c r="R170" s="8" t="str">
        <f>IFERROR(VLOOKUP($A170,'Project Reference'!$B$2:$J$41,9), " ")</f>
        <v xml:space="preserve"> </v>
      </c>
      <c r="S170" s="8" t="str">
        <f>IFERROR(VLOOKUP($A170,'Project Reference'!$B$2:$K$41,10), " ")</f>
        <v xml:space="preserve"> </v>
      </c>
      <c r="T170" s="8" t="str">
        <f>IFERROR(VLOOKUP($A170,'Project Reference'!$B$2:$L$41,11), " ")</f>
        <v xml:space="preserve"> </v>
      </c>
      <c r="U170" s="8" t="str">
        <f>IFERROR(VLOOKUP($A170,'Project Reference'!$B$2:$M$41,12), " ")</f>
        <v xml:space="preserve"> </v>
      </c>
      <c r="V170" s="8" t="str">
        <f>IFERROR(VLOOKUP($A170,'Project Reference'!$B$2:$N$41,13), " ")</f>
        <v xml:space="preserve"> </v>
      </c>
      <c r="W170" s="8" t="str">
        <f>IFERROR(VLOOKUP($A170,'Project Reference'!$B$2:$O$41,14), " ")</f>
        <v xml:space="preserve"> </v>
      </c>
      <c r="X170" s="8" t="str">
        <f>IFERROR(VLOOKUP($A170,'Project Reference'!$B$2:$P$41,15), " ")</f>
        <v xml:space="preserve"> </v>
      </c>
      <c r="Y170" s="9" t="str">
        <f>IFERROR(VLOOKUP($A170,'Project Reference'!$B$2:$Q$41,16), " ")</f>
        <v xml:space="preserve"> </v>
      </c>
      <c r="Z170" s="22"/>
    </row>
    <row r="171" spans="1:26" s="1" customFormat="1" x14ac:dyDescent="0.45">
      <c r="A171" s="70"/>
      <c r="B171" s="53" t="str">
        <f>IFERROR(VLOOKUP($A171,'Project Reference'!$S$2:$T$41,2),"Enter Project Number")</f>
        <v>Enter Project Number</v>
      </c>
      <c r="C171" s="54"/>
      <c r="D171" s="8"/>
      <c r="E171" s="8"/>
      <c r="F171" s="8"/>
      <c r="G171" s="8"/>
      <c r="H171" s="47"/>
      <c r="I171" s="9"/>
      <c r="J171" s="23"/>
      <c r="K171" s="47" t="str">
        <f>IFERROR(VLOOKUP($A171,'Project Reference'!$B$2:$C$41,2), " ")</f>
        <v xml:space="preserve"> </v>
      </c>
      <c r="L171" s="8" t="str">
        <f>IFERROR(VLOOKUP($A171,'Project Reference'!$B$2:$D$41,3), " ")</f>
        <v xml:space="preserve"> </v>
      </c>
      <c r="M171" s="54" t="str">
        <f>IFERROR(VLOOKUP($A171,'Project Reference'!$B$2:$E$41,4), " ")</f>
        <v xml:space="preserve"> </v>
      </c>
      <c r="N171" s="8" t="str">
        <f>IFERROR(VLOOKUP($A171,'Project Reference'!$B$2:$F$41,5), " ")</f>
        <v xml:space="preserve"> </v>
      </c>
      <c r="O171" s="8" t="str">
        <f>IFERROR(VLOOKUP($A171,'Project Reference'!$B$2:$G$41,6), " ")</f>
        <v xml:space="preserve"> </v>
      </c>
      <c r="P171" s="8" t="str">
        <f>IFERROR(VLOOKUP($A171,'Project Reference'!$B$2:$H$41,7), " ")</f>
        <v xml:space="preserve"> </v>
      </c>
      <c r="Q171" s="8" t="str">
        <f>IFERROR(VLOOKUP($A171,'Project Reference'!$B$2:$I$41,8), " ")</f>
        <v xml:space="preserve"> </v>
      </c>
      <c r="R171" s="8" t="str">
        <f>IFERROR(VLOOKUP($A171,'Project Reference'!$B$2:$J$41,9), " ")</f>
        <v xml:space="preserve"> </v>
      </c>
      <c r="S171" s="8" t="str">
        <f>IFERROR(VLOOKUP($A171,'Project Reference'!$B$2:$K$41,10), " ")</f>
        <v xml:space="preserve"> </v>
      </c>
      <c r="T171" s="8" t="str">
        <f>IFERROR(VLOOKUP($A171,'Project Reference'!$B$2:$L$41,11), " ")</f>
        <v xml:space="preserve"> </v>
      </c>
      <c r="U171" s="8" t="str">
        <f>IFERROR(VLOOKUP($A171,'Project Reference'!$B$2:$M$41,12), " ")</f>
        <v xml:space="preserve"> </v>
      </c>
      <c r="V171" s="8" t="str">
        <f>IFERROR(VLOOKUP($A171,'Project Reference'!$B$2:$N$41,13), " ")</f>
        <v xml:space="preserve"> </v>
      </c>
      <c r="W171" s="8" t="str">
        <f>IFERROR(VLOOKUP($A171,'Project Reference'!$B$2:$O$41,14), " ")</f>
        <v xml:space="preserve"> </v>
      </c>
      <c r="X171" s="8" t="str">
        <f>IFERROR(VLOOKUP($A171,'Project Reference'!$B$2:$P$41,15), " ")</f>
        <v xml:space="preserve"> </v>
      </c>
      <c r="Y171" s="9" t="str">
        <f>IFERROR(VLOOKUP($A171,'Project Reference'!$B$2:$Q$41,16), " ")</f>
        <v xml:space="preserve"> </v>
      </c>
      <c r="Z171" s="22"/>
    </row>
    <row r="172" spans="1:26" s="1" customFormat="1" x14ac:dyDescent="0.45">
      <c r="A172" s="70"/>
      <c r="B172" s="53" t="str">
        <f>IFERROR(VLOOKUP($A172,'Project Reference'!$S$2:$T$41,2),"Enter Project Number")</f>
        <v>Enter Project Number</v>
      </c>
      <c r="C172" s="54"/>
      <c r="D172" s="8"/>
      <c r="E172" s="8"/>
      <c r="F172" s="8"/>
      <c r="G172" s="8"/>
      <c r="H172" s="47"/>
      <c r="I172" s="9"/>
      <c r="J172" s="23"/>
      <c r="K172" s="47" t="str">
        <f>IFERROR(VLOOKUP($A172,'Project Reference'!$B$2:$C$41,2), " ")</f>
        <v xml:space="preserve"> </v>
      </c>
      <c r="L172" s="8" t="str">
        <f>IFERROR(VLOOKUP($A172,'Project Reference'!$B$2:$D$41,3), " ")</f>
        <v xml:space="preserve"> </v>
      </c>
      <c r="M172" s="54" t="str">
        <f>IFERROR(VLOOKUP($A172,'Project Reference'!$B$2:$E$41,4), " ")</f>
        <v xml:space="preserve"> </v>
      </c>
      <c r="N172" s="8" t="str">
        <f>IFERROR(VLOOKUP($A172,'Project Reference'!$B$2:$F$41,5), " ")</f>
        <v xml:space="preserve"> </v>
      </c>
      <c r="O172" s="8" t="str">
        <f>IFERROR(VLOOKUP($A172,'Project Reference'!$B$2:$G$41,6), " ")</f>
        <v xml:space="preserve"> </v>
      </c>
      <c r="P172" s="8" t="str">
        <f>IFERROR(VLOOKUP($A172,'Project Reference'!$B$2:$H$41,7), " ")</f>
        <v xml:space="preserve"> </v>
      </c>
      <c r="Q172" s="8" t="str">
        <f>IFERROR(VLOOKUP($A172,'Project Reference'!$B$2:$I$41,8), " ")</f>
        <v xml:space="preserve"> </v>
      </c>
      <c r="R172" s="8" t="str">
        <f>IFERROR(VLOOKUP($A172,'Project Reference'!$B$2:$J$41,9), " ")</f>
        <v xml:space="preserve"> </v>
      </c>
      <c r="S172" s="8" t="str">
        <f>IFERROR(VLOOKUP($A172,'Project Reference'!$B$2:$K$41,10), " ")</f>
        <v xml:space="preserve"> </v>
      </c>
      <c r="T172" s="8" t="str">
        <f>IFERROR(VLOOKUP($A172,'Project Reference'!$B$2:$L$41,11), " ")</f>
        <v xml:space="preserve"> </v>
      </c>
      <c r="U172" s="8" t="str">
        <f>IFERROR(VLOOKUP($A172,'Project Reference'!$B$2:$M$41,12), " ")</f>
        <v xml:space="preserve"> </v>
      </c>
      <c r="V172" s="8" t="str">
        <f>IFERROR(VLOOKUP($A172,'Project Reference'!$B$2:$N$41,13), " ")</f>
        <v xml:space="preserve"> </v>
      </c>
      <c r="W172" s="8" t="str">
        <f>IFERROR(VLOOKUP($A172,'Project Reference'!$B$2:$O$41,14), " ")</f>
        <v xml:space="preserve"> </v>
      </c>
      <c r="X172" s="8" t="str">
        <f>IFERROR(VLOOKUP($A172,'Project Reference'!$B$2:$P$41,15), " ")</f>
        <v xml:space="preserve"> </v>
      </c>
      <c r="Y172" s="9" t="str">
        <f>IFERROR(VLOOKUP($A172,'Project Reference'!$B$2:$Q$41,16), " ")</f>
        <v xml:space="preserve"> </v>
      </c>
      <c r="Z172" s="22"/>
    </row>
    <row r="173" spans="1:26" s="1" customFormat="1" x14ac:dyDescent="0.45">
      <c r="A173" s="70"/>
      <c r="B173" s="53" t="str">
        <f>IFERROR(VLOOKUP($A173,'Project Reference'!$S$2:$T$41,2),"Enter Project Number")</f>
        <v>Enter Project Number</v>
      </c>
      <c r="C173" s="54"/>
      <c r="D173" s="8"/>
      <c r="E173" s="8"/>
      <c r="F173" s="8"/>
      <c r="G173" s="8"/>
      <c r="H173" s="47"/>
      <c r="I173" s="9"/>
      <c r="J173" s="23"/>
      <c r="K173" s="47" t="str">
        <f>IFERROR(VLOOKUP($A173,'Project Reference'!$B$2:$C$41,2), " ")</f>
        <v xml:space="preserve"> </v>
      </c>
      <c r="L173" s="8" t="str">
        <f>IFERROR(VLOOKUP($A173,'Project Reference'!$B$2:$D$41,3), " ")</f>
        <v xml:space="preserve"> </v>
      </c>
      <c r="M173" s="54" t="str">
        <f>IFERROR(VLOOKUP($A173,'Project Reference'!$B$2:$E$41,4), " ")</f>
        <v xml:space="preserve"> </v>
      </c>
      <c r="N173" s="8" t="str">
        <f>IFERROR(VLOOKUP($A173,'Project Reference'!$B$2:$F$41,5), " ")</f>
        <v xml:space="preserve"> </v>
      </c>
      <c r="O173" s="8" t="str">
        <f>IFERROR(VLOOKUP($A173,'Project Reference'!$B$2:$G$41,6), " ")</f>
        <v xml:space="preserve"> </v>
      </c>
      <c r="P173" s="8" t="str">
        <f>IFERROR(VLOOKUP($A173,'Project Reference'!$B$2:$H$41,7), " ")</f>
        <v xml:space="preserve"> </v>
      </c>
      <c r="Q173" s="8" t="str">
        <f>IFERROR(VLOOKUP($A173,'Project Reference'!$B$2:$I$41,8), " ")</f>
        <v xml:space="preserve"> </v>
      </c>
      <c r="R173" s="8" t="str">
        <f>IFERROR(VLOOKUP($A173,'Project Reference'!$B$2:$J$41,9), " ")</f>
        <v xml:space="preserve"> </v>
      </c>
      <c r="S173" s="8" t="str">
        <f>IFERROR(VLOOKUP($A173,'Project Reference'!$B$2:$K$41,10), " ")</f>
        <v xml:space="preserve"> </v>
      </c>
      <c r="T173" s="8" t="str">
        <f>IFERROR(VLOOKUP($A173,'Project Reference'!$B$2:$L$41,11), " ")</f>
        <v xml:space="preserve"> </v>
      </c>
      <c r="U173" s="8" t="str">
        <f>IFERROR(VLOOKUP($A173,'Project Reference'!$B$2:$M$41,12), " ")</f>
        <v xml:space="preserve"> </v>
      </c>
      <c r="V173" s="8" t="str">
        <f>IFERROR(VLOOKUP($A173,'Project Reference'!$B$2:$N$41,13), " ")</f>
        <v xml:space="preserve"> </v>
      </c>
      <c r="W173" s="8" t="str">
        <f>IFERROR(VLOOKUP($A173,'Project Reference'!$B$2:$O$41,14), " ")</f>
        <v xml:space="preserve"> </v>
      </c>
      <c r="X173" s="8" t="str">
        <f>IFERROR(VLOOKUP($A173,'Project Reference'!$B$2:$P$41,15), " ")</f>
        <v xml:space="preserve"> </v>
      </c>
      <c r="Y173" s="9" t="str">
        <f>IFERROR(VLOOKUP($A173,'Project Reference'!$B$2:$Q$41,16), " ")</f>
        <v xml:space="preserve"> </v>
      </c>
      <c r="Z173" s="22"/>
    </row>
    <row r="174" spans="1:26" s="1" customFormat="1" x14ac:dyDescent="0.45">
      <c r="A174" s="70"/>
      <c r="B174" s="53" t="str">
        <f>IFERROR(VLOOKUP($A174,'Project Reference'!$S$2:$T$41,2),"Enter Project Number")</f>
        <v>Enter Project Number</v>
      </c>
      <c r="C174" s="54"/>
      <c r="D174" s="8"/>
      <c r="E174" s="8"/>
      <c r="F174" s="8"/>
      <c r="G174" s="8"/>
      <c r="H174" s="47"/>
      <c r="I174" s="9"/>
      <c r="J174" s="23"/>
      <c r="K174" s="47" t="str">
        <f>IFERROR(VLOOKUP($A174,'Project Reference'!$B$2:$C$41,2), " ")</f>
        <v xml:space="preserve"> </v>
      </c>
      <c r="L174" s="8" t="str">
        <f>IFERROR(VLOOKUP($A174,'Project Reference'!$B$2:$D$41,3), " ")</f>
        <v xml:space="preserve"> </v>
      </c>
      <c r="M174" s="54" t="str">
        <f>IFERROR(VLOOKUP($A174,'Project Reference'!$B$2:$E$41,4), " ")</f>
        <v xml:space="preserve"> </v>
      </c>
      <c r="N174" s="8" t="str">
        <f>IFERROR(VLOOKUP($A174,'Project Reference'!$B$2:$F$41,5), " ")</f>
        <v xml:space="preserve"> </v>
      </c>
      <c r="O174" s="8" t="str">
        <f>IFERROR(VLOOKUP($A174,'Project Reference'!$B$2:$G$41,6), " ")</f>
        <v xml:space="preserve"> </v>
      </c>
      <c r="P174" s="8" t="str">
        <f>IFERROR(VLOOKUP($A174,'Project Reference'!$B$2:$H$41,7), " ")</f>
        <v xml:space="preserve"> </v>
      </c>
      <c r="Q174" s="8" t="str">
        <f>IFERROR(VLOOKUP($A174,'Project Reference'!$B$2:$I$41,8), " ")</f>
        <v xml:space="preserve"> </v>
      </c>
      <c r="R174" s="8" t="str">
        <f>IFERROR(VLOOKUP($A174,'Project Reference'!$B$2:$J$41,9), " ")</f>
        <v xml:space="preserve"> </v>
      </c>
      <c r="S174" s="8" t="str">
        <f>IFERROR(VLOOKUP($A174,'Project Reference'!$B$2:$K$41,10), " ")</f>
        <v xml:space="preserve"> </v>
      </c>
      <c r="T174" s="8" t="str">
        <f>IFERROR(VLOOKUP($A174,'Project Reference'!$B$2:$L$41,11), " ")</f>
        <v xml:space="preserve"> </v>
      </c>
      <c r="U174" s="8" t="str">
        <f>IFERROR(VLOOKUP($A174,'Project Reference'!$B$2:$M$41,12), " ")</f>
        <v xml:space="preserve"> </v>
      </c>
      <c r="V174" s="8" t="str">
        <f>IFERROR(VLOOKUP($A174,'Project Reference'!$B$2:$N$41,13), " ")</f>
        <v xml:space="preserve"> </v>
      </c>
      <c r="W174" s="8" t="str">
        <f>IFERROR(VLOOKUP($A174,'Project Reference'!$B$2:$O$41,14), " ")</f>
        <v xml:space="preserve"> </v>
      </c>
      <c r="X174" s="8" t="str">
        <f>IFERROR(VLOOKUP($A174,'Project Reference'!$B$2:$P$41,15), " ")</f>
        <v xml:space="preserve"> </v>
      </c>
      <c r="Y174" s="9" t="str">
        <f>IFERROR(VLOOKUP($A174,'Project Reference'!$B$2:$Q$41,16), " ")</f>
        <v xml:space="preserve"> </v>
      </c>
      <c r="Z174" s="22"/>
    </row>
    <row r="175" spans="1:26" s="1" customFormat="1" x14ac:dyDescent="0.45">
      <c r="A175" s="70"/>
      <c r="B175" s="53" t="str">
        <f>IFERROR(VLOOKUP($A175,'Project Reference'!$S$2:$T$41,2),"Enter Project Number")</f>
        <v>Enter Project Number</v>
      </c>
      <c r="C175" s="54"/>
      <c r="D175" s="8"/>
      <c r="E175" s="8"/>
      <c r="F175" s="8"/>
      <c r="G175" s="8"/>
      <c r="H175" s="47"/>
      <c r="I175" s="9"/>
      <c r="J175" s="23"/>
      <c r="K175" s="47" t="str">
        <f>IFERROR(VLOOKUP($A175,'Project Reference'!$B$2:$C$41,2), " ")</f>
        <v xml:space="preserve"> </v>
      </c>
      <c r="L175" s="8" t="str">
        <f>IFERROR(VLOOKUP($A175,'Project Reference'!$B$2:$D$41,3), " ")</f>
        <v xml:space="preserve"> </v>
      </c>
      <c r="M175" s="54" t="str">
        <f>IFERROR(VLOOKUP($A175,'Project Reference'!$B$2:$E$41,4), " ")</f>
        <v xml:space="preserve"> </v>
      </c>
      <c r="N175" s="8" t="str">
        <f>IFERROR(VLOOKUP($A175,'Project Reference'!$B$2:$F$41,5), " ")</f>
        <v xml:space="preserve"> </v>
      </c>
      <c r="O175" s="8" t="str">
        <f>IFERROR(VLOOKUP($A175,'Project Reference'!$B$2:$G$41,6), " ")</f>
        <v xml:space="preserve"> </v>
      </c>
      <c r="P175" s="8" t="str">
        <f>IFERROR(VLOOKUP($A175,'Project Reference'!$B$2:$H$41,7), " ")</f>
        <v xml:space="preserve"> </v>
      </c>
      <c r="Q175" s="8" t="str">
        <f>IFERROR(VLOOKUP($A175,'Project Reference'!$B$2:$I$41,8), " ")</f>
        <v xml:space="preserve"> </v>
      </c>
      <c r="R175" s="8" t="str">
        <f>IFERROR(VLOOKUP($A175,'Project Reference'!$B$2:$J$41,9), " ")</f>
        <v xml:space="preserve"> </v>
      </c>
      <c r="S175" s="8" t="str">
        <f>IFERROR(VLOOKUP($A175,'Project Reference'!$B$2:$K$41,10), " ")</f>
        <v xml:space="preserve"> </v>
      </c>
      <c r="T175" s="8" t="str">
        <f>IFERROR(VLOOKUP($A175,'Project Reference'!$B$2:$L$41,11), " ")</f>
        <v xml:space="preserve"> </v>
      </c>
      <c r="U175" s="8" t="str">
        <f>IFERROR(VLOOKUP($A175,'Project Reference'!$B$2:$M$41,12), " ")</f>
        <v xml:space="preserve"> </v>
      </c>
      <c r="V175" s="8" t="str">
        <f>IFERROR(VLOOKUP($A175,'Project Reference'!$B$2:$N$41,13), " ")</f>
        <v xml:space="preserve"> </v>
      </c>
      <c r="W175" s="8" t="str">
        <f>IFERROR(VLOOKUP($A175,'Project Reference'!$B$2:$O$41,14), " ")</f>
        <v xml:space="preserve"> </v>
      </c>
      <c r="X175" s="8" t="str">
        <f>IFERROR(VLOOKUP($A175,'Project Reference'!$B$2:$P$41,15), " ")</f>
        <v xml:space="preserve"> </v>
      </c>
      <c r="Y175" s="9" t="str">
        <f>IFERROR(VLOOKUP($A175,'Project Reference'!$B$2:$Q$41,16), " ")</f>
        <v xml:space="preserve"> </v>
      </c>
      <c r="Z175" s="22"/>
    </row>
    <row r="176" spans="1:26" s="1" customFormat="1" x14ac:dyDescent="0.45">
      <c r="A176" s="70"/>
      <c r="B176" s="53" t="str">
        <f>IFERROR(VLOOKUP($A176,'Project Reference'!$S$2:$T$41,2),"Enter Project Number")</f>
        <v>Enter Project Number</v>
      </c>
      <c r="C176" s="54"/>
      <c r="D176" s="8"/>
      <c r="E176" s="8"/>
      <c r="F176" s="8"/>
      <c r="G176" s="8"/>
      <c r="H176" s="47"/>
      <c r="I176" s="9"/>
      <c r="J176" s="23"/>
      <c r="K176" s="47" t="str">
        <f>IFERROR(VLOOKUP($A176,'Project Reference'!$B$2:$C$41,2), " ")</f>
        <v xml:space="preserve"> </v>
      </c>
      <c r="L176" s="8" t="str">
        <f>IFERROR(VLOOKUP($A176,'Project Reference'!$B$2:$D$41,3), " ")</f>
        <v xml:space="preserve"> </v>
      </c>
      <c r="M176" s="54" t="str">
        <f>IFERROR(VLOOKUP($A176,'Project Reference'!$B$2:$E$41,4), " ")</f>
        <v xml:space="preserve"> </v>
      </c>
      <c r="N176" s="8" t="str">
        <f>IFERROR(VLOOKUP($A176,'Project Reference'!$B$2:$F$41,5), " ")</f>
        <v xml:space="preserve"> </v>
      </c>
      <c r="O176" s="8" t="str">
        <f>IFERROR(VLOOKUP($A176,'Project Reference'!$B$2:$G$41,6), " ")</f>
        <v xml:space="preserve"> </v>
      </c>
      <c r="P176" s="8" t="str">
        <f>IFERROR(VLOOKUP($A176,'Project Reference'!$B$2:$H$41,7), " ")</f>
        <v xml:space="preserve"> </v>
      </c>
      <c r="Q176" s="8" t="str">
        <f>IFERROR(VLOOKUP($A176,'Project Reference'!$B$2:$I$41,8), " ")</f>
        <v xml:space="preserve"> </v>
      </c>
      <c r="R176" s="8" t="str">
        <f>IFERROR(VLOOKUP($A176,'Project Reference'!$B$2:$J$41,9), " ")</f>
        <v xml:space="preserve"> </v>
      </c>
      <c r="S176" s="8" t="str">
        <f>IFERROR(VLOOKUP($A176,'Project Reference'!$B$2:$K$41,10), " ")</f>
        <v xml:space="preserve"> </v>
      </c>
      <c r="T176" s="8" t="str">
        <f>IFERROR(VLOOKUP($A176,'Project Reference'!$B$2:$L$41,11), " ")</f>
        <v xml:space="preserve"> </v>
      </c>
      <c r="U176" s="8" t="str">
        <f>IFERROR(VLOOKUP($A176,'Project Reference'!$B$2:$M$41,12), " ")</f>
        <v xml:space="preserve"> </v>
      </c>
      <c r="V176" s="8" t="str">
        <f>IFERROR(VLOOKUP($A176,'Project Reference'!$B$2:$N$41,13), " ")</f>
        <v xml:space="preserve"> </v>
      </c>
      <c r="W176" s="8" t="str">
        <f>IFERROR(VLOOKUP($A176,'Project Reference'!$B$2:$O$41,14), " ")</f>
        <v xml:space="preserve"> </v>
      </c>
      <c r="X176" s="8" t="str">
        <f>IFERROR(VLOOKUP($A176,'Project Reference'!$B$2:$P$41,15), " ")</f>
        <v xml:space="preserve"> </v>
      </c>
      <c r="Y176" s="9" t="str">
        <f>IFERROR(VLOOKUP($A176,'Project Reference'!$B$2:$Q$41,16), " ")</f>
        <v xml:space="preserve"> </v>
      </c>
      <c r="Z176" s="22"/>
    </row>
    <row r="177" spans="1:26" s="1" customFormat="1" x14ac:dyDescent="0.45">
      <c r="A177" s="70"/>
      <c r="B177" s="53" t="str">
        <f>IFERROR(VLOOKUP($A177,'Project Reference'!$S$2:$T$41,2),"Enter Project Number")</f>
        <v>Enter Project Number</v>
      </c>
      <c r="C177" s="54"/>
      <c r="D177" s="8"/>
      <c r="E177" s="8"/>
      <c r="F177" s="8"/>
      <c r="G177" s="8"/>
      <c r="H177" s="47"/>
      <c r="I177" s="9"/>
      <c r="J177" s="23"/>
      <c r="K177" s="47" t="str">
        <f>IFERROR(VLOOKUP($A177,'Project Reference'!$B$2:$C$41,2), " ")</f>
        <v xml:space="preserve"> </v>
      </c>
      <c r="L177" s="8" t="str">
        <f>IFERROR(VLOOKUP($A177,'Project Reference'!$B$2:$D$41,3), " ")</f>
        <v xml:space="preserve"> </v>
      </c>
      <c r="M177" s="54" t="str">
        <f>IFERROR(VLOOKUP($A177,'Project Reference'!$B$2:$E$41,4), " ")</f>
        <v xml:space="preserve"> </v>
      </c>
      <c r="N177" s="8" t="str">
        <f>IFERROR(VLOOKUP($A177,'Project Reference'!$B$2:$F$41,5), " ")</f>
        <v xml:space="preserve"> </v>
      </c>
      <c r="O177" s="8" t="str">
        <f>IFERROR(VLOOKUP($A177,'Project Reference'!$B$2:$G$41,6), " ")</f>
        <v xml:space="preserve"> </v>
      </c>
      <c r="P177" s="8" t="str">
        <f>IFERROR(VLOOKUP($A177,'Project Reference'!$B$2:$H$41,7), " ")</f>
        <v xml:space="preserve"> </v>
      </c>
      <c r="Q177" s="8" t="str">
        <f>IFERROR(VLOOKUP($A177,'Project Reference'!$B$2:$I$41,8), " ")</f>
        <v xml:space="preserve"> </v>
      </c>
      <c r="R177" s="8" t="str">
        <f>IFERROR(VLOOKUP($A177,'Project Reference'!$B$2:$J$41,9), " ")</f>
        <v xml:space="preserve"> </v>
      </c>
      <c r="S177" s="8" t="str">
        <f>IFERROR(VLOOKUP($A177,'Project Reference'!$B$2:$K$41,10), " ")</f>
        <v xml:space="preserve"> </v>
      </c>
      <c r="T177" s="8" t="str">
        <f>IFERROR(VLOOKUP($A177,'Project Reference'!$B$2:$L$41,11), " ")</f>
        <v xml:space="preserve"> </v>
      </c>
      <c r="U177" s="8" t="str">
        <f>IFERROR(VLOOKUP($A177,'Project Reference'!$B$2:$M$41,12), " ")</f>
        <v xml:space="preserve"> </v>
      </c>
      <c r="V177" s="8" t="str">
        <f>IFERROR(VLOOKUP($A177,'Project Reference'!$B$2:$N$41,13), " ")</f>
        <v xml:space="preserve"> </v>
      </c>
      <c r="W177" s="8" t="str">
        <f>IFERROR(VLOOKUP($A177,'Project Reference'!$B$2:$O$41,14), " ")</f>
        <v xml:space="preserve"> </v>
      </c>
      <c r="X177" s="8" t="str">
        <f>IFERROR(VLOOKUP($A177,'Project Reference'!$B$2:$P$41,15), " ")</f>
        <v xml:space="preserve"> </v>
      </c>
      <c r="Y177" s="9" t="str">
        <f>IFERROR(VLOOKUP($A177,'Project Reference'!$B$2:$Q$41,16), " ")</f>
        <v xml:space="preserve"> </v>
      </c>
      <c r="Z177" s="22"/>
    </row>
    <row r="178" spans="1:26" s="1" customFormat="1" x14ac:dyDescent="0.45">
      <c r="A178" s="70"/>
      <c r="B178" s="53" t="str">
        <f>IFERROR(VLOOKUP($A178,'Project Reference'!$S$2:$T$41,2),"Enter Project Number")</f>
        <v>Enter Project Number</v>
      </c>
      <c r="C178" s="54"/>
      <c r="D178" s="8"/>
      <c r="E178" s="8"/>
      <c r="F178" s="8"/>
      <c r="G178" s="8"/>
      <c r="H178" s="47"/>
      <c r="I178" s="9"/>
      <c r="J178" s="23"/>
      <c r="K178" s="47" t="str">
        <f>IFERROR(VLOOKUP($A178,'Project Reference'!$B$2:$C$41,2), " ")</f>
        <v xml:space="preserve"> </v>
      </c>
      <c r="L178" s="8" t="str">
        <f>IFERROR(VLOOKUP($A178,'Project Reference'!$B$2:$D$41,3), " ")</f>
        <v xml:space="preserve"> </v>
      </c>
      <c r="M178" s="54" t="str">
        <f>IFERROR(VLOOKUP($A178,'Project Reference'!$B$2:$E$41,4), " ")</f>
        <v xml:space="preserve"> </v>
      </c>
      <c r="N178" s="8" t="str">
        <f>IFERROR(VLOOKUP($A178,'Project Reference'!$B$2:$F$41,5), " ")</f>
        <v xml:space="preserve"> </v>
      </c>
      <c r="O178" s="8" t="str">
        <f>IFERROR(VLOOKUP($A178,'Project Reference'!$B$2:$G$41,6), " ")</f>
        <v xml:space="preserve"> </v>
      </c>
      <c r="P178" s="8" t="str">
        <f>IFERROR(VLOOKUP($A178,'Project Reference'!$B$2:$H$41,7), " ")</f>
        <v xml:space="preserve"> </v>
      </c>
      <c r="Q178" s="8" t="str">
        <f>IFERROR(VLOOKUP($A178,'Project Reference'!$B$2:$I$41,8), " ")</f>
        <v xml:space="preserve"> </v>
      </c>
      <c r="R178" s="8" t="str">
        <f>IFERROR(VLOOKUP($A178,'Project Reference'!$B$2:$J$41,9), " ")</f>
        <v xml:space="preserve"> </v>
      </c>
      <c r="S178" s="8" t="str">
        <f>IFERROR(VLOOKUP($A178,'Project Reference'!$B$2:$K$41,10), " ")</f>
        <v xml:space="preserve"> </v>
      </c>
      <c r="T178" s="8" t="str">
        <f>IFERROR(VLOOKUP($A178,'Project Reference'!$B$2:$L$41,11), " ")</f>
        <v xml:space="preserve"> </v>
      </c>
      <c r="U178" s="8" t="str">
        <f>IFERROR(VLOOKUP($A178,'Project Reference'!$B$2:$M$41,12), " ")</f>
        <v xml:space="preserve"> </v>
      </c>
      <c r="V178" s="8" t="str">
        <f>IFERROR(VLOOKUP($A178,'Project Reference'!$B$2:$N$41,13), " ")</f>
        <v xml:space="preserve"> </v>
      </c>
      <c r="W178" s="8" t="str">
        <f>IFERROR(VLOOKUP($A178,'Project Reference'!$B$2:$O$41,14), " ")</f>
        <v xml:space="preserve"> </v>
      </c>
      <c r="X178" s="8" t="str">
        <f>IFERROR(VLOOKUP($A178,'Project Reference'!$B$2:$P$41,15), " ")</f>
        <v xml:space="preserve"> </v>
      </c>
      <c r="Y178" s="9" t="str">
        <f>IFERROR(VLOOKUP($A178,'Project Reference'!$B$2:$Q$41,16), " ")</f>
        <v xml:space="preserve"> </v>
      </c>
      <c r="Z178" s="22"/>
    </row>
    <row r="179" spans="1:26" s="1" customFormat="1" x14ac:dyDescent="0.45">
      <c r="A179" s="70"/>
      <c r="B179" s="53" t="str">
        <f>IFERROR(VLOOKUP($A179,'Project Reference'!$S$2:$T$41,2),"Enter Project Number")</f>
        <v>Enter Project Number</v>
      </c>
      <c r="C179" s="54"/>
      <c r="D179" s="8"/>
      <c r="E179" s="8"/>
      <c r="F179" s="8"/>
      <c r="G179" s="8"/>
      <c r="H179" s="47"/>
      <c r="I179" s="9"/>
      <c r="J179" s="23"/>
      <c r="K179" s="47" t="str">
        <f>IFERROR(VLOOKUP($A179,'Project Reference'!$B$2:$C$41,2), " ")</f>
        <v xml:space="preserve"> </v>
      </c>
      <c r="L179" s="8" t="str">
        <f>IFERROR(VLOOKUP($A179,'Project Reference'!$B$2:$D$41,3), " ")</f>
        <v xml:space="preserve"> </v>
      </c>
      <c r="M179" s="54" t="str">
        <f>IFERROR(VLOOKUP($A179,'Project Reference'!$B$2:$E$41,4), " ")</f>
        <v xml:space="preserve"> </v>
      </c>
      <c r="N179" s="8" t="str">
        <f>IFERROR(VLOOKUP($A179,'Project Reference'!$B$2:$F$41,5), " ")</f>
        <v xml:space="preserve"> </v>
      </c>
      <c r="O179" s="8" t="str">
        <f>IFERROR(VLOOKUP($A179,'Project Reference'!$B$2:$G$41,6), " ")</f>
        <v xml:space="preserve"> </v>
      </c>
      <c r="P179" s="8" t="str">
        <f>IFERROR(VLOOKUP($A179,'Project Reference'!$B$2:$H$41,7), " ")</f>
        <v xml:space="preserve"> </v>
      </c>
      <c r="Q179" s="8" t="str">
        <f>IFERROR(VLOOKUP($A179,'Project Reference'!$B$2:$I$41,8), " ")</f>
        <v xml:space="preserve"> </v>
      </c>
      <c r="R179" s="8" t="str">
        <f>IFERROR(VLOOKUP($A179,'Project Reference'!$B$2:$J$41,9), " ")</f>
        <v xml:space="preserve"> </v>
      </c>
      <c r="S179" s="8" t="str">
        <f>IFERROR(VLOOKUP($A179,'Project Reference'!$B$2:$K$41,10), " ")</f>
        <v xml:space="preserve"> </v>
      </c>
      <c r="T179" s="8" t="str">
        <f>IFERROR(VLOOKUP($A179,'Project Reference'!$B$2:$L$41,11), " ")</f>
        <v xml:space="preserve"> </v>
      </c>
      <c r="U179" s="8" t="str">
        <f>IFERROR(VLOOKUP($A179,'Project Reference'!$B$2:$M$41,12), " ")</f>
        <v xml:space="preserve"> </v>
      </c>
      <c r="V179" s="8" t="str">
        <f>IFERROR(VLOOKUP($A179,'Project Reference'!$B$2:$N$41,13), " ")</f>
        <v xml:space="preserve"> </v>
      </c>
      <c r="W179" s="8" t="str">
        <f>IFERROR(VLOOKUP($A179,'Project Reference'!$B$2:$O$41,14), " ")</f>
        <v xml:space="preserve"> </v>
      </c>
      <c r="X179" s="8" t="str">
        <f>IFERROR(VLOOKUP($A179,'Project Reference'!$B$2:$P$41,15), " ")</f>
        <v xml:space="preserve"> </v>
      </c>
      <c r="Y179" s="9" t="str">
        <f>IFERROR(VLOOKUP($A179,'Project Reference'!$B$2:$Q$41,16), " ")</f>
        <v xml:space="preserve"> </v>
      </c>
      <c r="Z179" s="22"/>
    </row>
    <row r="180" spans="1:26" s="1" customFormat="1" x14ac:dyDescent="0.45">
      <c r="A180" s="70"/>
      <c r="B180" s="53" t="str">
        <f>IFERROR(VLOOKUP($A180,'Project Reference'!$S$2:$T$41,2),"Enter Project Number")</f>
        <v>Enter Project Number</v>
      </c>
      <c r="C180" s="54"/>
      <c r="D180" s="8"/>
      <c r="E180" s="8"/>
      <c r="F180" s="8"/>
      <c r="G180" s="8"/>
      <c r="H180" s="47"/>
      <c r="I180" s="9"/>
      <c r="J180" s="23"/>
      <c r="K180" s="47" t="str">
        <f>IFERROR(VLOOKUP($A180,'Project Reference'!$B$2:$C$41,2), " ")</f>
        <v xml:space="preserve"> </v>
      </c>
      <c r="L180" s="8" t="str">
        <f>IFERROR(VLOOKUP($A180,'Project Reference'!$B$2:$D$41,3), " ")</f>
        <v xml:space="preserve"> </v>
      </c>
      <c r="M180" s="54" t="str">
        <f>IFERROR(VLOOKUP($A180,'Project Reference'!$B$2:$E$41,4), " ")</f>
        <v xml:space="preserve"> </v>
      </c>
      <c r="N180" s="8" t="str">
        <f>IFERROR(VLOOKUP($A180,'Project Reference'!$B$2:$F$41,5), " ")</f>
        <v xml:space="preserve"> </v>
      </c>
      <c r="O180" s="8" t="str">
        <f>IFERROR(VLOOKUP($A180,'Project Reference'!$B$2:$G$41,6), " ")</f>
        <v xml:space="preserve"> </v>
      </c>
      <c r="P180" s="8" t="str">
        <f>IFERROR(VLOOKUP($A180,'Project Reference'!$B$2:$H$41,7), " ")</f>
        <v xml:space="preserve"> </v>
      </c>
      <c r="Q180" s="8" t="str">
        <f>IFERROR(VLOOKUP($A180,'Project Reference'!$B$2:$I$41,8), " ")</f>
        <v xml:space="preserve"> </v>
      </c>
      <c r="R180" s="8" t="str">
        <f>IFERROR(VLOOKUP($A180,'Project Reference'!$B$2:$J$41,9), " ")</f>
        <v xml:space="preserve"> </v>
      </c>
      <c r="S180" s="8" t="str">
        <f>IFERROR(VLOOKUP($A180,'Project Reference'!$B$2:$K$41,10), " ")</f>
        <v xml:space="preserve"> </v>
      </c>
      <c r="T180" s="8" t="str">
        <f>IFERROR(VLOOKUP($A180,'Project Reference'!$B$2:$L$41,11), " ")</f>
        <v xml:space="preserve"> </v>
      </c>
      <c r="U180" s="8" t="str">
        <f>IFERROR(VLOOKUP($A180,'Project Reference'!$B$2:$M$41,12), " ")</f>
        <v xml:space="preserve"> </v>
      </c>
      <c r="V180" s="8" t="str">
        <f>IFERROR(VLOOKUP($A180,'Project Reference'!$B$2:$N$41,13), " ")</f>
        <v xml:space="preserve"> </v>
      </c>
      <c r="W180" s="8" t="str">
        <f>IFERROR(VLOOKUP($A180,'Project Reference'!$B$2:$O$41,14), " ")</f>
        <v xml:space="preserve"> </v>
      </c>
      <c r="X180" s="8" t="str">
        <f>IFERROR(VLOOKUP($A180,'Project Reference'!$B$2:$P$41,15), " ")</f>
        <v xml:space="preserve"> </v>
      </c>
      <c r="Y180" s="9" t="str">
        <f>IFERROR(VLOOKUP($A180,'Project Reference'!$B$2:$Q$41,16), " ")</f>
        <v xml:space="preserve"> </v>
      </c>
      <c r="Z180" s="22"/>
    </row>
    <row r="181" spans="1:26" s="1" customFormat="1" x14ac:dyDescent="0.45">
      <c r="A181" s="70"/>
      <c r="B181" s="53" t="str">
        <f>IFERROR(VLOOKUP($A181,'Project Reference'!$S$2:$T$41,2),"Enter Project Number")</f>
        <v>Enter Project Number</v>
      </c>
      <c r="C181" s="54"/>
      <c r="D181" s="8"/>
      <c r="E181" s="8"/>
      <c r="F181" s="8"/>
      <c r="G181" s="8"/>
      <c r="H181" s="47"/>
      <c r="I181" s="9"/>
      <c r="J181" s="23"/>
      <c r="K181" s="47" t="str">
        <f>IFERROR(VLOOKUP($A181,'Project Reference'!$B$2:$C$41,2), " ")</f>
        <v xml:space="preserve"> </v>
      </c>
      <c r="L181" s="8" t="str">
        <f>IFERROR(VLOOKUP($A181,'Project Reference'!$B$2:$D$41,3), " ")</f>
        <v xml:space="preserve"> </v>
      </c>
      <c r="M181" s="54" t="str">
        <f>IFERROR(VLOOKUP($A181,'Project Reference'!$B$2:$E$41,4), " ")</f>
        <v xml:space="preserve"> </v>
      </c>
      <c r="N181" s="8" t="str">
        <f>IFERROR(VLOOKUP($A181,'Project Reference'!$B$2:$F$41,5), " ")</f>
        <v xml:space="preserve"> </v>
      </c>
      <c r="O181" s="8" t="str">
        <f>IFERROR(VLOOKUP($A181,'Project Reference'!$B$2:$G$41,6), " ")</f>
        <v xml:space="preserve"> </v>
      </c>
      <c r="P181" s="8" t="str">
        <f>IFERROR(VLOOKUP($A181,'Project Reference'!$B$2:$H$41,7), " ")</f>
        <v xml:space="preserve"> </v>
      </c>
      <c r="Q181" s="8" t="str">
        <f>IFERROR(VLOOKUP($A181,'Project Reference'!$B$2:$I$41,8), " ")</f>
        <v xml:space="preserve"> </v>
      </c>
      <c r="R181" s="8" t="str">
        <f>IFERROR(VLOOKUP($A181,'Project Reference'!$B$2:$J$41,9), " ")</f>
        <v xml:space="preserve"> </v>
      </c>
      <c r="S181" s="8" t="str">
        <f>IFERROR(VLOOKUP($A181,'Project Reference'!$B$2:$K$41,10), " ")</f>
        <v xml:space="preserve"> </v>
      </c>
      <c r="T181" s="8" t="str">
        <f>IFERROR(VLOOKUP($A181,'Project Reference'!$B$2:$L$41,11), " ")</f>
        <v xml:space="preserve"> </v>
      </c>
      <c r="U181" s="8" t="str">
        <f>IFERROR(VLOOKUP($A181,'Project Reference'!$B$2:$M$41,12), " ")</f>
        <v xml:space="preserve"> </v>
      </c>
      <c r="V181" s="8" t="str">
        <f>IFERROR(VLOOKUP($A181,'Project Reference'!$B$2:$N$41,13), " ")</f>
        <v xml:space="preserve"> </v>
      </c>
      <c r="W181" s="8" t="str">
        <f>IFERROR(VLOOKUP($A181,'Project Reference'!$B$2:$O$41,14), " ")</f>
        <v xml:space="preserve"> </v>
      </c>
      <c r="X181" s="8" t="str">
        <f>IFERROR(VLOOKUP($A181,'Project Reference'!$B$2:$P$41,15), " ")</f>
        <v xml:space="preserve"> </v>
      </c>
      <c r="Y181" s="9" t="str">
        <f>IFERROR(VLOOKUP($A181,'Project Reference'!$B$2:$Q$41,16), " ")</f>
        <v xml:space="preserve"> </v>
      </c>
      <c r="Z181" s="22"/>
    </row>
    <row r="182" spans="1:26" s="1" customFormat="1" x14ac:dyDescent="0.45">
      <c r="A182" s="70"/>
      <c r="B182" s="53" t="str">
        <f>IFERROR(VLOOKUP($A182,'Project Reference'!$S$2:$T$41,2),"Enter Project Number")</f>
        <v>Enter Project Number</v>
      </c>
      <c r="C182" s="54"/>
      <c r="D182" s="8"/>
      <c r="E182" s="8"/>
      <c r="F182" s="8"/>
      <c r="G182" s="8"/>
      <c r="H182" s="47"/>
      <c r="I182" s="9"/>
      <c r="J182" s="23"/>
      <c r="K182" s="47" t="str">
        <f>IFERROR(VLOOKUP($A182,'Project Reference'!$B$2:$C$41,2), " ")</f>
        <v xml:space="preserve"> </v>
      </c>
      <c r="L182" s="8" t="str">
        <f>IFERROR(VLOOKUP($A182,'Project Reference'!$B$2:$D$41,3), " ")</f>
        <v xml:space="preserve"> </v>
      </c>
      <c r="M182" s="54" t="str">
        <f>IFERROR(VLOOKUP($A182,'Project Reference'!$B$2:$E$41,4), " ")</f>
        <v xml:space="preserve"> </v>
      </c>
      <c r="N182" s="8" t="str">
        <f>IFERROR(VLOOKUP($A182,'Project Reference'!$B$2:$F$41,5), " ")</f>
        <v xml:space="preserve"> </v>
      </c>
      <c r="O182" s="8" t="str">
        <f>IFERROR(VLOOKUP($A182,'Project Reference'!$B$2:$G$41,6), " ")</f>
        <v xml:space="preserve"> </v>
      </c>
      <c r="P182" s="8" t="str">
        <f>IFERROR(VLOOKUP($A182,'Project Reference'!$B$2:$H$41,7), " ")</f>
        <v xml:space="preserve"> </v>
      </c>
      <c r="Q182" s="8" t="str">
        <f>IFERROR(VLOOKUP($A182,'Project Reference'!$B$2:$I$41,8), " ")</f>
        <v xml:space="preserve"> </v>
      </c>
      <c r="R182" s="8" t="str">
        <f>IFERROR(VLOOKUP($A182,'Project Reference'!$B$2:$J$41,9), " ")</f>
        <v xml:space="preserve"> </v>
      </c>
      <c r="S182" s="8" t="str">
        <f>IFERROR(VLOOKUP($A182,'Project Reference'!$B$2:$K$41,10), " ")</f>
        <v xml:space="preserve"> </v>
      </c>
      <c r="T182" s="8" t="str">
        <f>IFERROR(VLOOKUP($A182,'Project Reference'!$B$2:$L$41,11), " ")</f>
        <v xml:space="preserve"> </v>
      </c>
      <c r="U182" s="8" t="str">
        <f>IFERROR(VLOOKUP($A182,'Project Reference'!$B$2:$M$41,12), " ")</f>
        <v xml:space="preserve"> </v>
      </c>
      <c r="V182" s="8" t="str">
        <f>IFERROR(VLOOKUP($A182,'Project Reference'!$B$2:$N$41,13), " ")</f>
        <v xml:space="preserve"> </v>
      </c>
      <c r="W182" s="8" t="str">
        <f>IFERROR(VLOOKUP($A182,'Project Reference'!$B$2:$O$41,14), " ")</f>
        <v xml:space="preserve"> </v>
      </c>
      <c r="X182" s="8" t="str">
        <f>IFERROR(VLOOKUP($A182,'Project Reference'!$B$2:$P$41,15), " ")</f>
        <v xml:space="preserve"> </v>
      </c>
      <c r="Y182" s="9" t="str">
        <f>IFERROR(VLOOKUP($A182,'Project Reference'!$B$2:$Q$41,16), " ")</f>
        <v xml:space="preserve"> </v>
      </c>
      <c r="Z182" s="22"/>
    </row>
    <row r="183" spans="1:26" s="1" customFormat="1" x14ac:dyDescent="0.45">
      <c r="A183" s="70"/>
      <c r="B183" s="53" t="str">
        <f>IFERROR(VLOOKUP($A183,'Project Reference'!$S$2:$T$41,2),"Enter Project Number")</f>
        <v>Enter Project Number</v>
      </c>
      <c r="C183" s="54"/>
      <c r="D183" s="8"/>
      <c r="E183" s="8"/>
      <c r="F183" s="8"/>
      <c r="G183" s="8"/>
      <c r="H183" s="47"/>
      <c r="I183" s="9"/>
      <c r="J183" s="23"/>
      <c r="K183" s="47" t="str">
        <f>IFERROR(VLOOKUP($A183,'Project Reference'!$B$2:$C$41,2), " ")</f>
        <v xml:space="preserve"> </v>
      </c>
      <c r="L183" s="8" t="str">
        <f>IFERROR(VLOOKUP($A183,'Project Reference'!$B$2:$D$41,3), " ")</f>
        <v xml:space="preserve"> </v>
      </c>
      <c r="M183" s="54" t="str">
        <f>IFERROR(VLOOKUP($A183,'Project Reference'!$B$2:$E$41,4), " ")</f>
        <v xml:space="preserve"> </v>
      </c>
      <c r="N183" s="8" t="str">
        <f>IFERROR(VLOOKUP($A183,'Project Reference'!$B$2:$F$41,5), " ")</f>
        <v xml:space="preserve"> </v>
      </c>
      <c r="O183" s="8" t="str">
        <f>IFERROR(VLOOKUP($A183,'Project Reference'!$B$2:$G$41,6), " ")</f>
        <v xml:space="preserve"> </v>
      </c>
      <c r="P183" s="8" t="str">
        <f>IFERROR(VLOOKUP($A183,'Project Reference'!$B$2:$H$41,7), " ")</f>
        <v xml:space="preserve"> </v>
      </c>
      <c r="Q183" s="8" t="str">
        <f>IFERROR(VLOOKUP($A183,'Project Reference'!$B$2:$I$41,8), " ")</f>
        <v xml:space="preserve"> </v>
      </c>
      <c r="R183" s="8" t="str">
        <f>IFERROR(VLOOKUP($A183,'Project Reference'!$B$2:$J$41,9), " ")</f>
        <v xml:space="preserve"> </v>
      </c>
      <c r="S183" s="8" t="str">
        <f>IFERROR(VLOOKUP($A183,'Project Reference'!$B$2:$K$41,10), " ")</f>
        <v xml:space="preserve"> </v>
      </c>
      <c r="T183" s="8" t="str">
        <f>IFERROR(VLOOKUP($A183,'Project Reference'!$B$2:$L$41,11), " ")</f>
        <v xml:space="preserve"> </v>
      </c>
      <c r="U183" s="8" t="str">
        <f>IFERROR(VLOOKUP($A183,'Project Reference'!$B$2:$M$41,12), " ")</f>
        <v xml:space="preserve"> </v>
      </c>
      <c r="V183" s="8" t="str">
        <f>IFERROR(VLOOKUP($A183,'Project Reference'!$B$2:$N$41,13), " ")</f>
        <v xml:space="preserve"> </v>
      </c>
      <c r="W183" s="8" t="str">
        <f>IFERROR(VLOOKUP($A183,'Project Reference'!$B$2:$O$41,14), " ")</f>
        <v xml:space="preserve"> </v>
      </c>
      <c r="X183" s="8" t="str">
        <f>IFERROR(VLOOKUP($A183,'Project Reference'!$B$2:$P$41,15), " ")</f>
        <v xml:space="preserve"> </v>
      </c>
      <c r="Y183" s="9" t="str">
        <f>IFERROR(VLOOKUP($A183,'Project Reference'!$B$2:$Q$41,16), " ")</f>
        <v xml:space="preserve"> </v>
      </c>
      <c r="Z183" s="22"/>
    </row>
    <row r="184" spans="1:26" s="1" customFormat="1" x14ac:dyDescent="0.45">
      <c r="A184" s="70"/>
      <c r="B184" s="53" t="str">
        <f>IFERROR(VLOOKUP($A184,'Project Reference'!$S$2:$T$41,2),"Enter Project Number")</f>
        <v>Enter Project Number</v>
      </c>
      <c r="C184" s="54"/>
      <c r="D184" s="8"/>
      <c r="E184" s="8"/>
      <c r="F184" s="8"/>
      <c r="G184" s="8"/>
      <c r="H184" s="47"/>
      <c r="I184" s="9"/>
      <c r="J184" s="23"/>
      <c r="K184" s="47" t="str">
        <f>IFERROR(VLOOKUP($A184,'Project Reference'!$B$2:$C$41,2), " ")</f>
        <v xml:space="preserve"> </v>
      </c>
      <c r="L184" s="8" t="str">
        <f>IFERROR(VLOOKUP($A184,'Project Reference'!$B$2:$D$41,3), " ")</f>
        <v xml:space="preserve"> </v>
      </c>
      <c r="M184" s="54" t="str">
        <f>IFERROR(VLOOKUP($A184,'Project Reference'!$B$2:$E$41,4), " ")</f>
        <v xml:space="preserve"> </v>
      </c>
      <c r="N184" s="8" t="str">
        <f>IFERROR(VLOOKUP($A184,'Project Reference'!$B$2:$F$41,5), " ")</f>
        <v xml:space="preserve"> </v>
      </c>
      <c r="O184" s="8" t="str">
        <f>IFERROR(VLOOKUP($A184,'Project Reference'!$B$2:$G$41,6), " ")</f>
        <v xml:space="preserve"> </v>
      </c>
      <c r="P184" s="8" t="str">
        <f>IFERROR(VLOOKUP($A184,'Project Reference'!$B$2:$H$41,7), " ")</f>
        <v xml:space="preserve"> </v>
      </c>
      <c r="Q184" s="8" t="str">
        <f>IFERROR(VLOOKUP($A184,'Project Reference'!$B$2:$I$41,8), " ")</f>
        <v xml:space="preserve"> </v>
      </c>
      <c r="R184" s="8" t="str">
        <f>IFERROR(VLOOKUP($A184,'Project Reference'!$B$2:$J$41,9), " ")</f>
        <v xml:space="preserve"> </v>
      </c>
      <c r="S184" s="8" t="str">
        <f>IFERROR(VLOOKUP($A184,'Project Reference'!$B$2:$K$41,10), " ")</f>
        <v xml:space="preserve"> </v>
      </c>
      <c r="T184" s="8" t="str">
        <f>IFERROR(VLOOKUP($A184,'Project Reference'!$B$2:$L$41,11), " ")</f>
        <v xml:space="preserve"> </v>
      </c>
      <c r="U184" s="8" t="str">
        <f>IFERROR(VLOOKUP($A184,'Project Reference'!$B$2:$M$41,12), " ")</f>
        <v xml:space="preserve"> </v>
      </c>
      <c r="V184" s="8" t="str">
        <f>IFERROR(VLOOKUP($A184,'Project Reference'!$B$2:$N$41,13), " ")</f>
        <v xml:space="preserve"> </v>
      </c>
      <c r="W184" s="8" t="str">
        <f>IFERROR(VLOOKUP($A184,'Project Reference'!$B$2:$O$41,14), " ")</f>
        <v xml:space="preserve"> </v>
      </c>
      <c r="X184" s="8" t="str">
        <f>IFERROR(VLOOKUP($A184,'Project Reference'!$B$2:$P$41,15), " ")</f>
        <v xml:space="preserve"> </v>
      </c>
      <c r="Y184" s="9" t="str">
        <f>IFERROR(VLOOKUP($A184,'Project Reference'!$B$2:$Q$41,16), " ")</f>
        <v xml:space="preserve"> </v>
      </c>
      <c r="Z184" s="22"/>
    </row>
    <row r="185" spans="1:26" s="1" customFormat="1" x14ac:dyDescent="0.45">
      <c r="A185" s="70"/>
      <c r="B185" s="53" t="str">
        <f>IFERROR(VLOOKUP($A185,'Project Reference'!$S$2:$T$41,2),"Enter Project Number")</f>
        <v>Enter Project Number</v>
      </c>
      <c r="C185" s="54"/>
      <c r="D185" s="8"/>
      <c r="E185" s="8"/>
      <c r="F185" s="8"/>
      <c r="G185" s="8"/>
      <c r="H185" s="47"/>
      <c r="I185" s="9"/>
      <c r="J185" s="23"/>
      <c r="K185" s="47" t="str">
        <f>IFERROR(VLOOKUP($A185,'Project Reference'!$B$2:$C$41,2), " ")</f>
        <v xml:space="preserve"> </v>
      </c>
      <c r="L185" s="8" t="str">
        <f>IFERROR(VLOOKUP($A185,'Project Reference'!$B$2:$D$41,3), " ")</f>
        <v xml:space="preserve"> </v>
      </c>
      <c r="M185" s="54" t="str">
        <f>IFERROR(VLOOKUP($A185,'Project Reference'!$B$2:$E$41,4), " ")</f>
        <v xml:space="preserve"> </v>
      </c>
      <c r="N185" s="8" t="str">
        <f>IFERROR(VLOOKUP($A185,'Project Reference'!$B$2:$F$41,5), " ")</f>
        <v xml:space="preserve"> </v>
      </c>
      <c r="O185" s="8" t="str">
        <f>IFERROR(VLOOKUP($A185,'Project Reference'!$B$2:$G$41,6), " ")</f>
        <v xml:space="preserve"> </v>
      </c>
      <c r="P185" s="8" t="str">
        <f>IFERROR(VLOOKUP($A185,'Project Reference'!$B$2:$H$41,7), " ")</f>
        <v xml:space="preserve"> </v>
      </c>
      <c r="Q185" s="8" t="str">
        <f>IFERROR(VLOOKUP($A185,'Project Reference'!$B$2:$I$41,8), " ")</f>
        <v xml:space="preserve"> </v>
      </c>
      <c r="R185" s="8" t="str">
        <f>IFERROR(VLOOKUP($A185,'Project Reference'!$B$2:$J$41,9), " ")</f>
        <v xml:space="preserve"> </v>
      </c>
      <c r="S185" s="8" t="str">
        <f>IFERROR(VLOOKUP($A185,'Project Reference'!$B$2:$K$41,10), " ")</f>
        <v xml:space="preserve"> </v>
      </c>
      <c r="T185" s="8" t="str">
        <f>IFERROR(VLOOKUP($A185,'Project Reference'!$B$2:$L$41,11), " ")</f>
        <v xml:space="preserve"> </v>
      </c>
      <c r="U185" s="8" t="str">
        <f>IFERROR(VLOOKUP($A185,'Project Reference'!$B$2:$M$41,12), " ")</f>
        <v xml:space="preserve"> </v>
      </c>
      <c r="V185" s="8" t="str">
        <f>IFERROR(VLOOKUP($A185,'Project Reference'!$B$2:$N$41,13), " ")</f>
        <v xml:space="preserve"> </v>
      </c>
      <c r="W185" s="8" t="str">
        <f>IFERROR(VLOOKUP($A185,'Project Reference'!$B$2:$O$41,14), " ")</f>
        <v xml:space="preserve"> </v>
      </c>
      <c r="X185" s="8" t="str">
        <f>IFERROR(VLOOKUP($A185,'Project Reference'!$B$2:$P$41,15), " ")</f>
        <v xml:space="preserve"> </v>
      </c>
      <c r="Y185" s="9" t="str">
        <f>IFERROR(VLOOKUP($A185,'Project Reference'!$B$2:$Q$41,16), " ")</f>
        <v xml:space="preserve"> </v>
      </c>
      <c r="Z185" s="22"/>
    </row>
    <row r="186" spans="1:26" s="1" customFormat="1" x14ac:dyDescent="0.45">
      <c r="A186" s="70"/>
      <c r="B186" s="53" t="str">
        <f>IFERROR(VLOOKUP($A186,'Project Reference'!$S$2:$T$41,2),"Enter Project Number")</f>
        <v>Enter Project Number</v>
      </c>
      <c r="C186" s="54"/>
      <c r="D186" s="8"/>
      <c r="E186" s="8"/>
      <c r="F186" s="8"/>
      <c r="G186" s="8"/>
      <c r="H186" s="47"/>
      <c r="I186" s="9"/>
      <c r="J186" s="23"/>
      <c r="K186" s="47" t="str">
        <f>IFERROR(VLOOKUP($A186,'Project Reference'!$B$2:$C$41,2), " ")</f>
        <v xml:space="preserve"> </v>
      </c>
      <c r="L186" s="8" t="str">
        <f>IFERROR(VLOOKUP($A186,'Project Reference'!$B$2:$D$41,3), " ")</f>
        <v xml:space="preserve"> </v>
      </c>
      <c r="M186" s="54" t="str">
        <f>IFERROR(VLOOKUP($A186,'Project Reference'!$B$2:$E$41,4), " ")</f>
        <v xml:space="preserve"> </v>
      </c>
      <c r="N186" s="8" t="str">
        <f>IFERROR(VLOOKUP($A186,'Project Reference'!$B$2:$F$41,5), " ")</f>
        <v xml:space="preserve"> </v>
      </c>
      <c r="O186" s="8" t="str">
        <f>IFERROR(VLOOKUP($A186,'Project Reference'!$B$2:$G$41,6), " ")</f>
        <v xml:space="preserve"> </v>
      </c>
      <c r="P186" s="8" t="str">
        <f>IFERROR(VLOOKUP($A186,'Project Reference'!$B$2:$H$41,7), " ")</f>
        <v xml:space="preserve"> </v>
      </c>
      <c r="Q186" s="8" t="str">
        <f>IFERROR(VLOOKUP($A186,'Project Reference'!$B$2:$I$41,8), " ")</f>
        <v xml:space="preserve"> </v>
      </c>
      <c r="R186" s="8" t="str">
        <f>IFERROR(VLOOKUP($A186,'Project Reference'!$B$2:$J$41,9), " ")</f>
        <v xml:space="preserve"> </v>
      </c>
      <c r="S186" s="8" t="str">
        <f>IFERROR(VLOOKUP($A186,'Project Reference'!$B$2:$K$41,10), " ")</f>
        <v xml:space="preserve"> </v>
      </c>
      <c r="T186" s="8" t="str">
        <f>IFERROR(VLOOKUP($A186,'Project Reference'!$B$2:$L$41,11), " ")</f>
        <v xml:space="preserve"> </v>
      </c>
      <c r="U186" s="8" t="str">
        <f>IFERROR(VLOOKUP($A186,'Project Reference'!$B$2:$M$41,12), " ")</f>
        <v xml:space="preserve"> </v>
      </c>
      <c r="V186" s="8" t="str">
        <f>IFERROR(VLOOKUP($A186,'Project Reference'!$B$2:$N$41,13), " ")</f>
        <v xml:space="preserve"> </v>
      </c>
      <c r="W186" s="8" t="str">
        <f>IFERROR(VLOOKUP($A186,'Project Reference'!$B$2:$O$41,14), " ")</f>
        <v xml:space="preserve"> </v>
      </c>
      <c r="X186" s="8" t="str">
        <f>IFERROR(VLOOKUP($A186,'Project Reference'!$B$2:$P$41,15), " ")</f>
        <v xml:space="preserve"> </v>
      </c>
      <c r="Y186" s="9" t="str">
        <f>IFERROR(VLOOKUP($A186,'Project Reference'!$B$2:$Q$41,16), " ")</f>
        <v xml:space="preserve"> </v>
      </c>
      <c r="Z186" s="22"/>
    </row>
    <row r="187" spans="1:26" s="1" customFormat="1" x14ac:dyDescent="0.45">
      <c r="A187" s="70"/>
      <c r="B187" s="53" t="str">
        <f>IFERROR(VLOOKUP($A187,'Project Reference'!$S$2:$T$41,2),"Enter Project Number")</f>
        <v>Enter Project Number</v>
      </c>
      <c r="C187" s="54"/>
      <c r="D187" s="8"/>
      <c r="E187" s="8"/>
      <c r="F187" s="8"/>
      <c r="G187" s="8"/>
      <c r="H187" s="47"/>
      <c r="I187" s="9"/>
      <c r="J187" s="23"/>
      <c r="K187" s="47" t="str">
        <f>IFERROR(VLOOKUP($A187,'Project Reference'!$B$2:$C$41,2), " ")</f>
        <v xml:space="preserve"> </v>
      </c>
      <c r="L187" s="8" t="str">
        <f>IFERROR(VLOOKUP($A187,'Project Reference'!$B$2:$D$41,3), " ")</f>
        <v xml:space="preserve"> </v>
      </c>
      <c r="M187" s="54" t="str">
        <f>IFERROR(VLOOKUP($A187,'Project Reference'!$B$2:$E$41,4), " ")</f>
        <v xml:space="preserve"> </v>
      </c>
      <c r="N187" s="8" t="str">
        <f>IFERROR(VLOOKUP($A187,'Project Reference'!$B$2:$F$41,5), " ")</f>
        <v xml:space="preserve"> </v>
      </c>
      <c r="O187" s="8" t="str">
        <f>IFERROR(VLOOKUP($A187,'Project Reference'!$B$2:$G$41,6), " ")</f>
        <v xml:space="preserve"> </v>
      </c>
      <c r="P187" s="8" t="str">
        <f>IFERROR(VLOOKUP($A187,'Project Reference'!$B$2:$H$41,7), " ")</f>
        <v xml:space="preserve"> </v>
      </c>
      <c r="Q187" s="8" t="str">
        <f>IFERROR(VLOOKUP($A187,'Project Reference'!$B$2:$I$41,8), " ")</f>
        <v xml:space="preserve"> </v>
      </c>
      <c r="R187" s="8" t="str">
        <f>IFERROR(VLOOKUP($A187,'Project Reference'!$B$2:$J$41,9), " ")</f>
        <v xml:space="preserve"> </v>
      </c>
      <c r="S187" s="8" t="str">
        <f>IFERROR(VLOOKUP($A187,'Project Reference'!$B$2:$K$41,10), " ")</f>
        <v xml:space="preserve"> </v>
      </c>
      <c r="T187" s="8" t="str">
        <f>IFERROR(VLOOKUP($A187,'Project Reference'!$B$2:$L$41,11), " ")</f>
        <v xml:space="preserve"> </v>
      </c>
      <c r="U187" s="8" t="str">
        <f>IFERROR(VLOOKUP($A187,'Project Reference'!$B$2:$M$41,12), " ")</f>
        <v xml:space="preserve"> </v>
      </c>
      <c r="V187" s="8" t="str">
        <f>IFERROR(VLOOKUP($A187,'Project Reference'!$B$2:$N$41,13), " ")</f>
        <v xml:space="preserve"> </v>
      </c>
      <c r="W187" s="8" t="str">
        <f>IFERROR(VLOOKUP($A187,'Project Reference'!$B$2:$O$41,14), " ")</f>
        <v xml:space="preserve"> </v>
      </c>
      <c r="X187" s="8" t="str">
        <f>IFERROR(VLOOKUP($A187,'Project Reference'!$B$2:$P$41,15), " ")</f>
        <v xml:space="preserve"> </v>
      </c>
      <c r="Y187" s="9" t="str">
        <f>IFERROR(VLOOKUP($A187,'Project Reference'!$B$2:$Q$41,16), " ")</f>
        <v xml:space="preserve"> </v>
      </c>
      <c r="Z187" s="22"/>
    </row>
    <row r="188" spans="1:26" s="1" customFormat="1" x14ac:dyDescent="0.45">
      <c r="A188" s="70"/>
      <c r="B188" s="53" t="str">
        <f>IFERROR(VLOOKUP($A188,'Project Reference'!$S$2:$T$41,2),"Enter Project Number")</f>
        <v>Enter Project Number</v>
      </c>
      <c r="C188" s="54"/>
      <c r="D188" s="8"/>
      <c r="E188" s="8"/>
      <c r="F188" s="8"/>
      <c r="G188" s="8"/>
      <c r="H188" s="47"/>
      <c r="I188" s="9"/>
      <c r="J188" s="23"/>
      <c r="K188" s="47" t="str">
        <f>IFERROR(VLOOKUP($A188,'Project Reference'!$B$2:$C$41,2), " ")</f>
        <v xml:space="preserve"> </v>
      </c>
      <c r="L188" s="8" t="str">
        <f>IFERROR(VLOOKUP($A188,'Project Reference'!$B$2:$D$41,3), " ")</f>
        <v xml:space="preserve"> </v>
      </c>
      <c r="M188" s="54" t="str">
        <f>IFERROR(VLOOKUP($A188,'Project Reference'!$B$2:$E$41,4), " ")</f>
        <v xml:space="preserve"> </v>
      </c>
      <c r="N188" s="8" t="str">
        <f>IFERROR(VLOOKUP($A188,'Project Reference'!$B$2:$F$41,5), " ")</f>
        <v xml:space="preserve"> </v>
      </c>
      <c r="O188" s="8" t="str">
        <f>IFERROR(VLOOKUP($A188,'Project Reference'!$B$2:$G$41,6), " ")</f>
        <v xml:space="preserve"> </v>
      </c>
      <c r="P188" s="8" t="str">
        <f>IFERROR(VLOOKUP($A188,'Project Reference'!$B$2:$H$41,7), " ")</f>
        <v xml:space="preserve"> </v>
      </c>
      <c r="Q188" s="8" t="str">
        <f>IFERROR(VLOOKUP($A188,'Project Reference'!$B$2:$I$41,8), " ")</f>
        <v xml:space="preserve"> </v>
      </c>
      <c r="R188" s="8" t="str">
        <f>IFERROR(VLOOKUP($A188,'Project Reference'!$B$2:$J$41,9), " ")</f>
        <v xml:space="preserve"> </v>
      </c>
      <c r="S188" s="8" t="str">
        <f>IFERROR(VLOOKUP($A188,'Project Reference'!$B$2:$K$41,10), " ")</f>
        <v xml:space="preserve"> </v>
      </c>
      <c r="T188" s="8" t="str">
        <f>IFERROR(VLOOKUP($A188,'Project Reference'!$B$2:$L$41,11), " ")</f>
        <v xml:space="preserve"> </v>
      </c>
      <c r="U188" s="8" t="str">
        <f>IFERROR(VLOOKUP($A188,'Project Reference'!$B$2:$M$41,12), " ")</f>
        <v xml:space="preserve"> </v>
      </c>
      <c r="V188" s="8" t="str">
        <f>IFERROR(VLOOKUP($A188,'Project Reference'!$B$2:$N$41,13), " ")</f>
        <v xml:space="preserve"> </v>
      </c>
      <c r="W188" s="8" t="str">
        <f>IFERROR(VLOOKUP($A188,'Project Reference'!$B$2:$O$41,14), " ")</f>
        <v xml:space="preserve"> </v>
      </c>
      <c r="X188" s="8" t="str">
        <f>IFERROR(VLOOKUP($A188,'Project Reference'!$B$2:$P$41,15), " ")</f>
        <v xml:space="preserve"> </v>
      </c>
      <c r="Y188" s="9" t="str">
        <f>IFERROR(VLOOKUP($A188,'Project Reference'!$B$2:$Q$41,16), " ")</f>
        <v xml:space="preserve"> </v>
      </c>
      <c r="Z188" s="22"/>
    </row>
    <row r="189" spans="1:26" s="1" customFormat="1" x14ac:dyDescent="0.45">
      <c r="A189" s="70"/>
      <c r="B189" s="53" t="str">
        <f>IFERROR(VLOOKUP($A189,'Project Reference'!$S$2:$T$41,2),"Enter Project Number")</f>
        <v>Enter Project Number</v>
      </c>
      <c r="C189" s="54"/>
      <c r="D189" s="8"/>
      <c r="E189" s="8"/>
      <c r="F189" s="8"/>
      <c r="G189" s="8"/>
      <c r="H189" s="47"/>
      <c r="I189" s="9"/>
      <c r="J189" s="23"/>
      <c r="K189" s="47" t="str">
        <f>IFERROR(VLOOKUP($A189,'Project Reference'!$B$2:$C$41,2), " ")</f>
        <v xml:space="preserve"> </v>
      </c>
      <c r="L189" s="8" t="str">
        <f>IFERROR(VLOOKUP($A189,'Project Reference'!$B$2:$D$41,3), " ")</f>
        <v xml:space="preserve"> </v>
      </c>
      <c r="M189" s="54" t="str">
        <f>IFERROR(VLOOKUP($A189,'Project Reference'!$B$2:$E$41,4), " ")</f>
        <v xml:space="preserve"> </v>
      </c>
      <c r="N189" s="8" t="str">
        <f>IFERROR(VLOOKUP($A189,'Project Reference'!$B$2:$F$41,5), " ")</f>
        <v xml:space="preserve"> </v>
      </c>
      <c r="O189" s="8" t="str">
        <f>IFERROR(VLOOKUP($A189,'Project Reference'!$B$2:$G$41,6), " ")</f>
        <v xml:space="preserve"> </v>
      </c>
      <c r="P189" s="8" t="str">
        <f>IFERROR(VLOOKUP($A189,'Project Reference'!$B$2:$H$41,7), " ")</f>
        <v xml:space="preserve"> </v>
      </c>
      <c r="Q189" s="8" t="str">
        <f>IFERROR(VLOOKUP($A189,'Project Reference'!$B$2:$I$41,8), " ")</f>
        <v xml:space="preserve"> </v>
      </c>
      <c r="R189" s="8" t="str">
        <f>IFERROR(VLOOKUP($A189,'Project Reference'!$B$2:$J$41,9), " ")</f>
        <v xml:space="preserve"> </v>
      </c>
      <c r="S189" s="8" t="str">
        <f>IFERROR(VLOOKUP($A189,'Project Reference'!$B$2:$K$41,10), " ")</f>
        <v xml:space="preserve"> </v>
      </c>
      <c r="T189" s="8" t="str">
        <f>IFERROR(VLOOKUP($A189,'Project Reference'!$B$2:$L$41,11), " ")</f>
        <v xml:space="preserve"> </v>
      </c>
      <c r="U189" s="8" t="str">
        <f>IFERROR(VLOOKUP($A189,'Project Reference'!$B$2:$M$41,12), " ")</f>
        <v xml:space="preserve"> </v>
      </c>
      <c r="V189" s="8" t="str">
        <f>IFERROR(VLOOKUP($A189,'Project Reference'!$B$2:$N$41,13), " ")</f>
        <v xml:space="preserve"> </v>
      </c>
      <c r="W189" s="8" t="str">
        <f>IFERROR(VLOOKUP($A189,'Project Reference'!$B$2:$O$41,14), " ")</f>
        <v xml:space="preserve"> </v>
      </c>
      <c r="X189" s="8" t="str">
        <f>IFERROR(VLOOKUP($A189,'Project Reference'!$B$2:$P$41,15), " ")</f>
        <v xml:space="preserve"> </v>
      </c>
      <c r="Y189" s="9" t="str">
        <f>IFERROR(VLOOKUP($A189,'Project Reference'!$B$2:$Q$41,16), " ")</f>
        <v xml:space="preserve"> </v>
      </c>
      <c r="Z189" s="22"/>
    </row>
    <row r="190" spans="1:26" s="1" customFormat="1" x14ac:dyDescent="0.45">
      <c r="A190" s="70"/>
      <c r="B190" s="53" t="str">
        <f>IFERROR(VLOOKUP($A190,'Project Reference'!$S$2:$T$41,2),"Enter Project Number")</f>
        <v>Enter Project Number</v>
      </c>
      <c r="C190" s="54"/>
      <c r="D190" s="8"/>
      <c r="E190" s="8"/>
      <c r="F190" s="8"/>
      <c r="G190" s="8"/>
      <c r="H190" s="47"/>
      <c r="I190" s="9"/>
      <c r="J190" s="23"/>
      <c r="K190" s="47" t="str">
        <f>IFERROR(VLOOKUP($A190,'Project Reference'!$B$2:$C$41,2), " ")</f>
        <v xml:space="preserve"> </v>
      </c>
      <c r="L190" s="8" t="str">
        <f>IFERROR(VLOOKUP($A190,'Project Reference'!$B$2:$D$41,3), " ")</f>
        <v xml:space="preserve"> </v>
      </c>
      <c r="M190" s="54" t="str">
        <f>IFERROR(VLOOKUP($A190,'Project Reference'!$B$2:$E$41,4), " ")</f>
        <v xml:space="preserve"> </v>
      </c>
      <c r="N190" s="8" t="str">
        <f>IFERROR(VLOOKUP($A190,'Project Reference'!$B$2:$F$41,5), " ")</f>
        <v xml:space="preserve"> </v>
      </c>
      <c r="O190" s="8" t="str">
        <f>IFERROR(VLOOKUP($A190,'Project Reference'!$B$2:$G$41,6), " ")</f>
        <v xml:space="preserve"> </v>
      </c>
      <c r="P190" s="8" t="str">
        <f>IFERROR(VLOOKUP($A190,'Project Reference'!$B$2:$H$41,7), " ")</f>
        <v xml:space="preserve"> </v>
      </c>
      <c r="Q190" s="8" t="str">
        <f>IFERROR(VLOOKUP($A190,'Project Reference'!$B$2:$I$41,8), " ")</f>
        <v xml:space="preserve"> </v>
      </c>
      <c r="R190" s="8" t="str">
        <f>IFERROR(VLOOKUP($A190,'Project Reference'!$B$2:$J$41,9), " ")</f>
        <v xml:space="preserve"> </v>
      </c>
      <c r="S190" s="8" t="str">
        <f>IFERROR(VLOOKUP($A190,'Project Reference'!$B$2:$K$41,10), " ")</f>
        <v xml:space="preserve"> </v>
      </c>
      <c r="T190" s="8" t="str">
        <f>IFERROR(VLOOKUP($A190,'Project Reference'!$B$2:$L$41,11), " ")</f>
        <v xml:space="preserve"> </v>
      </c>
      <c r="U190" s="8" t="str">
        <f>IFERROR(VLOOKUP($A190,'Project Reference'!$B$2:$M$41,12), " ")</f>
        <v xml:space="preserve"> </v>
      </c>
      <c r="V190" s="8" t="str">
        <f>IFERROR(VLOOKUP($A190,'Project Reference'!$B$2:$N$41,13), " ")</f>
        <v xml:space="preserve"> </v>
      </c>
      <c r="W190" s="8" t="str">
        <f>IFERROR(VLOOKUP($A190,'Project Reference'!$B$2:$O$41,14), " ")</f>
        <v xml:space="preserve"> </v>
      </c>
      <c r="X190" s="8" t="str">
        <f>IFERROR(VLOOKUP($A190,'Project Reference'!$B$2:$P$41,15), " ")</f>
        <v xml:space="preserve"> </v>
      </c>
      <c r="Y190" s="9" t="str">
        <f>IFERROR(VLOOKUP($A190,'Project Reference'!$B$2:$Q$41,16), " ")</f>
        <v xml:space="preserve"> </v>
      </c>
      <c r="Z190" s="22"/>
    </row>
    <row r="191" spans="1:26" s="1" customFormat="1" x14ac:dyDescent="0.45">
      <c r="A191" s="70"/>
      <c r="B191" s="53" t="str">
        <f>IFERROR(VLOOKUP($A191,'Project Reference'!$S$2:$T$41,2),"Enter Project Number")</f>
        <v>Enter Project Number</v>
      </c>
      <c r="C191" s="54"/>
      <c r="D191" s="8"/>
      <c r="E191" s="8"/>
      <c r="F191" s="8"/>
      <c r="G191" s="8"/>
      <c r="H191" s="47"/>
      <c r="I191" s="9"/>
      <c r="J191" s="23"/>
      <c r="K191" s="47" t="str">
        <f>IFERROR(VLOOKUP($A191,'Project Reference'!$B$2:$C$41,2), " ")</f>
        <v xml:space="preserve"> </v>
      </c>
      <c r="L191" s="8" t="str">
        <f>IFERROR(VLOOKUP($A191,'Project Reference'!$B$2:$D$41,3), " ")</f>
        <v xml:space="preserve"> </v>
      </c>
      <c r="M191" s="54" t="str">
        <f>IFERROR(VLOOKUP($A191,'Project Reference'!$B$2:$E$41,4), " ")</f>
        <v xml:space="preserve"> </v>
      </c>
      <c r="N191" s="8" t="str">
        <f>IFERROR(VLOOKUP($A191,'Project Reference'!$B$2:$F$41,5), " ")</f>
        <v xml:space="preserve"> </v>
      </c>
      <c r="O191" s="8" t="str">
        <f>IFERROR(VLOOKUP($A191,'Project Reference'!$B$2:$G$41,6), " ")</f>
        <v xml:space="preserve"> </v>
      </c>
      <c r="P191" s="8" t="str">
        <f>IFERROR(VLOOKUP($A191,'Project Reference'!$B$2:$H$41,7), " ")</f>
        <v xml:space="preserve"> </v>
      </c>
      <c r="Q191" s="8" t="str">
        <f>IFERROR(VLOOKUP($A191,'Project Reference'!$B$2:$I$41,8), " ")</f>
        <v xml:space="preserve"> </v>
      </c>
      <c r="R191" s="8" t="str">
        <f>IFERROR(VLOOKUP($A191,'Project Reference'!$B$2:$J$41,9), " ")</f>
        <v xml:space="preserve"> </v>
      </c>
      <c r="S191" s="8" t="str">
        <f>IFERROR(VLOOKUP($A191,'Project Reference'!$B$2:$K$41,10), " ")</f>
        <v xml:space="preserve"> </v>
      </c>
      <c r="T191" s="8" t="str">
        <f>IFERROR(VLOOKUP($A191,'Project Reference'!$B$2:$L$41,11), " ")</f>
        <v xml:space="preserve"> </v>
      </c>
      <c r="U191" s="8" t="str">
        <f>IFERROR(VLOOKUP($A191,'Project Reference'!$B$2:$M$41,12), " ")</f>
        <v xml:space="preserve"> </v>
      </c>
      <c r="V191" s="8" t="str">
        <f>IFERROR(VLOOKUP($A191,'Project Reference'!$B$2:$N$41,13), " ")</f>
        <v xml:space="preserve"> </v>
      </c>
      <c r="W191" s="8" t="str">
        <f>IFERROR(VLOOKUP($A191,'Project Reference'!$B$2:$O$41,14), " ")</f>
        <v xml:space="preserve"> </v>
      </c>
      <c r="X191" s="8" t="str">
        <f>IFERROR(VLOOKUP($A191,'Project Reference'!$B$2:$P$41,15), " ")</f>
        <v xml:space="preserve"> </v>
      </c>
      <c r="Y191" s="9" t="str">
        <f>IFERROR(VLOOKUP($A191,'Project Reference'!$B$2:$Q$41,16), " ")</f>
        <v xml:space="preserve"> </v>
      </c>
      <c r="Z191" s="22"/>
    </row>
    <row r="192" spans="1:26" s="1" customFormat="1" x14ac:dyDescent="0.45">
      <c r="A192" s="70"/>
      <c r="B192" s="53" t="str">
        <f>IFERROR(VLOOKUP($A192,'Project Reference'!$S$2:$T$41,2),"Enter Project Number")</f>
        <v>Enter Project Number</v>
      </c>
      <c r="C192" s="54"/>
      <c r="D192" s="8"/>
      <c r="E192" s="8"/>
      <c r="F192" s="8"/>
      <c r="G192" s="8"/>
      <c r="H192" s="47"/>
      <c r="I192" s="9"/>
      <c r="J192" s="23"/>
      <c r="K192" s="47" t="str">
        <f>IFERROR(VLOOKUP($A192,'Project Reference'!$B$2:$C$41,2), " ")</f>
        <v xml:space="preserve"> </v>
      </c>
      <c r="L192" s="8" t="str">
        <f>IFERROR(VLOOKUP($A192,'Project Reference'!$B$2:$D$41,3), " ")</f>
        <v xml:space="preserve"> </v>
      </c>
      <c r="M192" s="54" t="str">
        <f>IFERROR(VLOOKUP($A192,'Project Reference'!$B$2:$E$41,4), " ")</f>
        <v xml:space="preserve"> </v>
      </c>
      <c r="N192" s="8" t="str">
        <f>IFERROR(VLOOKUP($A192,'Project Reference'!$B$2:$F$41,5), " ")</f>
        <v xml:space="preserve"> </v>
      </c>
      <c r="O192" s="8" t="str">
        <f>IFERROR(VLOOKUP($A192,'Project Reference'!$B$2:$G$41,6), " ")</f>
        <v xml:space="preserve"> </v>
      </c>
      <c r="P192" s="8" t="str">
        <f>IFERROR(VLOOKUP($A192,'Project Reference'!$B$2:$H$41,7), " ")</f>
        <v xml:space="preserve"> </v>
      </c>
      <c r="Q192" s="8" t="str">
        <f>IFERROR(VLOOKUP($A192,'Project Reference'!$B$2:$I$41,8), " ")</f>
        <v xml:space="preserve"> </v>
      </c>
      <c r="R192" s="8" t="str">
        <f>IFERROR(VLOOKUP($A192,'Project Reference'!$B$2:$J$41,9), " ")</f>
        <v xml:space="preserve"> </v>
      </c>
      <c r="S192" s="8" t="str">
        <f>IFERROR(VLOOKUP($A192,'Project Reference'!$B$2:$K$41,10), " ")</f>
        <v xml:space="preserve"> </v>
      </c>
      <c r="T192" s="8" t="str">
        <f>IFERROR(VLOOKUP($A192,'Project Reference'!$B$2:$L$41,11), " ")</f>
        <v xml:space="preserve"> </v>
      </c>
      <c r="U192" s="8" t="str">
        <f>IFERROR(VLOOKUP($A192,'Project Reference'!$B$2:$M$41,12), " ")</f>
        <v xml:space="preserve"> </v>
      </c>
      <c r="V192" s="8" t="str">
        <f>IFERROR(VLOOKUP($A192,'Project Reference'!$B$2:$N$41,13), " ")</f>
        <v xml:space="preserve"> </v>
      </c>
      <c r="W192" s="8" t="str">
        <f>IFERROR(VLOOKUP($A192,'Project Reference'!$B$2:$O$41,14), " ")</f>
        <v xml:space="preserve"> </v>
      </c>
      <c r="X192" s="8" t="str">
        <f>IFERROR(VLOOKUP($A192,'Project Reference'!$B$2:$P$41,15), " ")</f>
        <v xml:space="preserve"> </v>
      </c>
      <c r="Y192" s="9" t="str">
        <f>IFERROR(VLOOKUP($A192,'Project Reference'!$B$2:$Q$41,16), " ")</f>
        <v xml:space="preserve"> </v>
      </c>
      <c r="Z192" s="22"/>
    </row>
    <row r="193" spans="1:26" s="1" customFormat="1" x14ac:dyDescent="0.45">
      <c r="A193" s="70"/>
      <c r="B193" s="53" t="str">
        <f>IFERROR(VLOOKUP($A193,'Project Reference'!$S$2:$T$41,2),"Enter Project Number")</f>
        <v>Enter Project Number</v>
      </c>
      <c r="C193" s="54"/>
      <c r="D193" s="8"/>
      <c r="E193" s="8"/>
      <c r="F193" s="8"/>
      <c r="G193" s="8"/>
      <c r="H193" s="47"/>
      <c r="I193" s="9"/>
      <c r="J193" s="23"/>
      <c r="K193" s="47" t="str">
        <f>IFERROR(VLOOKUP($A193,'Project Reference'!$B$2:$C$41,2), " ")</f>
        <v xml:space="preserve"> </v>
      </c>
      <c r="L193" s="8" t="str">
        <f>IFERROR(VLOOKUP($A193,'Project Reference'!$B$2:$D$41,3), " ")</f>
        <v xml:space="preserve"> </v>
      </c>
      <c r="M193" s="54" t="str">
        <f>IFERROR(VLOOKUP($A193,'Project Reference'!$B$2:$E$41,4), " ")</f>
        <v xml:space="preserve"> </v>
      </c>
      <c r="N193" s="8" t="str">
        <f>IFERROR(VLOOKUP($A193,'Project Reference'!$B$2:$F$41,5), " ")</f>
        <v xml:space="preserve"> </v>
      </c>
      <c r="O193" s="8" t="str">
        <f>IFERROR(VLOOKUP($A193,'Project Reference'!$B$2:$G$41,6), " ")</f>
        <v xml:space="preserve"> </v>
      </c>
      <c r="P193" s="8" t="str">
        <f>IFERROR(VLOOKUP($A193,'Project Reference'!$B$2:$H$41,7), " ")</f>
        <v xml:space="preserve"> </v>
      </c>
      <c r="Q193" s="8" t="str">
        <f>IFERROR(VLOOKUP($A193,'Project Reference'!$B$2:$I$41,8), " ")</f>
        <v xml:space="preserve"> </v>
      </c>
      <c r="R193" s="8" t="str">
        <f>IFERROR(VLOOKUP($A193,'Project Reference'!$B$2:$J$41,9), " ")</f>
        <v xml:space="preserve"> </v>
      </c>
      <c r="S193" s="8" t="str">
        <f>IFERROR(VLOOKUP($A193,'Project Reference'!$B$2:$K$41,10), " ")</f>
        <v xml:space="preserve"> </v>
      </c>
      <c r="T193" s="8" t="str">
        <f>IFERROR(VLOOKUP($A193,'Project Reference'!$B$2:$L$41,11), " ")</f>
        <v xml:space="preserve"> </v>
      </c>
      <c r="U193" s="8" t="str">
        <f>IFERROR(VLOOKUP($A193,'Project Reference'!$B$2:$M$41,12), " ")</f>
        <v xml:space="preserve"> </v>
      </c>
      <c r="V193" s="8" t="str">
        <f>IFERROR(VLOOKUP($A193,'Project Reference'!$B$2:$N$41,13), " ")</f>
        <v xml:space="preserve"> </v>
      </c>
      <c r="W193" s="8" t="str">
        <f>IFERROR(VLOOKUP($A193,'Project Reference'!$B$2:$O$41,14), " ")</f>
        <v xml:space="preserve"> </v>
      </c>
      <c r="X193" s="8" t="str">
        <f>IFERROR(VLOOKUP($A193,'Project Reference'!$B$2:$P$41,15), " ")</f>
        <v xml:space="preserve"> </v>
      </c>
      <c r="Y193" s="9" t="str">
        <f>IFERROR(VLOOKUP($A193,'Project Reference'!$B$2:$Q$41,16), " ")</f>
        <v xml:space="preserve"> </v>
      </c>
      <c r="Z193" s="22"/>
    </row>
    <row r="194" spans="1:26" s="1" customFormat="1" x14ac:dyDescent="0.45">
      <c r="A194" s="70"/>
      <c r="B194" s="53" t="str">
        <f>IFERROR(VLOOKUP($A194,'Project Reference'!$S$2:$T$41,2),"Enter Project Number")</f>
        <v>Enter Project Number</v>
      </c>
      <c r="C194" s="54"/>
      <c r="D194" s="8"/>
      <c r="E194" s="8"/>
      <c r="F194" s="8"/>
      <c r="G194" s="8"/>
      <c r="H194" s="47"/>
      <c r="I194" s="9"/>
      <c r="J194" s="23"/>
      <c r="K194" s="47" t="str">
        <f>IFERROR(VLOOKUP($A194,'Project Reference'!$B$2:$C$41,2), " ")</f>
        <v xml:space="preserve"> </v>
      </c>
      <c r="L194" s="8" t="str">
        <f>IFERROR(VLOOKUP($A194,'Project Reference'!$B$2:$D$41,3), " ")</f>
        <v xml:space="preserve"> </v>
      </c>
      <c r="M194" s="54" t="str">
        <f>IFERROR(VLOOKUP($A194,'Project Reference'!$B$2:$E$41,4), " ")</f>
        <v xml:space="preserve"> </v>
      </c>
      <c r="N194" s="8" t="str">
        <f>IFERROR(VLOOKUP($A194,'Project Reference'!$B$2:$F$41,5), " ")</f>
        <v xml:space="preserve"> </v>
      </c>
      <c r="O194" s="8" t="str">
        <f>IFERROR(VLOOKUP($A194,'Project Reference'!$B$2:$G$41,6), " ")</f>
        <v xml:space="preserve"> </v>
      </c>
      <c r="P194" s="8" t="str">
        <f>IFERROR(VLOOKUP($A194,'Project Reference'!$B$2:$H$41,7), " ")</f>
        <v xml:space="preserve"> </v>
      </c>
      <c r="Q194" s="8" t="str">
        <f>IFERROR(VLOOKUP($A194,'Project Reference'!$B$2:$I$41,8), " ")</f>
        <v xml:space="preserve"> </v>
      </c>
      <c r="R194" s="8" t="str">
        <f>IFERROR(VLOOKUP($A194,'Project Reference'!$B$2:$J$41,9), " ")</f>
        <v xml:space="preserve"> </v>
      </c>
      <c r="S194" s="8" t="str">
        <f>IFERROR(VLOOKUP($A194,'Project Reference'!$B$2:$K$41,10), " ")</f>
        <v xml:space="preserve"> </v>
      </c>
      <c r="T194" s="8" t="str">
        <f>IFERROR(VLOOKUP($A194,'Project Reference'!$B$2:$L$41,11), " ")</f>
        <v xml:space="preserve"> </v>
      </c>
      <c r="U194" s="8" t="str">
        <f>IFERROR(VLOOKUP($A194,'Project Reference'!$B$2:$M$41,12), " ")</f>
        <v xml:space="preserve"> </v>
      </c>
      <c r="V194" s="8" t="str">
        <f>IFERROR(VLOOKUP($A194,'Project Reference'!$B$2:$N$41,13), " ")</f>
        <v xml:space="preserve"> </v>
      </c>
      <c r="W194" s="8" t="str">
        <f>IFERROR(VLOOKUP($A194,'Project Reference'!$B$2:$O$41,14), " ")</f>
        <v xml:space="preserve"> </v>
      </c>
      <c r="X194" s="8" t="str">
        <f>IFERROR(VLOOKUP($A194,'Project Reference'!$B$2:$P$41,15), " ")</f>
        <v xml:space="preserve"> </v>
      </c>
      <c r="Y194" s="9" t="str">
        <f>IFERROR(VLOOKUP($A194,'Project Reference'!$B$2:$Q$41,16), " ")</f>
        <v xml:space="preserve"> </v>
      </c>
      <c r="Z194" s="22"/>
    </row>
    <row r="195" spans="1:26" s="1" customFormat="1" x14ac:dyDescent="0.45">
      <c r="A195" s="70"/>
      <c r="B195" s="53" t="str">
        <f>IFERROR(VLOOKUP($A195,'Project Reference'!$S$2:$T$41,2),"Enter Project Number")</f>
        <v>Enter Project Number</v>
      </c>
      <c r="C195" s="54"/>
      <c r="D195" s="8"/>
      <c r="E195" s="8"/>
      <c r="F195" s="8"/>
      <c r="G195" s="8"/>
      <c r="H195" s="47"/>
      <c r="I195" s="9"/>
      <c r="J195" s="23"/>
      <c r="K195" s="47" t="str">
        <f>IFERROR(VLOOKUP($A195,'Project Reference'!$B$2:$C$41,2), " ")</f>
        <v xml:space="preserve"> </v>
      </c>
      <c r="L195" s="8" t="str">
        <f>IFERROR(VLOOKUP($A195,'Project Reference'!$B$2:$D$41,3), " ")</f>
        <v xml:space="preserve"> </v>
      </c>
      <c r="M195" s="54" t="str">
        <f>IFERROR(VLOOKUP($A195,'Project Reference'!$B$2:$E$41,4), " ")</f>
        <v xml:space="preserve"> </v>
      </c>
      <c r="N195" s="8" t="str">
        <f>IFERROR(VLOOKUP($A195,'Project Reference'!$B$2:$F$41,5), " ")</f>
        <v xml:space="preserve"> </v>
      </c>
      <c r="O195" s="8" t="str">
        <f>IFERROR(VLOOKUP($A195,'Project Reference'!$B$2:$G$41,6), " ")</f>
        <v xml:space="preserve"> </v>
      </c>
      <c r="P195" s="8" t="str">
        <f>IFERROR(VLOOKUP($A195,'Project Reference'!$B$2:$H$41,7), " ")</f>
        <v xml:space="preserve"> </v>
      </c>
      <c r="Q195" s="8" t="str">
        <f>IFERROR(VLOOKUP($A195,'Project Reference'!$B$2:$I$41,8), " ")</f>
        <v xml:space="preserve"> </v>
      </c>
      <c r="R195" s="8" t="str">
        <f>IFERROR(VLOOKUP($A195,'Project Reference'!$B$2:$J$41,9), " ")</f>
        <v xml:space="preserve"> </v>
      </c>
      <c r="S195" s="8" t="str">
        <f>IFERROR(VLOOKUP($A195,'Project Reference'!$B$2:$K$41,10), " ")</f>
        <v xml:space="preserve"> </v>
      </c>
      <c r="T195" s="8" t="str">
        <f>IFERROR(VLOOKUP($A195,'Project Reference'!$B$2:$L$41,11), " ")</f>
        <v xml:space="preserve"> </v>
      </c>
      <c r="U195" s="8" t="str">
        <f>IFERROR(VLOOKUP($A195,'Project Reference'!$B$2:$M$41,12), " ")</f>
        <v xml:space="preserve"> </v>
      </c>
      <c r="V195" s="8" t="str">
        <f>IFERROR(VLOOKUP($A195,'Project Reference'!$B$2:$N$41,13), " ")</f>
        <v xml:space="preserve"> </v>
      </c>
      <c r="W195" s="8" t="str">
        <f>IFERROR(VLOOKUP($A195,'Project Reference'!$B$2:$O$41,14), " ")</f>
        <v xml:space="preserve"> </v>
      </c>
      <c r="X195" s="8" t="str">
        <f>IFERROR(VLOOKUP($A195,'Project Reference'!$B$2:$P$41,15), " ")</f>
        <v xml:space="preserve"> </v>
      </c>
      <c r="Y195" s="9" t="str">
        <f>IFERROR(VLOOKUP($A195,'Project Reference'!$B$2:$Q$41,16), " ")</f>
        <v xml:space="preserve"> </v>
      </c>
      <c r="Z195" s="22"/>
    </row>
    <row r="196" spans="1:26" s="1" customFormat="1" x14ac:dyDescent="0.45">
      <c r="A196" s="70"/>
      <c r="B196" s="53" t="str">
        <f>IFERROR(VLOOKUP($A196,'Project Reference'!$S$2:$T$41,2),"Enter Project Number")</f>
        <v>Enter Project Number</v>
      </c>
      <c r="C196" s="54"/>
      <c r="D196" s="8"/>
      <c r="E196" s="8"/>
      <c r="F196" s="8"/>
      <c r="G196" s="8"/>
      <c r="H196" s="47"/>
      <c r="I196" s="9"/>
      <c r="J196" s="23"/>
      <c r="K196" s="47" t="str">
        <f>IFERROR(VLOOKUP($A196,'Project Reference'!$B$2:$C$41,2), " ")</f>
        <v xml:space="preserve"> </v>
      </c>
      <c r="L196" s="8" t="str">
        <f>IFERROR(VLOOKUP($A196,'Project Reference'!$B$2:$D$41,3), " ")</f>
        <v xml:space="preserve"> </v>
      </c>
      <c r="M196" s="54" t="str">
        <f>IFERROR(VLOOKUP($A196,'Project Reference'!$B$2:$E$41,4), " ")</f>
        <v xml:space="preserve"> </v>
      </c>
      <c r="N196" s="8" t="str">
        <f>IFERROR(VLOOKUP($A196,'Project Reference'!$B$2:$F$41,5), " ")</f>
        <v xml:space="preserve"> </v>
      </c>
      <c r="O196" s="8" t="str">
        <f>IFERROR(VLOOKUP($A196,'Project Reference'!$B$2:$G$41,6), " ")</f>
        <v xml:space="preserve"> </v>
      </c>
      <c r="P196" s="8" t="str">
        <f>IFERROR(VLOOKUP($A196,'Project Reference'!$B$2:$H$41,7), " ")</f>
        <v xml:space="preserve"> </v>
      </c>
      <c r="Q196" s="8" t="str">
        <f>IFERROR(VLOOKUP($A196,'Project Reference'!$B$2:$I$41,8), " ")</f>
        <v xml:space="preserve"> </v>
      </c>
      <c r="R196" s="8" t="str">
        <f>IFERROR(VLOOKUP($A196,'Project Reference'!$B$2:$J$41,9), " ")</f>
        <v xml:space="preserve"> </v>
      </c>
      <c r="S196" s="8" t="str">
        <f>IFERROR(VLOOKUP($A196,'Project Reference'!$B$2:$K$41,10), " ")</f>
        <v xml:space="preserve"> </v>
      </c>
      <c r="T196" s="8" t="str">
        <f>IFERROR(VLOOKUP($A196,'Project Reference'!$B$2:$L$41,11), " ")</f>
        <v xml:space="preserve"> </v>
      </c>
      <c r="U196" s="8" t="str">
        <f>IFERROR(VLOOKUP($A196,'Project Reference'!$B$2:$M$41,12), " ")</f>
        <v xml:space="preserve"> </v>
      </c>
      <c r="V196" s="8" t="str">
        <f>IFERROR(VLOOKUP($A196,'Project Reference'!$B$2:$N$41,13), " ")</f>
        <v xml:space="preserve"> </v>
      </c>
      <c r="W196" s="8" t="str">
        <f>IFERROR(VLOOKUP($A196,'Project Reference'!$B$2:$O$41,14), " ")</f>
        <v xml:space="preserve"> </v>
      </c>
      <c r="X196" s="8" t="str">
        <f>IFERROR(VLOOKUP($A196,'Project Reference'!$B$2:$P$41,15), " ")</f>
        <v xml:space="preserve"> </v>
      </c>
      <c r="Y196" s="9" t="str">
        <f>IFERROR(VLOOKUP($A196,'Project Reference'!$B$2:$Q$41,16), " ")</f>
        <v xml:space="preserve"> </v>
      </c>
      <c r="Z196" s="22"/>
    </row>
    <row r="197" spans="1:26" s="1" customFormat="1" x14ac:dyDescent="0.45">
      <c r="A197" s="70"/>
      <c r="B197" s="53" t="str">
        <f>IFERROR(VLOOKUP($A197,'Project Reference'!$S$2:$T$41,2),"Enter Project Number")</f>
        <v>Enter Project Number</v>
      </c>
      <c r="C197" s="54"/>
      <c r="D197" s="8"/>
      <c r="E197" s="8"/>
      <c r="F197" s="8"/>
      <c r="G197" s="8"/>
      <c r="H197" s="47"/>
      <c r="I197" s="9"/>
      <c r="J197" s="23"/>
      <c r="K197" s="47" t="str">
        <f>IFERROR(VLOOKUP($A197,'Project Reference'!$B$2:$C$41,2), " ")</f>
        <v xml:space="preserve"> </v>
      </c>
      <c r="L197" s="8" t="str">
        <f>IFERROR(VLOOKUP($A197,'Project Reference'!$B$2:$D$41,3), " ")</f>
        <v xml:space="preserve"> </v>
      </c>
      <c r="M197" s="54" t="str">
        <f>IFERROR(VLOOKUP($A197,'Project Reference'!$B$2:$E$41,4), " ")</f>
        <v xml:space="preserve"> </v>
      </c>
      <c r="N197" s="8" t="str">
        <f>IFERROR(VLOOKUP($A197,'Project Reference'!$B$2:$F$41,5), " ")</f>
        <v xml:space="preserve"> </v>
      </c>
      <c r="O197" s="8" t="str">
        <f>IFERROR(VLOOKUP($A197,'Project Reference'!$B$2:$G$41,6), " ")</f>
        <v xml:space="preserve"> </v>
      </c>
      <c r="P197" s="8" t="str">
        <f>IFERROR(VLOOKUP($A197,'Project Reference'!$B$2:$H$41,7), " ")</f>
        <v xml:space="preserve"> </v>
      </c>
      <c r="Q197" s="8" t="str">
        <f>IFERROR(VLOOKUP($A197,'Project Reference'!$B$2:$I$41,8), " ")</f>
        <v xml:space="preserve"> </v>
      </c>
      <c r="R197" s="8" t="str">
        <f>IFERROR(VLOOKUP($A197,'Project Reference'!$B$2:$J$41,9), " ")</f>
        <v xml:space="preserve"> </v>
      </c>
      <c r="S197" s="8" t="str">
        <f>IFERROR(VLOOKUP($A197,'Project Reference'!$B$2:$K$41,10), " ")</f>
        <v xml:space="preserve"> </v>
      </c>
      <c r="T197" s="8" t="str">
        <f>IFERROR(VLOOKUP($A197,'Project Reference'!$B$2:$L$41,11), " ")</f>
        <v xml:space="preserve"> </v>
      </c>
      <c r="U197" s="8" t="str">
        <f>IFERROR(VLOOKUP($A197,'Project Reference'!$B$2:$M$41,12), " ")</f>
        <v xml:space="preserve"> </v>
      </c>
      <c r="V197" s="8" t="str">
        <f>IFERROR(VLOOKUP($A197,'Project Reference'!$B$2:$N$41,13), " ")</f>
        <v xml:space="preserve"> </v>
      </c>
      <c r="W197" s="8" t="str">
        <f>IFERROR(VLOOKUP($A197,'Project Reference'!$B$2:$O$41,14), " ")</f>
        <v xml:space="preserve"> </v>
      </c>
      <c r="X197" s="8" t="str">
        <f>IFERROR(VLOOKUP($A197,'Project Reference'!$B$2:$P$41,15), " ")</f>
        <v xml:space="preserve"> </v>
      </c>
      <c r="Y197" s="9" t="str">
        <f>IFERROR(VLOOKUP($A197,'Project Reference'!$B$2:$Q$41,16), " ")</f>
        <v xml:space="preserve"> </v>
      </c>
      <c r="Z197" s="22"/>
    </row>
    <row r="198" spans="1:26" s="1" customFormat="1" x14ac:dyDescent="0.45">
      <c r="A198" s="70"/>
      <c r="B198" s="53" t="str">
        <f>IFERROR(VLOOKUP($A198,'Project Reference'!$S$2:$T$41,2),"Enter Project Number")</f>
        <v>Enter Project Number</v>
      </c>
      <c r="C198" s="54"/>
      <c r="D198" s="8"/>
      <c r="E198" s="8"/>
      <c r="F198" s="8"/>
      <c r="G198" s="8"/>
      <c r="H198" s="47"/>
      <c r="I198" s="9"/>
      <c r="J198" s="23"/>
      <c r="K198" s="47" t="str">
        <f>IFERROR(VLOOKUP($A198,'Project Reference'!$B$2:$C$41,2), " ")</f>
        <v xml:space="preserve"> </v>
      </c>
      <c r="L198" s="8" t="str">
        <f>IFERROR(VLOOKUP($A198,'Project Reference'!$B$2:$D$41,3), " ")</f>
        <v xml:space="preserve"> </v>
      </c>
      <c r="M198" s="54" t="str">
        <f>IFERROR(VLOOKUP($A198,'Project Reference'!$B$2:$E$41,4), " ")</f>
        <v xml:space="preserve"> </v>
      </c>
      <c r="N198" s="8" t="str">
        <f>IFERROR(VLOOKUP($A198,'Project Reference'!$B$2:$F$41,5), " ")</f>
        <v xml:space="preserve"> </v>
      </c>
      <c r="O198" s="8" t="str">
        <f>IFERROR(VLOOKUP($A198,'Project Reference'!$B$2:$G$41,6), " ")</f>
        <v xml:space="preserve"> </v>
      </c>
      <c r="P198" s="8" t="str">
        <f>IFERROR(VLOOKUP($A198,'Project Reference'!$B$2:$H$41,7), " ")</f>
        <v xml:space="preserve"> </v>
      </c>
      <c r="Q198" s="8" t="str">
        <f>IFERROR(VLOOKUP($A198,'Project Reference'!$B$2:$I$41,8), " ")</f>
        <v xml:space="preserve"> </v>
      </c>
      <c r="R198" s="8" t="str">
        <f>IFERROR(VLOOKUP($A198,'Project Reference'!$B$2:$J$41,9), " ")</f>
        <v xml:space="preserve"> </v>
      </c>
      <c r="S198" s="8" t="str">
        <f>IFERROR(VLOOKUP($A198,'Project Reference'!$B$2:$K$41,10), " ")</f>
        <v xml:space="preserve"> </v>
      </c>
      <c r="T198" s="8" t="str">
        <f>IFERROR(VLOOKUP($A198,'Project Reference'!$B$2:$L$41,11), " ")</f>
        <v xml:space="preserve"> </v>
      </c>
      <c r="U198" s="8" t="str">
        <f>IFERROR(VLOOKUP($A198,'Project Reference'!$B$2:$M$41,12), " ")</f>
        <v xml:space="preserve"> </v>
      </c>
      <c r="V198" s="8" t="str">
        <f>IFERROR(VLOOKUP($A198,'Project Reference'!$B$2:$N$41,13), " ")</f>
        <v xml:space="preserve"> </v>
      </c>
      <c r="W198" s="8" t="str">
        <f>IFERROR(VLOOKUP($A198,'Project Reference'!$B$2:$O$41,14), " ")</f>
        <v xml:space="preserve"> </v>
      </c>
      <c r="X198" s="8" t="str">
        <f>IFERROR(VLOOKUP($A198,'Project Reference'!$B$2:$P$41,15), " ")</f>
        <v xml:space="preserve"> </v>
      </c>
      <c r="Y198" s="9" t="str">
        <f>IFERROR(VLOOKUP($A198,'Project Reference'!$B$2:$Q$41,16), " ")</f>
        <v xml:space="preserve"> </v>
      </c>
      <c r="Z198" s="22"/>
    </row>
    <row r="199" spans="1:26" s="1" customFormat="1" x14ac:dyDescent="0.45">
      <c r="A199" s="70"/>
      <c r="B199" s="53" t="str">
        <f>IFERROR(VLOOKUP($A199,'Project Reference'!$S$2:$T$41,2),"Enter Project Number")</f>
        <v>Enter Project Number</v>
      </c>
      <c r="C199" s="54"/>
      <c r="D199" s="8"/>
      <c r="E199" s="8"/>
      <c r="F199" s="8"/>
      <c r="G199" s="8"/>
      <c r="H199" s="47"/>
      <c r="I199" s="9"/>
      <c r="J199" s="23"/>
      <c r="K199" s="47" t="str">
        <f>IFERROR(VLOOKUP($A199,'Project Reference'!$B$2:$C$41,2), " ")</f>
        <v xml:space="preserve"> </v>
      </c>
      <c r="L199" s="8" t="str">
        <f>IFERROR(VLOOKUP($A199,'Project Reference'!$B$2:$D$41,3), " ")</f>
        <v xml:space="preserve"> </v>
      </c>
      <c r="M199" s="54" t="str">
        <f>IFERROR(VLOOKUP($A199,'Project Reference'!$B$2:$E$41,4), " ")</f>
        <v xml:space="preserve"> </v>
      </c>
      <c r="N199" s="8" t="str">
        <f>IFERROR(VLOOKUP($A199,'Project Reference'!$B$2:$F$41,5), " ")</f>
        <v xml:space="preserve"> </v>
      </c>
      <c r="O199" s="8" t="str">
        <f>IFERROR(VLOOKUP($A199,'Project Reference'!$B$2:$G$41,6), " ")</f>
        <v xml:space="preserve"> </v>
      </c>
      <c r="P199" s="8" t="str">
        <f>IFERROR(VLOOKUP($A199,'Project Reference'!$B$2:$H$41,7), " ")</f>
        <v xml:space="preserve"> </v>
      </c>
      <c r="Q199" s="8" t="str">
        <f>IFERROR(VLOOKUP($A199,'Project Reference'!$B$2:$I$41,8), " ")</f>
        <v xml:space="preserve"> </v>
      </c>
      <c r="R199" s="8" t="str">
        <f>IFERROR(VLOOKUP($A199,'Project Reference'!$B$2:$J$41,9), " ")</f>
        <v xml:space="preserve"> </v>
      </c>
      <c r="S199" s="8" t="str">
        <f>IFERROR(VLOOKUP($A199,'Project Reference'!$B$2:$K$41,10), " ")</f>
        <v xml:space="preserve"> </v>
      </c>
      <c r="T199" s="8" t="str">
        <f>IFERROR(VLOOKUP($A199,'Project Reference'!$B$2:$L$41,11), " ")</f>
        <v xml:space="preserve"> </v>
      </c>
      <c r="U199" s="8" t="str">
        <f>IFERROR(VLOOKUP($A199,'Project Reference'!$B$2:$M$41,12), " ")</f>
        <v xml:space="preserve"> </v>
      </c>
      <c r="V199" s="8" t="str">
        <f>IFERROR(VLOOKUP($A199,'Project Reference'!$B$2:$N$41,13), " ")</f>
        <v xml:space="preserve"> </v>
      </c>
      <c r="W199" s="8" t="str">
        <f>IFERROR(VLOOKUP($A199,'Project Reference'!$B$2:$O$41,14), " ")</f>
        <v xml:space="preserve"> </v>
      </c>
      <c r="X199" s="8" t="str">
        <f>IFERROR(VLOOKUP($A199,'Project Reference'!$B$2:$P$41,15), " ")</f>
        <v xml:space="preserve"> </v>
      </c>
      <c r="Y199" s="9" t="str">
        <f>IFERROR(VLOOKUP($A199,'Project Reference'!$B$2:$Q$41,16), " ")</f>
        <v xml:space="preserve"> </v>
      </c>
      <c r="Z199" s="22"/>
    </row>
    <row r="200" spans="1:26" s="1" customFormat="1" x14ac:dyDescent="0.45">
      <c r="A200" s="70"/>
      <c r="B200" s="53" t="str">
        <f>IFERROR(VLOOKUP($A200,'Project Reference'!$S$2:$T$41,2),"Enter Project Number")</f>
        <v>Enter Project Number</v>
      </c>
      <c r="C200" s="54"/>
      <c r="D200" s="8"/>
      <c r="E200" s="8"/>
      <c r="F200" s="8"/>
      <c r="G200" s="8"/>
      <c r="H200" s="47"/>
      <c r="I200" s="9"/>
      <c r="J200" s="23"/>
      <c r="K200" s="47" t="str">
        <f>IFERROR(VLOOKUP($A200,'Project Reference'!$B$2:$C$41,2), " ")</f>
        <v xml:space="preserve"> </v>
      </c>
      <c r="L200" s="8" t="str">
        <f>IFERROR(VLOOKUP($A200,'Project Reference'!$B$2:$D$41,3), " ")</f>
        <v xml:space="preserve"> </v>
      </c>
      <c r="M200" s="54" t="str">
        <f>IFERROR(VLOOKUP($A200,'Project Reference'!$B$2:$E$41,4), " ")</f>
        <v xml:space="preserve"> </v>
      </c>
      <c r="N200" s="8" t="str">
        <f>IFERROR(VLOOKUP($A200,'Project Reference'!$B$2:$F$41,5), " ")</f>
        <v xml:space="preserve"> </v>
      </c>
      <c r="O200" s="8" t="str">
        <f>IFERROR(VLOOKUP($A200,'Project Reference'!$B$2:$G$41,6), " ")</f>
        <v xml:space="preserve"> </v>
      </c>
      <c r="P200" s="8" t="str">
        <f>IFERROR(VLOOKUP($A200,'Project Reference'!$B$2:$H$41,7), " ")</f>
        <v xml:space="preserve"> </v>
      </c>
      <c r="Q200" s="8" t="str">
        <f>IFERROR(VLOOKUP($A200,'Project Reference'!$B$2:$I$41,8), " ")</f>
        <v xml:space="preserve"> </v>
      </c>
      <c r="R200" s="8" t="str">
        <f>IFERROR(VLOOKUP($A200,'Project Reference'!$B$2:$J$41,9), " ")</f>
        <v xml:space="preserve"> </v>
      </c>
      <c r="S200" s="8" t="str">
        <f>IFERROR(VLOOKUP($A200,'Project Reference'!$B$2:$K$41,10), " ")</f>
        <v xml:space="preserve"> </v>
      </c>
      <c r="T200" s="8" t="str">
        <f>IFERROR(VLOOKUP($A200,'Project Reference'!$B$2:$L$41,11), " ")</f>
        <v xml:space="preserve"> </v>
      </c>
      <c r="U200" s="8" t="str">
        <f>IFERROR(VLOOKUP($A200,'Project Reference'!$B$2:$M$41,12), " ")</f>
        <v xml:space="preserve"> </v>
      </c>
      <c r="V200" s="8" t="str">
        <f>IFERROR(VLOOKUP($A200,'Project Reference'!$B$2:$N$41,13), " ")</f>
        <v xml:space="preserve"> </v>
      </c>
      <c r="W200" s="8" t="str">
        <f>IFERROR(VLOOKUP($A200,'Project Reference'!$B$2:$O$41,14), " ")</f>
        <v xml:space="preserve"> </v>
      </c>
      <c r="X200" s="8" t="str">
        <f>IFERROR(VLOOKUP($A200,'Project Reference'!$B$2:$P$41,15), " ")</f>
        <v xml:space="preserve"> </v>
      </c>
      <c r="Y200" s="9" t="str">
        <f>IFERROR(VLOOKUP($A200,'Project Reference'!$B$2:$Q$41,16), " ")</f>
        <v xml:space="preserve"> </v>
      </c>
      <c r="Z200" s="22"/>
    </row>
    <row r="201" spans="1:26" s="1" customFormat="1" x14ac:dyDescent="0.45">
      <c r="A201" s="70"/>
      <c r="B201" s="53" t="str">
        <f>IFERROR(VLOOKUP($A201,'Project Reference'!$S$2:$T$41,2),"Enter Project Number")</f>
        <v>Enter Project Number</v>
      </c>
      <c r="C201" s="54"/>
      <c r="D201" s="8"/>
      <c r="E201" s="8"/>
      <c r="F201" s="8"/>
      <c r="G201" s="8"/>
      <c r="H201" s="47"/>
      <c r="I201" s="9"/>
      <c r="J201" s="23"/>
      <c r="K201" s="47" t="str">
        <f>IFERROR(VLOOKUP($A201,'Project Reference'!$B$2:$C$41,2), " ")</f>
        <v xml:space="preserve"> </v>
      </c>
      <c r="L201" s="8" t="str">
        <f>IFERROR(VLOOKUP($A201,'Project Reference'!$B$2:$D$41,3), " ")</f>
        <v xml:space="preserve"> </v>
      </c>
      <c r="M201" s="54" t="str">
        <f>IFERROR(VLOOKUP($A201,'Project Reference'!$B$2:$E$41,4), " ")</f>
        <v xml:space="preserve"> </v>
      </c>
      <c r="N201" s="8" t="str">
        <f>IFERROR(VLOOKUP($A201,'Project Reference'!$B$2:$F$41,5), " ")</f>
        <v xml:space="preserve"> </v>
      </c>
      <c r="O201" s="8" t="str">
        <f>IFERROR(VLOOKUP($A201,'Project Reference'!$B$2:$G$41,6), " ")</f>
        <v xml:space="preserve"> </v>
      </c>
      <c r="P201" s="8" t="str">
        <f>IFERROR(VLOOKUP($A201,'Project Reference'!$B$2:$H$41,7), " ")</f>
        <v xml:space="preserve"> </v>
      </c>
      <c r="Q201" s="8" t="str">
        <f>IFERROR(VLOOKUP($A201,'Project Reference'!$B$2:$I$41,8), " ")</f>
        <v xml:space="preserve"> </v>
      </c>
      <c r="R201" s="8" t="str">
        <f>IFERROR(VLOOKUP($A201,'Project Reference'!$B$2:$J$41,9), " ")</f>
        <v xml:space="preserve"> </v>
      </c>
      <c r="S201" s="8" t="str">
        <f>IFERROR(VLOOKUP($A201,'Project Reference'!$B$2:$K$41,10), " ")</f>
        <v xml:space="preserve"> </v>
      </c>
      <c r="T201" s="8" t="str">
        <f>IFERROR(VLOOKUP($A201,'Project Reference'!$B$2:$L$41,11), " ")</f>
        <v xml:space="preserve"> </v>
      </c>
      <c r="U201" s="8" t="str">
        <f>IFERROR(VLOOKUP($A201,'Project Reference'!$B$2:$M$41,12), " ")</f>
        <v xml:space="preserve"> </v>
      </c>
      <c r="V201" s="8" t="str">
        <f>IFERROR(VLOOKUP($A201,'Project Reference'!$B$2:$N$41,13), " ")</f>
        <v xml:space="preserve"> </v>
      </c>
      <c r="W201" s="8" t="str">
        <f>IFERROR(VLOOKUP($A201,'Project Reference'!$B$2:$O$41,14), " ")</f>
        <v xml:space="preserve"> </v>
      </c>
      <c r="X201" s="8" t="str">
        <f>IFERROR(VLOOKUP($A201,'Project Reference'!$B$2:$P$41,15), " ")</f>
        <v xml:space="preserve"> </v>
      </c>
      <c r="Y201" s="9" t="str">
        <f>IFERROR(VLOOKUP($A201,'Project Reference'!$B$2:$Q$41,16), " ")</f>
        <v xml:space="preserve"> </v>
      </c>
      <c r="Z201" s="22"/>
    </row>
    <row r="202" spans="1:26" s="1" customFormat="1" x14ac:dyDescent="0.45">
      <c r="A202" s="70"/>
      <c r="B202" s="53" t="str">
        <f>IFERROR(VLOOKUP($A202,'Project Reference'!$S$2:$T$41,2),"Enter Project Number")</f>
        <v>Enter Project Number</v>
      </c>
      <c r="C202" s="54"/>
      <c r="D202" s="8"/>
      <c r="E202" s="8"/>
      <c r="F202" s="8"/>
      <c r="G202" s="8"/>
      <c r="H202" s="47"/>
      <c r="I202" s="9"/>
      <c r="J202" s="23"/>
      <c r="K202" s="47" t="str">
        <f>IFERROR(VLOOKUP($A202,'Project Reference'!$B$2:$C$41,2), " ")</f>
        <v xml:space="preserve"> </v>
      </c>
      <c r="L202" s="8" t="str">
        <f>IFERROR(VLOOKUP($A202,'Project Reference'!$B$2:$D$41,3), " ")</f>
        <v xml:space="preserve"> </v>
      </c>
      <c r="M202" s="54" t="str">
        <f>IFERROR(VLOOKUP($A202,'Project Reference'!$B$2:$E$41,4), " ")</f>
        <v xml:space="preserve"> </v>
      </c>
      <c r="N202" s="8" t="str">
        <f>IFERROR(VLOOKUP($A202,'Project Reference'!$B$2:$F$41,5), " ")</f>
        <v xml:space="preserve"> </v>
      </c>
      <c r="O202" s="8" t="str">
        <f>IFERROR(VLOOKUP($A202,'Project Reference'!$B$2:$G$41,6), " ")</f>
        <v xml:space="preserve"> </v>
      </c>
      <c r="P202" s="8" t="str">
        <f>IFERROR(VLOOKUP($A202,'Project Reference'!$B$2:$H$41,7), " ")</f>
        <v xml:space="preserve"> </v>
      </c>
      <c r="Q202" s="8" t="str">
        <f>IFERROR(VLOOKUP($A202,'Project Reference'!$B$2:$I$41,8), " ")</f>
        <v xml:space="preserve"> </v>
      </c>
      <c r="R202" s="8" t="str">
        <f>IFERROR(VLOOKUP($A202,'Project Reference'!$B$2:$J$41,9), " ")</f>
        <v xml:space="preserve"> </v>
      </c>
      <c r="S202" s="8" t="str">
        <f>IFERROR(VLOOKUP($A202,'Project Reference'!$B$2:$K$41,10), " ")</f>
        <v xml:space="preserve"> </v>
      </c>
      <c r="T202" s="8" t="str">
        <f>IFERROR(VLOOKUP($A202,'Project Reference'!$B$2:$L$41,11), " ")</f>
        <v xml:space="preserve"> </v>
      </c>
      <c r="U202" s="8" t="str">
        <f>IFERROR(VLOOKUP($A202,'Project Reference'!$B$2:$M$41,12), " ")</f>
        <v xml:space="preserve"> </v>
      </c>
      <c r="V202" s="8" t="str">
        <f>IFERROR(VLOOKUP($A202,'Project Reference'!$B$2:$N$41,13), " ")</f>
        <v xml:space="preserve"> </v>
      </c>
      <c r="W202" s="8" t="str">
        <f>IFERROR(VLOOKUP($A202,'Project Reference'!$B$2:$O$41,14), " ")</f>
        <v xml:space="preserve"> </v>
      </c>
      <c r="X202" s="8" t="str">
        <f>IFERROR(VLOOKUP($A202,'Project Reference'!$B$2:$P$41,15), " ")</f>
        <v xml:space="preserve"> </v>
      </c>
      <c r="Y202" s="9" t="str">
        <f>IFERROR(VLOOKUP($A202,'Project Reference'!$B$2:$Q$41,16), " ")</f>
        <v xml:space="preserve"> </v>
      </c>
      <c r="Z202" s="22"/>
    </row>
    <row r="203" spans="1:26" s="1" customFormat="1" x14ac:dyDescent="0.45">
      <c r="A203" s="70"/>
      <c r="B203" s="53" t="str">
        <f>IFERROR(VLOOKUP($A203,'Project Reference'!$S$2:$T$41,2),"Enter Project Number")</f>
        <v>Enter Project Number</v>
      </c>
      <c r="C203" s="54"/>
      <c r="D203" s="8"/>
      <c r="E203" s="8"/>
      <c r="F203" s="8"/>
      <c r="G203" s="8"/>
      <c r="H203" s="47"/>
      <c r="I203" s="9"/>
      <c r="J203" s="23"/>
      <c r="K203" s="47" t="str">
        <f>IFERROR(VLOOKUP($A203,'Project Reference'!$B$2:$C$41,2), " ")</f>
        <v xml:space="preserve"> </v>
      </c>
      <c r="L203" s="8" t="str">
        <f>IFERROR(VLOOKUP($A203,'Project Reference'!$B$2:$D$41,3), " ")</f>
        <v xml:space="preserve"> </v>
      </c>
      <c r="M203" s="54" t="str">
        <f>IFERROR(VLOOKUP($A203,'Project Reference'!$B$2:$E$41,4), " ")</f>
        <v xml:space="preserve"> </v>
      </c>
      <c r="N203" s="8" t="str">
        <f>IFERROR(VLOOKUP($A203,'Project Reference'!$B$2:$F$41,5), " ")</f>
        <v xml:space="preserve"> </v>
      </c>
      <c r="O203" s="8" t="str">
        <f>IFERROR(VLOOKUP($A203,'Project Reference'!$B$2:$G$41,6), " ")</f>
        <v xml:space="preserve"> </v>
      </c>
      <c r="P203" s="8" t="str">
        <f>IFERROR(VLOOKUP($A203,'Project Reference'!$B$2:$H$41,7), " ")</f>
        <v xml:space="preserve"> </v>
      </c>
      <c r="Q203" s="8" t="str">
        <f>IFERROR(VLOOKUP($A203,'Project Reference'!$B$2:$I$41,8), " ")</f>
        <v xml:space="preserve"> </v>
      </c>
      <c r="R203" s="8" t="str">
        <f>IFERROR(VLOOKUP($A203,'Project Reference'!$B$2:$J$41,9), " ")</f>
        <v xml:space="preserve"> </v>
      </c>
      <c r="S203" s="8" t="str">
        <f>IFERROR(VLOOKUP($A203,'Project Reference'!$B$2:$K$41,10), " ")</f>
        <v xml:space="preserve"> </v>
      </c>
      <c r="T203" s="8" t="str">
        <f>IFERROR(VLOOKUP($A203,'Project Reference'!$B$2:$L$41,11), " ")</f>
        <v xml:space="preserve"> </v>
      </c>
      <c r="U203" s="8" t="str">
        <f>IFERROR(VLOOKUP($A203,'Project Reference'!$B$2:$M$41,12), " ")</f>
        <v xml:space="preserve"> </v>
      </c>
      <c r="V203" s="8" t="str">
        <f>IFERROR(VLOOKUP($A203,'Project Reference'!$B$2:$N$41,13), " ")</f>
        <v xml:space="preserve"> </v>
      </c>
      <c r="W203" s="8" t="str">
        <f>IFERROR(VLOOKUP($A203,'Project Reference'!$B$2:$O$41,14), " ")</f>
        <v xml:space="preserve"> </v>
      </c>
      <c r="X203" s="8" t="str">
        <f>IFERROR(VLOOKUP($A203,'Project Reference'!$B$2:$P$41,15), " ")</f>
        <v xml:space="preserve"> </v>
      </c>
      <c r="Y203" s="9" t="str">
        <f>IFERROR(VLOOKUP($A203,'Project Reference'!$B$2:$Q$41,16), " ")</f>
        <v xml:space="preserve"> </v>
      </c>
      <c r="Z203" s="22"/>
    </row>
    <row r="204" spans="1:26" s="1" customFormat="1" x14ac:dyDescent="0.45">
      <c r="A204" s="70"/>
      <c r="B204" s="53" t="str">
        <f>IFERROR(VLOOKUP($A204,'Project Reference'!$S$2:$T$41,2),"Enter Project Number")</f>
        <v>Enter Project Number</v>
      </c>
      <c r="C204" s="54"/>
      <c r="D204" s="8"/>
      <c r="E204" s="8"/>
      <c r="F204" s="8"/>
      <c r="G204" s="8"/>
      <c r="H204" s="47"/>
      <c r="I204" s="9"/>
      <c r="J204" s="23"/>
      <c r="K204" s="47" t="str">
        <f>IFERROR(VLOOKUP($A204,'Project Reference'!$B$2:$C$41,2), " ")</f>
        <v xml:space="preserve"> </v>
      </c>
      <c r="L204" s="8" t="str">
        <f>IFERROR(VLOOKUP($A204,'Project Reference'!$B$2:$D$41,3), " ")</f>
        <v xml:space="preserve"> </v>
      </c>
      <c r="M204" s="54" t="str">
        <f>IFERROR(VLOOKUP($A204,'Project Reference'!$B$2:$E$41,4), " ")</f>
        <v xml:space="preserve"> </v>
      </c>
      <c r="N204" s="8" t="str">
        <f>IFERROR(VLOOKUP($A204,'Project Reference'!$B$2:$F$41,5), " ")</f>
        <v xml:space="preserve"> </v>
      </c>
      <c r="O204" s="8" t="str">
        <f>IFERROR(VLOOKUP($A204,'Project Reference'!$B$2:$G$41,6), " ")</f>
        <v xml:space="preserve"> </v>
      </c>
      <c r="P204" s="8" t="str">
        <f>IFERROR(VLOOKUP($A204,'Project Reference'!$B$2:$H$41,7), " ")</f>
        <v xml:space="preserve"> </v>
      </c>
      <c r="Q204" s="8" t="str">
        <f>IFERROR(VLOOKUP($A204,'Project Reference'!$B$2:$I$41,8), " ")</f>
        <v xml:space="preserve"> </v>
      </c>
      <c r="R204" s="8" t="str">
        <f>IFERROR(VLOOKUP($A204,'Project Reference'!$B$2:$J$41,9), " ")</f>
        <v xml:space="preserve"> </v>
      </c>
      <c r="S204" s="8" t="str">
        <f>IFERROR(VLOOKUP($A204,'Project Reference'!$B$2:$K$41,10), " ")</f>
        <v xml:space="preserve"> </v>
      </c>
      <c r="T204" s="8" t="str">
        <f>IFERROR(VLOOKUP($A204,'Project Reference'!$B$2:$L$41,11), " ")</f>
        <v xml:space="preserve"> </v>
      </c>
      <c r="U204" s="8" t="str">
        <f>IFERROR(VLOOKUP($A204,'Project Reference'!$B$2:$M$41,12), " ")</f>
        <v xml:space="preserve"> </v>
      </c>
      <c r="V204" s="8" t="str">
        <f>IFERROR(VLOOKUP($A204,'Project Reference'!$B$2:$N$41,13), " ")</f>
        <v xml:space="preserve"> </v>
      </c>
      <c r="W204" s="8" t="str">
        <f>IFERROR(VLOOKUP($A204,'Project Reference'!$B$2:$O$41,14), " ")</f>
        <v xml:space="preserve"> </v>
      </c>
      <c r="X204" s="8" t="str">
        <f>IFERROR(VLOOKUP($A204,'Project Reference'!$B$2:$P$41,15), " ")</f>
        <v xml:space="preserve"> </v>
      </c>
      <c r="Y204" s="9" t="str">
        <f>IFERROR(VLOOKUP($A204,'Project Reference'!$B$2:$Q$41,16), " ")</f>
        <v xml:space="preserve"> </v>
      </c>
      <c r="Z204" s="22"/>
    </row>
    <row r="205" spans="1:26" s="1" customFormat="1" x14ac:dyDescent="0.45">
      <c r="A205" s="70"/>
      <c r="B205" s="53" t="str">
        <f>IFERROR(VLOOKUP($A205,'Project Reference'!$S$2:$T$41,2),"Enter Project Number")</f>
        <v>Enter Project Number</v>
      </c>
      <c r="C205" s="54"/>
      <c r="D205" s="8"/>
      <c r="E205" s="8"/>
      <c r="F205" s="8"/>
      <c r="G205" s="8"/>
      <c r="H205" s="47"/>
      <c r="I205" s="9"/>
      <c r="J205" s="23"/>
      <c r="K205" s="47" t="str">
        <f>IFERROR(VLOOKUP($A205,'Project Reference'!$B$2:$C$41,2), " ")</f>
        <v xml:space="preserve"> </v>
      </c>
      <c r="L205" s="8" t="str">
        <f>IFERROR(VLOOKUP($A205,'Project Reference'!$B$2:$D$41,3), " ")</f>
        <v xml:space="preserve"> </v>
      </c>
      <c r="M205" s="54" t="str">
        <f>IFERROR(VLOOKUP($A205,'Project Reference'!$B$2:$E$41,4), " ")</f>
        <v xml:space="preserve"> </v>
      </c>
      <c r="N205" s="8" t="str">
        <f>IFERROR(VLOOKUP($A205,'Project Reference'!$B$2:$F$41,5), " ")</f>
        <v xml:space="preserve"> </v>
      </c>
      <c r="O205" s="8" t="str">
        <f>IFERROR(VLOOKUP($A205,'Project Reference'!$B$2:$G$41,6), " ")</f>
        <v xml:space="preserve"> </v>
      </c>
      <c r="P205" s="8" t="str">
        <f>IFERROR(VLOOKUP($A205,'Project Reference'!$B$2:$H$41,7), " ")</f>
        <v xml:space="preserve"> </v>
      </c>
      <c r="Q205" s="8" t="str">
        <f>IFERROR(VLOOKUP($A205,'Project Reference'!$B$2:$I$41,8), " ")</f>
        <v xml:space="preserve"> </v>
      </c>
      <c r="R205" s="8" t="str">
        <f>IFERROR(VLOOKUP($A205,'Project Reference'!$B$2:$J$41,9), " ")</f>
        <v xml:space="preserve"> </v>
      </c>
      <c r="S205" s="8" t="str">
        <f>IFERROR(VLOOKUP($A205,'Project Reference'!$B$2:$K$41,10), " ")</f>
        <v xml:space="preserve"> </v>
      </c>
      <c r="T205" s="8" t="str">
        <f>IFERROR(VLOOKUP($A205,'Project Reference'!$B$2:$L$41,11), " ")</f>
        <v xml:space="preserve"> </v>
      </c>
      <c r="U205" s="8" t="str">
        <f>IFERROR(VLOOKUP($A205,'Project Reference'!$B$2:$M$41,12), " ")</f>
        <v xml:space="preserve"> </v>
      </c>
      <c r="V205" s="8" t="str">
        <f>IFERROR(VLOOKUP($A205,'Project Reference'!$B$2:$N$41,13), " ")</f>
        <v xml:space="preserve"> </v>
      </c>
      <c r="W205" s="8" t="str">
        <f>IFERROR(VLOOKUP($A205,'Project Reference'!$B$2:$O$41,14), " ")</f>
        <v xml:space="preserve"> </v>
      </c>
      <c r="X205" s="8" t="str">
        <f>IFERROR(VLOOKUP($A205,'Project Reference'!$B$2:$P$41,15), " ")</f>
        <v xml:space="preserve"> </v>
      </c>
      <c r="Y205" s="9" t="str">
        <f>IFERROR(VLOOKUP($A205,'Project Reference'!$B$2:$Q$41,16), " ")</f>
        <v xml:space="preserve"> </v>
      </c>
      <c r="Z205" s="22"/>
    </row>
    <row r="206" spans="1:26" s="1" customFormat="1" x14ac:dyDescent="0.45">
      <c r="A206" s="70"/>
      <c r="B206" s="53" t="str">
        <f>IFERROR(VLOOKUP($A206,'Project Reference'!$S$2:$T$41,2),"Enter Project Number")</f>
        <v>Enter Project Number</v>
      </c>
      <c r="C206" s="54"/>
      <c r="D206" s="8"/>
      <c r="E206" s="8"/>
      <c r="F206" s="8"/>
      <c r="G206" s="8"/>
      <c r="H206" s="47"/>
      <c r="I206" s="9"/>
      <c r="J206" s="23"/>
      <c r="K206" s="47" t="str">
        <f>IFERROR(VLOOKUP($A206,'Project Reference'!$B$2:$C$41,2), " ")</f>
        <v xml:space="preserve"> </v>
      </c>
      <c r="L206" s="8" t="str">
        <f>IFERROR(VLOOKUP($A206,'Project Reference'!$B$2:$D$41,3), " ")</f>
        <v xml:space="preserve"> </v>
      </c>
      <c r="M206" s="54" t="str">
        <f>IFERROR(VLOOKUP($A206,'Project Reference'!$B$2:$E$41,4), " ")</f>
        <v xml:space="preserve"> </v>
      </c>
      <c r="N206" s="8" t="str">
        <f>IFERROR(VLOOKUP($A206,'Project Reference'!$B$2:$F$41,5), " ")</f>
        <v xml:space="preserve"> </v>
      </c>
      <c r="O206" s="8" t="str">
        <f>IFERROR(VLOOKUP($A206,'Project Reference'!$B$2:$G$41,6), " ")</f>
        <v xml:space="preserve"> </v>
      </c>
      <c r="P206" s="8" t="str">
        <f>IFERROR(VLOOKUP($A206,'Project Reference'!$B$2:$H$41,7), " ")</f>
        <v xml:space="preserve"> </v>
      </c>
      <c r="Q206" s="8" t="str">
        <f>IFERROR(VLOOKUP($A206,'Project Reference'!$B$2:$I$41,8), " ")</f>
        <v xml:space="preserve"> </v>
      </c>
      <c r="R206" s="8" t="str">
        <f>IFERROR(VLOOKUP($A206,'Project Reference'!$B$2:$J$41,9), " ")</f>
        <v xml:space="preserve"> </v>
      </c>
      <c r="S206" s="8" t="str">
        <f>IFERROR(VLOOKUP($A206,'Project Reference'!$B$2:$K$41,10), " ")</f>
        <v xml:space="preserve"> </v>
      </c>
      <c r="T206" s="8" t="str">
        <f>IFERROR(VLOOKUP($A206,'Project Reference'!$B$2:$L$41,11), " ")</f>
        <v xml:space="preserve"> </v>
      </c>
      <c r="U206" s="8" t="str">
        <f>IFERROR(VLOOKUP($A206,'Project Reference'!$B$2:$M$41,12), " ")</f>
        <v xml:space="preserve"> </v>
      </c>
      <c r="V206" s="8" t="str">
        <f>IFERROR(VLOOKUP($A206,'Project Reference'!$B$2:$N$41,13), " ")</f>
        <v xml:space="preserve"> </v>
      </c>
      <c r="W206" s="8" t="str">
        <f>IFERROR(VLOOKUP($A206,'Project Reference'!$B$2:$O$41,14), " ")</f>
        <v xml:space="preserve"> </v>
      </c>
      <c r="X206" s="8" t="str">
        <f>IFERROR(VLOOKUP($A206,'Project Reference'!$B$2:$P$41,15), " ")</f>
        <v xml:space="preserve"> </v>
      </c>
      <c r="Y206" s="9" t="str">
        <f>IFERROR(VLOOKUP($A206,'Project Reference'!$B$2:$Q$41,16), " ")</f>
        <v xml:space="preserve"> </v>
      </c>
      <c r="Z206" s="22"/>
    </row>
    <row r="207" spans="1:26" s="1" customFormat="1" x14ac:dyDescent="0.45">
      <c r="A207" s="70"/>
      <c r="B207" s="53" t="str">
        <f>IFERROR(VLOOKUP($A207,'Project Reference'!$S$2:$T$41,2),"Enter Project Number")</f>
        <v>Enter Project Number</v>
      </c>
      <c r="C207" s="54"/>
      <c r="D207" s="8"/>
      <c r="E207" s="8"/>
      <c r="F207" s="8"/>
      <c r="G207" s="8"/>
      <c r="H207" s="47"/>
      <c r="I207" s="9"/>
      <c r="J207" s="23"/>
      <c r="K207" s="47" t="str">
        <f>IFERROR(VLOOKUP($A207,'Project Reference'!$B$2:$C$41,2), " ")</f>
        <v xml:space="preserve"> </v>
      </c>
      <c r="L207" s="8" t="str">
        <f>IFERROR(VLOOKUP($A207,'Project Reference'!$B$2:$D$41,3), " ")</f>
        <v xml:space="preserve"> </v>
      </c>
      <c r="M207" s="54" t="str">
        <f>IFERROR(VLOOKUP($A207,'Project Reference'!$B$2:$E$41,4), " ")</f>
        <v xml:space="preserve"> </v>
      </c>
      <c r="N207" s="8" t="str">
        <f>IFERROR(VLOOKUP($A207,'Project Reference'!$B$2:$F$41,5), " ")</f>
        <v xml:space="preserve"> </v>
      </c>
      <c r="O207" s="8" t="str">
        <f>IFERROR(VLOOKUP($A207,'Project Reference'!$B$2:$G$41,6), " ")</f>
        <v xml:space="preserve"> </v>
      </c>
      <c r="P207" s="8" t="str">
        <f>IFERROR(VLOOKUP($A207,'Project Reference'!$B$2:$H$41,7), " ")</f>
        <v xml:space="preserve"> </v>
      </c>
      <c r="Q207" s="8" t="str">
        <f>IFERROR(VLOOKUP($A207,'Project Reference'!$B$2:$I$41,8), " ")</f>
        <v xml:space="preserve"> </v>
      </c>
      <c r="R207" s="8" t="str">
        <f>IFERROR(VLOOKUP($A207,'Project Reference'!$B$2:$J$41,9), " ")</f>
        <v xml:space="preserve"> </v>
      </c>
      <c r="S207" s="8" t="str">
        <f>IFERROR(VLOOKUP($A207,'Project Reference'!$B$2:$K$41,10), " ")</f>
        <v xml:space="preserve"> </v>
      </c>
      <c r="T207" s="8" t="str">
        <f>IFERROR(VLOOKUP($A207,'Project Reference'!$B$2:$L$41,11), " ")</f>
        <v xml:space="preserve"> </v>
      </c>
      <c r="U207" s="8" t="str">
        <f>IFERROR(VLOOKUP($A207,'Project Reference'!$B$2:$M$41,12), " ")</f>
        <v xml:space="preserve"> </v>
      </c>
      <c r="V207" s="8" t="str">
        <f>IFERROR(VLOOKUP($A207,'Project Reference'!$B$2:$N$41,13), " ")</f>
        <v xml:space="preserve"> </v>
      </c>
      <c r="W207" s="8" t="str">
        <f>IFERROR(VLOOKUP($A207,'Project Reference'!$B$2:$O$41,14), " ")</f>
        <v xml:space="preserve"> </v>
      </c>
      <c r="X207" s="8" t="str">
        <f>IFERROR(VLOOKUP($A207,'Project Reference'!$B$2:$P$41,15), " ")</f>
        <v xml:space="preserve"> </v>
      </c>
      <c r="Y207" s="9" t="str">
        <f>IFERROR(VLOOKUP($A207,'Project Reference'!$B$2:$Q$41,16), " ")</f>
        <v xml:space="preserve"> </v>
      </c>
      <c r="Z207" s="22"/>
    </row>
    <row r="208" spans="1:26" s="1" customFormat="1" x14ac:dyDescent="0.45">
      <c r="A208" s="70"/>
      <c r="B208" s="53" t="str">
        <f>IFERROR(VLOOKUP($A208,'Project Reference'!$S$2:$T$41,2),"Enter Project Number")</f>
        <v>Enter Project Number</v>
      </c>
      <c r="C208" s="54"/>
      <c r="D208" s="8"/>
      <c r="E208" s="8"/>
      <c r="F208" s="8"/>
      <c r="G208" s="8"/>
      <c r="H208" s="47"/>
      <c r="I208" s="9"/>
      <c r="J208" s="23"/>
      <c r="K208" s="47" t="str">
        <f>IFERROR(VLOOKUP($A208,'Project Reference'!$B$2:$C$41,2), " ")</f>
        <v xml:space="preserve"> </v>
      </c>
      <c r="L208" s="8" t="str">
        <f>IFERROR(VLOOKUP($A208,'Project Reference'!$B$2:$D$41,3), " ")</f>
        <v xml:space="preserve"> </v>
      </c>
      <c r="M208" s="54" t="str">
        <f>IFERROR(VLOOKUP($A208,'Project Reference'!$B$2:$E$41,4), " ")</f>
        <v xml:space="preserve"> </v>
      </c>
      <c r="N208" s="8" t="str">
        <f>IFERROR(VLOOKUP($A208,'Project Reference'!$B$2:$F$41,5), " ")</f>
        <v xml:space="preserve"> </v>
      </c>
      <c r="O208" s="8" t="str">
        <f>IFERROR(VLOOKUP($A208,'Project Reference'!$B$2:$G$41,6), " ")</f>
        <v xml:space="preserve"> </v>
      </c>
      <c r="P208" s="8" t="str">
        <f>IFERROR(VLOOKUP($A208,'Project Reference'!$B$2:$H$41,7), " ")</f>
        <v xml:space="preserve"> </v>
      </c>
      <c r="Q208" s="8" t="str">
        <f>IFERROR(VLOOKUP($A208,'Project Reference'!$B$2:$I$41,8), " ")</f>
        <v xml:space="preserve"> </v>
      </c>
      <c r="R208" s="8" t="str">
        <f>IFERROR(VLOOKUP($A208,'Project Reference'!$B$2:$J$41,9), " ")</f>
        <v xml:space="preserve"> </v>
      </c>
      <c r="S208" s="8" t="str">
        <f>IFERROR(VLOOKUP($A208,'Project Reference'!$B$2:$K$41,10), " ")</f>
        <v xml:space="preserve"> </v>
      </c>
      <c r="T208" s="8" t="str">
        <f>IFERROR(VLOOKUP($A208,'Project Reference'!$B$2:$L$41,11), " ")</f>
        <v xml:space="preserve"> </v>
      </c>
      <c r="U208" s="8" t="str">
        <f>IFERROR(VLOOKUP($A208,'Project Reference'!$B$2:$M$41,12), " ")</f>
        <v xml:space="preserve"> </v>
      </c>
      <c r="V208" s="8" t="str">
        <f>IFERROR(VLOOKUP($A208,'Project Reference'!$B$2:$N$41,13), " ")</f>
        <v xml:space="preserve"> </v>
      </c>
      <c r="W208" s="8" t="str">
        <f>IFERROR(VLOOKUP($A208,'Project Reference'!$B$2:$O$41,14), " ")</f>
        <v xml:space="preserve"> </v>
      </c>
      <c r="X208" s="8" t="str">
        <f>IFERROR(VLOOKUP($A208,'Project Reference'!$B$2:$P$41,15), " ")</f>
        <v xml:space="preserve"> </v>
      </c>
      <c r="Y208" s="9" t="str">
        <f>IFERROR(VLOOKUP($A208,'Project Reference'!$B$2:$Q$41,16), " ")</f>
        <v xml:space="preserve"> </v>
      </c>
      <c r="Z208" s="22"/>
    </row>
    <row r="209" spans="1:26" s="1" customFormat="1" x14ac:dyDescent="0.45">
      <c r="A209" s="70"/>
      <c r="B209" s="53" t="str">
        <f>IFERROR(VLOOKUP($A209,'Project Reference'!$S$2:$T$41,2),"Enter Project Number")</f>
        <v>Enter Project Number</v>
      </c>
      <c r="C209" s="54"/>
      <c r="D209" s="8"/>
      <c r="E209" s="8"/>
      <c r="F209" s="8"/>
      <c r="G209" s="8"/>
      <c r="H209" s="47"/>
      <c r="I209" s="9"/>
      <c r="J209" s="23"/>
      <c r="K209" s="47" t="str">
        <f>IFERROR(VLOOKUP($A209,'Project Reference'!$B$2:$C$41,2), " ")</f>
        <v xml:space="preserve"> </v>
      </c>
      <c r="L209" s="8" t="str">
        <f>IFERROR(VLOOKUP($A209,'Project Reference'!$B$2:$D$41,3), " ")</f>
        <v xml:space="preserve"> </v>
      </c>
      <c r="M209" s="54" t="str">
        <f>IFERROR(VLOOKUP($A209,'Project Reference'!$B$2:$E$41,4), " ")</f>
        <v xml:space="preserve"> </v>
      </c>
      <c r="N209" s="8" t="str">
        <f>IFERROR(VLOOKUP($A209,'Project Reference'!$B$2:$F$41,5), " ")</f>
        <v xml:space="preserve"> </v>
      </c>
      <c r="O209" s="8" t="str">
        <f>IFERROR(VLOOKUP($A209,'Project Reference'!$B$2:$G$41,6), " ")</f>
        <v xml:space="preserve"> </v>
      </c>
      <c r="P209" s="8" t="str">
        <f>IFERROR(VLOOKUP($A209,'Project Reference'!$B$2:$H$41,7), " ")</f>
        <v xml:space="preserve"> </v>
      </c>
      <c r="Q209" s="8" t="str">
        <f>IFERROR(VLOOKUP($A209,'Project Reference'!$B$2:$I$41,8), " ")</f>
        <v xml:space="preserve"> </v>
      </c>
      <c r="R209" s="8" t="str">
        <f>IFERROR(VLOOKUP($A209,'Project Reference'!$B$2:$J$41,9), " ")</f>
        <v xml:space="preserve"> </v>
      </c>
      <c r="S209" s="8" t="str">
        <f>IFERROR(VLOOKUP($A209,'Project Reference'!$B$2:$K$41,10), " ")</f>
        <v xml:space="preserve"> </v>
      </c>
      <c r="T209" s="8" t="str">
        <f>IFERROR(VLOOKUP($A209,'Project Reference'!$B$2:$L$41,11), " ")</f>
        <v xml:space="preserve"> </v>
      </c>
      <c r="U209" s="8" t="str">
        <f>IFERROR(VLOOKUP($A209,'Project Reference'!$B$2:$M$41,12), " ")</f>
        <v xml:space="preserve"> </v>
      </c>
      <c r="V209" s="8" t="str">
        <f>IFERROR(VLOOKUP($A209,'Project Reference'!$B$2:$N$41,13), " ")</f>
        <v xml:space="preserve"> </v>
      </c>
      <c r="W209" s="8" t="str">
        <f>IFERROR(VLOOKUP($A209,'Project Reference'!$B$2:$O$41,14), " ")</f>
        <v xml:space="preserve"> </v>
      </c>
      <c r="X209" s="8" t="str">
        <f>IFERROR(VLOOKUP($A209,'Project Reference'!$B$2:$P$41,15), " ")</f>
        <v xml:space="preserve"> </v>
      </c>
      <c r="Y209" s="9" t="str">
        <f>IFERROR(VLOOKUP($A209,'Project Reference'!$B$2:$Q$41,16), " ")</f>
        <v xml:space="preserve"> </v>
      </c>
      <c r="Z209" s="22"/>
    </row>
    <row r="210" spans="1:26" s="1" customFormat="1" x14ac:dyDescent="0.45">
      <c r="A210" s="70"/>
      <c r="B210" s="53" t="str">
        <f>IFERROR(VLOOKUP($A210,'Project Reference'!$S$2:$T$41,2),"Enter Project Number")</f>
        <v>Enter Project Number</v>
      </c>
      <c r="C210" s="54"/>
      <c r="D210" s="8"/>
      <c r="E210" s="8"/>
      <c r="F210" s="8"/>
      <c r="G210" s="8"/>
      <c r="H210" s="47"/>
      <c r="I210" s="9"/>
      <c r="J210" s="23"/>
      <c r="K210" s="47" t="str">
        <f>IFERROR(VLOOKUP($A210,'Project Reference'!$B$2:$C$41,2), " ")</f>
        <v xml:space="preserve"> </v>
      </c>
      <c r="L210" s="8" t="str">
        <f>IFERROR(VLOOKUP($A210,'Project Reference'!$B$2:$D$41,3), " ")</f>
        <v xml:space="preserve"> </v>
      </c>
      <c r="M210" s="54" t="str">
        <f>IFERROR(VLOOKUP($A210,'Project Reference'!$B$2:$E$41,4), " ")</f>
        <v xml:space="preserve"> </v>
      </c>
      <c r="N210" s="8" t="str">
        <f>IFERROR(VLOOKUP($A210,'Project Reference'!$B$2:$F$41,5), " ")</f>
        <v xml:space="preserve"> </v>
      </c>
      <c r="O210" s="8" t="str">
        <f>IFERROR(VLOOKUP($A210,'Project Reference'!$B$2:$G$41,6), " ")</f>
        <v xml:space="preserve"> </v>
      </c>
      <c r="P210" s="8" t="str">
        <f>IFERROR(VLOOKUP($A210,'Project Reference'!$B$2:$H$41,7), " ")</f>
        <v xml:space="preserve"> </v>
      </c>
      <c r="Q210" s="8" t="str">
        <f>IFERROR(VLOOKUP($A210,'Project Reference'!$B$2:$I$41,8), " ")</f>
        <v xml:space="preserve"> </v>
      </c>
      <c r="R210" s="8" t="str">
        <f>IFERROR(VLOOKUP($A210,'Project Reference'!$B$2:$J$41,9), " ")</f>
        <v xml:space="preserve"> </v>
      </c>
      <c r="S210" s="8" t="str">
        <f>IFERROR(VLOOKUP($A210,'Project Reference'!$B$2:$K$41,10), " ")</f>
        <v xml:space="preserve"> </v>
      </c>
      <c r="T210" s="8" t="str">
        <f>IFERROR(VLOOKUP($A210,'Project Reference'!$B$2:$L$41,11), " ")</f>
        <v xml:space="preserve"> </v>
      </c>
      <c r="U210" s="8" t="str">
        <f>IFERROR(VLOOKUP($A210,'Project Reference'!$B$2:$M$41,12), " ")</f>
        <v xml:space="preserve"> </v>
      </c>
      <c r="V210" s="8" t="str">
        <f>IFERROR(VLOOKUP($A210,'Project Reference'!$B$2:$N$41,13), " ")</f>
        <v xml:space="preserve"> </v>
      </c>
      <c r="W210" s="8" t="str">
        <f>IFERROR(VLOOKUP($A210,'Project Reference'!$B$2:$O$41,14), " ")</f>
        <v xml:space="preserve"> </v>
      </c>
      <c r="X210" s="8" t="str">
        <f>IFERROR(VLOOKUP($A210,'Project Reference'!$B$2:$P$41,15), " ")</f>
        <v xml:space="preserve"> </v>
      </c>
      <c r="Y210" s="9" t="str">
        <f>IFERROR(VLOOKUP($A210,'Project Reference'!$B$2:$Q$41,16), " ")</f>
        <v xml:space="preserve"> </v>
      </c>
      <c r="Z210" s="22"/>
    </row>
    <row r="211" spans="1:26" s="1" customFormat="1" x14ac:dyDescent="0.45">
      <c r="A211" s="70"/>
      <c r="B211" s="53" t="str">
        <f>IFERROR(VLOOKUP($A211,'Project Reference'!$S$2:$T$41,2),"Enter Project Number")</f>
        <v>Enter Project Number</v>
      </c>
      <c r="C211" s="54"/>
      <c r="D211" s="8"/>
      <c r="E211" s="8"/>
      <c r="F211" s="8"/>
      <c r="G211" s="8"/>
      <c r="H211" s="47"/>
      <c r="I211" s="9"/>
      <c r="J211" s="23"/>
      <c r="K211" s="47" t="str">
        <f>IFERROR(VLOOKUP($A211,'Project Reference'!$B$2:$C$41,2), " ")</f>
        <v xml:space="preserve"> </v>
      </c>
      <c r="L211" s="8" t="str">
        <f>IFERROR(VLOOKUP($A211,'Project Reference'!$B$2:$D$41,3), " ")</f>
        <v xml:space="preserve"> </v>
      </c>
      <c r="M211" s="54" t="str">
        <f>IFERROR(VLOOKUP($A211,'Project Reference'!$B$2:$E$41,4), " ")</f>
        <v xml:space="preserve"> </v>
      </c>
      <c r="N211" s="8" t="str">
        <f>IFERROR(VLOOKUP($A211,'Project Reference'!$B$2:$F$41,5), " ")</f>
        <v xml:space="preserve"> </v>
      </c>
      <c r="O211" s="8" t="str">
        <f>IFERROR(VLOOKUP($A211,'Project Reference'!$B$2:$G$41,6), " ")</f>
        <v xml:space="preserve"> </v>
      </c>
      <c r="P211" s="8" t="str">
        <f>IFERROR(VLOOKUP($A211,'Project Reference'!$B$2:$H$41,7), " ")</f>
        <v xml:space="preserve"> </v>
      </c>
      <c r="Q211" s="8" t="str">
        <f>IFERROR(VLOOKUP($A211,'Project Reference'!$B$2:$I$41,8), " ")</f>
        <v xml:space="preserve"> </v>
      </c>
      <c r="R211" s="8" t="str">
        <f>IFERROR(VLOOKUP($A211,'Project Reference'!$B$2:$J$41,9), " ")</f>
        <v xml:space="preserve"> </v>
      </c>
      <c r="S211" s="8" t="str">
        <f>IFERROR(VLOOKUP($A211,'Project Reference'!$B$2:$K$41,10), " ")</f>
        <v xml:space="preserve"> </v>
      </c>
      <c r="T211" s="8" t="str">
        <f>IFERROR(VLOOKUP($A211,'Project Reference'!$B$2:$L$41,11), " ")</f>
        <v xml:space="preserve"> </v>
      </c>
      <c r="U211" s="8" t="str">
        <f>IFERROR(VLOOKUP($A211,'Project Reference'!$B$2:$M$41,12), " ")</f>
        <v xml:space="preserve"> </v>
      </c>
      <c r="V211" s="8" t="str">
        <f>IFERROR(VLOOKUP($A211,'Project Reference'!$B$2:$N$41,13), " ")</f>
        <v xml:space="preserve"> </v>
      </c>
      <c r="W211" s="8" t="str">
        <f>IFERROR(VLOOKUP($A211,'Project Reference'!$B$2:$O$41,14), " ")</f>
        <v xml:space="preserve"> </v>
      </c>
      <c r="X211" s="8" t="str">
        <f>IFERROR(VLOOKUP($A211,'Project Reference'!$B$2:$P$41,15), " ")</f>
        <v xml:space="preserve"> </v>
      </c>
      <c r="Y211" s="9" t="str">
        <f>IFERROR(VLOOKUP($A211,'Project Reference'!$B$2:$Q$41,16), " ")</f>
        <v xml:space="preserve"> </v>
      </c>
      <c r="Z211" s="22"/>
    </row>
    <row r="212" spans="1:26" s="1" customFormat="1" x14ac:dyDescent="0.45">
      <c r="A212" s="70"/>
      <c r="B212" s="53" t="str">
        <f>IFERROR(VLOOKUP($A212,'Project Reference'!$S$2:$T$41,2),"Enter Project Number")</f>
        <v>Enter Project Number</v>
      </c>
      <c r="C212" s="54"/>
      <c r="D212" s="8"/>
      <c r="E212" s="8"/>
      <c r="F212" s="8"/>
      <c r="G212" s="8"/>
      <c r="H212" s="47"/>
      <c r="I212" s="9"/>
      <c r="J212" s="23"/>
      <c r="K212" s="47" t="str">
        <f>IFERROR(VLOOKUP($A212,'Project Reference'!$B$2:$C$41,2), " ")</f>
        <v xml:space="preserve"> </v>
      </c>
      <c r="L212" s="8" t="str">
        <f>IFERROR(VLOOKUP($A212,'Project Reference'!$B$2:$D$41,3), " ")</f>
        <v xml:space="preserve"> </v>
      </c>
      <c r="M212" s="54" t="str">
        <f>IFERROR(VLOOKUP($A212,'Project Reference'!$B$2:$E$41,4), " ")</f>
        <v xml:space="preserve"> </v>
      </c>
      <c r="N212" s="8" t="str">
        <f>IFERROR(VLOOKUP($A212,'Project Reference'!$B$2:$F$41,5), " ")</f>
        <v xml:space="preserve"> </v>
      </c>
      <c r="O212" s="8" t="str">
        <f>IFERROR(VLOOKUP($A212,'Project Reference'!$B$2:$G$41,6), " ")</f>
        <v xml:space="preserve"> </v>
      </c>
      <c r="P212" s="8" t="str">
        <f>IFERROR(VLOOKUP($A212,'Project Reference'!$B$2:$H$41,7), " ")</f>
        <v xml:space="preserve"> </v>
      </c>
      <c r="Q212" s="8" t="str">
        <f>IFERROR(VLOOKUP($A212,'Project Reference'!$B$2:$I$41,8), " ")</f>
        <v xml:space="preserve"> </v>
      </c>
      <c r="R212" s="8" t="str">
        <f>IFERROR(VLOOKUP($A212,'Project Reference'!$B$2:$J$41,9), " ")</f>
        <v xml:space="preserve"> </v>
      </c>
      <c r="S212" s="8" t="str">
        <f>IFERROR(VLOOKUP($A212,'Project Reference'!$B$2:$K$41,10), " ")</f>
        <v xml:space="preserve"> </v>
      </c>
      <c r="T212" s="8" t="str">
        <f>IFERROR(VLOOKUP($A212,'Project Reference'!$B$2:$L$41,11), " ")</f>
        <v xml:space="preserve"> </v>
      </c>
      <c r="U212" s="8" t="str">
        <f>IFERROR(VLOOKUP($A212,'Project Reference'!$B$2:$M$41,12), " ")</f>
        <v xml:space="preserve"> </v>
      </c>
      <c r="V212" s="8" t="str">
        <f>IFERROR(VLOOKUP($A212,'Project Reference'!$B$2:$N$41,13), " ")</f>
        <v xml:space="preserve"> </v>
      </c>
      <c r="W212" s="8" t="str">
        <f>IFERROR(VLOOKUP($A212,'Project Reference'!$B$2:$O$41,14), " ")</f>
        <v xml:space="preserve"> </v>
      </c>
      <c r="X212" s="8" t="str">
        <f>IFERROR(VLOOKUP($A212,'Project Reference'!$B$2:$P$41,15), " ")</f>
        <v xml:space="preserve"> </v>
      </c>
      <c r="Y212" s="9" t="str">
        <f>IFERROR(VLOOKUP($A212,'Project Reference'!$B$2:$Q$41,16), " ")</f>
        <v xml:space="preserve"> </v>
      </c>
      <c r="Z212" s="22"/>
    </row>
    <row r="213" spans="1:26" s="1" customFormat="1" x14ac:dyDescent="0.45">
      <c r="A213" s="70"/>
      <c r="B213" s="53" t="str">
        <f>IFERROR(VLOOKUP($A213,'Project Reference'!$S$2:$T$41,2),"Enter Project Number")</f>
        <v>Enter Project Number</v>
      </c>
      <c r="C213" s="54"/>
      <c r="D213" s="8"/>
      <c r="E213" s="8"/>
      <c r="F213" s="8"/>
      <c r="G213" s="8"/>
      <c r="H213" s="47"/>
      <c r="I213" s="9"/>
      <c r="J213" s="23"/>
      <c r="K213" s="47" t="str">
        <f>IFERROR(VLOOKUP($A213,'Project Reference'!$B$2:$C$41,2), " ")</f>
        <v xml:space="preserve"> </v>
      </c>
      <c r="L213" s="8" t="str">
        <f>IFERROR(VLOOKUP($A213,'Project Reference'!$B$2:$D$41,3), " ")</f>
        <v xml:space="preserve"> </v>
      </c>
      <c r="M213" s="54" t="str">
        <f>IFERROR(VLOOKUP($A213,'Project Reference'!$B$2:$E$41,4), " ")</f>
        <v xml:space="preserve"> </v>
      </c>
      <c r="N213" s="8" t="str">
        <f>IFERROR(VLOOKUP($A213,'Project Reference'!$B$2:$F$41,5), " ")</f>
        <v xml:space="preserve"> </v>
      </c>
      <c r="O213" s="8" t="str">
        <f>IFERROR(VLOOKUP($A213,'Project Reference'!$B$2:$G$41,6), " ")</f>
        <v xml:space="preserve"> </v>
      </c>
      <c r="P213" s="8" t="str">
        <f>IFERROR(VLOOKUP($A213,'Project Reference'!$B$2:$H$41,7), " ")</f>
        <v xml:space="preserve"> </v>
      </c>
      <c r="Q213" s="8" t="str">
        <f>IFERROR(VLOOKUP($A213,'Project Reference'!$B$2:$I$41,8), " ")</f>
        <v xml:space="preserve"> </v>
      </c>
      <c r="R213" s="8" t="str">
        <f>IFERROR(VLOOKUP($A213,'Project Reference'!$B$2:$J$41,9), " ")</f>
        <v xml:space="preserve"> </v>
      </c>
      <c r="S213" s="8" t="str">
        <f>IFERROR(VLOOKUP($A213,'Project Reference'!$B$2:$K$41,10), " ")</f>
        <v xml:space="preserve"> </v>
      </c>
      <c r="T213" s="8" t="str">
        <f>IFERROR(VLOOKUP($A213,'Project Reference'!$B$2:$L$41,11), " ")</f>
        <v xml:space="preserve"> </v>
      </c>
      <c r="U213" s="8" t="str">
        <f>IFERROR(VLOOKUP($A213,'Project Reference'!$B$2:$M$41,12), " ")</f>
        <v xml:space="preserve"> </v>
      </c>
      <c r="V213" s="8" t="str">
        <f>IFERROR(VLOOKUP($A213,'Project Reference'!$B$2:$N$41,13), " ")</f>
        <v xml:space="preserve"> </v>
      </c>
      <c r="W213" s="8" t="str">
        <f>IFERROR(VLOOKUP($A213,'Project Reference'!$B$2:$O$41,14), " ")</f>
        <v xml:space="preserve"> </v>
      </c>
      <c r="X213" s="8" t="str">
        <f>IFERROR(VLOOKUP($A213,'Project Reference'!$B$2:$P$41,15), " ")</f>
        <v xml:space="preserve"> </v>
      </c>
      <c r="Y213" s="9" t="str">
        <f>IFERROR(VLOOKUP($A213,'Project Reference'!$B$2:$Q$41,16), " ")</f>
        <v xml:space="preserve"> </v>
      </c>
      <c r="Z213" s="22"/>
    </row>
    <row r="214" spans="1:26" s="1" customFormat="1" x14ac:dyDescent="0.45">
      <c r="A214" s="70"/>
      <c r="B214" s="53" t="str">
        <f>IFERROR(VLOOKUP($A214,'Project Reference'!$S$2:$T$41,2),"Enter Project Number")</f>
        <v>Enter Project Number</v>
      </c>
      <c r="C214" s="54"/>
      <c r="D214" s="8"/>
      <c r="E214" s="8"/>
      <c r="F214" s="8"/>
      <c r="G214" s="8"/>
      <c r="H214" s="47"/>
      <c r="I214" s="9"/>
      <c r="J214" s="23"/>
      <c r="K214" s="47" t="str">
        <f>IFERROR(VLOOKUP($A214,'Project Reference'!$B$2:$C$41,2), " ")</f>
        <v xml:space="preserve"> </v>
      </c>
      <c r="L214" s="8" t="str">
        <f>IFERROR(VLOOKUP($A214,'Project Reference'!$B$2:$D$41,3), " ")</f>
        <v xml:space="preserve"> </v>
      </c>
      <c r="M214" s="54" t="str">
        <f>IFERROR(VLOOKUP($A214,'Project Reference'!$B$2:$E$41,4), " ")</f>
        <v xml:space="preserve"> </v>
      </c>
      <c r="N214" s="8" t="str">
        <f>IFERROR(VLOOKUP($A214,'Project Reference'!$B$2:$F$41,5), " ")</f>
        <v xml:space="preserve"> </v>
      </c>
      <c r="O214" s="8" t="str">
        <f>IFERROR(VLOOKUP($A214,'Project Reference'!$B$2:$G$41,6), " ")</f>
        <v xml:space="preserve"> </v>
      </c>
      <c r="P214" s="8" t="str">
        <f>IFERROR(VLOOKUP($A214,'Project Reference'!$B$2:$H$41,7), " ")</f>
        <v xml:space="preserve"> </v>
      </c>
      <c r="Q214" s="8" t="str">
        <f>IFERROR(VLOOKUP($A214,'Project Reference'!$B$2:$I$41,8), " ")</f>
        <v xml:space="preserve"> </v>
      </c>
      <c r="R214" s="8" t="str">
        <f>IFERROR(VLOOKUP($A214,'Project Reference'!$B$2:$J$41,9), " ")</f>
        <v xml:space="preserve"> </v>
      </c>
      <c r="S214" s="8" t="str">
        <f>IFERROR(VLOOKUP($A214,'Project Reference'!$B$2:$K$41,10), " ")</f>
        <v xml:space="preserve"> </v>
      </c>
      <c r="T214" s="8" t="str">
        <f>IFERROR(VLOOKUP($A214,'Project Reference'!$B$2:$L$41,11), " ")</f>
        <v xml:space="preserve"> </v>
      </c>
      <c r="U214" s="8" t="str">
        <f>IFERROR(VLOOKUP($A214,'Project Reference'!$B$2:$M$41,12), " ")</f>
        <v xml:space="preserve"> </v>
      </c>
      <c r="V214" s="8" t="str">
        <f>IFERROR(VLOOKUP($A214,'Project Reference'!$B$2:$N$41,13), " ")</f>
        <v xml:space="preserve"> </v>
      </c>
      <c r="W214" s="8" t="str">
        <f>IFERROR(VLOOKUP($A214,'Project Reference'!$B$2:$O$41,14), " ")</f>
        <v xml:space="preserve"> </v>
      </c>
      <c r="X214" s="8" t="str">
        <f>IFERROR(VLOOKUP($A214,'Project Reference'!$B$2:$P$41,15), " ")</f>
        <v xml:space="preserve"> </v>
      </c>
      <c r="Y214" s="9" t="str">
        <f>IFERROR(VLOOKUP($A214,'Project Reference'!$B$2:$Q$41,16), " ")</f>
        <v xml:space="preserve"> </v>
      </c>
      <c r="Z214" s="22"/>
    </row>
    <row r="215" spans="1:26" s="1" customFormat="1" x14ac:dyDescent="0.45">
      <c r="A215" s="70"/>
      <c r="B215" s="53" t="str">
        <f>IFERROR(VLOOKUP($A215,'Project Reference'!$S$2:$T$41,2),"Enter Project Number")</f>
        <v>Enter Project Number</v>
      </c>
      <c r="C215" s="54"/>
      <c r="D215" s="8"/>
      <c r="E215" s="8"/>
      <c r="F215" s="8"/>
      <c r="G215" s="8"/>
      <c r="H215" s="47"/>
      <c r="I215" s="9"/>
      <c r="J215" s="23"/>
      <c r="K215" s="47" t="str">
        <f>IFERROR(VLOOKUP($A215,'Project Reference'!$B$2:$C$41,2), " ")</f>
        <v xml:space="preserve"> </v>
      </c>
      <c r="L215" s="8" t="str">
        <f>IFERROR(VLOOKUP($A215,'Project Reference'!$B$2:$D$41,3), " ")</f>
        <v xml:space="preserve"> </v>
      </c>
      <c r="M215" s="54" t="str">
        <f>IFERROR(VLOOKUP($A215,'Project Reference'!$B$2:$E$41,4), " ")</f>
        <v xml:space="preserve"> </v>
      </c>
      <c r="N215" s="8" t="str">
        <f>IFERROR(VLOOKUP($A215,'Project Reference'!$B$2:$F$41,5), " ")</f>
        <v xml:space="preserve"> </v>
      </c>
      <c r="O215" s="8" t="str">
        <f>IFERROR(VLOOKUP($A215,'Project Reference'!$B$2:$G$41,6), " ")</f>
        <v xml:space="preserve"> </v>
      </c>
      <c r="P215" s="8" t="str">
        <f>IFERROR(VLOOKUP($A215,'Project Reference'!$B$2:$H$41,7), " ")</f>
        <v xml:space="preserve"> </v>
      </c>
      <c r="Q215" s="8" t="str">
        <f>IFERROR(VLOOKUP($A215,'Project Reference'!$B$2:$I$41,8), " ")</f>
        <v xml:space="preserve"> </v>
      </c>
      <c r="R215" s="8" t="str">
        <f>IFERROR(VLOOKUP($A215,'Project Reference'!$B$2:$J$41,9), " ")</f>
        <v xml:space="preserve"> </v>
      </c>
      <c r="S215" s="8" t="str">
        <f>IFERROR(VLOOKUP($A215,'Project Reference'!$B$2:$K$41,10), " ")</f>
        <v xml:space="preserve"> </v>
      </c>
      <c r="T215" s="8" t="str">
        <f>IFERROR(VLOOKUP($A215,'Project Reference'!$B$2:$L$41,11), " ")</f>
        <v xml:space="preserve"> </v>
      </c>
      <c r="U215" s="8" t="str">
        <f>IFERROR(VLOOKUP($A215,'Project Reference'!$B$2:$M$41,12), " ")</f>
        <v xml:space="preserve"> </v>
      </c>
      <c r="V215" s="8" t="str">
        <f>IFERROR(VLOOKUP($A215,'Project Reference'!$B$2:$N$41,13), " ")</f>
        <v xml:space="preserve"> </v>
      </c>
      <c r="W215" s="8" t="str">
        <f>IFERROR(VLOOKUP($A215,'Project Reference'!$B$2:$O$41,14), " ")</f>
        <v xml:space="preserve"> </v>
      </c>
      <c r="X215" s="8" t="str">
        <f>IFERROR(VLOOKUP($A215,'Project Reference'!$B$2:$P$41,15), " ")</f>
        <v xml:space="preserve"> </v>
      </c>
      <c r="Y215" s="9" t="str">
        <f>IFERROR(VLOOKUP($A215,'Project Reference'!$B$2:$Q$41,16), " ")</f>
        <v xml:space="preserve"> </v>
      </c>
      <c r="Z215" s="22"/>
    </row>
    <row r="216" spans="1:26" s="1" customFormat="1" x14ac:dyDescent="0.45">
      <c r="A216" s="70"/>
      <c r="B216" s="53" t="str">
        <f>IFERROR(VLOOKUP($A216,'Project Reference'!$S$2:$T$41,2),"Enter Project Number")</f>
        <v>Enter Project Number</v>
      </c>
      <c r="C216" s="54"/>
      <c r="D216" s="8"/>
      <c r="E216" s="8"/>
      <c r="F216" s="8"/>
      <c r="G216" s="8"/>
      <c r="H216" s="47"/>
      <c r="I216" s="9"/>
      <c r="J216" s="23"/>
      <c r="K216" s="47" t="str">
        <f>IFERROR(VLOOKUP($A216,'Project Reference'!$B$2:$C$41,2), " ")</f>
        <v xml:space="preserve"> </v>
      </c>
      <c r="L216" s="8" t="str">
        <f>IFERROR(VLOOKUP($A216,'Project Reference'!$B$2:$D$41,3), " ")</f>
        <v xml:space="preserve"> </v>
      </c>
      <c r="M216" s="54" t="str">
        <f>IFERROR(VLOOKUP($A216,'Project Reference'!$B$2:$E$41,4), " ")</f>
        <v xml:space="preserve"> </v>
      </c>
      <c r="N216" s="8" t="str">
        <f>IFERROR(VLOOKUP($A216,'Project Reference'!$B$2:$F$41,5), " ")</f>
        <v xml:space="preserve"> </v>
      </c>
      <c r="O216" s="8" t="str">
        <f>IFERROR(VLOOKUP($A216,'Project Reference'!$B$2:$G$41,6), " ")</f>
        <v xml:space="preserve"> </v>
      </c>
      <c r="P216" s="8" t="str">
        <f>IFERROR(VLOOKUP($A216,'Project Reference'!$B$2:$H$41,7), " ")</f>
        <v xml:space="preserve"> </v>
      </c>
      <c r="Q216" s="8" t="str">
        <f>IFERROR(VLOOKUP($A216,'Project Reference'!$B$2:$I$41,8), " ")</f>
        <v xml:space="preserve"> </v>
      </c>
      <c r="R216" s="8" t="str">
        <f>IFERROR(VLOOKUP($A216,'Project Reference'!$B$2:$J$41,9), " ")</f>
        <v xml:space="preserve"> </v>
      </c>
      <c r="S216" s="8" t="str">
        <f>IFERROR(VLOOKUP($A216,'Project Reference'!$B$2:$K$41,10), " ")</f>
        <v xml:space="preserve"> </v>
      </c>
      <c r="T216" s="8" t="str">
        <f>IFERROR(VLOOKUP($A216,'Project Reference'!$B$2:$L$41,11), " ")</f>
        <v xml:space="preserve"> </v>
      </c>
      <c r="U216" s="8" t="str">
        <f>IFERROR(VLOOKUP($A216,'Project Reference'!$B$2:$M$41,12), " ")</f>
        <v xml:space="preserve"> </v>
      </c>
      <c r="V216" s="8" t="str">
        <f>IFERROR(VLOOKUP($A216,'Project Reference'!$B$2:$N$41,13), " ")</f>
        <v xml:space="preserve"> </v>
      </c>
      <c r="W216" s="8" t="str">
        <f>IFERROR(VLOOKUP($A216,'Project Reference'!$B$2:$O$41,14), " ")</f>
        <v xml:space="preserve"> </v>
      </c>
      <c r="X216" s="8" t="str">
        <f>IFERROR(VLOOKUP($A216,'Project Reference'!$B$2:$P$41,15), " ")</f>
        <v xml:space="preserve"> </v>
      </c>
      <c r="Y216" s="9" t="str">
        <f>IFERROR(VLOOKUP($A216,'Project Reference'!$B$2:$Q$41,16), " ")</f>
        <v xml:space="preserve"> </v>
      </c>
      <c r="Z216" s="22"/>
    </row>
    <row r="217" spans="1:26" s="1" customFormat="1" x14ac:dyDescent="0.45">
      <c r="A217" s="70"/>
      <c r="B217" s="53" t="str">
        <f>IFERROR(VLOOKUP($A217,'Project Reference'!$S$2:$T$41,2),"Enter Project Number")</f>
        <v>Enter Project Number</v>
      </c>
      <c r="C217" s="54"/>
      <c r="D217" s="8"/>
      <c r="E217" s="8"/>
      <c r="F217" s="8"/>
      <c r="G217" s="8"/>
      <c r="H217" s="47"/>
      <c r="I217" s="9"/>
      <c r="J217" s="23"/>
      <c r="K217" s="47" t="str">
        <f>IFERROR(VLOOKUP($A217,'Project Reference'!$B$2:$C$41,2), " ")</f>
        <v xml:space="preserve"> </v>
      </c>
      <c r="L217" s="8" t="str">
        <f>IFERROR(VLOOKUP($A217,'Project Reference'!$B$2:$D$41,3), " ")</f>
        <v xml:space="preserve"> </v>
      </c>
      <c r="M217" s="54" t="str">
        <f>IFERROR(VLOOKUP($A217,'Project Reference'!$B$2:$E$41,4), " ")</f>
        <v xml:space="preserve"> </v>
      </c>
      <c r="N217" s="8" t="str">
        <f>IFERROR(VLOOKUP($A217,'Project Reference'!$B$2:$F$41,5), " ")</f>
        <v xml:space="preserve"> </v>
      </c>
      <c r="O217" s="8" t="str">
        <f>IFERROR(VLOOKUP($A217,'Project Reference'!$B$2:$G$41,6), " ")</f>
        <v xml:space="preserve"> </v>
      </c>
      <c r="P217" s="8" t="str">
        <f>IFERROR(VLOOKUP($A217,'Project Reference'!$B$2:$H$41,7), " ")</f>
        <v xml:space="preserve"> </v>
      </c>
      <c r="Q217" s="8" t="str">
        <f>IFERROR(VLOOKUP($A217,'Project Reference'!$B$2:$I$41,8), " ")</f>
        <v xml:space="preserve"> </v>
      </c>
      <c r="R217" s="8" t="str">
        <f>IFERROR(VLOOKUP($A217,'Project Reference'!$B$2:$J$41,9), " ")</f>
        <v xml:space="preserve"> </v>
      </c>
      <c r="S217" s="8" t="str">
        <f>IFERROR(VLOOKUP($A217,'Project Reference'!$B$2:$K$41,10), " ")</f>
        <v xml:space="preserve"> </v>
      </c>
      <c r="T217" s="8" t="str">
        <f>IFERROR(VLOOKUP($A217,'Project Reference'!$B$2:$L$41,11), " ")</f>
        <v xml:space="preserve"> </v>
      </c>
      <c r="U217" s="8" t="str">
        <f>IFERROR(VLOOKUP($A217,'Project Reference'!$B$2:$M$41,12), " ")</f>
        <v xml:space="preserve"> </v>
      </c>
      <c r="V217" s="8" t="str">
        <f>IFERROR(VLOOKUP($A217,'Project Reference'!$B$2:$N$41,13), " ")</f>
        <v xml:space="preserve"> </v>
      </c>
      <c r="W217" s="8" t="str">
        <f>IFERROR(VLOOKUP($A217,'Project Reference'!$B$2:$O$41,14), " ")</f>
        <v xml:space="preserve"> </v>
      </c>
      <c r="X217" s="8" t="str">
        <f>IFERROR(VLOOKUP($A217,'Project Reference'!$B$2:$P$41,15), " ")</f>
        <v xml:space="preserve"> </v>
      </c>
      <c r="Y217" s="9" t="str">
        <f>IFERROR(VLOOKUP($A217,'Project Reference'!$B$2:$Q$41,16), " ")</f>
        <v xml:space="preserve"> </v>
      </c>
      <c r="Z217" s="22"/>
    </row>
    <row r="218" spans="1:26" s="1" customFormat="1" x14ac:dyDescent="0.45">
      <c r="A218" s="70"/>
      <c r="B218" s="53" t="str">
        <f>IFERROR(VLOOKUP($A218,'Project Reference'!$S$2:$T$41,2),"Enter Project Number")</f>
        <v>Enter Project Number</v>
      </c>
      <c r="C218" s="54"/>
      <c r="D218" s="8"/>
      <c r="E218" s="8"/>
      <c r="F218" s="8"/>
      <c r="G218" s="8"/>
      <c r="H218" s="47"/>
      <c r="I218" s="9"/>
      <c r="J218" s="23"/>
      <c r="K218" s="47" t="str">
        <f>IFERROR(VLOOKUP($A218,'Project Reference'!$B$2:$C$41,2), " ")</f>
        <v xml:space="preserve"> </v>
      </c>
      <c r="L218" s="8" t="str">
        <f>IFERROR(VLOOKUP($A218,'Project Reference'!$B$2:$D$41,3), " ")</f>
        <v xml:space="preserve"> </v>
      </c>
      <c r="M218" s="54" t="str">
        <f>IFERROR(VLOOKUP($A218,'Project Reference'!$B$2:$E$41,4), " ")</f>
        <v xml:space="preserve"> </v>
      </c>
      <c r="N218" s="8" t="str">
        <f>IFERROR(VLOOKUP($A218,'Project Reference'!$B$2:$F$41,5), " ")</f>
        <v xml:space="preserve"> </v>
      </c>
      <c r="O218" s="8" t="str">
        <f>IFERROR(VLOOKUP($A218,'Project Reference'!$B$2:$G$41,6), " ")</f>
        <v xml:space="preserve"> </v>
      </c>
      <c r="P218" s="8" t="str">
        <f>IFERROR(VLOOKUP($A218,'Project Reference'!$B$2:$H$41,7), " ")</f>
        <v xml:space="preserve"> </v>
      </c>
      <c r="Q218" s="8" t="str">
        <f>IFERROR(VLOOKUP($A218,'Project Reference'!$B$2:$I$41,8), " ")</f>
        <v xml:space="preserve"> </v>
      </c>
      <c r="R218" s="8" t="str">
        <f>IFERROR(VLOOKUP($A218,'Project Reference'!$B$2:$J$41,9), " ")</f>
        <v xml:space="preserve"> </v>
      </c>
      <c r="S218" s="8" t="str">
        <f>IFERROR(VLOOKUP($A218,'Project Reference'!$B$2:$K$41,10), " ")</f>
        <v xml:space="preserve"> </v>
      </c>
      <c r="T218" s="8" t="str">
        <f>IFERROR(VLOOKUP($A218,'Project Reference'!$B$2:$L$41,11), " ")</f>
        <v xml:space="preserve"> </v>
      </c>
      <c r="U218" s="8" t="str">
        <f>IFERROR(VLOOKUP($A218,'Project Reference'!$B$2:$M$41,12), " ")</f>
        <v xml:space="preserve"> </v>
      </c>
      <c r="V218" s="8" t="str">
        <f>IFERROR(VLOOKUP($A218,'Project Reference'!$B$2:$N$41,13), " ")</f>
        <v xml:space="preserve"> </v>
      </c>
      <c r="W218" s="8" t="str">
        <f>IFERROR(VLOOKUP($A218,'Project Reference'!$B$2:$O$41,14), " ")</f>
        <v xml:space="preserve"> </v>
      </c>
      <c r="X218" s="8" t="str">
        <f>IFERROR(VLOOKUP($A218,'Project Reference'!$B$2:$P$41,15), " ")</f>
        <v xml:space="preserve"> </v>
      </c>
      <c r="Y218" s="9" t="str">
        <f>IFERROR(VLOOKUP($A218,'Project Reference'!$B$2:$Q$41,16), " ")</f>
        <v xml:space="preserve"> </v>
      </c>
      <c r="Z218" s="22"/>
    </row>
    <row r="219" spans="1:26" s="1" customFormat="1" x14ac:dyDescent="0.45">
      <c r="A219" s="70"/>
      <c r="B219" s="53" t="str">
        <f>IFERROR(VLOOKUP($A219,'Project Reference'!$S$2:$T$41,2),"Enter Project Number")</f>
        <v>Enter Project Number</v>
      </c>
      <c r="C219" s="54"/>
      <c r="D219" s="8"/>
      <c r="E219" s="8"/>
      <c r="F219" s="8"/>
      <c r="G219" s="8"/>
      <c r="H219" s="47"/>
      <c r="I219" s="9"/>
      <c r="J219" s="23"/>
      <c r="K219" s="47" t="str">
        <f>IFERROR(VLOOKUP($A219,'Project Reference'!$B$2:$C$41,2), " ")</f>
        <v xml:space="preserve"> </v>
      </c>
      <c r="L219" s="8" t="str">
        <f>IFERROR(VLOOKUP($A219,'Project Reference'!$B$2:$D$41,3), " ")</f>
        <v xml:space="preserve"> </v>
      </c>
      <c r="M219" s="54" t="str">
        <f>IFERROR(VLOOKUP($A219,'Project Reference'!$B$2:$E$41,4), " ")</f>
        <v xml:space="preserve"> </v>
      </c>
      <c r="N219" s="8" t="str">
        <f>IFERROR(VLOOKUP($A219,'Project Reference'!$B$2:$F$41,5), " ")</f>
        <v xml:space="preserve"> </v>
      </c>
      <c r="O219" s="8" t="str">
        <f>IFERROR(VLOOKUP($A219,'Project Reference'!$B$2:$G$41,6), " ")</f>
        <v xml:space="preserve"> </v>
      </c>
      <c r="P219" s="8" t="str">
        <f>IFERROR(VLOOKUP($A219,'Project Reference'!$B$2:$H$41,7), " ")</f>
        <v xml:space="preserve"> </v>
      </c>
      <c r="Q219" s="8" t="str">
        <f>IFERROR(VLOOKUP($A219,'Project Reference'!$B$2:$I$41,8), " ")</f>
        <v xml:space="preserve"> </v>
      </c>
      <c r="R219" s="8" t="str">
        <f>IFERROR(VLOOKUP($A219,'Project Reference'!$B$2:$J$41,9), " ")</f>
        <v xml:space="preserve"> </v>
      </c>
      <c r="S219" s="8" t="str">
        <f>IFERROR(VLOOKUP($A219,'Project Reference'!$B$2:$K$41,10), " ")</f>
        <v xml:space="preserve"> </v>
      </c>
      <c r="T219" s="8" t="str">
        <f>IFERROR(VLOOKUP($A219,'Project Reference'!$B$2:$L$41,11), " ")</f>
        <v xml:space="preserve"> </v>
      </c>
      <c r="U219" s="8" t="str">
        <f>IFERROR(VLOOKUP($A219,'Project Reference'!$B$2:$M$41,12), " ")</f>
        <v xml:space="preserve"> </v>
      </c>
      <c r="V219" s="8" t="str">
        <f>IFERROR(VLOOKUP($A219,'Project Reference'!$B$2:$N$41,13), " ")</f>
        <v xml:space="preserve"> </v>
      </c>
      <c r="W219" s="8" t="str">
        <f>IFERROR(VLOOKUP($A219,'Project Reference'!$B$2:$O$41,14), " ")</f>
        <v xml:space="preserve"> </v>
      </c>
      <c r="X219" s="8" t="str">
        <f>IFERROR(VLOOKUP($A219,'Project Reference'!$B$2:$P$41,15), " ")</f>
        <v xml:space="preserve"> </v>
      </c>
      <c r="Y219" s="9" t="str">
        <f>IFERROR(VLOOKUP($A219,'Project Reference'!$B$2:$Q$41,16), " ")</f>
        <v xml:space="preserve"> </v>
      </c>
      <c r="Z219" s="22"/>
    </row>
    <row r="220" spans="1:26" s="1" customFormat="1" x14ac:dyDescent="0.45">
      <c r="A220" s="70"/>
      <c r="B220" s="53" t="str">
        <f>IFERROR(VLOOKUP($A220,'Project Reference'!$S$2:$T$41,2),"Enter Project Number")</f>
        <v>Enter Project Number</v>
      </c>
      <c r="C220" s="54"/>
      <c r="D220" s="8"/>
      <c r="E220" s="8"/>
      <c r="F220" s="8"/>
      <c r="G220" s="8"/>
      <c r="H220" s="47"/>
      <c r="I220" s="9"/>
      <c r="J220" s="23"/>
      <c r="K220" s="47" t="str">
        <f>IFERROR(VLOOKUP($A220,'Project Reference'!$B$2:$C$41,2), " ")</f>
        <v xml:space="preserve"> </v>
      </c>
      <c r="L220" s="8" t="str">
        <f>IFERROR(VLOOKUP($A220,'Project Reference'!$B$2:$D$41,3), " ")</f>
        <v xml:space="preserve"> </v>
      </c>
      <c r="M220" s="54" t="str">
        <f>IFERROR(VLOOKUP($A220,'Project Reference'!$B$2:$E$41,4), " ")</f>
        <v xml:space="preserve"> </v>
      </c>
      <c r="N220" s="8" t="str">
        <f>IFERROR(VLOOKUP($A220,'Project Reference'!$B$2:$F$41,5), " ")</f>
        <v xml:space="preserve"> </v>
      </c>
      <c r="O220" s="8" t="str">
        <f>IFERROR(VLOOKUP($A220,'Project Reference'!$B$2:$G$41,6), " ")</f>
        <v xml:space="preserve"> </v>
      </c>
      <c r="P220" s="8" t="str">
        <f>IFERROR(VLOOKUP($A220,'Project Reference'!$B$2:$H$41,7), " ")</f>
        <v xml:space="preserve"> </v>
      </c>
      <c r="Q220" s="8" t="str">
        <f>IFERROR(VLOOKUP($A220,'Project Reference'!$B$2:$I$41,8), " ")</f>
        <v xml:space="preserve"> </v>
      </c>
      <c r="R220" s="8" t="str">
        <f>IFERROR(VLOOKUP($A220,'Project Reference'!$B$2:$J$41,9), " ")</f>
        <v xml:space="preserve"> </v>
      </c>
      <c r="S220" s="8" t="str">
        <f>IFERROR(VLOOKUP($A220,'Project Reference'!$B$2:$K$41,10), " ")</f>
        <v xml:space="preserve"> </v>
      </c>
      <c r="T220" s="8" t="str">
        <f>IFERROR(VLOOKUP($A220,'Project Reference'!$B$2:$L$41,11), " ")</f>
        <v xml:space="preserve"> </v>
      </c>
      <c r="U220" s="8" t="str">
        <f>IFERROR(VLOOKUP($A220,'Project Reference'!$B$2:$M$41,12), " ")</f>
        <v xml:space="preserve"> </v>
      </c>
      <c r="V220" s="8" t="str">
        <f>IFERROR(VLOOKUP($A220,'Project Reference'!$B$2:$N$41,13), " ")</f>
        <v xml:space="preserve"> </v>
      </c>
      <c r="W220" s="8" t="str">
        <f>IFERROR(VLOOKUP($A220,'Project Reference'!$B$2:$O$41,14), " ")</f>
        <v xml:space="preserve"> </v>
      </c>
      <c r="X220" s="8" t="str">
        <f>IFERROR(VLOOKUP($A220,'Project Reference'!$B$2:$P$41,15), " ")</f>
        <v xml:space="preserve"> </v>
      </c>
      <c r="Y220" s="9" t="str">
        <f>IFERROR(VLOOKUP($A220,'Project Reference'!$B$2:$Q$41,16), " ")</f>
        <v xml:space="preserve"> </v>
      </c>
      <c r="Z220" s="22"/>
    </row>
    <row r="221" spans="1:26" s="1" customFormat="1" x14ac:dyDescent="0.45">
      <c r="A221" s="70"/>
      <c r="B221" s="53" t="str">
        <f>IFERROR(VLOOKUP($A221,'Project Reference'!$S$2:$T$41,2),"Enter Project Number")</f>
        <v>Enter Project Number</v>
      </c>
      <c r="C221" s="54"/>
      <c r="D221" s="8"/>
      <c r="E221" s="8"/>
      <c r="F221" s="8"/>
      <c r="G221" s="8"/>
      <c r="H221" s="47"/>
      <c r="I221" s="9"/>
      <c r="J221" s="23"/>
      <c r="K221" s="47" t="str">
        <f>IFERROR(VLOOKUP($A221,'Project Reference'!$B$2:$C$41,2), " ")</f>
        <v xml:space="preserve"> </v>
      </c>
      <c r="L221" s="8" t="str">
        <f>IFERROR(VLOOKUP($A221,'Project Reference'!$B$2:$D$41,3), " ")</f>
        <v xml:space="preserve"> </v>
      </c>
      <c r="M221" s="54" t="str">
        <f>IFERROR(VLOOKUP($A221,'Project Reference'!$B$2:$E$41,4), " ")</f>
        <v xml:space="preserve"> </v>
      </c>
      <c r="N221" s="8" t="str">
        <f>IFERROR(VLOOKUP($A221,'Project Reference'!$B$2:$F$41,5), " ")</f>
        <v xml:space="preserve"> </v>
      </c>
      <c r="O221" s="8" t="str">
        <f>IFERROR(VLOOKUP($A221,'Project Reference'!$B$2:$G$41,6), " ")</f>
        <v xml:space="preserve"> </v>
      </c>
      <c r="P221" s="8" t="str">
        <f>IFERROR(VLOOKUP($A221,'Project Reference'!$B$2:$H$41,7), " ")</f>
        <v xml:space="preserve"> </v>
      </c>
      <c r="Q221" s="8" t="str">
        <f>IFERROR(VLOOKUP($A221,'Project Reference'!$B$2:$I$41,8), " ")</f>
        <v xml:space="preserve"> </v>
      </c>
      <c r="R221" s="8" t="str">
        <f>IFERROR(VLOOKUP($A221,'Project Reference'!$B$2:$J$41,9), " ")</f>
        <v xml:space="preserve"> </v>
      </c>
      <c r="S221" s="8" t="str">
        <f>IFERROR(VLOOKUP($A221,'Project Reference'!$B$2:$K$41,10), " ")</f>
        <v xml:space="preserve"> </v>
      </c>
      <c r="T221" s="8" t="str">
        <f>IFERROR(VLOOKUP($A221,'Project Reference'!$B$2:$L$41,11), " ")</f>
        <v xml:space="preserve"> </v>
      </c>
      <c r="U221" s="8" t="str">
        <f>IFERROR(VLOOKUP($A221,'Project Reference'!$B$2:$M$41,12), " ")</f>
        <v xml:space="preserve"> </v>
      </c>
      <c r="V221" s="8" t="str">
        <f>IFERROR(VLOOKUP($A221,'Project Reference'!$B$2:$N$41,13), " ")</f>
        <v xml:space="preserve"> </v>
      </c>
      <c r="W221" s="8" t="str">
        <f>IFERROR(VLOOKUP($A221,'Project Reference'!$B$2:$O$41,14), " ")</f>
        <v xml:space="preserve"> </v>
      </c>
      <c r="X221" s="8" t="str">
        <f>IFERROR(VLOOKUP($A221,'Project Reference'!$B$2:$P$41,15), " ")</f>
        <v xml:space="preserve"> </v>
      </c>
      <c r="Y221" s="9" t="str">
        <f>IFERROR(VLOOKUP($A221,'Project Reference'!$B$2:$Q$41,16), " ")</f>
        <v xml:space="preserve"> </v>
      </c>
      <c r="Z221" s="22"/>
    </row>
    <row r="222" spans="1:26" s="1" customFormat="1" x14ac:dyDescent="0.45">
      <c r="A222" s="70"/>
      <c r="B222" s="53" t="str">
        <f>IFERROR(VLOOKUP($A222,'Project Reference'!$S$2:$T$41,2),"Enter Project Number")</f>
        <v>Enter Project Number</v>
      </c>
      <c r="C222" s="54"/>
      <c r="D222" s="8"/>
      <c r="E222" s="8"/>
      <c r="F222" s="8"/>
      <c r="G222" s="8"/>
      <c r="H222" s="47"/>
      <c r="I222" s="9"/>
      <c r="J222" s="23"/>
      <c r="K222" s="47" t="str">
        <f>IFERROR(VLOOKUP($A222,'Project Reference'!$B$2:$C$41,2), " ")</f>
        <v xml:space="preserve"> </v>
      </c>
      <c r="L222" s="8" t="str">
        <f>IFERROR(VLOOKUP($A222,'Project Reference'!$B$2:$D$41,3), " ")</f>
        <v xml:space="preserve"> </v>
      </c>
      <c r="M222" s="54" t="str">
        <f>IFERROR(VLOOKUP($A222,'Project Reference'!$B$2:$E$41,4), " ")</f>
        <v xml:space="preserve"> </v>
      </c>
      <c r="N222" s="8" t="str">
        <f>IFERROR(VLOOKUP($A222,'Project Reference'!$B$2:$F$41,5), " ")</f>
        <v xml:space="preserve"> </v>
      </c>
      <c r="O222" s="8" t="str">
        <f>IFERROR(VLOOKUP($A222,'Project Reference'!$B$2:$G$41,6), " ")</f>
        <v xml:space="preserve"> </v>
      </c>
      <c r="P222" s="8" t="str">
        <f>IFERROR(VLOOKUP($A222,'Project Reference'!$B$2:$H$41,7), " ")</f>
        <v xml:space="preserve"> </v>
      </c>
      <c r="Q222" s="8" t="str">
        <f>IFERROR(VLOOKUP($A222,'Project Reference'!$B$2:$I$41,8), " ")</f>
        <v xml:space="preserve"> </v>
      </c>
      <c r="R222" s="8" t="str">
        <f>IFERROR(VLOOKUP($A222,'Project Reference'!$B$2:$J$41,9), " ")</f>
        <v xml:space="preserve"> </v>
      </c>
      <c r="S222" s="8" t="str">
        <f>IFERROR(VLOOKUP($A222,'Project Reference'!$B$2:$K$41,10), " ")</f>
        <v xml:space="preserve"> </v>
      </c>
      <c r="T222" s="8" t="str">
        <f>IFERROR(VLOOKUP($A222,'Project Reference'!$B$2:$L$41,11), " ")</f>
        <v xml:space="preserve"> </v>
      </c>
      <c r="U222" s="8" t="str">
        <f>IFERROR(VLOOKUP($A222,'Project Reference'!$B$2:$M$41,12), " ")</f>
        <v xml:space="preserve"> </v>
      </c>
      <c r="V222" s="8" t="str">
        <f>IFERROR(VLOOKUP($A222,'Project Reference'!$B$2:$N$41,13), " ")</f>
        <v xml:space="preserve"> </v>
      </c>
      <c r="W222" s="8" t="str">
        <f>IFERROR(VLOOKUP($A222,'Project Reference'!$B$2:$O$41,14), " ")</f>
        <v xml:space="preserve"> </v>
      </c>
      <c r="X222" s="8" t="str">
        <f>IFERROR(VLOOKUP($A222,'Project Reference'!$B$2:$P$41,15), " ")</f>
        <v xml:space="preserve"> </v>
      </c>
      <c r="Y222" s="9" t="str">
        <f>IFERROR(VLOOKUP($A222,'Project Reference'!$B$2:$Q$41,16), " ")</f>
        <v xml:space="preserve"> </v>
      </c>
      <c r="Z222" s="22"/>
    </row>
    <row r="223" spans="1:26" s="1" customFormat="1" x14ac:dyDescent="0.45">
      <c r="A223" s="70"/>
      <c r="B223" s="53" t="str">
        <f>IFERROR(VLOOKUP($A223,'Project Reference'!$S$2:$T$41,2),"Enter Project Number")</f>
        <v>Enter Project Number</v>
      </c>
      <c r="C223" s="54"/>
      <c r="D223" s="8"/>
      <c r="E223" s="8"/>
      <c r="F223" s="8"/>
      <c r="G223" s="8"/>
      <c r="H223" s="47"/>
      <c r="I223" s="9"/>
      <c r="J223" s="23"/>
      <c r="K223" s="47" t="str">
        <f>IFERROR(VLOOKUP($A223,'Project Reference'!$B$2:$C$41,2), " ")</f>
        <v xml:space="preserve"> </v>
      </c>
      <c r="L223" s="8" t="str">
        <f>IFERROR(VLOOKUP($A223,'Project Reference'!$B$2:$D$41,3), " ")</f>
        <v xml:space="preserve"> </v>
      </c>
      <c r="M223" s="54" t="str">
        <f>IFERROR(VLOOKUP($A223,'Project Reference'!$B$2:$E$41,4), " ")</f>
        <v xml:space="preserve"> </v>
      </c>
      <c r="N223" s="8" t="str">
        <f>IFERROR(VLOOKUP($A223,'Project Reference'!$B$2:$F$41,5), " ")</f>
        <v xml:space="preserve"> </v>
      </c>
      <c r="O223" s="8" t="str">
        <f>IFERROR(VLOOKUP($A223,'Project Reference'!$B$2:$G$41,6), " ")</f>
        <v xml:space="preserve"> </v>
      </c>
      <c r="P223" s="8" t="str">
        <f>IFERROR(VLOOKUP($A223,'Project Reference'!$B$2:$H$41,7), " ")</f>
        <v xml:space="preserve"> </v>
      </c>
      <c r="Q223" s="8" t="str">
        <f>IFERROR(VLOOKUP($A223,'Project Reference'!$B$2:$I$41,8), " ")</f>
        <v xml:space="preserve"> </v>
      </c>
      <c r="R223" s="8" t="str">
        <f>IFERROR(VLOOKUP($A223,'Project Reference'!$B$2:$J$41,9), " ")</f>
        <v xml:space="preserve"> </v>
      </c>
      <c r="S223" s="8" t="str">
        <f>IFERROR(VLOOKUP($A223,'Project Reference'!$B$2:$K$41,10), " ")</f>
        <v xml:space="preserve"> </v>
      </c>
      <c r="T223" s="8" t="str">
        <f>IFERROR(VLOOKUP($A223,'Project Reference'!$B$2:$L$41,11), " ")</f>
        <v xml:space="preserve"> </v>
      </c>
      <c r="U223" s="8" t="str">
        <f>IFERROR(VLOOKUP($A223,'Project Reference'!$B$2:$M$41,12), " ")</f>
        <v xml:space="preserve"> </v>
      </c>
      <c r="V223" s="8" t="str">
        <f>IFERROR(VLOOKUP($A223,'Project Reference'!$B$2:$N$41,13), " ")</f>
        <v xml:space="preserve"> </v>
      </c>
      <c r="W223" s="8" t="str">
        <f>IFERROR(VLOOKUP($A223,'Project Reference'!$B$2:$O$41,14), " ")</f>
        <v xml:space="preserve"> </v>
      </c>
      <c r="X223" s="8" t="str">
        <f>IFERROR(VLOOKUP($A223,'Project Reference'!$B$2:$P$41,15), " ")</f>
        <v xml:space="preserve"> </v>
      </c>
      <c r="Y223" s="9" t="str">
        <f>IFERROR(VLOOKUP($A223,'Project Reference'!$B$2:$Q$41,16), " ")</f>
        <v xml:space="preserve"> </v>
      </c>
      <c r="Z223" s="22"/>
    </row>
    <row r="224" spans="1:26" s="1" customFormat="1" x14ac:dyDescent="0.45">
      <c r="A224" s="70"/>
      <c r="B224" s="53" t="str">
        <f>IFERROR(VLOOKUP($A224,'Project Reference'!$S$2:$T$41,2),"Enter Project Number")</f>
        <v>Enter Project Number</v>
      </c>
      <c r="C224" s="54"/>
      <c r="D224" s="8"/>
      <c r="E224" s="8"/>
      <c r="F224" s="8"/>
      <c r="G224" s="8"/>
      <c r="H224" s="47"/>
      <c r="I224" s="9"/>
      <c r="J224" s="23"/>
      <c r="K224" s="47" t="str">
        <f>IFERROR(VLOOKUP($A224,'Project Reference'!$B$2:$C$41,2), " ")</f>
        <v xml:space="preserve"> </v>
      </c>
      <c r="L224" s="8" t="str">
        <f>IFERROR(VLOOKUP($A224,'Project Reference'!$B$2:$D$41,3), " ")</f>
        <v xml:space="preserve"> </v>
      </c>
      <c r="M224" s="54" t="str">
        <f>IFERROR(VLOOKUP($A224,'Project Reference'!$B$2:$E$41,4), " ")</f>
        <v xml:space="preserve"> </v>
      </c>
      <c r="N224" s="8" t="str">
        <f>IFERROR(VLOOKUP($A224,'Project Reference'!$B$2:$F$41,5), " ")</f>
        <v xml:space="preserve"> </v>
      </c>
      <c r="O224" s="8" t="str">
        <f>IFERROR(VLOOKUP($A224,'Project Reference'!$B$2:$G$41,6), " ")</f>
        <v xml:space="preserve"> </v>
      </c>
      <c r="P224" s="8" t="str">
        <f>IFERROR(VLOOKUP($A224,'Project Reference'!$B$2:$H$41,7), " ")</f>
        <v xml:space="preserve"> </v>
      </c>
      <c r="Q224" s="8" t="str">
        <f>IFERROR(VLOOKUP($A224,'Project Reference'!$B$2:$I$41,8), " ")</f>
        <v xml:space="preserve"> </v>
      </c>
      <c r="R224" s="8" t="str">
        <f>IFERROR(VLOOKUP($A224,'Project Reference'!$B$2:$J$41,9), " ")</f>
        <v xml:space="preserve"> </v>
      </c>
      <c r="S224" s="8" t="str">
        <f>IFERROR(VLOOKUP($A224,'Project Reference'!$B$2:$K$41,10), " ")</f>
        <v xml:space="preserve"> </v>
      </c>
      <c r="T224" s="8" t="str">
        <f>IFERROR(VLOOKUP($A224,'Project Reference'!$B$2:$L$41,11), " ")</f>
        <v xml:space="preserve"> </v>
      </c>
      <c r="U224" s="8" t="str">
        <f>IFERROR(VLOOKUP($A224,'Project Reference'!$B$2:$M$41,12), " ")</f>
        <v xml:space="preserve"> </v>
      </c>
      <c r="V224" s="8" t="str">
        <f>IFERROR(VLOOKUP($A224,'Project Reference'!$B$2:$N$41,13), " ")</f>
        <v xml:space="preserve"> </v>
      </c>
      <c r="W224" s="8" t="str">
        <f>IFERROR(VLOOKUP($A224,'Project Reference'!$B$2:$O$41,14), " ")</f>
        <v xml:space="preserve"> </v>
      </c>
      <c r="X224" s="8" t="str">
        <f>IFERROR(VLOOKUP($A224,'Project Reference'!$B$2:$P$41,15), " ")</f>
        <v xml:space="preserve"> </v>
      </c>
      <c r="Y224" s="9" t="str">
        <f>IFERROR(VLOOKUP($A224,'Project Reference'!$B$2:$Q$41,16), " ")</f>
        <v xml:space="preserve"> </v>
      </c>
      <c r="Z224" s="22"/>
    </row>
    <row r="225" spans="1:26" s="1" customFormat="1" x14ac:dyDescent="0.45">
      <c r="A225" s="70"/>
      <c r="B225" s="53" t="str">
        <f>IFERROR(VLOOKUP($A225,'Project Reference'!$S$2:$T$41,2),"Enter Project Number")</f>
        <v>Enter Project Number</v>
      </c>
      <c r="C225" s="54"/>
      <c r="D225" s="8"/>
      <c r="E225" s="8"/>
      <c r="F225" s="8"/>
      <c r="G225" s="8"/>
      <c r="H225" s="47"/>
      <c r="I225" s="9"/>
      <c r="J225" s="23"/>
      <c r="K225" s="47" t="str">
        <f>IFERROR(VLOOKUP($A225,'Project Reference'!$B$2:$C$41,2), " ")</f>
        <v xml:space="preserve"> </v>
      </c>
      <c r="L225" s="8" t="str">
        <f>IFERROR(VLOOKUP($A225,'Project Reference'!$B$2:$D$41,3), " ")</f>
        <v xml:space="preserve"> </v>
      </c>
      <c r="M225" s="54" t="str">
        <f>IFERROR(VLOOKUP($A225,'Project Reference'!$B$2:$E$41,4), " ")</f>
        <v xml:space="preserve"> </v>
      </c>
      <c r="N225" s="8" t="str">
        <f>IFERROR(VLOOKUP($A225,'Project Reference'!$B$2:$F$41,5), " ")</f>
        <v xml:space="preserve"> </v>
      </c>
      <c r="O225" s="8" t="str">
        <f>IFERROR(VLOOKUP($A225,'Project Reference'!$B$2:$G$41,6), " ")</f>
        <v xml:space="preserve"> </v>
      </c>
      <c r="P225" s="8" t="str">
        <f>IFERROR(VLOOKUP($A225,'Project Reference'!$B$2:$H$41,7), " ")</f>
        <v xml:space="preserve"> </v>
      </c>
      <c r="Q225" s="8" t="str">
        <f>IFERROR(VLOOKUP($A225,'Project Reference'!$B$2:$I$41,8), " ")</f>
        <v xml:space="preserve"> </v>
      </c>
      <c r="R225" s="8" t="str">
        <f>IFERROR(VLOOKUP($A225,'Project Reference'!$B$2:$J$41,9), " ")</f>
        <v xml:space="preserve"> </v>
      </c>
      <c r="S225" s="8" t="str">
        <f>IFERROR(VLOOKUP($A225,'Project Reference'!$B$2:$K$41,10), " ")</f>
        <v xml:space="preserve"> </v>
      </c>
      <c r="T225" s="8" t="str">
        <f>IFERROR(VLOOKUP($A225,'Project Reference'!$B$2:$L$41,11), " ")</f>
        <v xml:space="preserve"> </v>
      </c>
      <c r="U225" s="8" t="str">
        <f>IFERROR(VLOOKUP($A225,'Project Reference'!$B$2:$M$41,12), " ")</f>
        <v xml:space="preserve"> </v>
      </c>
      <c r="V225" s="8" t="str">
        <f>IFERROR(VLOOKUP($A225,'Project Reference'!$B$2:$N$41,13), " ")</f>
        <v xml:space="preserve"> </v>
      </c>
      <c r="W225" s="8" t="str">
        <f>IFERROR(VLOOKUP($A225,'Project Reference'!$B$2:$O$41,14), " ")</f>
        <v xml:space="preserve"> </v>
      </c>
      <c r="X225" s="8" t="str">
        <f>IFERROR(VLOOKUP($A225,'Project Reference'!$B$2:$P$41,15), " ")</f>
        <v xml:space="preserve"> </v>
      </c>
      <c r="Y225" s="9" t="str">
        <f>IFERROR(VLOOKUP($A225,'Project Reference'!$B$2:$Q$41,16), " ")</f>
        <v xml:space="preserve"> </v>
      </c>
      <c r="Z225" s="22"/>
    </row>
    <row r="226" spans="1:26" s="1" customFormat="1" x14ac:dyDescent="0.45">
      <c r="A226" s="70"/>
      <c r="B226" s="53" t="str">
        <f>IFERROR(VLOOKUP($A226,'Project Reference'!$S$2:$T$41,2),"Enter Project Number")</f>
        <v>Enter Project Number</v>
      </c>
      <c r="C226" s="54"/>
      <c r="D226" s="8"/>
      <c r="E226" s="8"/>
      <c r="F226" s="8"/>
      <c r="G226" s="8"/>
      <c r="H226" s="47"/>
      <c r="I226" s="9"/>
      <c r="J226" s="23"/>
      <c r="K226" s="47" t="str">
        <f>IFERROR(VLOOKUP($A226,'Project Reference'!$B$2:$C$41,2), " ")</f>
        <v xml:space="preserve"> </v>
      </c>
      <c r="L226" s="8" t="str">
        <f>IFERROR(VLOOKUP($A226,'Project Reference'!$B$2:$D$41,3), " ")</f>
        <v xml:space="preserve"> </v>
      </c>
      <c r="M226" s="54" t="str">
        <f>IFERROR(VLOOKUP($A226,'Project Reference'!$B$2:$E$41,4), " ")</f>
        <v xml:space="preserve"> </v>
      </c>
      <c r="N226" s="8" t="str">
        <f>IFERROR(VLOOKUP($A226,'Project Reference'!$B$2:$F$41,5), " ")</f>
        <v xml:space="preserve"> </v>
      </c>
      <c r="O226" s="8" t="str">
        <f>IFERROR(VLOOKUP($A226,'Project Reference'!$B$2:$G$41,6), " ")</f>
        <v xml:space="preserve"> </v>
      </c>
      <c r="P226" s="8" t="str">
        <f>IFERROR(VLOOKUP($A226,'Project Reference'!$B$2:$H$41,7), " ")</f>
        <v xml:space="preserve"> </v>
      </c>
      <c r="Q226" s="8" t="str">
        <f>IFERROR(VLOOKUP($A226,'Project Reference'!$B$2:$I$41,8), " ")</f>
        <v xml:space="preserve"> </v>
      </c>
      <c r="R226" s="8" t="str">
        <f>IFERROR(VLOOKUP($A226,'Project Reference'!$B$2:$J$41,9), " ")</f>
        <v xml:space="preserve"> </v>
      </c>
      <c r="S226" s="8" t="str">
        <f>IFERROR(VLOOKUP($A226,'Project Reference'!$B$2:$K$41,10), " ")</f>
        <v xml:space="preserve"> </v>
      </c>
      <c r="T226" s="8" t="str">
        <f>IFERROR(VLOOKUP($A226,'Project Reference'!$B$2:$L$41,11), " ")</f>
        <v xml:space="preserve"> </v>
      </c>
      <c r="U226" s="8" t="str">
        <f>IFERROR(VLOOKUP($A226,'Project Reference'!$B$2:$M$41,12), " ")</f>
        <v xml:space="preserve"> </v>
      </c>
      <c r="V226" s="8" t="str">
        <f>IFERROR(VLOOKUP($A226,'Project Reference'!$B$2:$N$41,13), " ")</f>
        <v xml:space="preserve"> </v>
      </c>
      <c r="W226" s="8" t="str">
        <f>IFERROR(VLOOKUP($A226,'Project Reference'!$B$2:$O$41,14), " ")</f>
        <v xml:space="preserve"> </v>
      </c>
      <c r="X226" s="8" t="str">
        <f>IFERROR(VLOOKUP($A226,'Project Reference'!$B$2:$P$41,15), " ")</f>
        <v xml:space="preserve"> </v>
      </c>
      <c r="Y226" s="9" t="str">
        <f>IFERROR(VLOOKUP($A226,'Project Reference'!$B$2:$Q$41,16), " ")</f>
        <v xml:space="preserve"> </v>
      </c>
      <c r="Z226" s="22"/>
    </row>
    <row r="227" spans="1:26" s="1" customFormat="1" x14ac:dyDescent="0.45">
      <c r="A227" s="70"/>
      <c r="B227" s="53" t="str">
        <f>IFERROR(VLOOKUP($A227,'Project Reference'!$S$2:$T$41,2),"Enter Project Number")</f>
        <v>Enter Project Number</v>
      </c>
      <c r="C227" s="54"/>
      <c r="D227" s="8"/>
      <c r="E227" s="8"/>
      <c r="F227" s="8"/>
      <c r="G227" s="8"/>
      <c r="H227" s="47"/>
      <c r="I227" s="9"/>
      <c r="J227" s="23"/>
      <c r="K227" s="47" t="str">
        <f>IFERROR(VLOOKUP($A227,'Project Reference'!$B$2:$C$41,2), " ")</f>
        <v xml:space="preserve"> </v>
      </c>
      <c r="L227" s="8" t="str">
        <f>IFERROR(VLOOKUP($A227,'Project Reference'!$B$2:$D$41,3), " ")</f>
        <v xml:space="preserve"> </v>
      </c>
      <c r="M227" s="54" t="str">
        <f>IFERROR(VLOOKUP($A227,'Project Reference'!$B$2:$E$41,4), " ")</f>
        <v xml:space="preserve"> </v>
      </c>
      <c r="N227" s="8" t="str">
        <f>IFERROR(VLOOKUP($A227,'Project Reference'!$B$2:$F$41,5), " ")</f>
        <v xml:space="preserve"> </v>
      </c>
      <c r="O227" s="8" t="str">
        <f>IFERROR(VLOOKUP($A227,'Project Reference'!$B$2:$G$41,6), " ")</f>
        <v xml:space="preserve"> </v>
      </c>
      <c r="P227" s="8" t="str">
        <f>IFERROR(VLOOKUP($A227,'Project Reference'!$B$2:$H$41,7), " ")</f>
        <v xml:space="preserve"> </v>
      </c>
      <c r="Q227" s="8" t="str">
        <f>IFERROR(VLOOKUP($A227,'Project Reference'!$B$2:$I$41,8), " ")</f>
        <v xml:space="preserve"> </v>
      </c>
      <c r="R227" s="8" t="str">
        <f>IFERROR(VLOOKUP($A227,'Project Reference'!$B$2:$J$41,9), " ")</f>
        <v xml:space="preserve"> </v>
      </c>
      <c r="S227" s="8" t="str">
        <f>IFERROR(VLOOKUP($A227,'Project Reference'!$B$2:$K$41,10), " ")</f>
        <v xml:space="preserve"> </v>
      </c>
      <c r="T227" s="8" t="str">
        <f>IFERROR(VLOOKUP($A227,'Project Reference'!$B$2:$L$41,11), " ")</f>
        <v xml:space="preserve"> </v>
      </c>
      <c r="U227" s="8" t="str">
        <f>IFERROR(VLOOKUP($A227,'Project Reference'!$B$2:$M$41,12), " ")</f>
        <v xml:space="preserve"> </v>
      </c>
      <c r="V227" s="8" t="str">
        <f>IFERROR(VLOOKUP($A227,'Project Reference'!$B$2:$N$41,13), " ")</f>
        <v xml:space="preserve"> </v>
      </c>
      <c r="W227" s="8" t="str">
        <f>IFERROR(VLOOKUP($A227,'Project Reference'!$B$2:$O$41,14), " ")</f>
        <v xml:space="preserve"> </v>
      </c>
      <c r="X227" s="8" t="str">
        <f>IFERROR(VLOOKUP($A227,'Project Reference'!$B$2:$P$41,15), " ")</f>
        <v xml:space="preserve"> </v>
      </c>
      <c r="Y227" s="9" t="str">
        <f>IFERROR(VLOOKUP($A227,'Project Reference'!$B$2:$Q$41,16), " ")</f>
        <v xml:space="preserve"> </v>
      </c>
      <c r="Z227" s="22"/>
    </row>
    <row r="228" spans="1:26" s="1" customFormat="1" x14ac:dyDescent="0.45">
      <c r="A228" s="70"/>
      <c r="B228" s="53" t="str">
        <f>IFERROR(VLOOKUP($A228,'Project Reference'!$S$2:$T$41,2),"Enter Project Number")</f>
        <v>Enter Project Number</v>
      </c>
      <c r="C228" s="54"/>
      <c r="D228" s="8"/>
      <c r="E228" s="8"/>
      <c r="F228" s="8"/>
      <c r="G228" s="8"/>
      <c r="H228" s="47"/>
      <c r="I228" s="9"/>
      <c r="J228" s="23"/>
      <c r="K228" s="47" t="str">
        <f>IFERROR(VLOOKUP($A228,'Project Reference'!$B$2:$C$41,2), " ")</f>
        <v xml:space="preserve"> </v>
      </c>
      <c r="L228" s="8" t="str">
        <f>IFERROR(VLOOKUP($A228,'Project Reference'!$B$2:$D$41,3), " ")</f>
        <v xml:space="preserve"> </v>
      </c>
      <c r="M228" s="54" t="str">
        <f>IFERROR(VLOOKUP($A228,'Project Reference'!$B$2:$E$41,4), " ")</f>
        <v xml:space="preserve"> </v>
      </c>
      <c r="N228" s="8" t="str">
        <f>IFERROR(VLOOKUP($A228,'Project Reference'!$B$2:$F$41,5), " ")</f>
        <v xml:space="preserve"> </v>
      </c>
      <c r="O228" s="8" t="str">
        <f>IFERROR(VLOOKUP($A228,'Project Reference'!$B$2:$G$41,6), " ")</f>
        <v xml:space="preserve"> </v>
      </c>
      <c r="P228" s="8" t="str">
        <f>IFERROR(VLOOKUP($A228,'Project Reference'!$B$2:$H$41,7), " ")</f>
        <v xml:space="preserve"> </v>
      </c>
      <c r="Q228" s="8" t="str">
        <f>IFERROR(VLOOKUP($A228,'Project Reference'!$B$2:$I$41,8), " ")</f>
        <v xml:space="preserve"> </v>
      </c>
      <c r="R228" s="8" t="str">
        <f>IFERROR(VLOOKUP($A228,'Project Reference'!$B$2:$J$41,9), " ")</f>
        <v xml:space="preserve"> </v>
      </c>
      <c r="S228" s="8" t="str">
        <f>IFERROR(VLOOKUP($A228,'Project Reference'!$B$2:$K$41,10), " ")</f>
        <v xml:space="preserve"> </v>
      </c>
      <c r="T228" s="8" t="str">
        <f>IFERROR(VLOOKUP($A228,'Project Reference'!$B$2:$L$41,11), " ")</f>
        <v xml:space="preserve"> </v>
      </c>
      <c r="U228" s="8" t="str">
        <f>IFERROR(VLOOKUP($A228,'Project Reference'!$B$2:$M$41,12), " ")</f>
        <v xml:space="preserve"> </v>
      </c>
      <c r="V228" s="8" t="str">
        <f>IFERROR(VLOOKUP($A228,'Project Reference'!$B$2:$N$41,13), " ")</f>
        <v xml:space="preserve"> </v>
      </c>
      <c r="W228" s="8" t="str">
        <f>IFERROR(VLOOKUP($A228,'Project Reference'!$B$2:$O$41,14), " ")</f>
        <v xml:space="preserve"> </v>
      </c>
      <c r="X228" s="8" t="str">
        <f>IFERROR(VLOOKUP($A228,'Project Reference'!$B$2:$P$41,15), " ")</f>
        <v xml:space="preserve"> </v>
      </c>
      <c r="Y228" s="9" t="str">
        <f>IFERROR(VLOOKUP($A228,'Project Reference'!$B$2:$Q$41,16), " ")</f>
        <v xml:space="preserve"> </v>
      </c>
      <c r="Z228" s="22"/>
    </row>
    <row r="229" spans="1:26" s="1" customFormat="1" x14ac:dyDescent="0.45">
      <c r="A229" s="70"/>
      <c r="B229" s="53" t="str">
        <f>IFERROR(VLOOKUP($A229,'Project Reference'!$S$2:$T$41,2),"Enter Project Number")</f>
        <v>Enter Project Number</v>
      </c>
      <c r="C229" s="54"/>
      <c r="D229" s="8"/>
      <c r="E229" s="8"/>
      <c r="F229" s="8"/>
      <c r="G229" s="8"/>
      <c r="H229" s="47"/>
      <c r="I229" s="9"/>
      <c r="J229" s="23"/>
      <c r="K229" s="47" t="str">
        <f>IFERROR(VLOOKUP($A229,'Project Reference'!$B$2:$C$41,2), " ")</f>
        <v xml:space="preserve"> </v>
      </c>
      <c r="L229" s="8" t="str">
        <f>IFERROR(VLOOKUP($A229,'Project Reference'!$B$2:$D$41,3), " ")</f>
        <v xml:space="preserve"> </v>
      </c>
      <c r="M229" s="54" t="str">
        <f>IFERROR(VLOOKUP($A229,'Project Reference'!$B$2:$E$41,4), " ")</f>
        <v xml:space="preserve"> </v>
      </c>
      <c r="N229" s="8" t="str">
        <f>IFERROR(VLOOKUP($A229,'Project Reference'!$B$2:$F$41,5), " ")</f>
        <v xml:space="preserve"> </v>
      </c>
      <c r="O229" s="8" t="str">
        <f>IFERROR(VLOOKUP($A229,'Project Reference'!$B$2:$G$41,6), " ")</f>
        <v xml:space="preserve"> </v>
      </c>
      <c r="P229" s="8" t="str">
        <f>IFERROR(VLOOKUP($A229,'Project Reference'!$B$2:$H$41,7), " ")</f>
        <v xml:space="preserve"> </v>
      </c>
      <c r="Q229" s="8" t="str">
        <f>IFERROR(VLOOKUP($A229,'Project Reference'!$B$2:$I$41,8), " ")</f>
        <v xml:space="preserve"> </v>
      </c>
      <c r="R229" s="8" t="str">
        <f>IFERROR(VLOOKUP($A229,'Project Reference'!$B$2:$J$41,9), " ")</f>
        <v xml:space="preserve"> </v>
      </c>
      <c r="S229" s="8" t="str">
        <f>IFERROR(VLOOKUP($A229,'Project Reference'!$B$2:$K$41,10), " ")</f>
        <v xml:space="preserve"> </v>
      </c>
      <c r="T229" s="8" t="str">
        <f>IFERROR(VLOOKUP($A229,'Project Reference'!$B$2:$L$41,11), " ")</f>
        <v xml:space="preserve"> </v>
      </c>
      <c r="U229" s="8" t="str">
        <f>IFERROR(VLOOKUP($A229,'Project Reference'!$B$2:$M$41,12), " ")</f>
        <v xml:space="preserve"> </v>
      </c>
      <c r="V229" s="8" t="str">
        <f>IFERROR(VLOOKUP($A229,'Project Reference'!$B$2:$N$41,13), " ")</f>
        <v xml:space="preserve"> </v>
      </c>
      <c r="W229" s="8" t="str">
        <f>IFERROR(VLOOKUP($A229,'Project Reference'!$B$2:$O$41,14), " ")</f>
        <v xml:space="preserve"> </v>
      </c>
      <c r="X229" s="8" t="str">
        <f>IFERROR(VLOOKUP($A229,'Project Reference'!$B$2:$P$41,15), " ")</f>
        <v xml:space="preserve"> </v>
      </c>
      <c r="Y229" s="9" t="str">
        <f>IFERROR(VLOOKUP($A229,'Project Reference'!$B$2:$Q$41,16), " ")</f>
        <v xml:space="preserve"> </v>
      </c>
      <c r="Z229" s="22"/>
    </row>
    <row r="230" spans="1:26" s="1" customFormat="1" x14ac:dyDescent="0.45">
      <c r="A230" s="70"/>
      <c r="B230" s="53" t="str">
        <f>IFERROR(VLOOKUP($A230,'Project Reference'!$S$2:$T$41,2),"Enter Project Number")</f>
        <v>Enter Project Number</v>
      </c>
      <c r="C230" s="54"/>
      <c r="D230" s="8"/>
      <c r="E230" s="8"/>
      <c r="F230" s="8"/>
      <c r="G230" s="8"/>
      <c r="H230" s="47"/>
      <c r="I230" s="9"/>
      <c r="J230" s="23"/>
      <c r="K230" s="47" t="str">
        <f>IFERROR(VLOOKUP($A230,'Project Reference'!$B$2:$C$41,2), " ")</f>
        <v xml:space="preserve"> </v>
      </c>
      <c r="L230" s="8" t="str">
        <f>IFERROR(VLOOKUP($A230,'Project Reference'!$B$2:$D$41,3), " ")</f>
        <v xml:space="preserve"> </v>
      </c>
      <c r="M230" s="54" t="str">
        <f>IFERROR(VLOOKUP($A230,'Project Reference'!$B$2:$E$41,4), " ")</f>
        <v xml:space="preserve"> </v>
      </c>
      <c r="N230" s="8" t="str">
        <f>IFERROR(VLOOKUP($A230,'Project Reference'!$B$2:$F$41,5), " ")</f>
        <v xml:space="preserve"> </v>
      </c>
      <c r="O230" s="8" t="str">
        <f>IFERROR(VLOOKUP($A230,'Project Reference'!$B$2:$G$41,6), " ")</f>
        <v xml:space="preserve"> </v>
      </c>
      <c r="P230" s="8" t="str">
        <f>IFERROR(VLOOKUP($A230,'Project Reference'!$B$2:$H$41,7), " ")</f>
        <v xml:space="preserve"> </v>
      </c>
      <c r="Q230" s="8" t="str">
        <f>IFERROR(VLOOKUP($A230,'Project Reference'!$B$2:$I$41,8), " ")</f>
        <v xml:space="preserve"> </v>
      </c>
      <c r="R230" s="8" t="str">
        <f>IFERROR(VLOOKUP($A230,'Project Reference'!$B$2:$J$41,9), " ")</f>
        <v xml:space="preserve"> </v>
      </c>
      <c r="S230" s="8" t="str">
        <f>IFERROR(VLOOKUP($A230,'Project Reference'!$B$2:$K$41,10), " ")</f>
        <v xml:space="preserve"> </v>
      </c>
      <c r="T230" s="8" t="str">
        <f>IFERROR(VLOOKUP($A230,'Project Reference'!$B$2:$L$41,11), " ")</f>
        <v xml:space="preserve"> </v>
      </c>
      <c r="U230" s="8" t="str">
        <f>IFERROR(VLOOKUP($A230,'Project Reference'!$B$2:$M$41,12), " ")</f>
        <v xml:space="preserve"> </v>
      </c>
      <c r="V230" s="8" t="str">
        <f>IFERROR(VLOOKUP($A230,'Project Reference'!$B$2:$N$41,13), " ")</f>
        <v xml:space="preserve"> </v>
      </c>
      <c r="W230" s="8" t="str">
        <f>IFERROR(VLOOKUP($A230,'Project Reference'!$B$2:$O$41,14), " ")</f>
        <v xml:space="preserve"> </v>
      </c>
      <c r="X230" s="8" t="str">
        <f>IFERROR(VLOOKUP($A230,'Project Reference'!$B$2:$P$41,15), " ")</f>
        <v xml:space="preserve"> </v>
      </c>
      <c r="Y230" s="9" t="str">
        <f>IFERROR(VLOOKUP($A230,'Project Reference'!$B$2:$Q$41,16), " ")</f>
        <v xml:space="preserve"> </v>
      </c>
      <c r="Z230" s="22"/>
    </row>
    <row r="231" spans="1:26" s="1" customFormat="1" x14ac:dyDescent="0.45">
      <c r="A231" s="70"/>
      <c r="B231" s="53" t="str">
        <f>IFERROR(VLOOKUP($A231,'Project Reference'!$S$2:$T$41,2),"Enter Project Number")</f>
        <v>Enter Project Number</v>
      </c>
      <c r="C231" s="54"/>
      <c r="D231" s="8"/>
      <c r="E231" s="8"/>
      <c r="F231" s="8"/>
      <c r="G231" s="8"/>
      <c r="H231" s="47"/>
      <c r="I231" s="9"/>
      <c r="J231" s="23"/>
      <c r="K231" s="47" t="str">
        <f>IFERROR(VLOOKUP($A231,'Project Reference'!$B$2:$C$41,2), " ")</f>
        <v xml:space="preserve"> </v>
      </c>
      <c r="L231" s="8" t="str">
        <f>IFERROR(VLOOKUP($A231,'Project Reference'!$B$2:$D$41,3), " ")</f>
        <v xml:space="preserve"> </v>
      </c>
      <c r="M231" s="54" t="str">
        <f>IFERROR(VLOOKUP($A231,'Project Reference'!$B$2:$E$41,4), " ")</f>
        <v xml:space="preserve"> </v>
      </c>
      <c r="N231" s="8" t="str">
        <f>IFERROR(VLOOKUP($A231,'Project Reference'!$B$2:$F$41,5), " ")</f>
        <v xml:space="preserve"> </v>
      </c>
      <c r="O231" s="8" t="str">
        <f>IFERROR(VLOOKUP($A231,'Project Reference'!$B$2:$G$41,6), " ")</f>
        <v xml:space="preserve"> </v>
      </c>
      <c r="P231" s="8" t="str">
        <f>IFERROR(VLOOKUP($A231,'Project Reference'!$B$2:$H$41,7), " ")</f>
        <v xml:space="preserve"> </v>
      </c>
      <c r="Q231" s="8" t="str">
        <f>IFERROR(VLOOKUP($A231,'Project Reference'!$B$2:$I$41,8), " ")</f>
        <v xml:space="preserve"> </v>
      </c>
      <c r="R231" s="8" t="str">
        <f>IFERROR(VLOOKUP($A231,'Project Reference'!$B$2:$J$41,9), " ")</f>
        <v xml:space="preserve"> </v>
      </c>
      <c r="S231" s="8" t="str">
        <f>IFERROR(VLOOKUP($A231,'Project Reference'!$B$2:$K$41,10), " ")</f>
        <v xml:space="preserve"> </v>
      </c>
      <c r="T231" s="8" t="str">
        <f>IFERROR(VLOOKUP($A231,'Project Reference'!$B$2:$L$41,11), " ")</f>
        <v xml:space="preserve"> </v>
      </c>
      <c r="U231" s="8" t="str">
        <f>IFERROR(VLOOKUP($A231,'Project Reference'!$B$2:$M$41,12), " ")</f>
        <v xml:space="preserve"> </v>
      </c>
      <c r="V231" s="8" t="str">
        <f>IFERROR(VLOOKUP($A231,'Project Reference'!$B$2:$N$41,13), " ")</f>
        <v xml:space="preserve"> </v>
      </c>
      <c r="W231" s="8" t="str">
        <f>IFERROR(VLOOKUP($A231,'Project Reference'!$B$2:$O$41,14), " ")</f>
        <v xml:space="preserve"> </v>
      </c>
      <c r="X231" s="8" t="str">
        <f>IFERROR(VLOOKUP($A231,'Project Reference'!$B$2:$P$41,15), " ")</f>
        <v xml:space="preserve"> </v>
      </c>
      <c r="Y231" s="9" t="str">
        <f>IFERROR(VLOOKUP($A231,'Project Reference'!$B$2:$Q$41,16), " ")</f>
        <v xml:space="preserve"> </v>
      </c>
      <c r="Z231" s="22"/>
    </row>
    <row r="232" spans="1:26" s="1" customFormat="1" x14ac:dyDescent="0.45">
      <c r="A232" s="70"/>
      <c r="B232" s="53" t="str">
        <f>IFERROR(VLOOKUP($A232,'Project Reference'!$S$2:$T$41,2),"Enter Project Number")</f>
        <v>Enter Project Number</v>
      </c>
      <c r="C232" s="54"/>
      <c r="D232" s="8"/>
      <c r="E232" s="8"/>
      <c r="F232" s="8"/>
      <c r="G232" s="8"/>
      <c r="H232" s="47"/>
      <c r="I232" s="9"/>
      <c r="J232" s="23"/>
      <c r="K232" s="47" t="str">
        <f>IFERROR(VLOOKUP($A232,'Project Reference'!$B$2:$C$41,2), " ")</f>
        <v xml:space="preserve"> </v>
      </c>
      <c r="L232" s="8" t="str">
        <f>IFERROR(VLOOKUP($A232,'Project Reference'!$B$2:$D$41,3), " ")</f>
        <v xml:space="preserve"> </v>
      </c>
      <c r="M232" s="54" t="str">
        <f>IFERROR(VLOOKUP($A232,'Project Reference'!$B$2:$E$41,4), " ")</f>
        <v xml:space="preserve"> </v>
      </c>
      <c r="N232" s="8" t="str">
        <f>IFERROR(VLOOKUP($A232,'Project Reference'!$B$2:$F$41,5), " ")</f>
        <v xml:space="preserve"> </v>
      </c>
      <c r="O232" s="8" t="str">
        <f>IFERROR(VLOOKUP($A232,'Project Reference'!$B$2:$G$41,6), " ")</f>
        <v xml:space="preserve"> </v>
      </c>
      <c r="P232" s="8" t="str">
        <f>IFERROR(VLOOKUP($A232,'Project Reference'!$B$2:$H$41,7), " ")</f>
        <v xml:space="preserve"> </v>
      </c>
      <c r="Q232" s="8" t="str">
        <f>IFERROR(VLOOKUP($A232,'Project Reference'!$B$2:$I$41,8), " ")</f>
        <v xml:space="preserve"> </v>
      </c>
      <c r="R232" s="8" t="str">
        <f>IFERROR(VLOOKUP($A232,'Project Reference'!$B$2:$J$41,9), " ")</f>
        <v xml:space="preserve"> </v>
      </c>
      <c r="S232" s="8" t="str">
        <f>IFERROR(VLOOKUP($A232,'Project Reference'!$B$2:$K$41,10), " ")</f>
        <v xml:space="preserve"> </v>
      </c>
      <c r="T232" s="8" t="str">
        <f>IFERROR(VLOOKUP($A232,'Project Reference'!$B$2:$L$41,11), " ")</f>
        <v xml:space="preserve"> </v>
      </c>
      <c r="U232" s="8" t="str">
        <f>IFERROR(VLOOKUP($A232,'Project Reference'!$B$2:$M$41,12), " ")</f>
        <v xml:space="preserve"> </v>
      </c>
      <c r="V232" s="8" t="str">
        <f>IFERROR(VLOOKUP($A232,'Project Reference'!$B$2:$N$41,13), " ")</f>
        <v xml:space="preserve"> </v>
      </c>
      <c r="W232" s="8" t="str">
        <f>IFERROR(VLOOKUP($A232,'Project Reference'!$B$2:$O$41,14), " ")</f>
        <v xml:space="preserve"> </v>
      </c>
      <c r="X232" s="8" t="str">
        <f>IFERROR(VLOOKUP($A232,'Project Reference'!$B$2:$P$41,15), " ")</f>
        <v xml:space="preserve"> </v>
      </c>
      <c r="Y232" s="9" t="str">
        <f>IFERROR(VLOOKUP($A232,'Project Reference'!$B$2:$Q$41,16), " ")</f>
        <v xml:space="preserve"> </v>
      </c>
      <c r="Z232" s="22"/>
    </row>
    <row r="233" spans="1:26" s="1" customFormat="1" x14ac:dyDescent="0.45">
      <c r="A233" s="70"/>
      <c r="B233" s="53" t="str">
        <f>IFERROR(VLOOKUP($A233,'Project Reference'!$S$2:$T$41,2),"Enter Project Number")</f>
        <v>Enter Project Number</v>
      </c>
      <c r="C233" s="54"/>
      <c r="D233" s="8"/>
      <c r="E233" s="8"/>
      <c r="F233" s="8"/>
      <c r="G233" s="8"/>
      <c r="H233" s="47"/>
      <c r="I233" s="9"/>
      <c r="J233" s="23"/>
      <c r="K233" s="47" t="str">
        <f>IFERROR(VLOOKUP($A233,'Project Reference'!$B$2:$C$41,2), " ")</f>
        <v xml:space="preserve"> </v>
      </c>
      <c r="L233" s="8" t="str">
        <f>IFERROR(VLOOKUP($A233,'Project Reference'!$B$2:$D$41,3), " ")</f>
        <v xml:space="preserve"> </v>
      </c>
      <c r="M233" s="54" t="str">
        <f>IFERROR(VLOOKUP($A233,'Project Reference'!$B$2:$E$41,4), " ")</f>
        <v xml:space="preserve"> </v>
      </c>
      <c r="N233" s="8" t="str">
        <f>IFERROR(VLOOKUP($A233,'Project Reference'!$B$2:$F$41,5), " ")</f>
        <v xml:space="preserve"> </v>
      </c>
      <c r="O233" s="8" t="str">
        <f>IFERROR(VLOOKUP($A233,'Project Reference'!$B$2:$G$41,6), " ")</f>
        <v xml:space="preserve"> </v>
      </c>
      <c r="P233" s="8" t="str">
        <f>IFERROR(VLOOKUP($A233,'Project Reference'!$B$2:$H$41,7), " ")</f>
        <v xml:space="preserve"> </v>
      </c>
      <c r="Q233" s="8" t="str">
        <f>IFERROR(VLOOKUP($A233,'Project Reference'!$B$2:$I$41,8), " ")</f>
        <v xml:space="preserve"> </v>
      </c>
      <c r="R233" s="8" t="str">
        <f>IFERROR(VLOOKUP($A233,'Project Reference'!$B$2:$J$41,9), " ")</f>
        <v xml:space="preserve"> </v>
      </c>
      <c r="S233" s="8" t="str">
        <f>IFERROR(VLOOKUP($A233,'Project Reference'!$B$2:$K$41,10), " ")</f>
        <v xml:space="preserve"> </v>
      </c>
      <c r="T233" s="8" t="str">
        <f>IFERROR(VLOOKUP($A233,'Project Reference'!$B$2:$L$41,11), " ")</f>
        <v xml:space="preserve"> </v>
      </c>
      <c r="U233" s="8" t="str">
        <f>IFERROR(VLOOKUP($A233,'Project Reference'!$B$2:$M$41,12), " ")</f>
        <v xml:space="preserve"> </v>
      </c>
      <c r="V233" s="8" t="str">
        <f>IFERROR(VLOOKUP($A233,'Project Reference'!$B$2:$N$41,13), " ")</f>
        <v xml:space="preserve"> </v>
      </c>
      <c r="W233" s="8" t="str">
        <f>IFERROR(VLOOKUP($A233,'Project Reference'!$B$2:$O$41,14), " ")</f>
        <v xml:space="preserve"> </v>
      </c>
      <c r="X233" s="8" t="str">
        <f>IFERROR(VLOOKUP($A233,'Project Reference'!$B$2:$P$41,15), " ")</f>
        <v xml:space="preserve"> </v>
      </c>
      <c r="Y233" s="9" t="str">
        <f>IFERROR(VLOOKUP($A233,'Project Reference'!$B$2:$Q$41,16), " ")</f>
        <v xml:space="preserve"> </v>
      </c>
      <c r="Z233" s="22"/>
    </row>
    <row r="234" spans="1:26" s="1" customFormat="1" x14ac:dyDescent="0.45">
      <c r="A234" s="70"/>
      <c r="B234" s="53" t="str">
        <f>IFERROR(VLOOKUP($A234,'Project Reference'!$S$2:$T$41,2),"Enter Project Number")</f>
        <v>Enter Project Number</v>
      </c>
      <c r="C234" s="54"/>
      <c r="D234" s="8"/>
      <c r="E234" s="8"/>
      <c r="F234" s="8"/>
      <c r="G234" s="8"/>
      <c r="H234" s="47"/>
      <c r="I234" s="9"/>
      <c r="J234" s="23"/>
      <c r="K234" s="47" t="str">
        <f>IFERROR(VLOOKUP($A234,'Project Reference'!$B$2:$C$41,2), " ")</f>
        <v xml:space="preserve"> </v>
      </c>
      <c r="L234" s="8" t="str">
        <f>IFERROR(VLOOKUP($A234,'Project Reference'!$B$2:$D$41,3), " ")</f>
        <v xml:space="preserve"> </v>
      </c>
      <c r="M234" s="54" t="str">
        <f>IFERROR(VLOOKUP($A234,'Project Reference'!$B$2:$E$41,4), " ")</f>
        <v xml:space="preserve"> </v>
      </c>
      <c r="N234" s="8" t="str">
        <f>IFERROR(VLOOKUP($A234,'Project Reference'!$B$2:$F$41,5), " ")</f>
        <v xml:space="preserve"> </v>
      </c>
      <c r="O234" s="8" t="str">
        <f>IFERROR(VLOOKUP($A234,'Project Reference'!$B$2:$G$41,6), " ")</f>
        <v xml:space="preserve"> </v>
      </c>
      <c r="P234" s="8" t="str">
        <f>IFERROR(VLOOKUP($A234,'Project Reference'!$B$2:$H$41,7), " ")</f>
        <v xml:space="preserve"> </v>
      </c>
      <c r="Q234" s="8" t="str">
        <f>IFERROR(VLOOKUP($A234,'Project Reference'!$B$2:$I$41,8), " ")</f>
        <v xml:space="preserve"> </v>
      </c>
      <c r="R234" s="8" t="str">
        <f>IFERROR(VLOOKUP($A234,'Project Reference'!$B$2:$J$41,9), " ")</f>
        <v xml:space="preserve"> </v>
      </c>
      <c r="S234" s="8" t="str">
        <f>IFERROR(VLOOKUP($A234,'Project Reference'!$B$2:$K$41,10), " ")</f>
        <v xml:space="preserve"> </v>
      </c>
      <c r="T234" s="8" t="str">
        <f>IFERROR(VLOOKUP($A234,'Project Reference'!$B$2:$L$41,11), " ")</f>
        <v xml:space="preserve"> </v>
      </c>
      <c r="U234" s="8" t="str">
        <f>IFERROR(VLOOKUP($A234,'Project Reference'!$B$2:$M$41,12), " ")</f>
        <v xml:space="preserve"> </v>
      </c>
      <c r="V234" s="8" t="str">
        <f>IFERROR(VLOOKUP($A234,'Project Reference'!$B$2:$N$41,13), " ")</f>
        <v xml:space="preserve"> </v>
      </c>
      <c r="W234" s="8" t="str">
        <f>IFERROR(VLOOKUP($A234,'Project Reference'!$B$2:$O$41,14), " ")</f>
        <v xml:space="preserve"> </v>
      </c>
      <c r="X234" s="8" t="str">
        <f>IFERROR(VLOOKUP($A234,'Project Reference'!$B$2:$P$41,15), " ")</f>
        <v xml:space="preserve"> </v>
      </c>
      <c r="Y234" s="9" t="str">
        <f>IFERROR(VLOOKUP($A234,'Project Reference'!$B$2:$Q$41,16), " ")</f>
        <v xml:space="preserve"> </v>
      </c>
      <c r="Z234" s="22"/>
    </row>
    <row r="235" spans="1:26" s="1" customFormat="1" x14ac:dyDescent="0.45">
      <c r="A235" s="70"/>
      <c r="B235" s="53" t="str">
        <f>IFERROR(VLOOKUP($A235,'Project Reference'!$S$2:$T$41,2),"Enter Project Number")</f>
        <v>Enter Project Number</v>
      </c>
      <c r="C235" s="54"/>
      <c r="D235" s="8"/>
      <c r="E235" s="8"/>
      <c r="F235" s="8"/>
      <c r="G235" s="8"/>
      <c r="H235" s="47"/>
      <c r="I235" s="9"/>
      <c r="J235" s="23"/>
      <c r="K235" s="47" t="str">
        <f>IFERROR(VLOOKUP($A235,'Project Reference'!$B$2:$C$41,2), " ")</f>
        <v xml:space="preserve"> </v>
      </c>
      <c r="L235" s="8" t="str">
        <f>IFERROR(VLOOKUP($A235,'Project Reference'!$B$2:$D$41,3), " ")</f>
        <v xml:space="preserve"> </v>
      </c>
      <c r="M235" s="54" t="str">
        <f>IFERROR(VLOOKUP($A235,'Project Reference'!$B$2:$E$41,4), " ")</f>
        <v xml:space="preserve"> </v>
      </c>
      <c r="N235" s="8" t="str">
        <f>IFERROR(VLOOKUP($A235,'Project Reference'!$B$2:$F$41,5), " ")</f>
        <v xml:space="preserve"> </v>
      </c>
      <c r="O235" s="8" t="str">
        <f>IFERROR(VLOOKUP($A235,'Project Reference'!$B$2:$G$41,6), " ")</f>
        <v xml:space="preserve"> </v>
      </c>
      <c r="P235" s="8" t="str">
        <f>IFERROR(VLOOKUP($A235,'Project Reference'!$B$2:$H$41,7), " ")</f>
        <v xml:space="preserve"> </v>
      </c>
      <c r="Q235" s="8" t="str">
        <f>IFERROR(VLOOKUP($A235,'Project Reference'!$B$2:$I$41,8), " ")</f>
        <v xml:space="preserve"> </v>
      </c>
      <c r="R235" s="8" t="str">
        <f>IFERROR(VLOOKUP($A235,'Project Reference'!$B$2:$J$41,9), " ")</f>
        <v xml:space="preserve"> </v>
      </c>
      <c r="S235" s="8" t="str">
        <f>IFERROR(VLOOKUP($A235,'Project Reference'!$B$2:$K$41,10), " ")</f>
        <v xml:space="preserve"> </v>
      </c>
      <c r="T235" s="8" t="str">
        <f>IFERROR(VLOOKUP($A235,'Project Reference'!$B$2:$L$41,11), " ")</f>
        <v xml:space="preserve"> </v>
      </c>
      <c r="U235" s="8" t="str">
        <f>IFERROR(VLOOKUP($A235,'Project Reference'!$B$2:$M$41,12), " ")</f>
        <v xml:space="preserve"> </v>
      </c>
      <c r="V235" s="8" t="str">
        <f>IFERROR(VLOOKUP($A235,'Project Reference'!$B$2:$N$41,13), " ")</f>
        <v xml:space="preserve"> </v>
      </c>
      <c r="W235" s="8" t="str">
        <f>IFERROR(VLOOKUP($A235,'Project Reference'!$B$2:$O$41,14), " ")</f>
        <v xml:space="preserve"> </v>
      </c>
      <c r="X235" s="8" t="str">
        <f>IFERROR(VLOOKUP($A235,'Project Reference'!$B$2:$P$41,15), " ")</f>
        <v xml:space="preserve"> </v>
      </c>
      <c r="Y235" s="9" t="str">
        <f>IFERROR(VLOOKUP($A235,'Project Reference'!$B$2:$Q$41,16), " ")</f>
        <v xml:space="preserve"> </v>
      </c>
      <c r="Z235" s="22"/>
    </row>
    <row r="236" spans="1:26" s="1" customFormat="1" x14ac:dyDescent="0.45">
      <c r="A236" s="70"/>
      <c r="B236" s="53" t="str">
        <f>IFERROR(VLOOKUP($A236,'Project Reference'!$S$2:$T$41,2),"Enter Project Number")</f>
        <v>Enter Project Number</v>
      </c>
      <c r="C236" s="54"/>
      <c r="D236" s="8"/>
      <c r="E236" s="8"/>
      <c r="F236" s="8"/>
      <c r="G236" s="8"/>
      <c r="H236" s="47"/>
      <c r="I236" s="9"/>
      <c r="J236" s="23"/>
      <c r="K236" s="47" t="str">
        <f>IFERROR(VLOOKUP($A236,'Project Reference'!$B$2:$C$41,2), " ")</f>
        <v xml:space="preserve"> </v>
      </c>
      <c r="L236" s="8" t="str">
        <f>IFERROR(VLOOKUP($A236,'Project Reference'!$B$2:$D$41,3), " ")</f>
        <v xml:space="preserve"> </v>
      </c>
      <c r="M236" s="54" t="str">
        <f>IFERROR(VLOOKUP($A236,'Project Reference'!$B$2:$E$41,4), " ")</f>
        <v xml:space="preserve"> </v>
      </c>
      <c r="N236" s="8" t="str">
        <f>IFERROR(VLOOKUP($A236,'Project Reference'!$B$2:$F$41,5), " ")</f>
        <v xml:space="preserve"> </v>
      </c>
      <c r="O236" s="8" t="str">
        <f>IFERROR(VLOOKUP($A236,'Project Reference'!$B$2:$G$41,6), " ")</f>
        <v xml:space="preserve"> </v>
      </c>
      <c r="P236" s="8" t="str">
        <f>IFERROR(VLOOKUP($A236,'Project Reference'!$B$2:$H$41,7), " ")</f>
        <v xml:space="preserve"> </v>
      </c>
      <c r="Q236" s="8" t="str">
        <f>IFERROR(VLOOKUP($A236,'Project Reference'!$B$2:$I$41,8), " ")</f>
        <v xml:space="preserve"> </v>
      </c>
      <c r="R236" s="8" t="str">
        <f>IFERROR(VLOOKUP($A236,'Project Reference'!$B$2:$J$41,9), " ")</f>
        <v xml:space="preserve"> </v>
      </c>
      <c r="S236" s="8" t="str">
        <f>IFERROR(VLOOKUP($A236,'Project Reference'!$B$2:$K$41,10), " ")</f>
        <v xml:space="preserve"> </v>
      </c>
      <c r="T236" s="8" t="str">
        <f>IFERROR(VLOOKUP($A236,'Project Reference'!$B$2:$L$41,11), " ")</f>
        <v xml:space="preserve"> </v>
      </c>
      <c r="U236" s="8" t="str">
        <f>IFERROR(VLOOKUP($A236,'Project Reference'!$B$2:$M$41,12), " ")</f>
        <v xml:space="preserve"> </v>
      </c>
      <c r="V236" s="8" t="str">
        <f>IFERROR(VLOOKUP($A236,'Project Reference'!$B$2:$N$41,13), " ")</f>
        <v xml:space="preserve"> </v>
      </c>
      <c r="W236" s="8" t="str">
        <f>IFERROR(VLOOKUP($A236,'Project Reference'!$B$2:$O$41,14), " ")</f>
        <v xml:space="preserve"> </v>
      </c>
      <c r="X236" s="8" t="str">
        <f>IFERROR(VLOOKUP($A236,'Project Reference'!$B$2:$P$41,15), " ")</f>
        <v xml:space="preserve"> </v>
      </c>
      <c r="Y236" s="9" t="str">
        <f>IFERROR(VLOOKUP($A236,'Project Reference'!$B$2:$Q$41,16), " ")</f>
        <v xml:space="preserve"> </v>
      </c>
      <c r="Z236" s="22"/>
    </row>
    <row r="237" spans="1:26" s="1" customFormat="1" x14ac:dyDescent="0.45">
      <c r="A237" s="70"/>
      <c r="B237" s="53" t="str">
        <f>IFERROR(VLOOKUP($A237,'Project Reference'!$S$2:$T$41,2),"Enter Project Number")</f>
        <v>Enter Project Number</v>
      </c>
      <c r="C237" s="54"/>
      <c r="D237" s="8"/>
      <c r="E237" s="8"/>
      <c r="F237" s="8"/>
      <c r="G237" s="8"/>
      <c r="H237" s="47"/>
      <c r="I237" s="9"/>
      <c r="J237" s="23"/>
      <c r="K237" s="47" t="str">
        <f>IFERROR(VLOOKUP($A237,'Project Reference'!$B$2:$C$41,2), " ")</f>
        <v xml:space="preserve"> </v>
      </c>
      <c r="L237" s="8" t="str">
        <f>IFERROR(VLOOKUP($A237,'Project Reference'!$B$2:$D$41,3), " ")</f>
        <v xml:space="preserve"> </v>
      </c>
      <c r="M237" s="54" t="str">
        <f>IFERROR(VLOOKUP($A237,'Project Reference'!$B$2:$E$41,4), " ")</f>
        <v xml:space="preserve"> </v>
      </c>
      <c r="N237" s="8" t="str">
        <f>IFERROR(VLOOKUP($A237,'Project Reference'!$B$2:$F$41,5), " ")</f>
        <v xml:space="preserve"> </v>
      </c>
      <c r="O237" s="8" t="str">
        <f>IFERROR(VLOOKUP($A237,'Project Reference'!$B$2:$G$41,6), " ")</f>
        <v xml:space="preserve"> </v>
      </c>
      <c r="P237" s="8" t="str">
        <f>IFERROR(VLOOKUP($A237,'Project Reference'!$B$2:$H$41,7), " ")</f>
        <v xml:space="preserve"> </v>
      </c>
      <c r="Q237" s="8" t="str">
        <f>IFERROR(VLOOKUP($A237,'Project Reference'!$B$2:$I$41,8), " ")</f>
        <v xml:space="preserve"> </v>
      </c>
      <c r="R237" s="8" t="str">
        <f>IFERROR(VLOOKUP($A237,'Project Reference'!$B$2:$J$41,9), " ")</f>
        <v xml:space="preserve"> </v>
      </c>
      <c r="S237" s="8" t="str">
        <f>IFERROR(VLOOKUP($A237,'Project Reference'!$B$2:$K$41,10), " ")</f>
        <v xml:space="preserve"> </v>
      </c>
      <c r="T237" s="8" t="str">
        <f>IFERROR(VLOOKUP($A237,'Project Reference'!$B$2:$L$41,11), " ")</f>
        <v xml:space="preserve"> </v>
      </c>
      <c r="U237" s="8" t="str">
        <f>IFERROR(VLOOKUP($A237,'Project Reference'!$B$2:$M$41,12), " ")</f>
        <v xml:space="preserve"> </v>
      </c>
      <c r="V237" s="8" t="str">
        <f>IFERROR(VLOOKUP($A237,'Project Reference'!$B$2:$N$41,13), " ")</f>
        <v xml:space="preserve"> </v>
      </c>
      <c r="W237" s="8" t="str">
        <f>IFERROR(VLOOKUP($A237,'Project Reference'!$B$2:$O$41,14), " ")</f>
        <v xml:space="preserve"> </v>
      </c>
      <c r="X237" s="8" t="str">
        <f>IFERROR(VLOOKUP($A237,'Project Reference'!$B$2:$P$41,15), " ")</f>
        <v xml:space="preserve"> </v>
      </c>
      <c r="Y237" s="9" t="str">
        <f>IFERROR(VLOOKUP($A237,'Project Reference'!$B$2:$Q$41,16), " ")</f>
        <v xml:space="preserve"> </v>
      </c>
      <c r="Z237" s="22"/>
    </row>
    <row r="238" spans="1:26" s="1" customFormat="1" x14ac:dyDescent="0.45">
      <c r="A238" s="70"/>
      <c r="B238" s="53" t="str">
        <f>IFERROR(VLOOKUP($A238,'Project Reference'!$S$2:$T$41,2),"Enter Project Number")</f>
        <v>Enter Project Number</v>
      </c>
      <c r="C238" s="54"/>
      <c r="D238" s="8"/>
      <c r="E238" s="8"/>
      <c r="F238" s="8"/>
      <c r="G238" s="8"/>
      <c r="H238" s="47"/>
      <c r="I238" s="9"/>
      <c r="J238" s="23"/>
      <c r="K238" s="47" t="str">
        <f>IFERROR(VLOOKUP($A238,'Project Reference'!$B$2:$C$41,2), " ")</f>
        <v xml:space="preserve"> </v>
      </c>
      <c r="L238" s="8" t="str">
        <f>IFERROR(VLOOKUP($A238,'Project Reference'!$B$2:$D$41,3), " ")</f>
        <v xml:space="preserve"> </v>
      </c>
      <c r="M238" s="54" t="str">
        <f>IFERROR(VLOOKUP($A238,'Project Reference'!$B$2:$E$41,4), " ")</f>
        <v xml:space="preserve"> </v>
      </c>
      <c r="N238" s="8" t="str">
        <f>IFERROR(VLOOKUP($A238,'Project Reference'!$B$2:$F$41,5), " ")</f>
        <v xml:space="preserve"> </v>
      </c>
      <c r="O238" s="8" t="str">
        <f>IFERROR(VLOOKUP($A238,'Project Reference'!$B$2:$G$41,6), " ")</f>
        <v xml:space="preserve"> </v>
      </c>
      <c r="P238" s="8" t="str">
        <f>IFERROR(VLOOKUP($A238,'Project Reference'!$B$2:$H$41,7), " ")</f>
        <v xml:space="preserve"> </v>
      </c>
      <c r="Q238" s="8" t="str">
        <f>IFERROR(VLOOKUP($A238,'Project Reference'!$B$2:$I$41,8), " ")</f>
        <v xml:space="preserve"> </v>
      </c>
      <c r="R238" s="8" t="str">
        <f>IFERROR(VLOOKUP($A238,'Project Reference'!$B$2:$J$41,9), " ")</f>
        <v xml:space="preserve"> </v>
      </c>
      <c r="S238" s="8" t="str">
        <f>IFERROR(VLOOKUP($A238,'Project Reference'!$B$2:$K$41,10), " ")</f>
        <v xml:space="preserve"> </v>
      </c>
      <c r="T238" s="8" t="str">
        <f>IFERROR(VLOOKUP($A238,'Project Reference'!$B$2:$L$41,11), " ")</f>
        <v xml:space="preserve"> </v>
      </c>
      <c r="U238" s="8" t="str">
        <f>IFERROR(VLOOKUP($A238,'Project Reference'!$B$2:$M$41,12), " ")</f>
        <v xml:space="preserve"> </v>
      </c>
      <c r="V238" s="8" t="str">
        <f>IFERROR(VLOOKUP($A238,'Project Reference'!$B$2:$N$41,13), " ")</f>
        <v xml:space="preserve"> </v>
      </c>
      <c r="W238" s="8" t="str">
        <f>IFERROR(VLOOKUP($A238,'Project Reference'!$B$2:$O$41,14), " ")</f>
        <v xml:space="preserve"> </v>
      </c>
      <c r="X238" s="8" t="str">
        <f>IFERROR(VLOOKUP($A238,'Project Reference'!$B$2:$P$41,15), " ")</f>
        <v xml:space="preserve"> </v>
      </c>
      <c r="Y238" s="9" t="str">
        <f>IFERROR(VLOOKUP($A238,'Project Reference'!$B$2:$Q$41,16), " ")</f>
        <v xml:space="preserve"> </v>
      </c>
      <c r="Z238" s="22"/>
    </row>
    <row r="239" spans="1:26" s="1" customFormat="1" x14ac:dyDescent="0.45">
      <c r="A239" s="70"/>
      <c r="B239" s="53" t="str">
        <f>IFERROR(VLOOKUP($A239,'Project Reference'!$S$2:$T$41,2),"Enter Project Number")</f>
        <v>Enter Project Number</v>
      </c>
      <c r="C239" s="54"/>
      <c r="D239" s="8"/>
      <c r="E239" s="8"/>
      <c r="F239" s="8"/>
      <c r="G239" s="8"/>
      <c r="H239" s="47"/>
      <c r="I239" s="9"/>
      <c r="J239" s="23"/>
      <c r="K239" s="47" t="str">
        <f>IFERROR(VLOOKUP($A239,'Project Reference'!$B$2:$C$41,2), " ")</f>
        <v xml:space="preserve"> </v>
      </c>
      <c r="L239" s="8" t="str">
        <f>IFERROR(VLOOKUP($A239,'Project Reference'!$B$2:$D$41,3), " ")</f>
        <v xml:space="preserve"> </v>
      </c>
      <c r="M239" s="54" t="str">
        <f>IFERROR(VLOOKUP($A239,'Project Reference'!$B$2:$E$41,4), " ")</f>
        <v xml:space="preserve"> </v>
      </c>
      <c r="N239" s="8" t="str">
        <f>IFERROR(VLOOKUP($A239,'Project Reference'!$B$2:$F$41,5), " ")</f>
        <v xml:space="preserve"> </v>
      </c>
      <c r="O239" s="8" t="str">
        <f>IFERROR(VLOOKUP($A239,'Project Reference'!$B$2:$G$41,6), " ")</f>
        <v xml:space="preserve"> </v>
      </c>
      <c r="P239" s="8" t="str">
        <f>IFERROR(VLOOKUP($A239,'Project Reference'!$B$2:$H$41,7), " ")</f>
        <v xml:space="preserve"> </v>
      </c>
      <c r="Q239" s="8" t="str">
        <f>IFERROR(VLOOKUP($A239,'Project Reference'!$B$2:$I$41,8), " ")</f>
        <v xml:space="preserve"> </v>
      </c>
      <c r="R239" s="8" t="str">
        <f>IFERROR(VLOOKUP($A239,'Project Reference'!$B$2:$J$41,9), " ")</f>
        <v xml:space="preserve"> </v>
      </c>
      <c r="S239" s="8" t="str">
        <f>IFERROR(VLOOKUP($A239,'Project Reference'!$B$2:$K$41,10), " ")</f>
        <v xml:space="preserve"> </v>
      </c>
      <c r="T239" s="8" t="str">
        <f>IFERROR(VLOOKUP($A239,'Project Reference'!$B$2:$L$41,11), " ")</f>
        <v xml:space="preserve"> </v>
      </c>
      <c r="U239" s="8" t="str">
        <f>IFERROR(VLOOKUP($A239,'Project Reference'!$B$2:$M$41,12), " ")</f>
        <v xml:space="preserve"> </v>
      </c>
      <c r="V239" s="8" t="str">
        <f>IFERROR(VLOOKUP($A239,'Project Reference'!$B$2:$N$41,13), " ")</f>
        <v xml:space="preserve"> </v>
      </c>
      <c r="W239" s="8" t="str">
        <f>IFERROR(VLOOKUP($A239,'Project Reference'!$B$2:$O$41,14), " ")</f>
        <v xml:space="preserve"> </v>
      </c>
      <c r="X239" s="8" t="str">
        <f>IFERROR(VLOOKUP($A239,'Project Reference'!$B$2:$P$41,15), " ")</f>
        <v xml:space="preserve"> </v>
      </c>
      <c r="Y239" s="9" t="str">
        <f>IFERROR(VLOOKUP($A239,'Project Reference'!$B$2:$Q$41,16), " ")</f>
        <v xml:space="preserve"> </v>
      </c>
      <c r="Z239" s="22"/>
    </row>
    <row r="240" spans="1:26" s="1" customFormat="1" x14ac:dyDescent="0.45">
      <c r="A240" s="70"/>
      <c r="B240" s="53" t="str">
        <f>IFERROR(VLOOKUP($A240,'Project Reference'!$S$2:$T$41,2),"Enter Project Number")</f>
        <v>Enter Project Number</v>
      </c>
      <c r="C240" s="54"/>
      <c r="D240" s="8"/>
      <c r="E240" s="8"/>
      <c r="F240" s="8"/>
      <c r="G240" s="8"/>
      <c r="H240" s="47"/>
      <c r="I240" s="9"/>
      <c r="J240" s="23"/>
      <c r="K240" s="47" t="str">
        <f>IFERROR(VLOOKUP($A240,'Project Reference'!$B$2:$C$41,2), " ")</f>
        <v xml:space="preserve"> </v>
      </c>
      <c r="L240" s="8" t="str">
        <f>IFERROR(VLOOKUP($A240,'Project Reference'!$B$2:$D$41,3), " ")</f>
        <v xml:space="preserve"> </v>
      </c>
      <c r="M240" s="54" t="str">
        <f>IFERROR(VLOOKUP($A240,'Project Reference'!$B$2:$E$41,4), " ")</f>
        <v xml:space="preserve"> </v>
      </c>
      <c r="N240" s="8" t="str">
        <f>IFERROR(VLOOKUP($A240,'Project Reference'!$B$2:$F$41,5), " ")</f>
        <v xml:space="preserve"> </v>
      </c>
      <c r="O240" s="8" t="str">
        <f>IFERROR(VLOOKUP($A240,'Project Reference'!$B$2:$G$41,6), " ")</f>
        <v xml:space="preserve"> </v>
      </c>
      <c r="P240" s="8" t="str">
        <f>IFERROR(VLOOKUP($A240,'Project Reference'!$B$2:$H$41,7), " ")</f>
        <v xml:space="preserve"> </v>
      </c>
      <c r="Q240" s="8" t="str">
        <f>IFERROR(VLOOKUP($A240,'Project Reference'!$B$2:$I$41,8), " ")</f>
        <v xml:space="preserve"> </v>
      </c>
      <c r="R240" s="8" t="str">
        <f>IFERROR(VLOOKUP($A240,'Project Reference'!$B$2:$J$41,9), " ")</f>
        <v xml:space="preserve"> </v>
      </c>
      <c r="S240" s="8" t="str">
        <f>IFERROR(VLOOKUP($A240,'Project Reference'!$B$2:$K$41,10), " ")</f>
        <v xml:space="preserve"> </v>
      </c>
      <c r="T240" s="8" t="str">
        <f>IFERROR(VLOOKUP($A240,'Project Reference'!$B$2:$L$41,11), " ")</f>
        <v xml:space="preserve"> </v>
      </c>
      <c r="U240" s="8" t="str">
        <f>IFERROR(VLOOKUP($A240,'Project Reference'!$B$2:$M$41,12), " ")</f>
        <v xml:space="preserve"> </v>
      </c>
      <c r="V240" s="8" t="str">
        <f>IFERROR(VLOOKUP($A240,'Project Reference'!$B$2:$N$41,13), " ")</f>
        <v xml:space="preserve"> </v>
      </c>
      <c r="W240" s="8" t="str">
        <f>IFERROR(VLOOKUP($A240,'Project Reference'!$B$2:$O$41,14), " ")</f>
        <v xml:space="preserve"> </v>
      </c>
      <c r="X240" s="8" t="str">
        <f>IFERROR(VLOOKUP($A240,'Project Reference'!$B$2:$P$41,15), " ")</f>
        <v xml:space="preserve"> </v>
      </c>
      <c r="Y240" s="9" t="str">
        <f>IFERROR(VLOOKUP($A240,'Project Reference'!$B$2:$Q$41,16), " ")</f>
        <v xml:space="preserve"> </v>
      </c>
      <c r="Z240" s="22"/>
    </row>
    <row r="241" spans="1:26" s="1" customFormat="1" x14ac:dyDescent="0.45">
      <c r="A241" s="70"/>
      <c r="B241" s="53" t="str">
        <f>IFERROR(VLOOKUP($A241,'Project Reference'!$S$2:$T$41,2),"Enter Project Number")</f>
        <v>Enter Project Number</v>
      </c>
      <c r="C241" s="54"/>
      <c r="D241" s="8"/>
      <c r="E241" s="8"/>
      <c r="F241" s="8"/>
      <c r="G241" s="8"/>
      <c r="H241" s="47"/>
      <c r="I241" s="9"/>
      <c r="J241" s="23"/>
      <c r="K241" s="47" t="str">
        <f>IFERROR(VLOOKUP($A241,'Project Reference'!$B$2:$C$41,2), " ")</f>
        <v xml:space="preserve"> </v>
      </c>
      <c r="L241" s="8" t="str">
        <f>IFERROR(VLOOKUP($A241,'Project Reference'!$B$2:$D$41,3), " ")</f>
        <v xml:space="preserve"> </v>
      </c>
      <c r="M241" s="54" t="str">
        <f>IFERROR(VLOOKUP($A241,'Project Reference'!$B$2:$E$41,4), " ")</f>
        <v xml:space="preserve"> </v>
      </c>
      <c r="N241" s="8" t="str">
        <f>IFERROR(VLOOKUP($A241,'Project Reference'!$B$2:$F$41,5), " ")</f>
        <v xml:space="preserve"> </v>
      </c>
      <c r="O241" s="8" t="str">
        <f>IFERROR(VLOOKUP($A241,'Project Reference'!$B$2:$G$41,6), " ")</f>
        <v xml:space="preserve"> </v>
      </c>
      <c r="P241" s="8" t="str">
        <f>IFERROR(VLOOKUP($A241,'Project Reference'!$B$2:$H$41,7), " ")</f>
        <v xml:space="preserve"> </v>
      </c>
      <c r="Q241" s="8" t="str">
        <f>IFERROR(VLOOKUP($A241,'Project Reference'!$B$2:$I$41,8), " ")</f>
        <v xml:space="preserve"> </v>
      </c>
      <c r="R241" s="8" t="str">
        <f>IFERROR(VLOOKUP($A241,'Project Reference'!$B$2:$J$41,9), " ")</f>
        <v xml:space="preserve"> </v>
      </c>
      <c r="S241" s="8" t="str">
        <f>IFERROR(VLOOKUP($A241,'Project Reference'!$B$2:$K$41,10), " ")</f>
        <v xml:space="preserve"> </v>
      </c>
      <c r="T241" s="8" t="str">
        <f>IFERROR(VLOOKUP($A241,'Project Reference'!$B$2:$L$41,11), " ")</f>
        <v xml:space="preserve"> </v>
      </c>
      <c r="U241" s="8" t="str">
        <f>IFERROR(VLOOKUP($A241,'Project Reference'!$B$2:$M$41,12), " ")</f>
        <v xml:space="preserve"> </v>
      </c>
      <c r="V241" s="8" t="str">
        <f>IFERROR(VLOOKUP($A241,'Project Reference'!$B$2:$N$41,13), " ")</f>
        <v xml:space="preserve"> </v>
      </c>
      <c r="W241" s="8" t="str">
        <f>IFERROR(VLOOKUP($A241,'Project Reference'!$B$2:$O$41,14), " ")</f>
        <v xml:space="preserve"> </v>
      </c>
      <c r="X241" s="8" t="str">
        <f>IFERROR(VLOOKUP($A241,'Project Reference'!$B$2:$P$41,15), " ")</f>
        <v xml:space="preserve"> </v>
      </c>
      <c r="Y241" s="9" t="str">
        <f>IFERROR(VLOOKUP($A241,'Project Reference'!$B$2:$Q$41,16), " ")</f>
        <v xml:space="preserve"> </v>
      </c>
      <c r="Z241" s="22"/>
    </row>
    <row r="242" spans="1:26" s="1" customFormat="1" x14ac:dyDescent="0.45">
      <c r="A242" s="70"/>
      <c r="B242" s="53" t="str">
        <f>IFERROR(VLOOKUP($A242,'Project Reference'!$S$2:$T$41,2),"Enter Project Number")</f>
        <v>Enter Project Number</v>
      </c>
      <c r="C242" s="54"/>
      <c r="D242" s="8"/>
      <c r="E242" s="8"/>
      <c r="F242" s="8"/>
      <c r="G242" s="8"/>
      <c r="H242" s="47"/>
      <c r="I242" s="9"/>
      <c r="J242" s="23"/>
      <c r="K242" s="47" t="str">
        <f>IFERROR(VLOOKUP($A242,'Project Reference'!$B$2:$C$41,2), " ")</f>
        <v xml:space="preserve"> </v>
      </c>
      <c r="L242" s="8" t="str">
        <f>IFERROR(VLOOKUP($A242,'Project Reference'!$B$2:$D$41,3), " ")</f>
        <v xml:space="preserve"> </v>
      </c>
      <c r="M242" s="54" t="str">
        <f>IFERROR(VLOOKUP($A242,'Project Reference'!$B$2:$E$41,4), " ")</f>
        <v xml:space="preserve"> </v>
      </c>
      <c r="N242" s="8" t="str">
        <f>IFERROR(VLOOKUP($A242,'Project Reference'!$B$2:$F$41,5), " ")</f>
        <v xml:space="preserve"> </v>
      </c>
      <c r="O242" s="8" t="str">
        <f>IFERROR(VLOOKUP($A242,'Project Reference'!$B$2:$G$41,6), " ")</f>
        <v xml:space="preserve"> </v>
      </c>
      <c r="P242" s="8" t="str">
        <f>IFERROR(VLOOKUP($A242,'Project Reference'!$B$2:$H$41,7), " ")</f>
        <v xml:space="preserve"> </v>
      </c>
      <c r="Q242" s="8" t="str">
        <f>IFERROR(VLOOKUP($A242,'Project Reference'!$B$2:$I$41,8), " ")</f>
        <v xml:space="preserve"> </v>
      </c>
      <c r="R242" s="8" t="str">
        <f>IFERROR(VLOOKUP($A242,'Project Reference'!$B$2:$J$41,9), " ")</f>
        <v xml:space="preserve"> </v>
      </c>
      <c r="S242" s="8" t="str">
        <f>IFERROR(VLOOKUP($A242,'Project Reference'!$B$2:$K$41,10), " ")</f>
        <v xml:space="preserve"> </v>
      </c>
      <c r="T242" s="8" t="str">
        <f>IFERROR(VLOOKUP($A242,'Project Reference'!$B$2:$L$41,11), " ")</f>
        <v xml:space="preserve"> </v>
      </c>
      <c r="U242" s="8" t="str">
        <f>IFERROR(VLOOKUP($A242,'Project Reference'!$B$2:$M$41,12), " ")</f>
        <v xml:space="preserve"> </v>
      </c>
      <c r="V242" s="8" t="str">
        <f>IFERROR(VLOOKUP($A242,'Project Reference'!$B$2:$N$41,13), " ")</f>
        <v xml:space="preserve"> </v>
      </c>
      <c r="W242" s="8" t="str">
        <f>IFERROR(VLOOKUP($A242,'Project Reference'!$B$2:$O$41,14), " ")</f>
        <v xml:space="preserve"> </v>
      </c>
      <c r="X242" s="8" t="str">
        <f>IFERROR(VLOOKUP($A242,'Project Reference'!$B$2:$P$41,15), " ")</f>
        <v xml:space="preserve"> </v>
      </c>
      <c r="Y242" s="9" t="str">
        <f>IFERROR(VLOOKUP($A242,'Project Reference'!$B$2:$Q$41,16), " ")</f>
        <v xml:space="preserve"> </v>
      </c>
      <c r="Z242" s="22"/>
    </row>
    <row r="243" spans="1:26" s="1" customFormat="1" x14ac:dyDescent="0.45">
      <c r="A243" s="70"/>
      <c r="B243" s="53" t="str">
        <f>IFERROR(VLOOKUP($A243,'Project Reference'!$S$2:$T$41,2),"Enter Project Number")</f>
        <v>Enter Project Number</v>
      </c>
      <c r="C243" s="54"/>
      <c r="D243" s="8"/>
      <c r="E243" s="8"/>
      <c r="F243" s="8"/>
      <c r="G243" s="8"/>
      <c r="H243" s="47"/>
      <c r="I243" s="9"/>
      <c r="J243" s="23"/>
      <c r="K243" s="47" t="str">
        <f>IFERROR(VLOOKUP($A243,'Project Reference'!$B$2:$C$41,2), " ")</f>
        <v xml:space="preserve"> </v>
      </c>
      <c r="L243" s="8" t="str">
        <f>IFERROR(VLOOKUP($A243,'Project Reference'!$B$2:$D$41,3), " ")</f>
        <v xml:space="preserve"> </v>
      </c>
      <c r="M243" s="54" t="str">
        <f>IFERROR(VLOOKUP($A243,'Project Reference'!$B$2:$E$41,4), " ")</f>
        <v xml:space="preserve"> </v>
      </c>
      <c r="N243" s="8" t="str">
        <f>IFERROR(VLOOKUP($A243,'Project Reference'!$B$2:$F$41,5), " ")</f>
        <v xml:space="preserve"> </v>
      </c>
      <c r="O243" s="8" t="str">
        <f>IFERROR(VLOOKUP($A243,'Project Reference'!$B$2:$G$41,6), " ")</f>
        <v xml:space="preserve"> </v>
      </c>
      <c r="P243" s="8" t="str">
        <f>IFERROR(VLOOKUP($A243,'Project Reference'!$B$2:$H$41,7), " ")</f>
        <v xml:space="preserve"> </v>
      </c>
      <c r="Q243" s="8" t="str">
        <f>IFERROR(VLOOKUP($A243,'Project Reference'!$B$2:$I$41,8), " ")</f>
        <v xml:space="preserve"> </v>
      </c>
      <c r="R243" s="8" t="str">
        <f>IFERROR(VLOOKUP($A243,'Project Reference'!$B$2:$J$41,9), " ")</f>
        <v xml:space="preserve"> </v>
      </c>
      <c r="S243" s="8" t="str">
        <f>IFERROR(VLOOKUP($A243,'Project Reference'!$B$2:$K$41,10), " ")</f>
        <v xml:space="preserve"> </v>
      </c>
      <c r="T243" s="8" t="str">
        <f>IFERROR(VLOOKUP($A243,'Project Reference'!$B$2:$L$41,11), " ")</f>
        <v xml:space="preserve"> </v>
      </c>
      <c r="U243" s="8" t="str">
        <f>IFERROR(VLOOKUP($A243,'Project Reference'!$B$2:$M$41,12), " ")</f>
        <v xml:space="preserve"> </v>
      </c>
      <c r="V243" s="8" t="str">
        <f>IFERROR(VLOOKUP($A243,'Project Reference'!$B$2:$N$41,13), " ")</f>
        <v xml:space="preserve"> </v>
      </c>
      <c r="W243" s="8" t="str">
        <f>IFERROR(VLOOKUP($A243,'Project Reference'!$B$2:$O$41,14), " ")</f>
        <v xml:space="preserve"> </v>
      </c>
      <c r="X243" s="8" t="str">
        <f>IFERROR(VLOOKUP($A243,'Project Reference'!$B$2:$P$41,15), " ")</f>
        <v xml:space="preserve"> </v>
      </c>
      <c r="Y243" s="9" t="str">
        <f>IFERROR(VLOOKUP($A243,'Project Reference'!$B$2:$Q$41,16), " ")</f>
        <v xml:space="preserve"> </v>
      </c>
      <c r="Z243" s="22"/>
    </row>
    <row r="244" spans="1:26" s="1" customFormat="1" x14ac:dyDescent="0.45">
      <c r="A244" s="70"/>
      <c r="B244" s="53" t="str">
        <f>IFERROR(VLOOKUP($A244,'Project Reference'!$S$2:$T$41,2),"Enter Project Number")</f>
        <v>Enter Project Number</v>
      </c>
      <c r="C244" s="54"/>
      <c r="D244" s="8"/>
      <c r="E244" s="8"/>
      <c r="F244" s="8"/>
      <c r="G244" s="8"/>
      <c r="H244" s="47"/>
      <c r="I244" s="9"/>
      <c r="J244" s="23"/>
      <c r="K244" s="47" t="str">
        <f>IFERROR(VLOOKUP($A244,'Project Reference'!$B$2:$C$41,2), " ")</f>
        <v xml:space="preserve"> </v>
      </c>
      <c r="L244" s="8" t="str">
        <f>IFERROR(VLOOKUP($A244,'Project Reference'!$B$2:$D$41,3), " ")</f>
        <v xml:space="preserve"> </v>
      </c>
      <c r="M244" s="54" t="str">
        <f>IFERROR(VLOOKUP($A244,'Project Reference'!$B$2:$E$41,4), " ")</f>
        <v xml:space="preserve"> </v>
      </c>
      <c r="N244" s="8" t="str">
        <f>IFERROR(VLOOKUP($A244,'Project Reference'!$B$2:$F$41,5), " ")</f>
        <v xml:space="preserve"> </v>
      </c>
      <c r="O244" s="8" t="str">
        <f>IFERROR(VLOOKUP($A244,'Project Reference'!$B$2:$G$41,6), " ")</f>
        <v xml:space="preserve"> </v>
      </c>
      <c r="P244" s="8" t="str">
        <f>IFERROR(VLOOKUP($A244,'Project Reference'!$B$2:$H$41,7), " ")</f>
        <v xml:space="preserve"> </v>
      </c>
      <c r="Q244" s="8" t="str">
        <f>IFERROR(VLOOKUP($A244,'Project Reference'!$B$2:$I$41,8), " ")</f>
        <v xml:space="preserve"> </v>
      </c>
      <c r="R244" s="8" t="str">
        <f>IFERROR(VLOOKUP($A244,'Project Reference'!$B$2:$J$41,9), " ")</f>
        <v xml:space="preserve"> </v>
      </c>
      <c r="S244" s="8" t="str">
        <f>IFERROR(VLOOKUP($A244,'Project Reference'!$B$2:$K$41,10), " ")</f>
        <v xml:space="preserve"> </v>
      </c>
      <c r="T244" s="8" t="str">
        <f>IFERROR(VLOOKUP($A244,'Project Reference'!$B$2:$L$41,11), " ")</f>
        <v xml:space="preserve"> </v>
      </c>
      <c r="U244" s="8" t="str">
        <f>IFERROR(VLOOKUP($A244,'Project Reference'!$B$2:$M$41,12), " ")</f>
        <v xml:space="preserve"> </v>
      </c>
      <c r="V244" s="8" t="str">
        <f>IFERROR(VLOOKUP($A244,'Project Reference'!$B$2:$N$41,13), " ")</f>
        <v xml:space="preserve"> </v>
      </c>
      <c r="W244" s="8" t="str">
        <f>IFERROR(VLOOKUP($A244,'Project Reference'!$B$2:$O$41,14), " ")</f>
        <v xml:space="preserve"> </v>
      </c>
      <c r="X244" s="8" t="str">
        <f>IFERROR(VLOOKUP($A244,'Project Reference'!$B$2:$P$41,15), " ")</f>
        <v xml:space="preserve"> </v>
      </c>
      <c r="Y244" s="9" t="str">
        <f>IFERROR(VLOOKUP($A244,'Project Reference'!$B$2:$Q$41,16), " ")</f>
        <v xml:space="preserve"> </v>
      </c>
      <c r="Z244" s="22"/>
    </row>
    <row r="245" spans="1:26" s="1" customFormat="1" x14ac:dyDescent="0.45">
      <c r="A245" s="70"/>
      <c r="B245" s="53" t="str">
        <f>IFERROR(VLOOKUP($A245,'Project Reference'!$S$2:$T$41,2),"Enter Project Number")</f>
        <v>Enter Project Number</v>
      </c>
      <c r="C245" s="54"/>
      <c r="D245" s="8"/>
      <c r="E245" s="8"/>
      <c r="F245" s="8"/>
      <c r="G245" s="8"/>
      <c r="H245" s="47"/>
      <c r="I245" s="9"/>
      <c r="J245" s="23"/>
      <c r="K245" s="47" t="str">
        <f>IFERROR(VLOOKUP($A245,'Project Reference'!$B$2:$C$41,2), " ")</f>
        <v xml:space="preserve"> </v>
      </c>
      <c r="L245" s="8" t="str">
        <f>IFERROR(VLOOKUP($A245,'Project Reference'!$B$2:$D$41,3), " ")</f>
        <v xml:space="preserve"> </v>
      </c>
      <c r="M245" s="54" t="str">
        <f>IFERROR(VLOOKUP($A245,'Project Reference'!$B$2:$E$41,4), " ")</f>
        <v xml:space="preserve"> </v>
      </c>
      <c r="N245" s="8" t="str">
        <f>IFERROR(VLOOKUP($A245,'Project Reference'!$B$2:$F$41,5), " ")</f>
        <v xml:space="preserve"> </v>
      </c>
      <c r="O245" s="8" t="str">
        <f>IFERROR(VLOOKUP($A245,'Project Reference'!$B$2:$G$41,6), " ")</f>
        <v xml:space="preserve"> </v>
      </c>
      <c r="P245" s="8" t="str">
        <f>IFERROR(VLOOKUP($A245,'Project Reference'!$B$2:$H$41,7), " ")</f>
        <v xml:space="preserve"> </v>
      </c>
      <c r="Q245" s="8" t="str">
        <f>IFERROR(VLOOKUP($A245,'Project Reference'!$B$2:$I$41,8), " ")</f>
        <v xml:space="preserve"> </v>
      </c>
      <c r="R245" s="8" t="str">
        <f>IFERROR(VLOOKUP($A245,'Project Reference'!$B$2:$J$41,9), " ")</f>
        <v xml:space="preserve"> </v>
      </c>
      <c r="S245" s="8" t="str">
        <f>IFERROR(VLOOKUP($A245,'Project Reference'!$B$2:$K$41,10), " ")</f>
        <v xml:space="preserve"> </v>
      </c>
      <c r="T245" s="8" t="str">
        <f>IFERROR(VLOOKUP($A245,'Project Reference'!$B$2:$L$41,11), " ")</f>
        <v xml:space="preserve"> </v>
      </c>
      <c r="U245" s="8" t="str">
        <f>IFERROR(VLOOKUP($A245,'Project Reference'!$B$2:$M$41,12), " ")</f>
        <v xml:space="preserve"> </v>
      </c>
      <c r="V245" s="8" t="str">
        <f>IFERROR(VLOOKUP($A245,'Project Reference'!$B$2:$N$41,13), " ")</f>
        <v xml:space="preserve"> </v>
      </c>
      <c r="W245" s="8" t="str">
        <f>IFERROR(VLOOKUP($A245,'Project Reference'!$B$2:$O$41,14), " ")</f>
        <v xml:space="preserve"> </v>
      </c>
      <c r="X245" s="8" t="str">
        <f>IFERROR(VLOOKUP($A245,'Project Reference'!$B$2:$P$41,15), " ")</f>
        <v xml:space="preserve"> </v>
      </c>
      <c r="Y245" s="9" t="str">
        <f>IFERROR(VLOOKUP($A245,'Project Reference'!$B$2:$Q$41,16), " ")</f>
        <v xml:space="preserve"> </v>
      </c>
      <c r="Z245" s="22"/>
    </row>
    <row r="246" spans="1:26" s="1" customFormat="1" x14ac:dyDescent="0.45">
      <c r="A246" s="70"/>
      <c r="B246" s="53" t="str">
        <f>IFERROR(VLOOKUP($A246,'Project Reference'!$S$2:$T$41,2),"Enter Project Number")</f>
        <v>Enter Project Number</v>
      </c>
      <c r="C246" s="54"/>
      <c r="D246" s="8"/>
      <c r="E246" s="8"/>
      <c r="F246" s="8"/>
      <c r="G246" s="8"/>
      <c r="H246" s="47"/>
      <c r="I246" s="9"/>
      <c r="J246" s="23"/>
      <c r="K246" s="47" t="str">
        <f>IFERROR(VLOOKUP($A246,'Project Reference'!$B$2:$C$41,2), " ")</f>
        <v xml:space="preserve"> </v>
      </c>
      <c r="L246" s="8" t="str">
        <f>IFERROR(VLOOKUP($A246,'Project Reference'!$B$2:$D$41,3), " ")</f>
        <v xml:space="preserve"> </v>
      </c>
      <c r="M246" s="54" t="str">
        <f>IFERROR(VLOOKUP($A246,'Project Reference'!$B$2:$E$41,4), " ")</f>
        <v xml:space="preserve"> </v>
      </c>
      <c r="N246" s="8" t="str">
        <f>IFERROR(VLOOKUP($A246,'Project Reference'!$B$2:$F$41,5), " ")</f>
        <v xml:space="preserve"> </v>
      </c>
      <c r="O246" s="8" t="str">
        <f>IFERROR(VLOOKUP($A246,'Project Reference'!$B$2:$G$41,6), " ")</f>
        <v xml:space="preserve"> </v>
      </c>
      <c r="P246" s="8" t="str">
        <f>IFERROR(VLOOKUP($A246,'Project Reference'!$B$2:$H$41,7), " ")</f>
        <v xml:space="preserve"> </v>
      </c>
      <c r="Q246" s="8" t="str">
        <f>IFERROR(VLOOKUP($A246,'Project Reference'!$B$2:$I$41,8), " ")</f>
        <v xml:space="preserve"> </v>
      </c>
      <c r="R246" s="8" t="str">
        <f>IFERROR(VLOOKUP($A246,'Project Reference'!$B$2:$J$41,9), " ")</f>
        <v xml:space="preserve"> </v>
      </c>
      <c r="S246" s="8" t="str">
        <f>IFERROR(VLOOKUP($A246,'Project Reference'!$B$2:$K$41,10), " ")</f>
        <v xml:space="preserve"> </v>
      </c>
      <c r="T246" s="8" t="str">
        <f>IFERROR(VLOOKUP($A246,'Project Reference'!$B$2:$L$41,11), " ")</f>
        <v xml:space="preserve"> </v>
      </c>
      <c r="U246" s="8" t="str">
        <f>IFERROR(VLOOKUP($A246,'Project Reference'!$B$2:$M$41,12), " ")</f>
        <v xml:space="preserve"> </v>
      </c>
      <c r="V246" s="8" t="str">
        <f>IFERROR(VLOOKUP($A246,'Project Reference'!$B$2:$N$41,13), " ")</f>
        <v xml:space="preserve"> </v>
      </c>
      <c r="W246" s="8" t="str">
        <f>IFERROR(VLOOKUP($A246,'Project Reference'!$B$2:$O$41,14), " ")</f>
        <v xml:space="preserve"> </v>
      </c>
      <c r="X246" s="8" t="str">
        <f>IFERROR(VLOOKUP($A246,'Project Reference'!$B$2:$P$41,15), " ")</f>
        <v xml:space="preserve"> </v>
      </c>
      <c r="Y246" s="9" t="str">
        <f>IFERROR(VLOOKUP($A246,'Project Reference'!$B$2:$Q$41,16), " ")</f>
        <v xml:space="preserve"> </v>
      </c>
      <c r="Z246" s="22"/>
    </row>
    <row r="247" spans="1:26" s="1" customFormat="1" x14ac:dyDescent="0.45">
      <c r="A247" s="70"/>
      <c r="B247" s="53" t="str">
        <f>IFERROR(VLOOKUP($A247,'Project Reference'!$S$2:$T$41,2),"Enter Project Number")</f>
        <v>Enter Project Number</v>
      </c>
      <c r="C247" s="54"/>
      <c r="D247" s="8"/>
      <c r="E247" s="8"/>
      <c r="F247" s="8"/>
      <c r="G247" s="8"/>
      <c r="H247" s="47"/>
      <c r="I247" s="9"/>
      <c r="J247" s="23"/>
      <c r="K247" s="47" t="str">
        <f>IFERROR(VLOOKUP($A247,'Project Reference'!$B$2:$C$41,2), " ")</f>
        <v xml:space="preserve"> </v>
      </c>
      <c r="L247" s="8" t="str">
        <f>IFERROR(VLOOKUP($A247,'Project Reference'!$B$2:$D$41,3), " ")</f>
        <v xml:space="preserve"> </v>
      </c>
      <c r="M247" s="54" t="str">
        <f>IFERROR(VLOOKUP($A247,'Project Reference'!$B$2:$E$41,4), " ")</f>
        <v xml:space="preserve"> </v>
      </c>
      <c r="N247" s="8" t="str">
        <f>IFERROR(VLOOKUP($A247,'Project Reference'!$B$2:$F$41,5), " ")</f>
        <v xml:space="preserve"> </v>
      </c>
      <c r="O247" s="8" t="str">
        <f>IFERROR(VLOOKUP($A247,'Project Reference'!$B$2:$G$41,6), " ")</f>
        <v xml:space="preserve"> </v>
      </c>
      <c r="P247" s="8" t="str">
        <f>IFERROR(VLOOKUP($A247,'Project Reference'!$B$2:$H$41,7), " ")</f>
        <v xml:space="preserve"> </v>
      </c>
      <c r="Q247" s="8" t="str">
        <f>IFERROR(VLOOKUP($A247,'Project Reference'!$B$2:$I$41,8), " ")</f>
        <v xml:space="preserve"> </v>
      </c>
      <c r="R247" s="8" t="str">
        <f>IFERROR(VLOOKUP($A247,'Project Reference'!$B$2:$J$41,9), " ")</f>
        <v xml:space="preserve"> </v>
      </c>
      <c r="S247" s="8" t="str">
        <f>IFERROR(VLOOKUP($A247,'Project Reference'!$B$2:$K$41,10), " ")</f>
        <v xml:space="preserve"> </v>
      </c>
      <c r="T247" s="8" t="str">
        <f>IFERROR(VLOOKUP($A247,'Project Reference'!$B$2:$L$41,11), " ")</f>
        <v xml:space="preserve"> </v>
      </c>
      <c r="U247" s="8" t="str">
        <f>IFERROR(VLOOKUP($A247,'Project Reference'!$B$2:$M$41,12), " ")</f>
        <v xml:space="preserve"> </v>
      </c>
      <c r="V247" s="8" t="str">
        <f>IFERROR(VLOOKUP($A247,'Project Reference'!$B$2:$N$41,13), " ")</f>
        <v xml:space="preserve"> </v>
      </c>
      <c r="W247" s="8" t="str">
        <f>IFERROR(VLOOKUP($A247,'Project Reference'!$B$2:$O$41,14), " ")</f>
        <v xml:space="preserve"> </v>
      </c>
      <c r="X247" s="8" t="str">
        <f>IFERROR(VLOOKUP($A247,'Project Reference'!$B$2:$P$41,15), " ")</f>
        <v xml:space="preserve"> </v>
      </c>
      <c r="Y247" s="9" t="str">
        <f>IFERROR(VLOOKUP($A247,'Project Reference'!$B$2:$Q$41,16), " ")</f>
        <v xml:space="preserve"> </v>
      </c>
      <c r="Z247" s="22"/>
    </row>
    <row r="248" spans="1:26" s="1" customFormat="1" x14ac:dyDescent="0.45">
      <c r="A248" s="70"/>
      <c r="B248" s="53" t="str">
        <f>IFERROR(VLOOKUP($A248,'Project Reference'!$S$2:$T$41,2),"Enter Project Number")</f>
        <v>Enter Project Number</v>
      </c>
      <c r="C248" s="54"/>
      <c r="D248" s="8"/>
      <c r="E248" s="8"/>
      <c r="F248" s="8"/>
      <c r="G248" s="8"/>
      <c r="H248" s="47"/>
      <c r="I248" s="9"/>
      <c r="J248" s="23"/>
      <c r="K248" s="47" t="str">
        <f>IFERROR(VLOOKUP($A248,'Project Reference'!$B$2:$C$41,2), " ")</f>
        <v xml:space="preserve"> </v>
      </c>
      <c r="L248" s="8" t="str">
        <f>IFERROR(VLOOKUP($A248,'Project Reference'!$B$2:$D$41,3), " ")</f>
        <v xml:space="preserve"> </v>
      </c>
      <c r="M248" s="54" t="str">
        <f>IFERROR(VLOOKUP($A248,'Project Reference'!$B$2:$E$41,4), " ")</f>
        <v xml:space="preserve"> </v>
      </c>
      <c r="N248" s="8" t="str">
        <f>IFERROR(VLOOKUP($A248,'Project Reference'!$B$2:$F$41,5), " ")</f>
        <v xml:space="preserve"> </v>
      </c>
      <c r="O248" s="8" t="str">
        <f>IFERROR(VLOOKUP($A248,'Project Reference'!$B$2:$G$41,6), " ")</f>
        <v xml:space="preserve"> </v>
      </c>
      <c r="P248" s="8" t="str">
        <f>IFERROR(VLOOKUP($A248,'Project Reference'!$B$2:$H$41,7), " ")</f>
        <v xml:space="preserve"> </v>
      </c>
      <c r="Q248" s="8" t="str">
        <f>IFERROR(VLOOKUP($A248,'Project Reference'!$B$2:$I$41,8), " ")</f>
        <v xml:space="preserve"> </v>
      </c>
      <c r="R248" s="8" t="str">
        <f>IFERROR(VLOOKUP($A248,'Project Reference'!$B$2:$J$41,9), " ")</f>
        <v xml:space="preserve"> </v>
      </c>
      <c r="S248" s="8" t="str">
        <f>IFERROR(VLOOKUP($A248,'Project Reference'!$B$2:$K$41,10), " ")</f>
        <v xml:space="preserve"> </v>
      </c>
      <c r="T248" s="8" t="str">
        <f>IFERROR(VLOOKUP($A248,'Project Reference'!$B$2:$L$41,11), " ")</f>
        <v xml:space="preserve"> </v>
      </c>
      <c r="U248" s="8" t="str">
        <f>IFERROR(VLOOKUP($A248,'Project Reference'!$B$2:$M$41,12), " ")</f>
        <v xml:space="preserve"> </v>
      </c>
      <c r="V248" s="8" t="str">
        <f>IFERROR(VLOOKUP($A248,'Project Reference'!$B$2:$N$41,13), " ")</f>
        <v xml:space="preserve"> </v>
      </c>
      <c r="W248" s="8" t="str">
        <f>IFERROR(VLOOKUP($A248,'Project Reference'!$B$2:$O$41,14), " ")</f>
        <v xml:space="preserve"> </v>
      </c>
      <c r="X248" s="8" t="str">
        <f>IFERROR(VLOOKUP($A248,'Project Reference'!$B$2:$P$41,15), " ")</f>
        <v xml:space="preserve"> </v>
      </c>
      <c r="Y248" s="9" t="str">
        <f>IFERROR(VLOOKUP($A248,'Project Reference'!$B$2:$Q$41,16), " ")</f>
        <v xml:space="preserve"> </v>
      </c>
      <c r="Z248" s="22"/>
    </row>
    <row r="249" spans="1:26" s="1" customFormat="1" x14ac:dyDescent="0.45">
      <c r="A249" s="70"/>
      <c r="B249" s="53" t="str">
        <f>IFERROR(VLOOKUP($A249,'Project Reference'!$S$2:$T$41,2),"Enter Project Number")</f>
        <v>Enter Project Number</v>
      </c>
      <c r="C249" s="54"/>
      <c r="D249" s="8"/>
      <c r="E249" s="8"/>
      <c r="F249" s="8"/>
      <c r="G249" s="8"/>
      <c r="H249" s="47"/>
      <c r="I249" s="9"/>
      <c r="J249" s="23"/>
      <c r="K249" s="47" t="str">
        <f>IFERROR(VLOOKUP($A249,'Project Reference'!$B$2:$C$41,2), " ")</f>
        <v xml:space="preserve"> </v>
      </c>
      <c r="L249" s="8" t="str">
        <f>IFERROR(VLOOKUP($A249,'Project Reference'!$B$2:$D$41,3), " ")</f>
        <v xml:space="preserve"> </v>
      </c>
      <c r="M249" s="54" t="str">
        <f>IFERROR(VLOOKUP($A249,'Project Reference'!$B$2:$E$41,4), " ")</f>
        <v xml:space="preserve"> </v>
      </c>
      <c r="N249" s="8" t="str">
        <f>IFERROR(VLOOKUP($A249,'Project Reference'!$B$2:$F$41,5), " ")</f>
        <v xml:space="preserve"> </v>
      </c>
      <c r="O249" s="8" t="str">
        <f>IFERROR(VLOOKUP($A249,'Project Reference'!$B$2:$G$41,6), " ")</f>
        <v xml:space="preserve"> </v>
      </c>
      <c r="P249" s="8" t="str">
        <f>IFERROR(VLOOKUP($A249,'Project Reference'!$B$2:$H$41,7), " ")</f>
        <v xml:space="preserve"> </v>
      </c>
      <c r="Q249" s="8" t="str">
        <f>IFERROR(VLOOKUP($A249,'Project Reference'!$B$2:$I$41,8), " ")</f>
        <v xml:space="preserve"> </v>
      </c>
      <c r="R249" s="8" t="str">
        <f>IFERROR(VLOOKUP($A249,'Project Reference'!$B$2:$J$41,9), " ")</f>
        <v xml:space="preserve"> </v>
      </c>
      <c r="S249" s="8" t="str">
        <f>IFERROR(VLOOKUP($A249,'Project Reference'!$B$2:$K$41,10), " ")</f>
        <v xml:space="preserve"> </v>
      </c>
      <c r="T249" s="8" t="str">
        <f>IFERROR(VLOOKUP($A249,'Project Reference'!$B$2:$L$41,11), " ")</f>
        <v xml:space="preserve"> </v>
      </c>
      <c r="U249" s="8" t="str">
        <f>IFERROR(VLOOKUP($A249,'Project Reference'!$B$2:$M$41,12), " ")</f>
        <v xml:space="preserve"> </v>
      </c>
      <c r="V249" s="8" t="str">
        <f>IFERROR(VLOOKUP($A249,'Project Reference'!$B$2:$N$41,13), " ")</f>
        <v xml:space="preserve"> </v>
      </c>
      <c r="W249" s="8" t="str">
        <f>IFERROR(VLOOKUP($A249,'Project Reference'!$B$2:$O$41,14), " ")</f>
        <v xml:space="preserve"> </v>
      </c>
      <c r="X249" s="8" t="str">
        <f>IFERROR(VLOOKUP($A249,'Project Reference'!$B$2:$P$41,15), " ")</f>
        <v xml:space="preserve"> </v>
      </c>
      <c r="Y249" s="9" t="str">
        <f>IFERROR(VLOOKUP($A249,'Project Reference'!$B$2:$Q$41,16), " ")</f>
        <v xml:space="preserve"> </v>
      </c>
      <c r="Z249" s="22"/>
    </row>
    <row r="250" spans="1:26" s="1" customFormat="1" x14ac:dyDescent="0.45">
      <c r="A250" s="70"/>
      <c r="B250" s="53" t="str">
        <f>IFERROR(VLOOKUP($A250,'Project Reference'!$S$2:$T$41,2),"Enter Project Number")</f>
        <v>Enter Project Number</v>
      </c>
      <c r="C250" s="54"/>
      <c r="D250" s="8"/>
      <c r="E250" s="8"/>
      <c r="F250" s="8"/>
      <c r="G250" s="8"/>
      <c r="H250" s="47"/>
      <c r="I250" s="9"/>
      <c r="J250" s="23"/>
      <c r="K250" s="47" t="str">
        <f>IFERROR(VLOOKUP($A250,'Project Reference'!$B$2:$C$41,2), " ")</f>
        <v xml:space="preserve"> </v>
      </c>
      <c r="L250" s="8" t="str">
        <f>IFERROR(VLOOKUP($A250,'Project Reference'!$B$2:$D$41,3), " ")</f>
        <v xml:space="preserve"> </v>
      </c>
      <c r="M250" s="54" t="str">
        <f>IFERROR(VLOOKUP($A250,'Project Reference'!$B$2:$E$41,4), " ")</f>
        <v xml:space="preserve"> </v>
      </c>
      <c r="N250" s="8" t="str">
        <f>IFERROR(VLOOKUP($A250,'Project Reference'!$B$2:$F$41,5), " ")</f>
        <v xml:space="preserve"> </v>
      </c>
      <c r="O250" s="8" t="str">
        <f>IFERROR(VLOOKUP($A250,'Project Reference'!$B$2:$G$41,6), " ")</f>
        <v xml:space="preserve"> </v>
      </c>
      <c r="P250" s="8" t="str">
        <f>IFERROR(VLOOKUP($A250,'Project Reference'!$B$2:$H$41,7), " ")</f>
        <v xml:space="preserve"> </v>
      </c>
      <c r="Q250" s="8" t="str">
        <f>IFERROR(VLOOKUP($A250,'Project Reference'!$B$2:$I$41,8), " ")</f>
        <v xml:space="preserve"> </v>
      </c>
      <c r="R250" s="8" t="str">
        <f>IFERROR(VLOOKUP($A250,'Project Reference'!$B$2:$J$41,9), " ")</f>
        <v xml:space="preserve"> </v>
      </c>
      <c r="S250" s="8" t="str">
        <f>IFERROR(VLOOKUP($A250,'Project Reference'!$B$2:$K$41,10), " ")</f>
        <v xml:space="preserve"> </v>
      </c>
      <c r="T250" s="8" t="str">
        <f>IFERROR(VLOOKUP($A250,'Project Reference'!$B$2:$L$41,11), " ")</f>
        <v xml:space="preserve"> </v>
      </c>
      <c r="U250" s="8" t="str">
        <f>IFERROR(VLOOKUP($A250,'Project Reference'!$B$2:$M$41,12), " ")</f>
        <v xml:space="preserve"> </v>
      </c>
      <c r="V250" s="8" t="str">
        <f>IFERROR(VLOOKUP($A250,'Project Reference'!$B$2:$N$41,13), " ")</f>
        <v xml:space="preserve"> </v>
      </c>
      <c r="W250" s="8" t="str">
        <f>IFERROR(VLOOKUP($A250,'Project Reference'!$B$2:$O$41,14), " ")</f>
        <v xml:space="preserve"> </v>
      </c>
      <c r="X250" s="8" t="str">
        <f>IFERROR(VLOOKUP($A250,'Project Reference'!$B$2:$P$41,15), " ")</f>
        <v xml:space="preserve"> </v>
      </c>
      <c r="Y250" s="9" t="str">
        <f>IFERROR(VLOOKUP($A250,'Project Reference'!$B$2:$Q$41,16), " ")</f>
        <v xml:space="preserve"> </v>
      </c>
      <c r="Z250" s="22"/>
    </row>
    <row r="251" spans="1:26" s="1" customFormat="1" x14ac:dyDescent="0.45">
      <c r="A251" s="70"/>
      <c r="B251" s="53" t="str">
        <f>IFERROR(VLOOKUP($A251,'Project Reference'!$S$2:$T$41,2),"Enter Project Number")</f>
        <v>Enter Project Number</v>
      </c>
      <c r="C251" s="54"/>
      <c r="D251" s="8"/>
      <c r="E251" s="8"/>
      <c r="F251" s="8"/>
      <c r="G251" s="8"/>
      <c r="H251" s="47"/>
      <c r="I251" s="9"/>
      <c r="J251" s="23"/>
      <c r="K251" s="47" t="str">
        <f>IFERROR(VLOOKUP($A251,'Project Reference'!$B$2:$C$41,2), " ")</f>
        <v xml:space="preserve"> </v>
      </c>
      <c r="L251" s="8" t="str">
        <f>IFERROR(VLOOKUP($A251,'Project Reference'!$B$2:$D$41,3), " ")</f>
        <v xml:space="preserve"> </v>
      </c>
      <c r="M251" s="54" t="str">
        <f>IFERROR(VLOOKUP($A251,'Project Reference'!$B$2:$E$41,4), " ")</f>
        <v xml:space="preserve"> </v>
      </c>
      <c r="N251" s="8" t="str">
        <f>IFERROR(VLOOKUP($A251,'Project Reference'!$B$2:$F$41,5), " ")</f>
        <v xml:space="preserve"> </v>
      </c>
      <c r="O251" s="8" t="str">
        <f>IFERROR(VLOOKUP($A251,'Project Reference'!$B$2:$G$41,6), " ")</f>
        <v xml:space="preserve"> </v>
      </c>
      <c r="P251" s="8" t="str">
        <f>IFERROR(VLOOKUP($A251,'Project Reference'!$B$2:$H$41,7), " ")</f>
        <v xml:space="preserve"> </v>
      </c>
      <c r="Q251" s="8" t="str">
        <f>IFERROR(VLOOKUP($A251,'Project Reference'!$B$2:$I$41,8), " ")</f>
        <v xml:space="preserve"> </v>
      </c>
      <c r="R251" s="8" t="str">
        <f>IFERROR(VLOOKUP($A251,'Project Reference'!$B$2:$J$41,9), " ")</f>
        <v xml:space="preserve"> </v>
      </c>
      <c r="S251" s="8" t="str">
        <f>IFERROR(VLOOKUP($A251,'Project Reference'!$B$2:$K$41,10), " ")</f>
        <v xml:space="preserve"> </v>
      </c>
      <c r="T251" s="8" t="str">
        <f>IFERROR(VLOOKUP($A251,'Project Reference'!$B$2:$L$41,11), " ")</f>
        <v xml:space="preserve"> </v>
      </c>
      <c r="U251" s="8" t="str">
        <f>IFERROR(VLOOKUP($A251,'Project Reference'!$B$2:$M$41,12), " ")</f>
        <v xml:space="preserve"> </v>
      </c>
      <c r="V251" s="8" t="str">
        <f>IFERROR(VLOOKUP($A251,'Project Reference'!$B$2:$N$41,13), " ")</f>
        <v xml:space="preserve"> </v>
      </c>
      <c r="W251" s="8" t="str">
        <f>IFERROR(VLOOKUP($A251,'Project Reference'!$B$2:$O$41,14), " ")</f>
        <v xml:space="preserve"> </v>
      </c>
      <c r="X251" s="8" t="str">
        <f>IFERROR(VLOOKUP($A251,'Project Reference'!$B$2:$P$41,15), " ")</f>
        <v xml:space="preserve"> </v>
      </c>
      <c r="Y251" s="9" t="str">
        <f>IFERROR(VLOOKUP($A251,'Project Reference'!$B$2:$Q$41,16), " ")</f>
        <v xml:space="preserve"> </v>
      </c>
      <c r="Z251" s="22"/>
    </row>
    <row r="252" spans="1:26" s="1" customFormat="1" x14ac:dyDescent="0.45">
      <c r="A252" s="71"/>
      <c r="B252" s="53" t="str">
        <f>IFERROR(VLOOKUP($A252,'Project Reference'!$S$2:$T$41,2),"Enter Project Number")</f>
        <v>Enter Project Number</v>
      </c>
      <c r="C252" s="58"/>
      <c r="D252" s="59"/>
      <c r="E252" s="59"/>
      <c r="F252" s="59"/>
      <c r="G252" s="59"/>
      <c r="H252" s="68"/>
      <c r="I252" s="60"/>
      <c r="J252" s="23"/>
      <c r="K252" s="47" t="str">
        <f>IFERROR(VLOOKUP($A252,'Project Reference'!$B$2:$C$41,2), " ")</f>
        <v xml:space="preserve"> </v>
      </c>
      <c r="L252" s="8" t="str">
        <f>IFERROR(VLOOKUP($A252,'Project Reference'!$B$2:$D$41,3), " ")</f>
        <v xml:space="preserve"> </v>
      </c>
      <c r="M252" s="54" t="str">
        <f>IFERROR(VLOOKUP($A252,'Project Reference'!$B$2:$E$41,4), " ")</f>
        <v xml:space="preserve"> </v>
      </c>
      <c r="N252" s="8" t="str">
        <f>IFERROR(VLOOKUP($A252,'Project Reference'!$B$2:$F$41,5), " ")</f>
        <v xml:space="preserve"> </v>
      </c>
      <c r="O252" s="8" t="str">
        <f>IFERROR(VLOOKUP($A252,'Project Reference'!$B$2:$G$41,6), " ")</f>
        <v xml:space="preserve"> </v>
      </c>
      <c r="P252" s="8" t="str">
        <f>IFERROR(VLOOKUP($A252,'Project Reference'!$B$2:$H$41,7), " ")</f>
        <v xml:space="preserve"> </v>
      </c>
      <c r="Q252" s="8" t="str">
        <f>IFERROR(VLOOKUP($A252,'Project Reference'!$B$2:$I$41,8), " ")</f>
        <v xml:space="preserve"> </v>
      </c>
      <c r="R252" s="8" t="str">
        <f>IFERROR(VLOOKUP($A252,'Project Reference'!$B$2:$J$41,9), " ")</f>
        <v xml:space="preserve"> </v>
      </c>
      <c r="S252" s="8" t="str">
        <f>IFERROR(VLOOKUP($A252,'Project Reference'!$B$2:$K$41,10), " ")</f>
        <v xml:space="preserve"> </v>
      </c>
      <c r="T252" s="8" t="str">
        <f>IFERROR(VLOOKUP($A252,'Project Reference'!$B$2:$L$41,11), " ")</f>
        <v xml:space="preserve"> </v>
      </c>
      <c r="U252" s="8" t="str">
        <f>IFERROR(VLOOKUP($A252,'Project Reference'!$B$2:$M$41,12), " ")</f>
        <v xml:space="preserve"> </v>
      </c>
      <c r="V252" s="8" t="str">
        <f>IFERROR(VLOOKUP($A252,'Project Reference'!$B$2:$N$41,13), " ")</f>
        <v xml:space="preserve"> </v>
      </c>
      <c r="W252" s="8" t="str">
        <f>IFERROR(VLOOKUP($A252,'Project Reference'!$B$2:$O$41,14), " ")</f>
        <v xml:space="preserve"> </v>
      </c>
      <c r="X252" s="8" t="str">
        <f>IFERROR(VLOOKUP($A252,'Project Reference'!$B$2:$P$41,15), " ")</f>
        <v xml:space="preserve"> </v>
      </c>
      <c r="Y252" s="9" t="str">
        <f>IFERROR(VLOOKUP($A252,'Project Reference'!$B$2:$Q$41,16), " ")</f>
        <v xml:space="preserve"> </v>
      </c>
      <c r="Z252" s="22"/>
    </row>
  </sheetData>
  <sheetProtection algorithmName="SHA-512" hashValue="mz2Is/IrMaOJwHuTCKa5PTPttlsUwLMB9buV3sMPZaMLLDJv+/KBF19h6BpkbYj3HpHC0aom62ObngVBBagXZQ==" saltValue="S+3fsg4pOXxZndAUbEimCw==" spinCount="100000" sheet="1" objects="1" scenarios="1"/>
  <protectedRanges>
    <protectedRange sqref="A5:I252" name="Range1"/>
  </protectedRanges>
  <autoFilter ref="C4:I4" xr:uid="{B8FC1B7D-FE26-47A8-B852-F9794534B80A}"/>
  <mergeCells count="4">
    <mergeCell ref="K1:Y1"/>
    <mergeCell ref="K3:Y3"/>
    <mergeCell ref="A1:I1"/>
    <mergeCell ref="A3:I3"/>
  </mergeCells>
  <dataValidations count="2">
    <dataValidation type="list" allowBlank="1" showInputMessage="1" showErrorMessage="1" sqref="H5:H252" xr:uid="{4B568C6A-A6BD-4D35-A43E-C75353D54B12}">
      <formula1>"IS-100,IS-120.a,IS-200,IS-230.d,IS-235.b,IS-240.b,IS-241.b,IS-242.b,IS-244.b,IS-700,IS-800,E/L101,E/L102,E/L103,E/L104,E/L105"</formula1>
    </dataValidation>
    <dataValidation type="list" allowBlank="1" showInputMessage="1" showErrorMessage="1" sqref="I5:I252" xr:uid="{2AB61172-E3DF-418D-B833-B767A14FC599}">
      <formula1>"Yes,No"</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5FAC-7919-48CF-8E3F-F223E54D31E6}">
  <dimension ref="A1:Z253"/>
  <sheetViews>
    <sheetView zoomScale="99" zoomScaleNormal="99" workbookViewId="0">
      <pane ySplit="4" topLeftCell="A5" activePane="bottomLeft" state="frozen"/>
      <selection pane="bottomLeft" sqref="A1:J1"/>
    </sheetView>
  </sheetViews>
  <sheetFormatPr defaultColWidth="8.86328125" defaultRowHeight="14.25" x14ac:dyDescent="0.45"/>
  <cols>
    <col min="1" max="1" width="9.33203125" style="3" customWidth="1"/>
    <col min="2" max="2" width="22" style="3" customWidth="1"/>
    <col min="3" max="3" width="22.19921875" style="3" customWidth="1"/>
    <col min="4" max="4" width="11.1328125" style="3" customWidth="1"/>
    <col min="5" max="5" width="18.796875" style="3" bestFit="1" customWidth="1"/>
    <col min="6" max="6" width="11.86328125" style="3" customWidth="1"/>
    <col min="7" max="8" width="13.796875" style="3" customWidth="1"/>
    <col min="9" max="10" width="9.19921875" style="3" customWidth="1"/>
    <col min="11" max="11" width="2.86328125" style="3" customWidth="1"/>
    <col min="12" max="23" width="16.19921875" style="3" customWidth="1"/>
    <col min="24" max="26" width="13.19921875" style="3" customWidth="1"/>
    <col min="27" max="16384" width="8.86328125" style="3"/>
  </cols>
  <sheetData>
    <row r="1" spans="1:26" ht="35.25" customHeight="1" thickBot="1" x14ac:dyDescent="0.5">
      <c r="A1" s="477" t="s">
        <v>331</v>
      </c>
      <c r="B1" s="477"/>
      <c r="C1" s="477"/>
      <c r="D1" s="477"/>
      <c r="E1" s="477"/>
      <c r="F1" s="477"/>
      <c r="G1" s="477"/>
      <c r="H1" s="477"/>
      <c r="I1" s="477"/>
      <c r="J1" s="481"/>
      <c r="K1" s="55"/>
      <c r="L1" s="476" t="s">
        <v>154</v>
      </c>
      <c r="M1" s="477"/>
      <c r="N1" s="477"/>
      <c r="O1" s="477"/>
      <c r="P1" s="477"/>
      <c r="Q1" s="477"/>
      <c r="R1" s="477"/>
      <c r="S1" s="477"/>
      <c r="T1" s="477"/>
      <c r="U1" s="477"/>
      <c r="V1" s="477"/>
      <c r="W1" s="477"/>
      <c r="X1" s="477"/>
      <c r="Y1" s="477"/>
      <c r="Z1" s="477"/>
    </row>
    <row r="2" spans="1:26" ht="9.6" customHeight="1" thickBot="1" x14ac:dyDescent="0.5">
      <c r="I2" s="76"/>
      <c r="J2" s="73"/>
      <c r="K2" s="55"/>
      <c r="L2" s="74"/>
    </row>
    <row r="3" spans="1:26" s="1" customFormat="1" x14ac:dyDescent="0.45">
      <c r="A3" s="469" t="s">
        <v>67</v>
      </c>
      <c r="B3" s="469"/>
      <c r="C3" s="469"/>
      <c r="D3" s="469"/>
      <c r="E3" s="469"/>
      <c r="F3" s="469"/>
      <c r="G3" s="469"/>
      <c r="H3" s="469"/>
      <c r="I3" s="469"/>
      <c r="J3" s="470"/>
      <c r="K3" s="23"/>
      <c r="L3" s="468" t="s">
        <v>151</v>
      </c>
      <c r="M3" s="469"/>
      <c r="N3" s="469"/>
      <c r="O3" s="469"/>
      <c r="P3" s="469"/>
      <c r="Q3" s="469"/>
      <c r="R3" s="469"/>
      <c r="S3" s="469"/>
      <c r="T3" s="469"/>
      <c r="U3" s="469"/>
      <c r="V3" s="469"/>
      <c r="W3" s="469"/>
      <c r="X3" s="469"/>
      <c r="Y3" s="469"/>
      <c r="Z3" s="470"/>
    </row>
    <row r="4" spans="1:26" s="2" customFormat="1" ht="95" customHeight="1" x14ac:dyDescent="0.45">
      <c r="A4" s="10" t="s">
        <v>152</v>
      </c>
      <c r="B4" s="10" t="s">
        <v>89</v>
      </c>
      <c r="C4" s="10" t="s">
        <v>142</v>
      </c>
      <c r="D4" s="10" t="s">
        <v>141</v>
      </c>
      <c r="E4" s="10" t="s">
        <v>68</v>
      </c>
      <c r="F4" s="10" t="s">
        <v>69</v>
      </c>
      <c r="G4" s="10" t="s">
        <v>318</v>
      </c>
      <c r="H4" s="10" t="s">
        <v>319</v>
      </c>
      <c r="I4" s="10" t="s">
        <v>139</v>
      </c>
      <c r="J4" s="11" t="s">
        <v>70</v>
      </c>
      <c r="K4" s="55"/>
      <c r="L4" s="57" t="s">
        <v>187</v>
      </c>
      <c r="M4" s="56" t="s">
        <v>188</v>
      </c>
      <c r="N4" s="56" t="s">
        <v>189</v>
      </c>
      <c r="O4" s="56" t="s">
        <v>190</v>
      </c>
      <c r="P4" s="56" t="s">
        <v>191</v>
      </c>
      <c r="Q4" s="56" t="s">
        <v>192</v>
      </c>
      <c r="R4" s="56" t="s">
        <v>193</v>
      </c>
      <c r="S4" s="56" t="s">
        <v>194</v>
      </c>
      <c r="T4" s="56" t="s">
        <v>77</v>
      </c>
      <c r="U4" s="56" t="s">
        <v>79</v>
      </c>
      <c r="V4" s="56" t="s">
        <v>80</v>
      </c>
      <c r="W4" s="56" t="s">
        <v>81</v>
      </c>
      <c r="X4" s="121" t="s">
        <v>198</v>
      </c>
      <c r="Y4" s="121" t="s">
        <v>199</v>
      </c>
      <c r="Z4" s="120" t="s">
        <v>200</v>
      </c>
    </row>
    <row r="5" spans="1:26" s="1" customFormat="1" x14ac:dyDescent="0.45">
      <c r="A5" s="70"/>
      <c r="B5" s="70" t="str">
        <f>IFERROR(VLOOKUP($A5,'Project Reference'!$S$2:$T$41,2),"Enter Project Number")</f>
        <v>Enter Project Number</v>
      </c>
      <c r="C5" s="54"/>
      <c r="D5" s="53"/>
      <c r="E5" s="8"/>
      <c r="F5" s="8"/>
      <c r="G5" s="8"/>
      <c r="H5" s="8"/>
      <c r="I5" s="8"/>
      <c r="J5" s="9"/>
      <c r="K5" s="23"/>
      <c r="L5" s="47" t="str">
        <f>IFERROR(VLOOKUP($A5,'Project Reference'!$B$2:$C$41,2), " ")</f>
        <v xml:space="preserve"> </v>
      </c>
      <c r="M5" s="8" t="str">
        <f>IFERROR(VLOOKUP($A5,'Project Reference'!$B$2:$D$41,3), " ")</f>
        <v xml:space="preserve"> </v>
      </c>
      <c r="N5" s="54" t="str">
        <f>IFERROR(VLOOKUP($A5,'Project Reference'!$B$2:$E$41,4), " ")</f>
        <v xml:space="preserve"> </v>
      </c>
      <c r="O5" s="8" t="str">
        <f>IFERROR(VLOOKUP($A5,'Project Reference'!$B$2:$F$41,5), " ")</f>
        <v xml:space="preserve"> </v>
      </c>
      <c r="P5" s="8" t="str">
        <f>IFERROR(VLOOKUP($A5,'Project Reference'!$B$2:$G$41,6), " ")</f>
        <v xml:space="preserve"> </v>
      </c>
      <c r="Q5" s="8" t="str">
        <f>IFERROR(VLOOKUP($A5,'Project Reference'!$B$2:$H$41,7), " ")</f>
        <v xml:space="preserve"> </v>
      </c>
      <c r="R5" s="8" t="str">
        <f>IFERROR(VLOOKUP($A5,'Project Reference'!$B$2:$I$41,8), " ")</f>
        <v xml:space="preserve"> </v>
      </c>
      <c r="S5" s="8" t="str">
        <f>IFERROR(VLOOKUP($A5,'Project Reference'!$B$2:$J$41,9), " ")</f>
        <v xml:space="preserve"> </v>
      </c>
      <c r="T5" s="8" t="str">
        <f>IFERROR(VLOOKUP($A5,'Project Reference'!$B$2:$K$41,10), " ")</f>
        <v xml:space="preserve"> </v>
      </c>
      <c r="U5" s="8" t="str">
        <f>IFERROR(VLOOKUP($A5,'Project Reference'!$B$2:$L$41,11), " ")</f>
        <v xml:space="preserve"> </v>
      </c>
      <c r="V5" s="8" t="str">
        <f>IFERROR(VLOOKUP($A5,'Project Reference'!$B$2:$M$41,12), " ")</f>
        <v xml:space="preserve"> </v>
      </c>
      <c r="W5" s="8" t="str">
        <f>IFERROR(VLOOKUP($A5,'Project Reference'!$B$2:$N$41,13), " ")</f>
        <v xml:space="preserve"> </v>
      </c>
      <c r="X5" s="8" t="str">
        <f>IFERROR(VLOOKUP($A5,'Project Reference'!$B$2:$O$41,14), " ")</f>
        <v xml:space="preserve"> </v>
      </c>
      <c r="Y5" s="8" t="str">
        <f>IFERROR(VLOOKUP($A5,'Project Reference'!$B$2:$P$41,15), " ")</f>
        <v xml:space="preserve"> </v>
      </c>
      <c r="Z5" s="9" t="str">
        <f>IFERROR(VLOOKUP($A5,'Project Reference'!$B$2:$Q$41,16), " ")</f>
        <v xml:space="preserve"> </v>
      </c>
    </row>
    <row r="6" spans="1:26" s="1" customFormat="1" x14ac:dyDescent="0.45">
      <c r="A6" s="70"/>
      <c r="B6" s="70" t="str">
        <f>IFERROR(VLOOKUP($A6,'Project Reference'!$S$2:$T$41,2),"Enter Project Number")</f>
        <v>Enter Project Number</v>
      </c>
      <c r="C6" s="54"/>
      <c r="D6" s="53"/>
      <c r="E6" s="8"/>
      <c r="F6" s="8"/>
      <c r="G6" s="8"/>
      <c r="H6" s="8"/>
      <c r="I6" s="8"/>
      <c r="J6" s="9"/>
      <c r="K6" s="23"/>
      <c r="L6" s="47" t="str">
        <f>IFERROR(VLOOKUP($A6,'Project Reference'!$B$2:$C$41,2), " ")</f>
        <v xml:space="preserve"> </v>
      </c>
      <c r="M6" s="8" t="str">
        <f>IFERROR(VLOOKUP($A6,'Project Reference'!$B$2:$D$41,3), " ")</f>
        <v xml:space="preserve"> </v>
      </c>
      <c r="N6" s="54" t="str">
        <f>IFERROR(VLOOKUP($A6,'Project Reference'!$B$2:$E$41,4), " ")</f>
        <v xml:space="preserve"> </v>
      </c>
      <c r="O6" s="8" t="str">
        <f>IFERROR(VLOOKUP($A6,'Project Reference'!$B$2:$F$41,5), " ")</f>
        <v xml:space="preserve"> </v>
      </c>
      <c r="P6" s="8" t="str">
        <f>IFERROR(VLOOKUP($A6,'Project Reference'!$B$2:$G$41,6), " ")</f>
        <v xml:space="preserve"> </v>
      </c>
      <c r="Q6" s="8" t="str">
        <f>IFERROR(VLOOKUP($A6,'Project Reference'!$B$2:$H$41,7), " ")</f>
        <v xml:space="preserve"> </v>
      </c>
      <c r="R6" s="8" t="str">
        <f>IFERROR(VLOOKUP($A6,'Project Reference'!$B$2:$I$41,8), " ")</f>
        <v xml:space="preserve"> </v>
      </c>
      <c r="S6" s="8" t="str">
        <f>IFERROR(VLOOKUP($A6,'Project Reference'!$B$2:$J$41,9), " ")</f>
        <v xml:space="preserve"> </v>
      </c>
      <c r="T6" s="8" t="str">
        <f>IFERROR(VLOOKUP($A6,'Project Reference'!$B$2:$K$41,10), " ")</f>
        <v xml:space="preserve"> </v>
      </c>
      <c r="U6" s="8" t="str">
        <f>IFERROR(VLOOKUP($A6,'Project Reference'!$B$2:$L$41,11), " ")</f>
        <v xml:space="preserve"> </v>
      </c>
      <c r="V6" s="8" t="str">
        <f>IFERROR(VLOOKUP($A6,'Project Reference'!$B$2:$M$41,12), " ")</f>
        <v xml:space="preserve"> </v>
      </c>
      <c r="W6" s="8" t="str">
        <f>IFERROR(VLOOKUP($A6,'Project Reference'!$B$2:$N$41,13), " ")</f>
        <v xml:space="preserve"> </v>
      </c>
      <c r="X6" s="8" t="str">
        <f>IFERROR(VLOOKUP($A6,'Project Reference'!$B$2:$O$41,14), " ")</f>
        <v xml:space="preserve"> </v>
      </c>
      <c r="Y6" s="8" t="str">
        <f>IFERROR(VLOOKUP($A6,'Project Reference'!$B$2:$P$41,15), " ")</f>
        <v xml:space="preserve"> </v>
      </c>
      <c r="Z6" s="9" t="str">
        <f>IFERROR(VLOOKUP($A6,'Project Reference'!$B$2:$Q$41,16), " ")</f>
        <v xml:space="preserve"> </v>
      </c>
    </row>
    <row r="7" spans="1:26" s="1" customFormat="1" x14ac:dyDescent="0.45">
      <c r="A7" s="70"/>
      <c r="B7" s="70" t="str">
        <f>IFERROR(VLOOKUP($A7,'Project Reference'!$S$2:$T$41,2),"Enter Project Number")</f>
        <v>Enter Project Number</v>
      </c>
      <c r="C7" s="54"/>
      <c r="D7" s="53"/>
      <c r="E7" s="8"/>
      <c r="F7" s="8"/>
      <c r="G7" s="8"/>
      <c r="H7" s="8"/>
      <c r="I7" s="8"/>
      <c r="J7" s="9"/>
      <c r="K7" s="23"/>
      <c r="L7" s="47" t="str">
        <f>IFERROR(VLOOKUP($A7,'Project Reference'!$B$2:$C$41,2), " ")</f>
        <v xml:space="preserve"> </v>
      </c>
      <c r="M7" s="8" t="str">
        <f>IFERROR(VLOOKUP($A7,'Project Reference'!$B$2:$D$41,3), " ")</f>
        <v xml:space="preserve"> </v>
      </c>
      <c r="N7" s="54" t="str">
        <f>IFERROR(VLOOKUP($A7,'Project Reference'!$B$2:$E$41,4), " ")</f>
        <v xml:space="preserve"> </v>
      </c>
      <c r="O7" s="8" t="str">
        <f>IFERROR(VLOOKUP($A7,'Project Reference'!$B$2:$F$41,5), " ")</f>
        <v xml:space="preserve"> </v>
      </c>
      <c r="P7" s="8" t="str">
        <f>IFERROR(VLOOKUP($A7,'Project Reference'!$B$2:$G$41,6), " ")</f>
        <v xml:space="preserve"> </v>
      </c>
      <c r="Q7" s="8" t="str">
        <f>IFERROR(VLOOKUP($A7,'Project Reference'!$B$2:$H$41,7), " ")</f>
        <v xml:space="preserve"> </v>
      </c>
      <c r="R7" s="8" t="str">
        <f>IFERROR(VLOOKUP($A7,'Project Reference'!$B$2:$I$41,8), " ")</f>
        <v xml:space="preserve"> </v>
      </c>
      <c r="S7" s="8" t="str">
        <f>IFERROR(VLOOKUP($A7,'Project Reference'!$B$2:$J$41,9), " ")</f>
        <v xml:space="preserve"> </v>
      </c>
      <c r="T7" s="8" t="str">
        <f>IFERROR(VLOOKUP($A7,'Project Reference'!$B$2:$K$41,10), " ")</f>
        <v xml:space="preserve"> </v>
      </c>
      <c r="U7" s="8" t="str">
        <f>IFERROR(VLOOKUP($A7,'Project Reference'!$B$2:$L$41,11), " ")</f>
        <v xml:space="preserve"> </v>
      </c>
      <c r="V7" s="8" t="str">
        <f>IFERROR(VLOOKUP($A7,'Project Reference'!$B$2:$M$41,12), " ")</f>
        <v xml:space="preserve"> </v>
      </c>
      <c r="W7" s="8" t="str">
        <f>IFERROR(VLOOKUP($A7,'Project Reference'!$B$2:$N$41,13), " ")</f>
        <v xml:space="preserve"> </v>
      </c>
      <c r="X7" s="8" t="str">
        <f>IFERROR(VLOOKUP($A7,'Project Reference'!$B$2:$O$41,14), " ")</f>
        <v xml:space="preserve"> </v>
      </c>
      <c r="Y7" s="8" t="str">
        <f>IFERROR(VLOOKUP($A7,'Project Reference'!$B$2:$P$41,15), " ")</f>
        <v xml:space="preserve"> </v>
      </c>
      <c r="Z7" s="9" t="str">
        <f>IFERROR(VLOOKUP($A7,'Project Reference'!$B$2:$Q$41,16), " ")</f>
        <v xml:space="preserve"> </v>
      </c>
    </row>
    <row r="8" spans="1:26" s="1" customFormat="1" x14ac:dyDescent="0.45">
      <c r="A8" s="70"/>
      <c r="B8" s="70" t="str">
        <f>IFERROR(VLOOKUP($A8,'Project Reference'!$S$2:$T$41,2),"Enter Project Number")</f>
        <v>Enter Project Number</v>
      </c>
      <c r="C8" s="54"/>
      <c r="D8" s="53"/>
      <c r="E8" s="8"/>
      <c r="F8" s="8"/>
      <c r="G8" s="8"/>
      <c r="H8" s="8"/>
      <c r="I8" s="8"/>
      <c r="J8" s="9"/>
      <c r="K8" s="23"/>
      <c r="L8" s="47" t="str">
        <f>IFERROR(VLOOKUP($A8,'Project Reference'!$B$2:$C$41,2), " ")</f>
        <v xml:space="preserve"> </v>
      </c>
      <c r="M8" s="8" t="str">
        <f>IFERROR(VLOOKUP($A8,'Project Reference'!$B$2:$D$41,3), " ")</f>
        <v xml:space="preserve"> </v>
      </c>
      <c r="N8" s="54" t="str">
        <f>IFERROR(VLOOKUP($A8,'Project Reference'!$B$2:$E$41,4), " ")</f>
        <v xml:space="preserve"> </v>
      </c>
      <c r="O8" s="8" t="str">
        <f>IFERROR(VLOOKUP($A8,'Project Reference'!$B$2:$F$41,5), " ")</f>
        <v xml:space="preserve"> </v>
      </c>
      <c r="P8" s="8" t="str">
        <f>IFERROR(VLOOKUP($A8,'Project Reference'!$B$2:$G$41,6), " ")</f>
        <v xml:space="preserve"> </v>
      </c>
      <c r="Q8" s="8" t="str">
        <f>IFERROR(VLOOKUP($A8,'Project Reference'!$B$2:$H$41,7), " ")</f>
        <v xml:space="preserve"> </v>
      </c>
      <c r="R8" s="8" t="str">
        <f>IFERROR(VLOOKUP($A8,'Project Reference'!$B$2:$I$41,8), " ")</f>
        <v xml:space="preserve"> </v>
      </c>
      <c r="S8" s="8" t="str">
        <f>IFERROR(VLOOKUP($A8,'Project Reference'!$B$2:$J$41,9), " ")</f>
        <v xml:space="preserve"> </v>
      </c>
      <c r="T8" s="8" t="str">
        <f>IFERROR(VLOOKUP($A8,'Project Reference'!$B$2:$K$41,10), " ")</f>
        <v xml:space="preserve"> </v>
      </c>
      <c r="U8" s="8" t="str">
        <f>IFERROR(VLOOKUP($A8,'Project Reference'!$B$2:$L$41,11), " ")</f>
        <v xml:space="preserve"> </v>
      </c>
      <c r="V8" s="8" t="str">
        <f>IFERROR(VLOOKUP($A8,'Project Reference'!$B$2:$M$41,12), " ")</f>
        <v xml:space="preserve"> </v>
      </c>
      <c r="W8" s="8" t="str">
        <f>IFERROR(VLOOKUP($A8,'Project Reference'!$B$2:$N$41,13), " ")</f>
        <v xml:space="preserve"> </v>
      </c>
      <c r="X8" s="8" t="str">
        <f>IFERROR(VLOOKUP($A8,'Project Reference'!$B$2:$O$41,14), " ")</f>
        <v xml:space="preserve"> </v>
      </c>
      <c r="Y8" s="8" t="str">
        <f>IFERROR(VLOOKUP($A8,'Project Reference'!$B$2:$P$41,15), " ")</f>
        <v xml:space="preserve"> </v>
      </c>
      <c r="Z8" s="9" t="str">
        <f>IFERROR(VLOOKUP($A8,'Project Reference'!$B$2:$Q$41,16), " ")</f>
        <v xml:space="preserve"> </v>
      </c>
    </row>
    <row r="9" spans="1:26" s="1" customFormat="1" x14ac:dyDescent="0.45">
      <c r="A9" s="70"/>
      <c r="B9" s="70" t="str">
        <f>IFERROR(VLOOKUP($A9,'Project Reference'!$S$2:$T$41,2),"Enter Project Number")</f>
        <v>Enter Project Number</v>
      </c>
      <c r="C9" s="54"/>
      <c r="D9" s="53"/>
      <c r="E9" s="8"/>
      <c r="F9" s="8"/>
      <c r="G9" s="8"/>
      <c r="H9" s="8"/>
      <c r="I9" s="8"/>
      <c r="J9" s="9"/>
      <c r="K9" s="23"/>
      <c r="L9" s="47" t="str">
        <f>IFERROR(VLOOKUP($A9,'Project Reference'!$B$2:$C$41,2), " ")</f>
        <v xml:space="preserve"> </v>
      </c>
      <c r="M9" s="8" t="str">
        <f>IFERROR(VLOOKUP($A9,'Project Reference'!$B$2:$D$41,3), " ")</f>
        <v xml:space="preserve"> </v>
      </c>
      <c r="N9" s="54" t="str">
        <f>IFERROR(VLOOKUP($A9,'Project Reference'!$B$2:$E$41,4), " ")</f>
        <v xml:space="preserve"> </v>
      </c>
      <c r="O9" s="8" t="str">
        <f>IFERROR(VLOOKUP($A9,'Project Reference'!$B$2:$F$41,5), " ")</f>
        <v xml:space="preserve"> </v>
      </c>
      <c r="P9" s="8" t="str">
        <f>IFERROR(VLOOKUP($A9,'Project Reference'!$B$2:$G$41,6), " ")</f>
        <v xml:space="preserve"> </v>
      </c>
      <c r="Q9" s="8" t="str">
        <f>IFERROR(VLOOKUP($A9,'Project Reference'!$B$2:$H$41,7), " ")</f>
        <v xml:space="preserve"> </v>
      </c>
      <c r="R9" s="8" t="str">
        <f>IFERROR(VLOOKUP($A9,'Project Reference'!$B$2:$I$41,8), " ")</f>
        <v xml:space="preserve"> </v>
      </c>
      <c r="S9" s="8" t="str">
        <f>IFERROR(VLOOKUP($A9,'Project Reference'!$B$2:$J$41,9), " ")</f>
        <v xml:space="preserve"> </v>
      </c>
      <c r="T9" s="8" t="str">
        <f>IFERROR(VLOOKUP($A9,'Project Reference'!$B$2:$K$41,10), " ")</f>
        <v xml:space="preserve"> </v>
      </c>
      <c r="U9" s="8" t="str">
        <f>IFERROR(VLOOKUP($A9,'Project Reference'!$B$2:$L$41,11), " ")</f>
        <v xml:space="preserve"> </v>
      </c>
      <c r="V9" s="8" t="str">
        <f>IFERROR(VLOOKUP($A9,'Project Reference'!$B$2:$M$41,12), " ")</f>
        <v xml:space="preserve"> </v>
      </c>
      <c r="W9" s="8" t="str">
        <f>IFERROR(VLOOKUP($A9,'Project Reference'!$B$2:$N$41,13), " ")</f>
        <v xml:space="preserve"> </v>
      </c>
      <c r="X9" s="8" t="str">
        <f>IFERROR(VLOOKUP($A9,'Project Reference'!$B$2:$O$41,14), " ")</f>
        <v xml:space="preserve"> </v>
      </c>
      <c r="Y9" s="8" t="str">
        <f>IFERROR(VLOOKUP($A9,'Project Reference'!$B$2:$P$41,15), " ")</f>
        <v xml:space="preserve"> </v>
      </c>
      <c r="Z9" s="9" t="str">
        <f>IFERROR(VLOOKUP($A9,'Project Reference'!$B$2:$Q$41,16), " ")</f>
        <v xml:space="preserve"> </v>
      </c>
    </row>
    <row r="10" spans="1:26" s="1" customFormat="1" x14ac:dyDescent="0.45">
      <c r="A10" s="70"/>
      <c r="B10" s="70" t="str">
        <f>IFERROR(VLOOKUP($A10,'Project Reference'!$S$2:$T$41,2),"Enter Project Number")</f>
        <v>Enter Project Number</v>
      </c>
      <c r="C10" s="54"/>
      <c r="D10" s="53"/>
      <c r="E10" s="8"/>
      <c r="F10" s="8"/>
      <c r="G10" s="8"/>
      <c r="H10" s="8"/>
      <c r="I10" s="8"/>
      <c r="J10" s="9"/>
      <c r="K10" s="23"/>
      <c r="L10" s="47" t="str">
        <f>IFERROR(VLOOKUP($A10,'Project Reference'!$B$2:$C$41,2), " ")</f>
        <v xml:space="preserve"> </v>
      </c>
      <c r="M10" s="8" t="str">
        <f>IFERROR(VLOOKUP($A10,'Project Reference'!$B$2:$D$41,3), " ")</f>
        <v xml:space="preserve"> </v>
      </c>
      <c r="N10" s="54" t="str">
        <f>IFERROR(VLOOKUP($A10,'Project Reference'!$B$2:$E$41,4), " ")</f>
        <v xml:space="preserve"> </v>
      </c>
      <c r="O10" s="8" t="str">
        <f>IFERROR(VLOOKUP($A10,'Project Reference'!$B$2:$F$41,5), " ")</f>
        <v xml:space="preserve"> </v>
      </c>
      <c r="P10" s="8" t="str">
        <f>IFERROR(VLOOKUP($A10,'Project Reference'!$B$2:$G$41,6), " ")</f>
        <v xml:space="preserve"> </v>
      </c>
      <c r="Q10" s="8" t="str">
        <f>IFERROR(VLOOKUP($A10,'Project Reference'!$B$2:$H$41,7), " ")</f>
        <v xml:space="preserve"> </v>
      </c>
      <c r="R10" s="8" t="str">
        <f>IFERROR(VLOOKUP($A10,'Project Reference'!$B$2:$I$41,8), " ")</f>
        <v xml:space="preserve"> </v>
      </c>
      <c r="S10" s="8" t="str">
        <f>IFERROR(VLOOKUP($A10,'Project Reference'!$B$2:$J$41,9), " ")</f>
        <v xml:space="preserve"> </v>
      </c>
      <c r="T10" s="8" t="str">
        <f>IFERROR(VLOOKUP($A10,'Project Reference'!$B$2:$K$41,10), " ")</f>
        <v xml:space="preserve"> </v>
      </c>
      <c r="U10" s="8" t="str">
        <f>IFERROR(VLOOKUP($A10,'Project Reference'!$B$2:$L$41,11), " ")</f>
        <v xml:space="preserve"> </v>
      </c>
      <c r="V10" s="8" t="str">
        <f>IFERROR(VLOOKUP($A10,'Project Reference'!$B$2:$M$41,12), " ")</f>
        <v xml:space="preserve"> </v>
      </c>
      <c r="W10" s="8" t="str">
        <f>IFERROR(VLOOKUP($A10,'Project Reference'!$B$2:$N$41,13), " ")</f>
        <v xml:space="preserve"> </v>
      </c>
      <c r="X10" s="8" t="str">
        <f>IFERROR(VLOOKUP($A10,'Project Reference'!$B$2:$O$41,14), " ")</f>
        <v xml:space="preserve"> </v>
      </c>
      <c r="Y10" s="8" t="str">
        <f>IFERROR(VLOOKUP($A10,'Project Reference'!$B$2:$P$41,15), " ")</f>
        <v xml:space="preserve"> </v>
      </c>
      <c r="Z10" s="9" t="str">
        <f>IFERROR(VLOOKUP($A10,'Project Reference'!$B$2:$Q$41,16), " ")</f>
        <v xml:space="preserve"> </v>
      </c>
    </row>
    <row r="11" spans="1:26" s="1" customFormat="1" x14ac:dyDescent="0.45">
      <c r="A11" s="70"/>
      <c r="B11" s="70" t="str">
        <f>IFERROR(VLOOKUP($A11,'Project Reference'!$S$2:$T$41,2),"Enter Project Number")</f>
        <v>Enter Project Number</v>
      </c>
      <c r="C11" s="54"/>
      <c r="D11" s="53"/>
      <c r="E11" s="8"/>
      <c r="F11" s="8"/>
      <c r="G11" s="8"/>
      <c r="H11" s="8"/>
      <c r="I11" s="8"/>
      <c r="J11" s="9"/>
      <c r="K11" s="23"/>
      <c r="L11" s="47" t="str">
        <f>IFERROR(VLOOKUP($A11,'Project Reference'!$B$2:$C$41,2), " ")</f>
        <v xml:space="preserve"> </v>
      </c>
      <c r="M11" s="8" t="str">
        <f>IFERROR(VLOOKUP($A11,'Project Reference'!$B$2:$D$41,3), " ")</f>
        <v xml:space="preserve"> </v>
      </c>
      <c r="N11" s="54" t="str">
        <f>IFERROR(VLOOKUP($A11,'Project Reference'!$B$2:$E$41,4), " ")</f>
        <v xml:space="preserve"> </v>
      </c>
      <c r="O11" s="8" t="str">
        <f>IFERROR(VLOOKUP($A11,'Project Reference'!$B$2:$F$41,5), " ")</f>
        <v xml:space="preserve"> </v>
      </c>
      <c r="P11" s="8" t="str">
        <f>IFERROR(VLOOKUP($A11,'Project Reference'!$B$2:$G$41,6), " ")</f>
        <v xml:space="preserve"> </v>
      </c>
      <c r="Q11" s="8" t="str">
        <f>IFERROR(VLOOKUP($A11,'Project Reference'!$B$2:$H$41,7), " ")</f>
        <v xml:space="preserve"> </v>
      </c>
      <c r="R11" s="8" t="str">
        <f>IFERROR(VLOOKUP($A11,'Project Reference'!$B$2:$I$41,8), " ")</f>
        <v xml:space="preserve"> </v>
      </c>
      <c r="S11" s="8" t="str">
        <f>IFERROR(VLOOKUP($A11,'Project Reference'!$B$2:$J$41,9), " ")</f>
        <v xml:space="preserve"> </v>
      </c>
      <c r="T11" s="8" t="str">
        <f>IFERROR(VLOOKUP($A11,'Project Reference'!$B$2:$K$41,10), " ")</f>
        <v xml:space="preserve"> </v>
      </c>
      <c r="U11" s="8" t="str">
        <f>IFERROR(VLOOKUP($A11,'Project Reference'!$B$2:$L$41,11), " ")</f>
        <v xml:space="preserve"> </v>
      </c>
      <c r="V11" s="8" t="str">
        <f>IFERROR(VLOOKUP($A11,'Project Reference'!$B$2:$M$41,12), " ")</f>
        <v xml:space="preserve"> </v>
      </c>
      <c r="W11" s="8" t="str">
        <f>IFERROR(VLOOKUP($A11,'Project Reference'!$B$2:$N$41,13), " ")</f>
        <v xml:space="preserve"> </v>
      </c>
      <c r="X11" s="8" t="str">
        <f>IFERROR(VLOOKUP($A11,'Project Reference'!$B$2:$O$41,14), " ")</f>
        <v xml:space="preserve"> </v>
      </c>
      <c r="Y11" s="8" t="str">
        <f>IFERROR(VLOOKUP($A11,'Project Reference'!$B$2:$P$41,15), " ")</f>
        <v xml:space="preserve"> </v>
      </c>
      <c r="Z11" s="9" t="str">
        <f>IFERROR(VLOOKUP($A11,'Project Reference'!$B$2:$Q$41,16), " ")</f>
        <v xml:space="preserve"> </v>
      </c>
    </row>
    <row r="12" spans="1:26" s="1" customFormat="1" x14ac:dyDescent="0.45">
      <c r="A12" s="70"/>
      <c r="B12" s="70" t="str">
        <f>IFERROR(VLOOKUP($A12,'Project Reference'!$S$2:$T$41,2),"Enter Project Number")</f>
        <v>Enter Project Number</v>
      </c>
      <c r="C12" s="54"/>
      <c r="D12" s="53"/>
      <c r="E12" s="8"/>
      <c r="F12" s="8"/>
      <c r="G12" s="8"/>
      <c r="H12" s="8"/>
      <c r="I12" s="8"/>
      <c r="J12" s="9"/>
      <c r="K12" s="23"/>
      <c r="L12" s="47" t="str">
        <f>IFERROR(VLOOKUP($A12,'Project Reference'!$B$2:$C$41,2), " ")</f>
        <v xml:space="preserve"> </v>
      </c>
      <c r="M12" s="8" t="str">
        <f>IFERROR(VLOOKUP($A12,'Project Reference'!$B$2:$D$41,3), " ")</f>
        <v xml:space="preserve"> </v>
      </c>
      <c r="N12" s="54" t="str">
        <f>IFERROR(VLOOKUP($A12,'Project Reference'!$B$2:$E$41,4), " ")</f>
        <v xml:space="preserve"> </v>
      </c>
      <c r="O12" s="8" t="str">
        <f>IFERROR(VLOOKUP($A12,'Project Reference'!$B$2:$F$41,5), " ")</f>
        <v xml:space="preserve"> </v>
      </c>
      <c r="P12" s="8" t="str">
        <f>IFERROR(VLOOKUP($A12,'Project Reference'!$B$2:$G$41,6), " ")</f>
        <v xml:space="preserve"> </v>
      </c>
      <c r="Q12" s="8" t="str">
        <f>IFERROR(VLOOKUP($A12,'Project Reference'!$B$2:$H$41,7), " ")</f>
        <v xml:space="preserve"> </v>
      </c>
      <c r="R12" s="8" t="str">
        <f>IFERROR(VLOOKUP($A12,'Project Reference'!$B$2:$I$41,8), " ")</f>
        <v xml:space="preserve"> </v>
      </c>
      <c r="S12" s="8" t="str">
        <f>IFERROR(VLOOKUP($A12,'Project Reference'!$B$2:$J$41,9), " ")</f>
        <v xml:space="preserve"> </v>
      </c>
      <c r="T12" s="8" t="str">
        <f>IFERROR(VLOOKUP($A12,'Project Reference'!$B$2:$K$41,10), " ")</f>
        <v xml:space="preserve"> </v>
      </c>
      <c r="U12" s="8" t="str">
        <f>IFERROR(VLOOKUP($A12,'Project Reference'!$B$2:$L$41,11), " ")</f>
        <v xml:space="preserve"> </v>
      </c>
      <c r="V12" s="8" t="str">
        <f>IFERROR(VLOOKUP($A12,'Project Reference'!$B$2:$M$41,12), " ")</f>
        <v xml:space="preserve"> </v>
      </c>
      <c r="W12" s="8" t="str">
        <f>IFERROR(VLOOKUP($A12,'Project Reference'!$B$2:$N$41,13), " ")</f>
        <v xml:space="preserve"> </v>
      </c>
      <c r="X12" s="8" t="str">
        <f>IFERROR(VLOOKUP($A12,'Project Reference'!$B$2:$O$41,14), " ")</f>
        <v xml:space="preserve"> </v>
      </c>
      <c r="Y12" s="8" t="str">
        <f>IFERROR(VLOOKUP($A12,'Project Reference'!$B$2:$P$41,15), " ")</f>
        <v xml:space="preserve"> </v>
      </c>
      <c r="Z12" s="9" t="str">
        <f>IFERROR(VLOOKUP($A12,'Project Reference'!$B$2:$Q$41,16), " ")</f>
        <v xml:space="preserve"> </v>
      </c>
    </row>
    <row r="13" spans="1:26" s="1" customFormat="1" x14ac:dyDescent="0.45">
      <c r="A13" s="70"/>
      <c r="B13" s="70" t="str">
        <f>IFERROR(VLOOKUP($A13,'Project Reference'!$S$2:$T$41,2),"Enter Project Number")</f>
        <v>Enter Project Number</v>
      </c>
      <c r="C13" s="54"/>
      <c r="D13" s="53"/>
      <c r="E13" s="8"/>
      <c r="F13" s="8"/>
      <c r="G13" s="8"/>
      <c r="H13" s="8"/>
      <c r="I13" s="8"/>
      <c r="J13" s="9"/>
      <c r="K13" s="23"/>
      <c r="L13" s="47" t="str">
        <f>IFERROR(VLOOKUP($A13,'Project Reference'!$B$2:$C$41,2), " ")</f>
        <v xml:space="preserve"> </v>
      </c>
      <c r="M13" s="8" t="str">
        <f>IFERROR(VLOOKUP($A13,'Project Reference'!$B$2:$D$41,3), " ")</f>
        <v xml:space="preserve"> </v>
      </c>
      <c r="N13" s="54" t="str">
        <f>IFERROR(VLOOKUP($A13,'Project Reference'!$B$2:$E$41,4), " ")</f>
        <v xml:space="preserve"> </v>
      </c>
      <c r="O13" s="8" t="str">
        <f>IFERROR(VLOOKUP($A13,'Project Reference'!$B$2:$F$41,5), " ")</f>
        <v xml:space="preserve"> </v>
      </c>
      <c r="P13" s="8" t="str">
        <f>IFERROR(VLOOKUP($A13,'Project Reference'!$B$2:$G$41,6), " ")</f>
        <v xml:space="preserve"> </v>
      </c>
      <c r="Q13" s="8" t="str">
        <f>IFERROR(VLOOKUP($A13,'Project Reference'!$B$2:$H$41,7), " ")</f>
        <v xml:space="preserve"> </v>
      </c>
      <c r="R13" s="8" t="str">
        <f>IFERROR(VLOOKUP($A13,'Project Reference'!$B$2:$I$41,8), " ")</f>
        <v xml:space="preserve"> </v>
      </c>
      <c r="S13" s="8" t="str">
        <f>IFERROR(VLOOKUP($A13,'Project Reference'!$B$2:$J$41,9), " ")</f>
        <v xml:space="preserve"> </v>
      </c>
      <c r="T13" s="8" t="str">
        <f>IFERROR(VLOOKUP($A13,'Project Reference'!$B$2:$K$41,10), " ")</f>
        <v xml:space="preserve"> </v>
      </c>
      <c r="U13" s="8" t="str">
        <f>IFERROR(VLOOKUP($A13,'Project Reference'!$B$2:$L$41,11), " ")</f>
        <v xml:space="preserve"> </v>
      </c>
      <c r="V13" s="8" t="str">
        <f>IFERROR(VLOOKUP($A13,'Project Reference'!$B$2:$M$41,12), " ")</f>
        <v xml:space="preserve"> </v>
      </c>
      <c r="W13" s="8" t="str">
        <f>IFERROR(VLOOKUP($A13,'Project Reference'!$B$2:$N$41,13), " ")</f>
        <v xml:space="preserve"> </v>
      </c>
      <c r="X13" s="8" t="str">
        <f>IFERROR(VLOOKUP($A13,'Project Reference'!$B$2:$O$41,14), " ")</f>
        <v xml:space="preserve"> </v>
      </c>
      <c r="Y13" s="8" t="str">
        <f>IFERROR(VLOOKUP($A13,'Project Reference'!$B$2:$P$41,15), " ")</f>
        <v xml:space="preserve"> </v>
      </c>
      <c r="Z13" s="9" t="str">
        <f>IFERROR(VLOOKUP($A13,'Project Reference'!$B$2:$Q$41,16), " ")</f>
        <v xml:space="preserve"> </v>
      </c>
    </row>
    <row r="14" spans="1:26" s="1" customFormat="1" x14ac:dyDescent="0.45">
      <c r="A14" s="70"/>
      <c r="B14" s="70" t="str">
        <f>IFERROR(VLOOKUP($A14,'Project Reference'!$S$2:$T$41,2),"Enter Project Number")</f>
        <v>Enter Project Number</v>
      </c>
      <c r="C14" s="54"/>
      <c r="D14" s="53"/>
      <c r="E14" s="8"/>
      <c r="F14" s="8"/>
      <c r="G14" s="8"/>
      <c r="H14" s="8"/>
      <c r="I14" s="8"/>
      <c r="J14" s="9"/>
      <c r="K14" s="23"/>
      <c r="L14" s="47" t="str">
        <f>IFERROR(VLOOKUP($A14,'Project Reference'!$B$2:$C$41,2), " ")</f>
        <v xml:space="preserve"> </v>
      </c>
      <c r="M14" s="8" t="str">
        <f>IFERROR(VLOOKUP($A14,'Project Reference'!$B$2:$D$41,3), " ")</f>
        <v xml:space="preserve"> </v>
      </c>
      <c r="N14" s="54" t="str">
        <f>IFERROR(VLOOKUP($A14,'Project Reference'!$B$2:$E$41,4), " ")</f>
        <v xml:space="preserve"> </v>
      </c>
      <c r="O14" s="8" t="str">
        <f>IFERROR(VLOOKUP($A14,'Project Reference'!$B$2:$F$41,5), " ")</f>
        <v xml:space="preserve"> </v>
      </c>
      <c r="P14" s="8" t="str">
        <f>IFERROR(VLOOKUP($A14,'Project Reference'!$B$2:$G$41,6), " ")</f>
        <v xml:space="preserve"> </v>
      </c>
      <c r="Q14" s="8" t="str">
        <f>IFERROR(VLOOKUP($A14,'Project Reference'!$B$2:$H$41,7), " ")</f>
        <v xml:space="preserve"> </v>
      </c>
      <c r="R14" s="8" t="str">
        <f>IFERROR(VLOOKUP($A14,'Project Reference'!$B$2:$I$41,8), " ")</f>
        <v xml:space="preserve"> </v>
      </c>
      <c r="S14" s="8" t="str">
        <f>IFERROR(VLOOKUP($A14,'Project Reference'!$B$2:$J$41,9), " ")</f>
        <v xml:space="preserve"> </v>
      </c>
      <c r="T14" s="8" t="str">
        <f>IFERROR(VLOOKUP($A14,'Project Reference'!$B$2:$K$41,10), " ")</f>
        <v xml:space="preserve"> </v>
      </c>
      <c r="U14" s="8" t="str">
        <f>IFERROR(VLOOKUP($A14,'Project Reference'!$B$2:$L$41,11), " ")</f>
        <v xml:space="preserve"> </v>
      </c>
      <c r="V14" s="8" t="str">
        <f>IFERROR(VLOOKUP($A14,'Project Reference'!$B$2:$M$41,12), " ")</f>
        <v xml:space="preserve"> </v>
      </c>
      <c r="W14" s="8" t="str">
        <f>IFERROR(VLOOKUP($A14,'Project Reference'!$B$2:$N$41,13), " ")</f>
        <v xml:space="preserve"> </v>
      </c>
      <c r="X14" s="8" t="str">
        <f>IFERROR(VLOOKUP($A14,'Project Reference'!$B$2:$O$41,14), " ")</f>
        <v xml:space="preserve"> </v>
      </c>
      <c r="Y14" s="8" t="str">
        <f>IFERROR(VLOOKUP($A14,'Project Reference'!$B$2:$P$41,15), " ")</f>
        <v xml:space="preserve"> </v>
      </c>
      <c r="Z14" s="9" t="str">
        <f>IFERROR(VLOOKUP($A14,'Project Reference'!$B$2:$Q$41,16), " ")</f>
        <v xml:space="preserve"> </v>
      </c>
    </row>
    <row r="15" spans="1:26" s="1" customFormat="1" x14ac:dyDescent="0.45">
      <c r="A15" s="70"/>
      <c r="B15" s="70" t="str">
        <f>IFERROR(VLOOKUP($A15,'Project Reference'!$S$2:$T$41,2),"Enter Project Number")</f>
        <v>Enter Project Number</v>
      </c>
      <c r="C15" s="54"/>
      <c r="D15" s="53"/>
      <c r="E15" s="8"/>
      <c r="F15" s="8"/>
      <c r="G15" s="8"/>
      <c r="H15" s="8"/>
      <c r="I15" s="8"/>
      <c r="J15" s="9"/>
      <c r="K15" s="23"/>
      <c r="L15" s="47" t="str">
        <f>IFERROR(VLOOKUP($A15,'Project Reference'!$B$2:$C$41,2), " ")</f>
        <v xml:space="preserve"> </v>
      </c>
      <c r="M15" s="8" t="str">
        <f>IFERROR(VLOOKUP($A15,'Project Reference'!$B$2:$D$41,3), " ")</f>
        <v xml:space="preserve"> </v>
      </c>
      <c r="N15" s="54" t="str">
        <f>IFERROR(VLOOKUP($A15,'Project Reference'!$B$2:$E$41,4), " ")</f>
        <v xml:space="preserve"> </v>
      </c>
      <c r="O15" s="8" t="str">
        <f>IFERROR(VLOOKUP($A15,'Project Reference'!$B$2:$F$41,5), " ")</f>
        <v xml:space="preserve"> </v>
      </c>
      <c r="P15" s="8" t="str">
        <f>IFERROR(VLOOKUP($A15,'Project Reference'!$B$2:$G$41,6), " ")</f>
        <v xml:space="preserve"> </v>
      </c>
      <c r="Q15" s="8" t="str">
        <f>IFERROR(VLOOKUP($A15,'Project Reference'!$B$2:$H$41,7), " ")</f>
        <v xml:space="preserve"> </v>
      </c>
      <c r="R15" s="8" t="str">
        <f>IFERROR(VLOOKUP($A15,'Project Reference'!$B$2:$I$41,8), " ")</f>
        <v xml:space="preserve"> </v>
      </c>
      <c r="S15" s="8" t="str">
        <f>IFERROR(VLOOKUP($A15,'Project Reference'!$B$2:$J$41,9), " ")</f>
        <v xml:space="preserve"> </v>
      </c>
      <c r="T15" s="8" t="str">
        <f>IFERROR(VLOOKUP($A15,'Project Reference'!$B$2:$K$41,10), " ")</f>
        <v xml:space="preserve"> </v>
      </c>
      <c r="U15" s="8" t="str">
        <f>IFERROR(VLOOKUP($A15,'Project Reference'!$B$2:$L$41,11), " ")</f>
        <v xml:space="preserve"> </v>
      </c>
      <c r="V15" s="8" t="str">
        <f>IFERROR(VLOOKUP($A15,'Project Reference'!$B$2:$M$41,12), " ")</f>
        <v xml:space="preserve"> </v>
      </c>
      <c r="W15" s="8" t="str">
        <f>IFERROR(VLOOKUP($A15,'Project Reference'!$B$2:$N$41,13), " ")</f>
        <v xml:space="preserve"> </v>
      </c>
      <c r="X15" s="8" t="str">
        <f>IFERROR(VLOOKUP($A15,'Project Reference'!$B$2:$O$41,14), " ")</f>
        <v xml:space="preserve"> </v>
      </c>
      <c r="Y15" s="8" t="str">
        <f>IFERROR(VLOOKUP($A15,'Project Reference'!$B$2:$P$41,15), " ")</f>
        <v xml:space="preserve"> </v>
      </c>
      <c r="Z15" s="9" t="str">
        <f>IFERROR(VLOOKUP($A15,'Project Reference'!$B$2:$Q$41,16), " ")</f>
        <v xml:space="preserve"> </v>
      </c>
    </row>
    <row r="16" spans="1:26" s="1" customFormat="1" x14ac:dyDescent="0.45">
      <c r="A16" s="70"/>
      <c r="B16" s="70" t="str">
        <f>IFERROR(VLOOKUP($A16,'Project Reference'!$S$2:$T$41,2),"Enter Project Number")</f>
        <v>Enter Project Number</v>
      </c>
      <c r="C16" s="54"/>
      <c r="D16" s="53"/>
      <c r="E16" s="8"/>
      <c r="F16" s="8"/>
      <c r="G16" s="8"/>
      <c r="H16" s="8"/>
      <c r="I16" s="8"/>
      <c r="J16" s="9"/>
      <c r="K16" s="23"/>
      <c r="L16" s="47" t="str">
        <f>IFERROR(VLOOKUP($A16,'Project Reference'!$B$2:$C$41,2), " ")</f>
        <v xml:space="preserve"> </v>
      </c>
      <c r="M16" s="8" t="str">
        <f>IFERROR(VLOOKUP($A16,'Project Reference'!$B$2:$D$41,3), " ")</f>
        <v xml:space="preserve"> </v>
      </c>
      <c r="N16" s="54" t="str">
        <f>IFERROR(VLOOKUP($A16,'Project Reference'!$B$2:$E$41,4), " ")</f>
        <v xml:space="preserve"> </v>
      </c>
      <c r="O16" s="8" t="str">
        <f>IFERROR(VLOOKUP($A16,'Project Reference'!$B$2:$F$41,5), " ")</f>
        <v xml:space="preserve"> </v>
      </c>
      <c r="P16" s="8" t="str">
        <f>IFERROR(VLOOKUP($A16,'Project Reference'!$B$2:$G$41,6), " ")</f>
        <v xml:space="preserve"> </v>
      </c>
      <c r="Q16" s="8" t="str">
        <f>IFERROR(VLOOKUP($A16,'Project Reference'!$B$2:$H$41,7), " ")</f>
        <v xml:space="preserve"> </v>
      </c>
      <c r="R16" s="8" t="str">
        <f>IFERROR(VLOOKUP($A16,'Project Reference'!$B$2:$I$41,8), " ")</f>
        <v xml:space="preserve"> </v>
      </c>
      <c r="S16" s="8" t="str">
        <f>IFERROR(VLOOKUP($A16,'Project Reference'!$B$2:$J$41,9), " ")</f>
        <v xml:space="preserve"> </v>
      </c>
      <c r="T16" s="8" t="str">
        <f>IFERROR(VLOOKUP($A16,'Project Reference'!$B$2:$K$41,10), " ")</f>
        <v xml:space="preserve"> </v>
      </c>
      <c r="U16" s="8" t="str">
        <f>IFERROR(VLOOKUP($A16,'Project Reference'!$B$2:$L$41,11), " ")</f>
        <v xml:space="preserve"> </v>
      </c>
      <c r="V16" s="8" t="str">
        <f>IFERROR(VLOOKUP($A16,'Project Reference'!$B$2:$M$41,12), " ")</f>
        <v xml:space="preserve"> </v>
      </c>
      <c r="W16" s="8" t="str">
        <f>IFERROR(VLOOKUP($A16,'Project Reference'!$B$2:$N$41,13), " ")</f>
        <v xml:space="preserve"> </v>
      </c>
      <c r="X16" s="8" t="str">
        <f>IFERROR(VLOOKUP($A16,'Project Reference'!$B$2:$O$41,14), " ")</f>
        <v xml:space="preserve"> </v>
      </c>
      <c r="Y16" s="8" t="str">
        <f>IFERROR(VLOOKUP($A16,'Project Reference'!$B$2:$P$41,15), " ")</f>
        <v xml:space="preserve"> </v>
      </c>
      <c r="Z16" s="9" t="str">
        <f>IFERROR(VLOOKUP($A16,'Project Reference'!$B$2:$Q$41,16), " ")</f>
        <v xml:space="preserve"> </v>
      </c>
    </row>
    <row r="17" spans="1:26" s="1" customFormat="1" x14ac:dyDescent="0.45">
      <c r="A17" s="70"/>
      <c r="B17" s="70" t="str">
        <f>IFERROR(VLOOKUP($A17,'Project Reference'!$S$2:$T$41,2),"Enter Project Number")</f>
        <v>Enter Project Number</v>
      </c>
      <c r="C17" s="54"/>
      <c r="D17" s="53"/>
      <c r="E17" s="8"/>
      <c r="F17" s="8"/>
      <c r="G17" s="8"/>
      <c r="H17" s="8"/>
      <c r="I17" s="8"/>
      <c r="J17" s="9"/>
      <c r="K17" s="23"/>
      <c r="L17" s="47" t="str">
        <f>IFERROR(VLOOKUP($A17,'Project Reference'!$B$2:$C$41,2), " ")</f>
        <v xml:space="preserve"> </v>
      </c>
      <c r="M17" s="8" t="str">
        <f>IFERROR(VLOOKUP($A17,'Project Reference'!$B$2:$D$41,3), " ")</f>
        <v xml:space="preserve"> </v>
      </c>
      <c r="N17" s="54" t="str">
        <f>IFERROR(VLOOKUP($A17,'Project Reference'!$B$2:$E$41,4), " ")</f>
        <v xml:space="preserve"> </v>
      </c>
      <c r="O17" s="8" t="str">
        <f>IFERROR(VLOOKUP($A17,'Project Reference'!$B$2:$F$41,5), " ")</f>
        <v xml:space="preserve"> </v>
      </c>
      <c r="P17" s="8" t="str">
        <f>IFERROR(VLOOKUP($A17,'Project Reference'!$B$2:$G$41,6), " ")</f>
        <v xml:space="preserve"> </v>
      </c>
      <c r="Q17" s="8" t="str">
        <f>IFERROR(VLOOKUP($A17,'Project Reference'!$B$2:$H$41,7), " ")</f>
        <v xml:space="preserve"> </v>
      </c>
      <c r="R17" s="8" t="str">
        <f>IFERROR(VLOOKUP($A17,'Project Reference'!$B$2:$I$41,8), " ")</f>
        <v xml:space="preserve"> </v>
      </c>
      <c r="S17" s="8" t="str">
        <f>IFERROR(VLOOKUP($A17,'Project Reference'!$B$2:$J$41,9), " ")</f>
        <v xml:space="preserve"> </v>
      </c>
      <c r="T17" s="8" t="str">
        <f>IFERROR(VLOOKUP($A17,'Project Reference'!$B$2:$K$41,10), " ")</f>
        <v xml:space="preserve"> </v>
      </c>
      <c r="U17" s="8" t="str">
        <f>IFERROR(VLOOKUP($A17,'Project Reference'!$B$2:$L$41,11), " ")</f>
        <v xml:space="preserve"> </v>
      </c>
      <c r="V17" s="8" t="str">
        <f>IFERROR(VLOOKUP($A17,'Project Reference'!$B$2:$M$41,12), " ")</f>
        <v xml:space="preserve"> </v>
      </c>
      <c r="W17" s="8" t="str">
        <f>IFERROR(VLOOKUP($A17,'Project Reference'!$B$2:$N$41,13), " ")</f>
        <v xml:space="preserve"> </v>
      </c>
      <c r="X17" s="8" t="str">
        <f>IFERROR(VLOOKUP($A17,'Project Reference'!$B$2:$O$41,14), " ")</f>
        <v xml:space="preserve"> </v>
      </c>
      <c r="Y17" s="8" t="str">
        <f>IFERROR(VLOOKUP($A17,'Project Reference'!$B$2:$P$41,15), " ")</f>
        <v xml:space="preserve"> </v>
      </c>
      <c r="Z17" s="9" t="str">
        <f>IFERROR(VLOOKUP($A17,'Project Reference'!$B$2:$Q$41,16), " ")</f>
        <v xml:space="preserve"> </v>
      </c>
    </row>
    <row r="18" spans="1:26" s="1" customFormat="1" x14ac:dyDescent="0.45">
      <c r="A18" s="70"/>
      <c r="B18" s="70" t="str">
        <f>IFERROR(VLOOKUP($A18,'Project Reference'!$S$2:$T$41,2),"Enter Project Number")</f>
        <v>Enter Project Number</v>
      </c>
      <c r="C18" s="54"/>
      <c r="D18" s="53"/>
      <c r="E18" s="8"/>
      <c r="F18" s="8"/>
      <c r="G18" s="8"/>
      <c r="H18" s="8"/>
      <c r="I18" s="8"/>
      <c r="J18" s="9"/>
      <c r="K18" s="23"/>
      <c r="L18" s="47" t="str">
        <f>IFERROR(VLOOKUP($A18,'Project Reference'!$B$2:$C$41,2), " ")</f>
        <v xml:space="preserve"> </v>
      </c>
      <c r="M18" s="8" t="str">
        <f>IFERROR(VLOOKUP($A18,'Project Reference'!$B$2:$D$41,3), " ")</f>
        <v xml:space="preserve"> </v>
      </c>
      <c r="N18" s="54" t="str">
        <f>IFERROR(VLOOKUP($A18,'Project Reference'!$B$2:$E$41,4), " ")</f>
        <v xml:space="preserve"> </v>
      </c>
      <c r="O18" s="8" t="str">
        <f>IFERROR(VLOOKUP($A18,'Project Reference'!$B$2:$F$41,5), " ")</f>
        <v xml:space="preserve"> </v>
      </c>
      <c r="P18" s="8" t="str">
        <f>IFERROR(VLOOKUP($A18,'Project Reference'!$B$2:$G$41,6), " ")</f>
        <v xml:space="preserve"> </v>
      </c>
      <c r="Q18" s="8" t="str">
        <f>IFERROR(VLOOKUP($A18,'Project Reference'!$B$2:$H$41,7), " ")</f>
        <v xml:space="preserve"> </v>
      </c>
      <c r="R18" s="8" t="str">
        <f>IFERROR(VLOOKUP($A18,'Project Reference'!$B$2:$I$41,8), " ")</f>
        <v xml:space="preserve"> </v>
      </c>
      <c r="S18" s="8" t="str">
        <f>IFERROR(VLOOKUP($A18,'Project Reference'!$B$2:$J$41,9), " ")</f>
        <v xml:space="preserve"> </v>
      </c>
      <c r="T18" s="8" t="str">
        <f>IFERROR(VLOOKUP($A18,'Project Reference'!$B$2:$K$41,10), " ")</f>
        <v xml:space="preserve"> </v>
      </c>
      <c r="U18" s="8" t="str">
        <f>IFERROR(VLOOKUP($A18,'Project Reference'!$B$2:$L$41,11), " ")</f>
        <v xml:space="preserve"> </v>
      </c>
      <c r="V18" s="8" t="str">
        <f>IFERROR(VLOOKUP($A18,'Project Reference'!$B$2:$M$41,12), " ")</f>
        <v xml:space="preserve"> </v>
      </c>
      <c r="W18" s="8" t="str">
        <f>IFERROR(VLOOKUP($A18,'Project Reference'!$B$2:$N$41,13), " ")</f>
        <v xml:space="preserve"> </v>
      </c>
      <c r="X18" s="8" t="str">
        <f>IFERROR(VLOOKUP($A18,'Project Reference'!$B$2:$O$41,14), " ")</f>
        <v xml:space="preserve"> </v>
      </c>
      <c r="Y18" s="8" t="str">
        <f>IFERROR(VLOOKUP($A18,'Project Reference'!$B$2:$P$41,15), " ")</f>
        <v xml:space="preserve"> </v>
      </c>
      <c r="Z18" s="9" t="str">
        <f>IFERROR(VLOOKUP($A18,'Project Reference'!$B$2:$Q$41,16), " ")</f>
        <v xml:space="preserve"> </v>
      </c>
    </row>
    <row r="19" spans="1:26" s="1" customFormat="1" x14ac:dyDescent="0.45">
      <c r="A19" s="70"/>
      <c r="B19" s="70" t="str">
        <f>IFERROR(VLOOKUP($A19,'Project Reference'!$S$2:$T$41,2),"Enter Project Number")</f>
        <v>Enter Project Number</v>
      </c>
      <c r="C19" s="54"/>
      <c r="D19" s="53"/>
      <c r="E19" s="8"/>
      <c r="F19" s="8"/>
      <c r="G19" s="8"/>
      <c r="H19" s="8"/>
      <c r="I19" s="8"/>
      <c r="J19" s="9"/>
      <c r="K19" s="23"/>
      <c r="L19" s="47" t="str">
        <f>IFERROR(VLOOKUP($A19,'Project Reference'!$B$2:$C$41,2), " ")</f>
        <v xml:space="preserve"> </v>
      </c>
      <c r="M19" s="8" t="str">
        <f>IFERROR(VLOOKUP($A19,'Project Reference'!$B$2:$D$41,3), " ")</f>
        <v xml:space="preserve"> </v>
      </c>
      <c r="N19" s="54" t="str">
        <f>IFERROR(VLOOKUP($A19,'Project Reference'!$B$2:$E$41,4), " ")</f>
        <v xml:space="preserve"> </v>
      </c>
      <c r="O19" s="8" t="str">
        <f>IFERROR(VLOOKUP($A19,'Project Reference'!$B$2:$F$41,5), " ")</f>
        <v xml:space="preserve"> </v>
      </c>
      <c r="P19" s="8" t="str">
        <f>IFERROR(VLOOKUP($A19,'Project Reference'!$B$2:$G$41,6), " ")</f>
        <v xml:space="preserve"> </v>
      </c>
      <c r="Q19" s="8" t="str">
        <f>IFERROR(VLOOKUP($A19,'Project Reference'!$B$2:$H$41,7), " ")</f>
        <v xml:space="preserve"> </v>
      </c>
      <c r="R19" s="8" t="str">
        <f>IFERROR(VLOOKUP($A19,'Project Reference'!$B$2:$I$41,8), " ")</f>
        <v xml:space="preserve"> </v>
      </c>
      <c r="S19" s="8" t="str">
        <f>IFERROR(VLOOKUP($A19,'Project Reference'!$B$2:$J$41,9), " ")</f>
        <v xml:space="preserve"> </v>
      </c>
      <c r="T19" s="8" t="str">
        <f>IFERROR(VLOOKUP($A19,'Project Reference'!$B$2:$K$41,10), " ")</f>
        <v xml:space="preserve"> </v>
      </c>
      <c r="U19" s="8" t="str">
        <f>IFERROR(VLOOKUP($A19,'Project Reference'!$B$2:$L$41,11), " ")</f>
        <v xml:space="preserve"> </v>
      </c>
      <c r="V19" s="8" t="str">
        <f>IFERROR(VLOOKUP($A19,'Project Reference'!$B$2:$M$41,12), " ")</f>
        <v xml:space="preserve"> </v>
      </c>
      <c r="W19" s="8" t="str">
        <f>IFERROR(VLOOKUP($A19,'Project Reference'!$B$2:$N$41,13), " ")</f>
        <v xml:space="preserve"> </v>
      </c>
      <c r="X19" s="8" t="str">
        <f>IFERROR(VLOOKUP($A19,'Project Reference'!$B$2:$O$41,14), " ")</f>
        <v xml:space="preserve"> </v>
      </c>
      <c r="Y19" s="8" t="str">
        <f>IFERROR(VLOOKUP($A19,'Project Reference'!$B$2:$P$41,15), " ")</f>
        <v xml:space="preserve"> </v>
      </c>
      <c r="Z19" s="9" t="str">
        <f>IFERROR(VLOOKUP($A19,'Project Reference'!$B$2:$Q$41,16), " ")</f>
        <v xml:space="preserve"> </v>
      </c>
    </row>
    <row r="20" spans="1:26" s="1" customFormat="1" x14ac:dyDescent="0.45">
      <c r="A20" s="70"/>
      <c r="B20" s="70" t="str">
        <f>IFERROR(VLOOKUP($A20,'Project Reference'!$S$2:$T$41,2),"Enter Project Number")</f>
        <v>Enter Project Number</v>
      </c>
      <c r="C20" s="54"/>
      <c r="D20" s="53"/>
      <c r="E20" s="8"/>
      <c r="F20" s="8"/>
      <c r="G20" s="8"/>
      <c r="H20" s="8"/>
      <c r="I20" s="8"/>
      <c r="J20" s="9"/>
      <c r="K20" s="23"/>
      <c r="L20" s="47" t="str">
        <f>IFERROR(VLOOKUP($A20,'Project Reference'!$B$2:$C$41,2), " ")</f>
        <v xml:space="preserve"> </v>
      </c>
      <c r="M20" s="8" t="str">
        <f>IFERROR(VLOOKUP($A20,'Project Reference'!$B$2:$D$41,3), " ")</f>
        <v xml:space="preserve"> </v>
      </c>
      <c r="N20" s="54" t="str">
        <f>IFERROR(VLOOKUP($A20,'Project Reference'!$B$2:$E$41,4), " ")</f>
        <v xml:space="preserve"> </v>
      </c>
      <c r="O20" s="8" t="str">
        <f>IFERROR(VLOOKUP($A20,'Project Reference'!$B$2:$F$41,5), " ")</f>
        <v xml:space="preserve"> </v>
      </c>
      <c r="P20" s="8" t="str">
        <f>IFERROR(VLOOKUP($A20,'Project Reference'!$B$2:$G$41,6), " ")</f>
        <v xml:space="preserve"> </v>
      </c>
      <c r="Q20" s="8" t="str">
        <f>IFERROR(VLOOKUP($A20,'Project Reference'!$B$2:$H$41,7), " ")</f>
        <v xml:space="preserve"> </v>
      </c>
      <c r="R20" s="8" t="str">
        <f>IFERROR(VLOOKUP($A20,'Project Reference'!$B$2:$I$41,8), " ")</f>
        <v xml:space="preserve"> </v>
      </c>
      <c r="S20" s="8" t="str">
        <f>IFERROR(VLOOKUP($A20,'Project Reference'!$B$2:$J$41,9), " ")</f>
        <v xml:space="preserve"> </v>
      </c>
      <c r="T20" s="8" t="str">
        <f>IFERROR(VLOOKUP($A20,'Project Reference'!$B$2:$K$41,10), " ")</f>
        <v xml:space="preserve"> </v>
      </c>
      <c r="U20" s="8" t="str">
        <f>IFERROR(VLOOKUP($A20,'Project Reference'!$B$2:$L$41,11), " ")</f>
        <v xml:space="preserve"> </v>
      </c>
      <c r="V20" s="8" t="str">
        <f>IFERROR(VLOOKUP($A20,'Project Reference'!$B$2:$M$41,12), " ")</f>
        <v xml:space="preserve"> </v>
      </c>
      <c r="W20" s="8" t="str">
        <f>IFERROR(VLOOKUP($A20,'Project Reference'!$B$2:$N$41,13), " ")</f>
        <v xml:space="preserve"> </v>
      </c>
      <c r="X20" s="8" t="str">
        <f>IFERROR(VLOOKUP($A20,'Project Reference'!$B$2:$O$41,14), " ")</f>
        <v xml:space="preserve"> </v>
      </c>
      <c r="Y20" s="8" t="str">
        <f>IFERROR(VLOOKUP($A20,'Project Reference'!$B$2:$P$41,15), " ")</f>
        <v xml:space="preserve"> </v>
      </c>
      <c r="Z20" s="9" t="str">
        <f>IFERROR(VLOOKUP($A20,'Project Reference'!$B$2:$Q$41,16), " ")</f>
        <v xml:space="preserve"> </v>
      </c>
    </row>
    <row r="21" spans="1:26" s="1" customFormat="1" x14ac:dyDescent="0.45">
      <c r="A21" s="70"/>
      <c r="B21" s="70" t="str">
        <f>IFERROR(VLOOKUP($A21,'Project Reference'!$S$2:$T$41,2),"Enter Project Number")</f>
        <v>Enter Project Number</v>
      </c>
      <c r="C21" s="54"/>
      <c r="D21" s="53"/>
      <c r="E21" s="8"/>
      <c r="F21" s="8"/>
      <c r="G21" s="8"/>
      <c r="H21" s="8"/>
      <c r="I21" s="8"/>
      <c r="J21" s="9"/>
      <c r="K21" s="23"/>
      <c r="L21" s="47" t="str">
        <f>IFERROR(VLOOKUP($A21,'Project Reference'!$B$2:$C$41,2), " ")</f>
        <v xml:space="preserve"> </v>
      </c>
      <c r="M21" s="8" t="str">
        <f>IFERROR(VLOOKUP($A21,'Project Reference'!$B$2:$D$41,3), " ")</f>
        <v xml:space="preserve"> </v>
      </c>
      <c r="N21" s="54" t="str">
        <f>IFERROR(VLOOKUP($A21,'Project Reference'!$B$2:$E$41,4), " ")</f>
        <v xml:space="preserve"> </v>
      </c>
      <c r="O21" s="8" t="str">
        <f>IFERROR(VLOOKUP($A21,'Project Reference'!$B$2:$F$41,5), " ")</f>
        <v xml:space="preserve"> </v>
      </c>
      <c r="P21" s="8" t="str">
        <f>IFERROR(VLOOKUP($A21,'Project Reference'!$B$2:$G$41,6), " ")</f>
        <v xml:space="preserve"> </v>
      </c>
      <c r="Q21" s="8" t="str">
        <f>IFERROR(VLOOKUP($A21,'Project Reference'!$B$2:$H$41,7), " ")</f>
        <v xml:space="preserve"> </v>
      </c>
      <c r="R21" s="8" t="str">
        <f>IFERROR(VLOOKUP($A21,'Project Reference'!$B$2:$I$41,8), " ")</f>
        <v xml:space="preserve"> </v>
      </c>
      <c r="S21" s="8" t="str">
        <f>IFERROR(VLOOKUP($A21,'Project Reference'!$B$2:$J$41,9), " ")</f>
        <v xml:space="preserve"> </v>
      </c>
      <c r="T21" s="8" t="str">
        <f>IFERROR(VLOOKUP($A21,'Project Reference'!$B$2:$K$41,10), " ")</f>
        <v xml:space="preserve"> </v>
      </c>
      <c r="U21" s="8" t="str">
        <f>IFERROR(VLOOKUP($A21,'Project Reference'!$B$2:$L$41,11), " ")</f>
        <v xml:space="preserve"> </v>
      </c>
      <c r="V21" s="8" t="str">
        <f>IFERROR(VLOOKUP($A21,'Project Reference'!$B$2:$M$41,12), " ")</f>
        <v xml:space="preserve"> </v>
      </c>
      <c r="W21" s="8" t="str">
        <f>IFERROR(VLOOKUP($A21,'Project Reference'!$B$2:$N$41,13), " ")</f>
        <v xml:space="preserve"> </v>
      </c>
      <c r="X21" s="8" t="str">
        <f>IFERROR(VLOOKUP($A21,'Project Reference'!$B$2:$O$41,14), " ")</f>
        <v xml:space="preserve"> </v>
      </c>
      <c r="Y21" s="8" t="str">
        <f>IFERROR(VLOOKUP($A21,'Project Reference'!$B$2:$P$41,15), " ")</f>
        <v xml:space="preserve"> </v>
      </c>
      <c r="Z21" s="9" t="str">
        <f>IFERROR(VLOOKUP($A21,'Project Reference'!$B$2:$Q$41,16), " ")</f>
        <v xml:space="preserve"> </v>
      </c>
    </row>
    <row r="22" spans="1:26" s="1" customFormat="1" x14ac:dyDescent="0.45">
      <c r="A22" s="70"/>
      <c r="B22" s="70" t="str">
        <f>IFERROR(VLOOKUP($A22,'Project Reference'!$S$2:$T$41,2),"Enter Project Number")</f>
        <v>Enter Project Number</v>
      </c>
      <c r="C22" s="54"/>
      <c r="D22" s="53"/>
      <c r="E22" s="8"/>
      <c r="F22" s="8"/>
      <c r="G22" s="8"/>
      <c r="H22" s="8"/>
      <c r="I22" s="8"/>
      <c r="J22" s="9"/>
      <c r="K22" s="23"/>
      <c r="L22" s="47" t="str">
        <f>IFERROR(VLOOKUP($A22,'Project Reference'!$B$2:$C$41,2), " ")</f>
        <v xml:space="preserve"> </v>
      </c>
      <c r="M22" s="8" t="str">
        <f>IFERROR(VLOOKUP($A22,'Project Reference'!$B$2:$D$41,3), " ")</f>
        <v xml:space="preserve"> </v>
      </c>
      <c r="N22" s="54" t="str">
        <f>IFERROR(VLOOKUP($A22,'Project Reference'!$B$2:$E$41,4), " ")</f>
        <v xml:space="preserve"> </v>
      </c>
      <c r="O22" s="8" t="str">
        <f>IFERROR(VLOOKUP($A22,'Project Reference'!$B$2:$F$41,5), " ")</f>
        <v xml:space="preserve"> </v>
      </c>
      <c r="P22" s="8" t="str">
        <f>IFERROR(VLOOKUP($A22,'Project Reference'!$B$2:$G$41,6), " ")</f>
        <v xml:space="preserve"> </v>
      </c>
      <c r="Q22" s="8" t="str">
        <f>IFERROR(VLOOKUP($A22,'Project Reference'!$B$2:$H$41,7), " ")</f>
        <v xml:space="preserve"> </v>
      </c>
      <c r="R22" s="8" t="str">
        <f>IFERROR(VLOOKUP($A22,'Project Reference'!$B$2:$I$41,8), " ")</f>
        <v xml:space="preserve"> </v>
      </c>
      <c r="S22" s="8" t="str">
        <f>IFERROR(VLOOKUP($A22,'Project Reference'!$B$2:$J$41,9), " ")</f>
        <v xml:space="preserve"> </v>
      </c>
      <c r="T22" s="8" t="str">
        <f>IFERROR(VLOOKUP($A22,'Project Reference'!$B$2:$K$41,10), " ")</f>
        <v xml:space="preserve"> </v>
      </c>
      <c r="U22" s="8" t="str">
        <f>IFERROR(VLOOKUP($A22,'Project Reference'!$B$2:$L$41,11), " ")</f>
        <v xml:space="preserve"> </v>
      </c>
      <c r="V22" s="8" t="str">
        <f>IFERROR(VLOOKUP($A22,'Project Reference'!$B$2:$M$41,12), " ")</f>
        <v xml:space="preserve"> </v>
      </c>
      <c r="W22" s="8" t="str">
        <f>IFERROR(VLOOKUP($A22,'Project Reference'!$B$2:$N$41,13), " ")</f>
        <v xml:space="preserve"> </v>
      </c>
      <c r="X22" s="8" t="str">
        <f>IFERROR(VLOOKUP($A22,'Project Reference'!$B$2:$O$41,14), " ")</f>
        <v xml:space="preserve"> </v>
      </c>
      <c r="Y22" s="8" t="str">
        <f>IFERROR(VLOOKUP($A22,'Project Reference'!$B$2:$P$41,15), " ")</f>
        <v xml:space="preserve"> </v>
      </c>
      <c r="Z22" s="9" t="str">
        <f>IFERROR(VLOOKUP($A22,'Project Reference'!$B$2:$Q$41,16), " ")</f>
        <v xml:space="preserve"> </v>
      </c>
    </row>
    <row r="23" spans="1:26" s="1" customFormat="1" x14ac:dyDescent="0.45">
      <c r="A23" s="70"/>
      <c r="B23" s="70" t="str">
        <f>IFERROR(VLOOKUP($A23,'Project Reference'!$S$2:$T$41,2),"Enter Project Number")</f>
        <v>Enter Project Number</v>
      </c>
      <c r="C23" s="54"/>
      <c r="D23" s="53"/>
      <c r="E23" s="8"/>
      <c r="F23" s="8"/>
      <c r="G23" s="8"/>
      <c r="H23" s="8"/>
      <c r="I23" s="8"/>
      <c r="J23" s="9"/>
      <c r="K23" s="23"/>
      <c r="L23" s="47" t="str">
        <f>IFERROR(VLOOKUP($A23,'Project Reference'!$B$2:$C$41,2), " ")</f>
        <v xml:space="preserve"> </v>
      </c>
      <c r="M23" s="8" t="str">
        <f>IFERROR(VLOOKUP($A23,'Project Reference'!$B$2:$D$41,3), " ")</f>
        <v xml:space="preserve"> </v>
      </c>
      <c r="N23" s="54" t="str">
        <f>IFERROR(VLOOKUP($A23,'Project Reference'!$B$2:$E$41,4), " ")</f>
        <v xml:space="preserve"> </v>
      </c>
      <c r="O23" s="8" t="str">
        <f>IFERROR(VLOOKUP($A23,'Project Reference'!$B$2:$F$41,5), " ")</f>
        <v xml:space="preserve"> </v>
      </c>
      <c r="P23" s="8" t="str">
        <f>IFERROR(VLOOKUP($A23,'Project Reference'!$B$2:$G$41,6), " ")</f>
        <v xml:space="preserve"> </v>
      </c>
      <c r="Q23" s="8" t="str">
        <f>IFERROR(VLOOKUP($A23,'Project Reference'!$B$2:$H$41,7), " ")</f>
        <v xml:space="preserve"> </v>
      </c>
      <c r="R23" s="8" t="str">
        <f>IFERROR(VLOOKUP($A23,'Project Reference'!$B$2:$I$41,8), " ")</f>
        <v xml:space="preserve"> </v>
      </c>
      <c r="S23" s="8" t="str">
        <f>IFERROR(VLOOKUP($A23,'Project Reference'!$B$2:$J$41,9), " ")</f>
        <v xml:space="preserve"> </v>
      </c>
      <c r="T23" s="8" t="str">
        <f>IFERROR(VLOOKUP($A23,'Project Reference'!$B$2:$K$41,10), " ")</f>
        <v xml:space="preserve"> </v>
      </c>
      <c r="U23" s="8" t="str">
        <f>IFERROR(VLOOKUP($A23,'Project Reference'!$B$2:$L$41,11), " ")</f>
        <v xml:space="preserve"> </v>
      </c>
      <c r="V23" s="8" t="str">
        <f>IFERROR(VLOOKUP($A23,'Project Reference'!$B$2:$M$41,12), " ")</f>
        <v xml:space="preserve"> </v>
      </c>
      <c r="W23" s="8" t="str">
        <f>IFERROR(VLOOKUP($A23,'Project Reference'!$B$2:$N$41,13), " ")</f>
        <v xml:space="preserve"> </v>
      </c>
      <c r="X23" s="8" t="str">
        <f>IFERROR(VLOOKUP($A23,'Project Reference'!$B$2:$O$41,14), " ")</f>
        <v xml:space="preserve"> </v>
      </c>
      <c r="Y23" s="8" t="str">
        <f>IFERROR(VLOOKUP($A23,'Project Reference'!$B$2:$P$41,15), " ")</f>
        <v xml:space="preserve"> </v>
      </c>
      <c r="Z23" s="9" t="str">
        <f>IFERROR(VLOOKUP($A23,'Project Reference'!$B$2:$Q$41,16), " ")</f>
        <v xml:space="preserve"> </v>
      </c>
    </row>
    <row r="24" spans="1:26" s="1" customFormat="1" x14ac:dyDescent="0.45">
      <c r="A24" s="70"/>
      <c r="B24" s="70" t="str">
        <f>IFERROR(VLOOKUP($A24,'Project Reference'!$S$2:$T$41,2),"Enter Project Number")</f>
        <v>Enter Project Number</v>
      </c>
      <c r="C24" s="54"/>
      <c r="D24" s="53"/>
      <c r="E24" s="8"/>
      <c r="F24" s="8"/>
      <c r="G24" s="8"/>
      <c r="H24" s="8"/>
      <c r="I24" s="8"/>
      <c r="J24" s="9"/>
      <c r="K24" s="23"/>
      <c r="L24" s="47" t="str">
        <f>IFERROR(VLOOKUP($A24,'Project Reference'!$B$2:$C$41,2), " ")</f>
        <v xml:space="preserve"> </v>
      </c>
      <c r="M24" s="8" t="str">
        <f>IFERROR(VLOOKUP($A24,'Project Reference'!$B$2:$D$41,3), " ")</f>
        <v xml:space="preserve"> </v>
      </c>
      <c r="N24" s="54" t="str">
        <f>IFERROR(VLOOKUP($A24,'Project Reference'!$B$2:$E$41,4), " ")</f>
        <v xml:space="preserve"> </v>
      </c>
      <c r="O24" s="8" t="str">
        <f>IFERROR(VLOOKUP($A24,'Project Reference'!$B$2:$F$41,5), " ")</f>
        <v xml:space="preserve"> </v>
      </c>
      <c r="P24" s="8" t="str">
        <f>IFERROR(VLOOKUP($A24,'Project Reference'!$B$2:$G$41,6), " ")</f>
        <v xml:space="preserve"> </v>
      </c>
      <c r="Q24" s="8" t="str">
        <f>IFERROR(VLOOKUP($A24,'Project Reference'!$B$2:$H$41,7), " ")</f>
        <v xml:space="preserve"> </v>
      </c>
      <c r="R24" s="8" t="str">
        <f>IFERROR(VLOOKUP($A24,'Project Reference'!$B$2:$I$41,8), " ")</f>
        <v xml:space="preserve"> </v>
      </c>
      <c r="S24" s="8" t="str">
        <f>IFERROR(VLOOKUP($A24,'Project Reference'!$B$2:$J$41,9), " ")</f>
        <v xml:space="preserve"> </v>
      </c>
      <c r="T24" s="8" t="str">
        <f>IFERROR(VLOOKUP($A24,'Project Reference'!$B$2:$K$41,10), " ")</f>
        <v xml:space="preserve"> </v>
      </c>
      <c r="U24" s="8" t="str">
        <f>IFERROR(VLOOKUP($A24,'Project Reference'!$B$2:$L$41,11), " ")</f>
        <v xml:space="preserve"> </v>
      </c>
      <c r="V24" s="8" t="str">
        <f>IFERROR(VLOOKUP($A24,'Project Reference'!$B$2:$M$41,12), " ")</f>
        <v xml:space="preserve"> </v>
      </c>
      <c r="W24" s="8" t="str">
        <f>IFERROR(VLOOKUP($A24,'Project Reference'!$B$2:$N$41,13), " ")</f>
        <v xml:space="preserve"> </v>
      </c>
      <c r="X24" s="8" t="str">
        <f>IFERROR(VLOOKUP($A24,'Project Reference'!$B$2:$O$41,14), " ")</f>
        <v xml:space="preserve"> </v>
      </c>
      <c r="Y24" s="8" t="str">
        <f>IFERROR(VLOOKUP($A24,'Project Reference'!$B$2:$P$41,15), " ")</f>
        <v xml:space="preserve"> </v>
      </c>
      <c r="Z24" s="9" t="str">
        <f>IFERROR(VLOOKUP($A24,'Project Reference'!$B$2:$Q$41,16), " ")</f>
        <v xml:space="preserve"> </v>
      </c>
    </row>
    <row r="25" spans="1:26" s="1" customFormat="1" x14ac:dyDescent="0.45">
      <c r="A25" s="70"/>
      <c r="B25" s="70" t="str">
        <f>IFERROR(VLOOKUP($A25,'Project Reference'!$S$2:$T$41,2),"Enter Project Number")</f>
        <v>Enter Project Number</v>
      </c>
      <c r="C25" s="54"/>
      <c r="D25" s="53"/>
      <c r="E25" s="8"/>
      <c r="F25" s="8"/>
      <c r="G25" s="8"/>
      <c r="H25" s="8"/>
      <c r="I25" s="8"/>
      <c r="J25" s="9"/>
      <c r="K25" s="23"/>
      <c r="L25" s="47" t="str">
        <f>IFERROR(VLOOKUP($A25,'Project Reference'!$B$2:$C$41,2), " ")</f>
        <v xml:space="preserve"> </v>
      </c>
      <c r="M25" s="8" t="str">
        <f>IFERROR(VLOOKUP($A25,'Project Reference'!$B$2:$D$41,3), " ")</f>
        <v xml:space="preserve"> </v>
      </c>
      <c r="N25" s="54" t="str">
        <f>IFERROR(VLOOKUP($A25,'Project Reference'!$B$2:$E$41,4), " ")</f>
        <v xml:space="preserve"> </v>
      </c>
      <c r="O25" s="8" t="str">
        <f>IFERROR(VLOOKUP($A25,'Project Reference'!$B$2:$F$41,5), " ")</f>
        <v xml:space="preserve"> </v>
      </c>
      <c r="P25" s="8" t="str">
        <f>IFERROR(VLOOKUP($A25,'Project Reference'!$B$2:$G$41,6), " ")</f>
        <v xml:space="preserve"> </v>
      </c>
      <c r="Q25" s="8" t="str">
        <f>IFERROR(VLOOKUP($A25,'Project Reference'!$B$2:$H$41,7), " ")</f>
        <v xml:space="preserve"> </v>
      </c>
      <c r="R25" s="8" t="str">
        <f>IFERROR(VLOOKUP($A25,'Project Reference'!$B$2:$I$41,8), " ")</f>
        <v xml:space="preserve"> </v>
      </c>
      <c r="S25" s="8" t="str">
        <f>IFERROR(VLOOKUP($A25,'Project Reference'!$B$2:$J$41,9), " ")</f>
        <v xml:space="preserve"> </v>
      </c>
      <c r="T25" s="8" t="str">
        <f>IFERROR(VLOOKUP($A25,'Project Reference'!$B$2:$K$41,10), " ")</f>
        <v xml:space="preserve"> </v>
      </c>
      <c r="U25" s="8" t="str">
        <f>IFERROR(VLOOKUP($A25,'Project Reference'!$B$2:$L$41,11), " ")</f>
        <v xml:space="preserve"> </v>
      </c>
      <c r="V25" s="8" t="str">
        <f>IFERROR(VLOOKUP($A25,'Project Reference'!$B$2:$M$41,12), " ")</f>
        <v xml:space="preserve"> </v>
      </c>
      <c r="W25" s="8" t="str">
        <f>IFERROR(VLOOKUP($A25,'Project Reference'!$B$2:$N$41,13), " ")</f>
        <v xml:space="preserve"> </v>
      </c>
      <c r="X25" s="8" t="str">
        <f>IFERROR(VLOOKUP($A25,'Project Reference'!$B$2:$O$41,14), " ")</f>
        <v xml:space="preserve"> </v>
      </c>
      <c r="Y25" s="8" t="str">
        <f>IFERROR(VLOOKUP($A25,'Project Reference'!$B$2:$P$41,15), " ")</f>
        <v xml:space="preserve"> </v>
      </c>
      <c r="Z25" s="9" t="str">
        <f>IFERROR(VLOOKUP($A25,'Project Reference'!$B$2:$Q$41,16), " ")</f>
        <v xml:space="preserve"> </v>
      </c>
    </row>
    <row r="26" spans="1:26" s="1" customFormat="1" x14ac:dyDescent="0.45">
      <c r="A26" s="70"/>
      <c r="B26" s="70" t="str">
        <f>IFERROR(VLOOKUP($A26,'Project Reference'!$S$2:$T$41,2),"Enter Project Number")</f>
        <v>Enter Project Number</v>
      </c>
      <c r="C26" s="54"/>
      <c r="D26" s="53"/>
      <c r="E26" s="8"/>
      <c r="F26" s="8"/>
      <c r="G26" s="8"/>
      <c r="H26" s="8"/>
      <c r="I26" s="8"/>
      <c r="J26" s="9"/>
      <c r="K26" s="23"/>
      <c r="L26" s="47" t="str">
        <f>IFERROR(VLOOKUP($A26,'Project Reference'!$B$2:$C$41,2), " ")</f>
        <v xml:space="preserve"> </v>
      </c>
      <c r="M26" s="8" t="str">
        <f>IFERROR(VLOOKUP($A26,'Project Reference'!$B$2:$D$41,3), " ")</f>
        <v xml:space="preserve"> </v>
      </c>
      <c r="N26" s="54" t="str">
        <f>IFERROR(VLOOKUP($A26,'Project Reference'!$B$2:$E$41,4), " ")</f>
        <v xml:space="preserve"> </v>
      </c>
      <c r="O26" s="8" t="str">
        <f>IFERROR(VLOOKUP($A26,'Project Reference'!$B$2:$F$41,5), " ")</f>
        <v xml:space="preserve"> </v>
      </c>
      <c r="P26" s="8" t="str">
        <f>IFERROR(VLOOKUP($A26,'Project Reference'!$B$2:$G$41,6), " ")</f>
        <v xml:space="preserve"> </v>
      </c>
      <c r="Q26" s="8" t="str">
        <f>IFERROR(VLOOKUP($A26,'Project Reference'!$B$2:$H$41,7), " ")</f>
        <v xml:space="preserve"> </v>
      </c>
      <c r="R26" s="8" t="str">
        <f>IFERROR(VLOOKUP($A26,'Project Reference'!$B$2:$I$41,8), " ")</f>
        <v xml:space="preserve"> </v>
      </c>
      <c r="S26" s="8" t="str">
        <f>IFERROR(VLOOKUP($A26,'Project Reference'!$B$2:$J$41,9), " ")</f>
        <v xml:space="preserve"> </v>
      </c>
      <c r="T26" s="8" t="str">
        <f>IFERROR(VLOOKUP($A26,'Project Reference'!$B$2:$K$41,10), " ")</f>
        <v xml:space="preserve"> </v>
      </c>
      <c r="U26" s="8" t="str">
        <f>IFERROR(VLOOKUP($A26,'Project Reference'!$B$2:$L$41,11), " ")</f>
        <v xml:space="preserve"> </v>
      </c>
      <c r="V26" s="8" t="str">
        <f>IFERROR(VLOOKUP($A26,'Project Reference'!$B$2:$M$41,12), " ")</f>
        <v xml:space="preserve"> </v>
      </c>
      <c r="W26" s="8" t="str">
        <f>IFERROR(VLOOKUP($A26,'Project Reference'!$B$2:$N$41,13), " ")</f>
        <v xml:space="preserve"> </v>
      </c>
      <c r="X26" s="8" t="str">
        <f>IFERROR(VLOOKUP($A26,'Project Reference'!$B$2:$O$41,14), " ")</f>
        <v xml:space="preserve"> </v>
      </c>
      <c r="Y26" s="8" t="str">
        <f>IFERROR(VLOOKUP($A26,'Project Reference'!$B$2:$P$41,15), " ")</f>
        <v xml:space="preserve"> </v>
      </c>
      <c r="Z26" s="9" t="str">
        <f>IFERROR(VLOOKUP($A26,'Project Reference'!$B$2:$Q$41,16), " ")</f>
        <v xml:space="preserve"> </v>
      </c>
    </row>
    <row r="27" spans="1:26" s="1" customFormat="1" x14ac:dyDescent="0.45">
      <c r="A27" s="70"/>
      <c r="B27" s="70" t="str">
        <f>IFERROR(VLOOKUP($A27,'Project Reference'!$S$2:$T$41,2),"Enter Project Number")</f>
        <v>Enter Project Number</v>
      </c>
      <c r="C27" s="54"/>
      <c r="D27" s="53"/>
      <c r="E27" s="8"/>
      <c r="F27" s="8"/>
      <c r="G27" s="8"/>
      <c r="H27" s="8"/>
      <c r="I27" s="8"/>
      <c r="J27" s="9"/>
      <c r="K27" s="23"/>
      <c r="L27" s="47" t="str">
        <f>IFERROR(VLOOKUP($A27,'Project Reference'!$B$2:$C$41,2), " ")</f>
        <v xml:space="preserve"> </v>
      </c>
      <c r="M27" s="8" t="str">
        <f>IFERROR(VLOOKUP($A27,'Project Reference'!$B$2:$D$41,3), " ")</f>
        <v xml:space="preserve"> </v>
      </c>
      <c r="N27" s="54" t="str">
        <f>IFERROR(VLOOKUP($A27,'Project Reference'!$B$2:$E$41,4), " ")</f>
        <v xml:space="preserve"> </v>
      </c>
      <c r="O27" s="8" t="str">
        <f>IFERROR(VLOOKUP($A27,'Project Reference'!$B$2:$F$41,5), " ")</f>
        <v xml:space="preserve"> </v>
      </c>
      <c r="P27" s="8" t="str">
        <f>IFERROR(VLOOKUP($A27,'Project Reference'!$B$2:$G$41,6), " ")</f>
        <v xml:space="preserve"> </v>
      </c>
      <c r="Q27" s="8" t="str">
        <f>IFERROR(VLOOKUP($A27,'Project Reference'!$B$2:$H$41,7), " ")</f>
        <v xml:space="preserve"> </v>
      </c>
      <c r="R27" s="8" t="str">
        <f>IFERROR(VLOOKUP($A27,'Project Reference'!$B$2:$I$41,8), " ")</f>
        <v xml:space="preserve"> </v>
      </c>
      <c r="S27" s="8" t="str">
        <f>IFERROR(VLOOKUP($A27,'Project Reference'!$B$2:$J$41,9), " ")</f>
        <v xml:space="preserve"> </v>
      </c>
      <c r="T27" s="8" t="str">
        <f>IFERROR(VLOOKUP($A27,'Project Reference'!$B$2:$K$41,10), " ")</f>
        <v xml:space="preserve"> </v>
      </c>
      <c r="U27" s="8" t="str">
        <f>IFERROR(VLOOKUP($A27,'Project Reference'!$B$2:$L$41,11), " ")</f>
        <v xml:space="preserve"> </v>
      </c>
      <c r="V27" s="8" t="str">
        <f>IFERROR(VLOOKUP($A27,'Project Reference'!$B$2:$M$41,12), " ")</f>
        <v xml:space="preserve"> </v>
      </c>
      <c r="W27" s="8" t="str">
        <f>IFERROR(VLOOKUP($A27,'Project Reference'!$B$2:$N$41,13), " ")</f>
        <v xml:space="preserve"> </v>
      </c>
      <c r="X27" s="8" t="str">
        <f>IFERROR(VLOOKUP($A27,'Project Reference'!$B$2:$O$41,14), " ")</f>
        <v xml:space="preserve"> </v>
      </c>
      <c r="Y27" s="8" t="str">
        <f>IFERROR(VLOOKUP($A27,'Project Reference'!$B$2:$P$41,15), " ")</f>
        <v xml:space="preserve"> </v>
      </c>
      <c r="Z27" s="9" t="str">
        <f>IFERROR(VLOOKUP($A27,'Project Reference'!$B$2:$Q$41,16), " ")</f>
        <v xml:space="preserve"> </v>
      </c>
    </row>
    <row r="28" spans="1:26" s="1" customFormat="1" x14ac:dyDescent="0.45">
      <c r="A28" s="70"/>
      <c r="B28" s="70" t="str">
        <f>IFERROR(VLOOKUP($A28,'Project Reference'!$S$2:$T$41,2),"Enter Project Number")</f>
        <v>Enter Project Number</v>
      </c>
      <c r="C28" s="54"/>
      <c r="D28" s="53"/>
      <c r="E28" s="8"/>
      <c r="F28" s="8"/>
      <c r="G28" s="8"/>
      <c r="H28" s="8"/>
      <c r="I28" s="8"/>
      <c r="J28" s="9"/>
      <c r="K28" s="23"/>
      <c r="L28" s="47" t="str">
        <f>IFERROR(VLOOKUP($A28,'Project Reference'!$B$2:$C$41,2), " ")</f>
        <v xml:space="preserve"> </v>
      </c>
      <c r="M28" s="8" t="str">
        <f>IFERROR(VLOOKUP($A28,'Project Reference'!$B$2:$D$41,3), " ")</f>
        <v xml:space="preserve"> </v>
      </c>
      <c r="N28" s="54" t="str">
        <f>IFERROR(VLOOKUP($A28,'Project Reference'!$B$2:$E$41,4), " ")</f>
        <v xml:space="preserve"> </v>
      </c>
      <c r="O28" s="8" t="str">
        <f>IFERROR(VLOOKUP($A28,'Project Reference'!$B$2:$F$41,5), " ")</f>
        <v xml:space="preserve"> </v>
      </c>
      <c r="P28" s="8" t="str">
        <f>IFERROR(VLOOKUP($A28,'Project Reference'!$B$2:$G$41,6), " ")</f>
        <v xml:space="preserve"> </v>
      </c>
      <c r="Q28" s="8" t="str">
        <f>IFERROR(VLOOKUP($A28,'Project Reference'!$B$2:$H$41,7), " ")</f>
        <v xml:space="preserve"> </v>
      </c>
      <c r="R28" s="8" t="str">
        <f>IFERROR(VLOOKUP($A28,'Project Reference'!$B$2:$I$41,8), " ")</f>
        <v xml:space="preserve"> </v>
      </c>
      <c r="S28" s="8" t="str">
        <f>IFERROR(VLOOKUP($A28,'Project Reference'!$B$2:$J$41,9), " ")</f>
        <v xml:space="preserve"> </v>
      </c>
      <c r="T28" s="8" t="str">
        <f>IFERROR(VLOOKUP($A28,'Project Reference'!$B$2:$K$41,10), " ")</f>
        <v xml:space="preserve"> </v>
      </c>
      <c r="U28" s="8" t="str">
        <f>IFERROR(VLOOKUP($A28,'Project Reference'!$B$2:$L$41,11), " ")</f>
        <v xml:space="preserve"> </v>
      </c>
      <c r="V28" s="8" t="str">
        <f>IFERROR(VLOOKUP($A28,'Project Reference'!$B$2:$M$41,12), " ")</f>
        <v xml:space="preserve"> </v>
      </c>
      <c r="W28" s="8" t="str">
        <f>IFERROR(VLOOKUP($A28,'Project Reference'!$B$2:$N$41,13), " ")</f>
        <v xml:space="preserve"> </v>
      </c>
      <c r="X28" s="8" t="str">
        <f>IFERROR(VLOOKUP($A28,'Project Reference'!$B$2:$O$41,14), " ")</f>
        <v xml:space="preserve"> </v>
      </c>
      <c r="Y28" s="8" t="str">
        <f>IFERROR(VLOOKUP($A28,'Project Reference'!$B$2:$P$41,15), " ")</f>
        <v xml:space="preserve"> </v>
      </c>
      <c r="Z28" s="9" t="str">
        <f>IFERROR(VLOOKUP($A28,'Project Reference'!$B$2:$Q$41,16), " ")</f>
        <v xml:space="preserve"> </v>
      </c>
    </row>
    <row r="29" spans="1:26" s="1" customFormat="1" x14ac:dyDescent="0.45">
      <c r="A29" s="70"/>
      <c r="B29" s="70" t="str">
        <f>IFERROR(VLOOKUP($A29,'Project Reference'!$S$2:$T$41,2),"Enter Project Number")</f>
        <v>Enter Project Number</v>
      </c>
      <c r="C29" s="54"/>
      <c r="D29" s="53"/>
      <c r="E29" s="8"/>
      <c r="F29" s="8"/>
      <c r="G29" s="8"/>
      <c r="H29" s="8"/>
      <c r="I29" s="8"/>
      <c r="J29" s="9"/>
      <c r="K29" s="23"/>
      <c r="L29" s="47" t="str">
        <f>IFERROR(VLOOKUP($A29,'Project Reference'!$B$2:$C$41,2), " ")</f>
        <v xml:space="preserve"> </v>
      </c>
      <c r="M29" s="8" t="str">
        <f>IFERROR(VLOOKUP($A29,'Project Reference'!$B$2:$D$41,3), " ")</f>
        <v xml:space="preserve"> </v>
      </c>
      <c r="N29" s="54" t="str">
        <f>IFERROR(VLOOKUP($A29,'Project Reference'!$B$2:$E$41,4), " ")</f>
        <v xml:space="preserve"> </v>
      </c>
      <c r="O29" s="8" t="str">
        <f>IFERROR(VLOOKUP($A29,'Project Reference'!$B$2:$F$41,5), " ")</f>
        <v xml:space="preserve"> </v>
      </c>
      <c r="P29" s="8" t="str">
        <f>IFERROR(VLOOKUP($A29,'Project Reference'!$B$2:$G$41,6), " ")</f>
        <v xml:space="preserve"> </v>
      </c>
      <c r="Q29" s="8" t="str">
        <f>IFERROR(VLOOKUP($A29,'Project Reference'!$B$2:$H$41,7), " ")</f>
        <v xml:space="preserve"> </v>
      </c>
      <c r="R29" s="8" t="str">
        <f>IFERROR(VLOOKUP($A29,'Project Reference'!$B$2:$I$41,8), " ")</f>
        <v xml:space="preserve"> </v>
      </c>
      <c r="S29" s="8" t="str">
        <f>IFERROR(VLOOKUP($A29,'Project Reference'!$B$2:$J$41,9), " ")</f>
        <v xml:space="preserve"> </v>
      </c>
      <c r="T29" s="8" t="str">
        <f>IFERROR(VLOOKUP($A29,'Project Reference'!$B$2:$K$41,10), " ")</f>
        <v xml:space="preserve"> </v>
      </c>
      <c r="U29" s="8" t="str">
        <f>IFERROR(VLOOKUP($A29,'Project Reference'!$B$2:$L$41,11), " ")</f>
        <v xml:space="preserve"> </v>
      </c>
      <c r="V29" s="8" t="str">
        <f>IFERROR(VLOOKUP($A29,'Project Reference'!$B$2:$M$41,12), " ")</f>
        <v xml:space="preserve"> </v>
      </c>
      <c r="W29" s="8" t="str">
        <f>IFERROR(VLOOKUP($A29,'Project Reference'!$B$2:$N$41,13), " ")</f>
        <v xml:space="preserve"> </v>
      </c>
      <c r="X29" s="8" t="str">
        <f>IFERROR(VLOOKUP($A29,'Project Reference'!$B$2:$O$41,14), " ")</f>
        <v xml:space="preserve"> </v>
      </c>
      <c r="Y29" s="8" t="str">
        <f>IFERROR(VLOOKUP($A29,'Project Reference'!$B$2:$P$41,15), " ")</f>
        <v xml:space="preserve"> </v>
      </c>
      <c r="Z29" s="9" t="str">
        <f>IFERROR(VLOOKUP($A29,'Project Reference'!$B$2:$Q$41,16), " ")</f>
        <v xml:space="preserve"> </v>
      </c>
    </row>
    <row r="30" spans="1:26" s="1" customFormat="1" x14ac:dyDescent="0.45">
      <c r="A30" s="70"/>
      <c r="B30" s="70" t="str">
        <f>IFERROR(VLOOKUP($A30,'Project Reference'!$S$2:$T$41,2),"Enter Project Number")</f>
        <v>Enter Project Number</v>
      </c>
      <c r="C30" s="54"/>
      <c r="D30" s="53"/>
      <c r="E30" s="8"/>
      <c r="F30" s="8"/>
      <c r="G30" s="8"/>
      <c r="H30" s="8"/>
      <c r="I30" s="8"/>
      <c r="J30" s="9"/>
      <c r="K30" s="23"/>
      <c r="L30" s="47" t="str">
        <f>IFERROR(VLOOKUP($A30,'Project Reference'!$B$2:$C$41,2), " ")</f>
        <v xml:space="preserve"> </v>
      </c>
      <c r="M30" s="8" t="str">
        <f>IFERROR(VLOOKUP($A30,'Project Reference'!$B$2:$D$41,3), " ")</f>
        <v xml:space="preserve"> </v>
      </c>
      <c r="N30" s="54" t="str">
        <f>IFERROR(VLOOKUP($A30,'Project Reference'!$B$2:$E$41,4), " ")</f>
        <v xml:space="preserve"> </v>
      </c>
      <c r="O30" s="8" t="str">
        <f>IFERROR(VLOOKUP($A30,'Project Reference'!$B$2:$F$41,5), " ")</f>
        <v xml:space="preserve"> </v>
      </c>
      <c r="P30" s="8" t="str">
        <f>IFERROR(VLOOKUP($A30,'Project Reference'!$B$2:$G$41,6), " ")</f>
        <v xml:space="preserve"> </v>
      </c>
      <c r="Q30" s="8" t="str">
        <f>IFERROR(VLOOKUP($A30,'Project Reference'!$B$2:$H$41,7), " ")</f>
        <v xml:space="preserve"> </v>
      </c>
      <c r="R30" s="8" t="str">
        <f>IFERROR(VLOOKUP($A30,'Project Reference'!$B$2:$I$41,8), " ")</f>
        <v xml:space="preserve"> </v>
      </c>
      <c r="S30" s="8" t="str">
        <f>IFERROR(VLOOKUP($A30,'Project Reference'!$B$2:$J$41,9), " ")</f>
        <v xml:space="preserve"> </v>
      </c>
      <c r="T30" s="8" t="str">
        <f>IFERROR(VLOOKUP($A30,'Project Reference'!$B$2:$K$41,10), " ")</f>
        <v xml:space="preserve"> </v>
      </c>
      <c r="U30" s="8" t="str">
        <f>IFERROR(VLOOKUP($A30,'Project Reference'!$B$2:$L$41,11), " ")</f>
        <v xml:space="preserve"> </v>
      </c>
      <c r="V30" s="8" t="str">
        <f>IFERROR(VLOOKUP($A30,'Project Reference'!$B$2:$M$41,12), " ")</f>
        <v xml:space="preserve"> </v>
      </c>
      <c r="W30" s="8" t="str">
        <f>IFERROR(VLOOKUP($A30,'Project Reference'!$B$2:$N$41,13), " ")</f>
        <v xml:space="preserve"> </v>
      </c>
      <c r="X30" s="8" t="str">
        <f>IFERROR(VLOOKUP($A30,'Project Reference'!$B$2:$O$41,14), " ")</f>
        <v xml:space="preserve"> </v>
      </c>
      <c r="Y30" s="8" t="str">
        <f>IFERROR(VLOOKUP($A30,'Project Reference'!$B$2:$P$41,15), " ")</f>
        <v xml:space="preserve"> </v>
      </c>
      <c r="Z30" s="9" t="str">
        <f>IFERROR(VLOOKUP($A30,'Project Reference'!$B$2:$Q$41,16), " ")</f>
        <v xml:space="preserve"> </v>
      </c>
    </row>
    <row r="31" spans="1:26" s="1" customFormat="1" x14ac:dyDescent="0.45">
      <c r="A31" s="70"/>
      <c r="B31" s="70" t="str">
        <f>IFERROR(VLOOKUP($A31,'Project Reference'!$S$2:$T$41,2),"Enter Project Number")</f>
        <v>Enter Project Number</v>
      </c>
      <c r="C31" s="54"/>
      <c r="D31" s="53"/>
      <c r="E31" s="8"/>
      <c r="F31" s="8"/>
      <c r="G31" s="8"/>
      <c r="H31" s="8"/>
      <c r="I31" s="8"/>
      <c r="J31" s="9"/>
      <c r="K31" s="23"/>
      <c r="L31" s="47" t="str">
        <f>IFERROR(VLOOKUP($A31,'Project Reference'!$B$2:$C$41,2), " ")</f>
        <v xml:space="preserve"> </v>
      </c>
      <c r="M31" s="8" t="str">
        <f>IFERROR(VLOOKUP($A31,'Project Reference'!$B$2:$D$41,3), " ")</f>
        <v xml:space="preserve"> </v>
      </c>
      <c r="N31" s="54" t="str">
        <f>IFERROR(VLOOKUP($A31,'Project Reference'!$B$2:$E$41,4), " ")</f>
        <v xml:space="preserve"> </v>
      </c>
      <c r="O31" s="8" t="str">
        <f>IFERROR(VLOOKUP($A31,'Project Reference'!$B$2:$F$41,5), " ")</f>
        <v xml:space="preserve"> </v>
      </c>
      <c r="P31" s="8" t="str">
        <f>IFERROR(VLOOKUP($A31,'Project Reference'!$B$2:$G$41,6), " ")</f>
        <v xml:space="preserve"> </v>
      </c>
      <c r="Q31" s="8" t="str">
        <f>IFERROR(VLOOKUP($A31,'Project Reference'!$B$2:$H$41,7), " ")</f>
        <v xml:space="preserve"> </v>
      </c>
      <c r="R31" s="8" t="str">
        <f>IFERROR(VLOOKUP($A31,'Project Reference'!$B$2:$I$41,8), " ")</f>
        <v xml:space="preserve"> </v>
      </c>
      <c r="S31" s="8" t="str">
        <f>IFERROR(VLOOKUP($A31,'Project Reference'!$B$2:$J$41,9), " ")</f>
        <v xml:space="preserve"> </v>
      </c>
      <c r="T31" s="8" t="str">
        <f>IFERROR(VLOOKUP($A31,'Project Reference'!$B$2:$K$41,10), " ")</f>
        <v xml:space="preserve"> </v>
      </c>
      <c r="U31" s="8" t="str">
        <f>IFERROR(VLOOKUP($A31,'Project Reference'!$B$2:$L$41,11), " ")</f>
        <v xml:space="preserve"> </v>
      </c>
      <c r="V31" s="8" t="str">
        <f>IFERROR(VLOOKUP($A31,'Project Reference'!$B$2:$M$41,12), " ")</f>
        <v xml:space="preserve"> </v>
      </c>
      <c r="W31" s="8" t="str">
        <f>IFERROR(VLOOKUP($A31,'Project Reference'!$B$2:$N$41,13), " ")</f>
        <v xml:space="preserve"> </v>
      </c>
      <c r="X31" s="8" t="str">
        <f>IFERROR(VLOOKUP($A31,'Project Reference'!$B$2:$O$41,14), " ")</f>
        <v xml:space="preserve"> </v>
      </c>
      <c r="Y31" s="8" t="str">
        <f>IFERROR(VLOOKUP($A31,'Project Reference'!$B$2:$P$41,15), " ")</f>
        <v xml:space="preserve"> </v>
      </c>
      <c r="Z31" s="9" t="str">
        <f>IFERROR(VLOOKUP($A31,'Project Reference'!$B$2:$Q$41,16), " ")</f>
        <v xml:space="preserve"> </v>
      </c>
    </row>
    <row r="32" spans="1:26" s="1" customFormat="1" x14ac:dyDescent="0.45">
      <c r="A32" s="70"/>
      <c r="B32" s="70" t="str">
        <f>IFERROR(VLOOKUP($A32,'Project Reference'!$S$2:$T$41,2),"Enter Project Number")</f>
        <v>Enter Project Number</v>
      </c>
      <c r="C32" s="54"/>
      <c r="D32" s="53"/>
      <c r="E32" s="8"/>
      <c r="F32" s="8"/>
      <c r="G32" s="8"/>
      <c r="H32" s="8"/>
      <c r="I32" s="8"/>
      <c r="J32" s="9"/>
      <c r="K32" s="23"/>
      <c r="L32" s="47" t="str">
        <f>IFERROR(VLOOKUP($A32,'Project Reference'!$B$2:$C$41,2), " ")</f>
        <v xml:space="preserve"> </v>
      </c>
      <c r="M32" s="8" t="str">
        <f>IFERROR(VLOOKUP($A32,'Project Reference'!$B$2:$D$41,3), " ")</f>
        <v xml:space="preserve"> </v>
      </c>
      <c r="N32" s="54" t="str">
        <f>IFERROR(VLOOKUP($A32,'Project Reference'!$B$2:$E$41,4), " ")</f>
        <v xml:space="preserve"> </v>
      </c>
      <c r="O32" s="8" t="str">
        <f>IFERROR(VLOOKUP($A32,'Project Reference'!$B$2:$F$41,5), " ")</f>
        <v xml:space="preserve"> </v>
      </c>
      <c r="P32" s="8" t="str">
        <f>IFERROR(VLOOKUP($A32,'Project Reference'!$B$2:$G$41,6), " ")</f>
        <v xml:space="preserve"> </v>
      </c>
      <c r="Q32" s="8" t="str">
        <f>IFERROR(VLOOKUP($A32,'Project Reference'!$B$2:$H$41,7), " ")</f>
        <v xml:space="preserve"> </v>
      </c>
      <c r="R32" s="8" t="str">
        <f>IFERROR(VLOOKUP($A32,'Project Reference'!$B$2:$I$41,8), " ")</f>
        <v xml:space="preserve"> </v>
      </c>
      <c r="S32" s="8" t="str">
        <f>IFERROR(VLOOKUP($A32,'Project Reference'!$B$2:$J$41,9), " ")</f>
        <v xml:space="preserve"> </v>
      </c>
      <c r="T32" s="8" t="str">
        <f>IFERROR(VLOOKUP($A32,'Project Reference'!$B$2:$K$41,10), " ")</f>
        <v xml:space="preserve"> </v>
      </c>
      <c r="U32" s="8" t="str">
        <f>IFERROR(VLOOKUP($A32,'Project Reference'!$B$2:$L$41,11), " ")</f>
        <v xml:space="preserve"> </v>
      </c>
      <c r="V32" s="8" t="str">
        <f>IFERROR(VLOOKUP($A32,'Project Reference'!$B$2:$M$41,12), " ")</f>
        <v xml:space="preserve"> </v>
      </c>
      <c r="W32" s="8" t="str">
        <f>IFERROR(VLOOKUP($A32,'Project Reference'!$B$2:$N$41,13), " ")</f>
        <v xml:space="preserve"> </v>
      </c>
      <c r="X32" s="8" t="str">
        <f>IFERROR(VLOOKUP($A32,'Project Reference'!$B$2:$O$41,14), " ")</f>
        <v xml:space="preserve"> </v>
      </c>
      <c r="Y32" s="8" t="str">
        <f>IFERROR(VLOOKUP($A32,'Project Reference'!$B$2:$P$41,15), " ")</f>
        <v xml:space="preserve"> </v>
      </c>
      <c r="Z32" s="9" t="str">
        <f>IFERROR(VLOOKUP($A32,'Project Reference'!$B$2:$Q$41,16), " ")</f>
        <v xml:space="preserve"> </v>
      </c>
    </row>
    <row r="33" spans="1:26" s="1" customFormat="1" x14ac:dyDescent="0.45">
      <c r="A33" s="70"/>
      <c r="B33" s="70" t="str">
        <f>IFERROR(VLOOKUP($A33,'Project Reference'!$S$2:$T$41,2),"Enter Project Number")</f>
        <v>Enter Project Number</v>
      </c>
      <c r="C33" s="54"/>
      <c r="D33" s="53"/>
      <c r="E33" s="8"/>
      <c r="F33" s="8"/>
      <c r="G33" s="8"/>
      <c r="H33" s="8"/>
      <c r="I33" s="8"/>
      <c r="J33" s="9"/>
      <c r="K33" s="23"/>
      <c r="L33" s="47" t="str">
        <f>IFERROR(VLOOKUP($A33,'Project Reference'!$B$2:$C$41,2), " ")</f>
        <v xml:space="preserve"> </v>
      </c>
      <c r="M33" s="8" t="str">
        <f>IFERROR(VLOOKUP($A33,'Project Reference'!$B$2:$D$41,3), " ")</f>
        <v xml:space="preserve"> </v>
      </c>
      <c r="N33" s="54" t="str">
        <f>IFERROR(VLOOKUP($A33,'Project Reference'!$B$2:$E$41,4), " ")</f>
        <v xml:space="preserve"> </v>
      </c>
      <c r="O33" s="8" t="str">
        <f>IFERROR(VLOOKUP($A33,'Project Reference'!$B$2:$F$41,5), " ")</f>
        <v xml:space="preserve"> </v>
      </c>
      <c r="P33" s="8" t="str">
        <f>IFERROR(VLOOKUP($A33,'Project Reference'!$B$2:$G$41,6), " ")</f>
        <v xml:space="preserve"> </v>
      </c>
      <c r="Q33" s="8" t="str">
        <f>IFERROR(VLOOKUP($A33,'Project Reference'!$B$2:$H$41,7), " ")</f>
        <v xml:space="preserve"> </v>
      </c>
      <c r="R33" s="8" t="str">
        <f>IFERROR(VLOOKUP($A33,'Project Reference'!$B$2:$I$41,8), " ")</f>
        <v xml:space="preserve"> </v>
      </c>
      <c r="S33" s="8" t="str">
        <f>IFERROR(VLOOKUP($A33,'Project Reference'!$B$2:$J$41,9), " ")</f>
        <v xml:space="preserve"> </v>
      </c>
      <c r="T33" s="8" t="str">
        <f>IFERROR(VLOOKUP($A33,'Project Reference'!$B$2:$K$41,10), " ")</f>
        <v xml:space="preserve"> </v>
      </c>
      <c r="U33" s="8" t="str">
        <f>IFERROR(VLOOKUP($A33,'Project Reference'!$B$2:$L$41,11), " ")</f>
        <v xml:space="preserve"> </v>
      </c>
      <c r="V33" s="8" t="str">
        <f>IFERROR(VLOOKUP($A33,'Project Reference'!$B$2:$M$41,12), " ")</f>
        <v xml:space="preserve"> </v>
      </c>
      <c r="W33" s="8" t="str">
        <f>IFERROR(VLOOKUP($A33,'Project Reference'!$B$2:$N$41,13), " ")</f>
        <v xml:space="preserve"> </v>
      </c>
      <c r="X33" s="8" t="str">
        <f>IFERROR(VLOOKUP($A33,'Project Reference'!$B$2:$O$41,14), " ")</f>
        <v xml:space="preserve"> </v>
      </c>
      <c r="Y33" s="8" t="str">
        <f>IFERROR(VLOOKUP($A33,'Project Reference'!$B$2:$P$41,15), " ")</f>
        <v xml:space="preserve"> </v>
      </c>
      <c r="Z33" s="9" t="str">
        <f>IFERROR(VLOOKUP($A33,'Project Reference'!$B$2:$Q$41,16), " ")</f>
        <v xml:space="preserve"> </v>
      </c>
    </row>
    <row r="34" spans="1:26" s="1" customFormat="1" x14ac:dyDescent="0.45">
      <c r="A34" s="70"/>
      <c r="B34" s="70" t="str">
        <f>IFERROR(VLOOKUP($A34,'Project Reference'!$S$2:$T$41,2),"Enter Project Number")</f>
        <v>Enter Project Number</v>
      </c>
      <c r="C34" s="54"/>
      <c r="D34" s="53"/>
      <c r="E34" s="8"/>
      <c r="F34" s="8"/>
      <c r="G34" s="8"/>
      <c r="H34" s="8"/>
      <c r="I34" s="8"/>
      <c r="J34" s="9"/>
      <c r="K34" s="23"/>
      <c r="L34" s="47" t="str">
        <f>IFERROR(VLOOKUP($A34,'Project Reference'!$B$2:$C$41,2), " ")</f>
        <v xml:space="preserve"> </v>
      </c>
      <c r="M34" s="8" t="str">
        <f>IFERROR(VLOOKUP($A34,'Project Reference'!$B$2:$D$41,3), " ")</f>
        <v xml:space="preserve"> </v>
      </c>
      <c r="N34" s="54" t="str">
        <f>IFERROR(VLOOKUP($A34,'Project Reference'!$B$2:$E$41,4), " ")</f>
        <v xml:space="preserve"> </v>
      </c>
      <c r="O34" s="8" t="str">
        <f>IFERROR(VLOOKUP($A34,'Project Reference'!$B$2:$F$41,5), " ")</f>
        <v xml:space="preserve"> </v>
      </c>
      <c r="P34" s="8" t="str">
        <f>IFERROR(VLOOKUP($A34,'Project Reference'!$B$2:$G$41,6), " ")</f>
        <v xml:space="preserve"> </v>
      </c>
      <c r="Q34" s="8" t="str">
        <f>IFERROR(VLOOKUP($A34,'Project Reference'!$B$2:$H$41,7), " ")</f>
        <v xml:space="preserve"> </v>
      </c>
      <c r="R34" s="8" t="str">
        <f>IFERROR(VLOOKUP($A34,'Project Reference'!$B$2:$I$41,8), " ")</f>
        <v xml:space="preserve"> </v>
      </c>
      <c r="S34" s="8" t="str">
        <f>IFERROR(VLOOKUP($A34,'Project Reference'!$B$2:$J$41,9), " ")</f>
        <v xml:space="preserve"> </v>
      </c>
      <c r="T34" s="8" t="str">
        <f>IFERROR(VLOOKUP($A34,'Project Reference'!$B$2:$K$41,10), " ")</f>
        <v xml:space="preserve"> </v>
      </c>
      <c r="U34" s="8" t="str">
        <f>IFERROR(VLOOKUP($A34,'Project Reference'!$B$2:$L$41,11), " ")</f>
        <v xml:space="preserve"> </v>
      </c>
      <c r="V34" s="8" t="str">
        <f>IFERROR(VLOOKUP($A34,'Project Reference'!$B$2:$M$41,12), " ")</f>
        <v xml:space="preserve"> </v>
      </c>
      <c r="W34" s="8" t="str">
        <f>IFERROR(VLOOKUP($A34,'Project Reference'!$B$2:$N$41,13), " ")</f>
        <v xml:space="preserve"> </v>
      </c>
      <c r="X34" s="8" t="str">
        <f>IFERROR(VLOOKUP($A34,'Project Reference'!$B$2:$O$41,14), " ")</f>
        <v xml:space="preserve"> </v>
      </c>
      <c r="Y34" s="8" t="str">
        <f>IFERROR(VLOOKUP($A34,'Project Reference'!$B$2:$P$41,15), " ")</f>
        <v xml:space="preserve"> </v>
      </c>
      <c r="Z34" s="9" t="str">
        <f>IFERROR(VLOOKUP($A34,'Project Reference'!$B$2:$Q$41,16), " ")</f>
        <v xml:space="preserve"> </v>
      </c>
    </row>
    <row r="35" spans="1:26" s="1" customFormat="1" x14ac:dyDescent="0.45">
      <c r="A35" s="70"/>
      <c r="B35" s="70" t="str">
        <f>IFERROR(VLOOKUP($A35,'Project Reference'!$S$2:$T$41,2),"Enter Project Number")</f>
        <v>Enter Project Number</v>
      </c>
      <c r="C35" s="54"/>
      <c r="D35" s="53"/>
      <c r="E35" s="8"/>
      <c r="F35" s="8"/>
      <c r="G35" s="8"/>
      <c r="H35" s="8"/>
      <c r="I35" s="8"/>
      <c r="J35" s="9"/>
      <c r="K35" s="23"/>
      <c r="L35" s="47" t="str">
        <f>IFERROR(VLOOKUP($A35,'Project Reference'!$B$2:$C$41,2), " ")</f>
        <v xml:space="preserve"> </v>
      </c>
      <c r="M35" s="8" t="str">
        <f>IFERROR(VLOOKUP($A35,'Project Reference'!$B$2:$D$41,3), " ")</f>
        <v xml:space="preserve"> </v>
      </c>
      <c r="N35" s="54" t="str">
        <f>IFERROR(VLOOKUP($A35,'Project Reference'!$B$2:$E$41,4), " ")</f>
        <v xml:space="preserve"> </v>
      </c>
      <c r="O35" s="8" t="str">
        <f>IFERROR(VLOOKUP($A35,'Project Reference'!$B$2:$F$41,5), " ")</f>
        <v xml:space="preserve"> </v>
      </c>
      <c r="P35" s="8" t="str">
        <f>IFERROR(VLOOKUP($A35,'Project Reference'!$B$2:$G$41,6), " ")</f>
        <v xml:space="preserve"> </v>
      </c>
      <c r="Q35" s="8" t="str">
        <f>IFERROR(VLOOKUP($A35,'Project Reference'!$B$2:$H$41,7), " ")</f>
        <v xml:space="preserve"> </v>
      </c>
      <c r="R35" s="8" t="str">
        <f>IFERROR(VLOOKUP($A35,'Project Reference'!$B$2:$I$41,8), " ")</f>
        <v xml:space="preserve"> </v>
      </c>
      <c r="S35" s="8" t="str">
        <f>IFERROR(VLOOKUP($A35,'Project Reference'!$B$2:$J$41,9), " ")</f>
        <v xml:space="preserve"> </v>
      </c>
      <c r="T35" s="8" t="str">
        <f>IFERROR(VLOOKUP($A35,'Project Reference'!$B$2:$K$41,10), " ")</f>
        <v xml:space="preserve"> </v>
      </c>
      <c r="U35" s="8" t="str">
        <f>IFERROR(VLOOKUP($A35,'Project Reference'!$B$2:$L$41,11), " ")</f>
        <v xml:space="preserve"> </v>
      </c>
      <c r="V35" s="8" t="str">
        <f>IFERROR(VLOOKUP($A35,'Project Reference'!$B$2:$M$41,12), " ")</f>
        <v xml:space="preserve"> </v>
      </c>
      <c r="W35" s="8" t="str">
        <f>IFERROR(VLOOKUP($A35,'Project Reference'!$B$2:$N$41,13), " ")</f>
        <v xml:space="preserve"> </v>
      </c>
      <c r="X35" s="8" t="str">
        <f>IFERROR(VLOOKUP($A35,'Project Reference'!$B$2:$O$41,14), " ")</f>
        <v xml:space="preserve"> </v>
      </c>
      <c r="Y35" s="8" t="str">
        <f>IFERROR(VLOOKUP($A35,'Project Reference'!$B$2:$P$41,15), " ")</f>
        <v xml:space="preserve"> </v>
      </c>
      <c r="Z35" s="9" t="str">
        <f>IFERROR(VLOOKUP($A35,'Project Reference'!$B$2:$Q$41,16), " ")</f>
        <v xml:space="preserve"> </v>
      </c>
    </row>
    <row r="36" spans="1:26" s="1" customFormat="1" x14ac:dyDescent="0.45">
      <c r="A36" s="70"/>
      <c r="B36" s="70" t="str">
        <f>IFERROR(VLOOKUP($A36,'Project Reference'!$S$2:$T$41,2),"Enter Project Number")</f>
        <v>Enter Project Number</v>
      </c>
      <c r="C36" s="54"/>
      <c r="D36" s="53"/>
      <c r="E36" s="8"/>
      <c r="F36" s="8"/>
      <c r="G36" s="8"/>
      <c r="H36" s="8"/>
      <c r="I36" s="8"/>
      <c r="J36" s="9"/>
      <c r="K36" s="23"/>
      <c r="L36" s="47" t="str">
        <f>IFERROR(VLOOKUP($A36,'Project Reference'!$B$2:$C$41,2), " ")</f>
        <v xml:space="preserve"> </v>
      </c>
      <c r="M36" s="8" t="str">
        <f>IFERROR(VLOOKUP($A36,'Project Reference'!$B$2:$D$41,3), " ")</f>
        <v xml:space="preserve"> </v>
      </c>
      <c r="N36" s="54" t="str">
        <f>IFERROR(VLOOKUP($A36,'Project Reference'!$B$2:$E$41,4), " ")</f>
        <v xml:space="preserve"> </v>
      </c>
      <c r="O36" s="8" t="str">
        <f>IFERROR(VLOOKUP($A36,'Project Reference'!$B$2:$F$41,5), " ")</f>
        <v xml:space="preserve"> </v>
      </c>
      <c r="P36" s="8" t="str">
        <f>IFERROR(VLOOKUP($A36,'Project Reference'!$B$2:$G$41,6), " ")</f>
        <v xml:space="preserve"> </v>
      </c>
      <c r="Q36" s="8" t="str">
        <f>IFERROR(VLOOKUP($A36,'Project Reference'!$B$2:$H$41,7), " ")</f>
        <v xml:space="preserve"> </v>
      </c>
      <c r="R36" s="8" t="str">
        <f>IFERROR(VLOOKUP($A36,'Project Reference'!$B$2:$I$41,8), " ")</f>
        <v xml:space="preserve"> </v>
      </c>
      <c r="S36" s="8" t="str">
        <f>IFERROR(VLOOKUP($A36,'Project Reference'!$B$2:$J$41,9), " ")</f>
        <v xml:space="preserve"> </v>
      </c>
      <c r="T36" s="8" t="str">
        <f>IFERROR(VLOOKUP($A36,'Project Reference'!$B$2:$K$41,10), " ")</f>
        <v xml:space="preserve"> </v>
      </c>
      <c r="U36" s="8" t="str">
        <f>IFERROR(VLOOKUP($A36,'Project Reference'!$B$2:$L$41,11), " ")</f>
        <v xml:space="preserve"> </v>
      </c>
      <c r="V36" s="8" t="str">
        <f>IFERROR(VLOOKUP($A36,'Project Reference'!$B$2:$M$41,12), " ")</f>
        <v xml:space="preserve"> </v>
      </c>
      <c r="W36" s="8" t="str">
        <f>IFERROR(VLOOKUP($A36,'Project Reference'!$B$2:$N$41,13), " ")</f>
        <v xml:space="preserve"> </v>
      </c>
      <c r="X36" s="8" t="str">
        <f>IFERROR(VLOOKUP($A36,'Project Reference'!$B$2:$O$41,14), " ")</f>
        <v xml:space="preserve"> </v>
      </c>
      <c r="Y36" s="8" t="str">
        <f>IFERROR(VLOOKUP($A36,'Project Reference'!$B$2:$P$41,15), " ")</f>
        <v xml:space="preserve"> </v>
      </c>
      <c r="Z36" s="9" t="str">
        <f>IFERROR(VLOOKUP($A36,'Project Reference'!$B$2:$Q$41,16), " ")</f>
        <v xml:space="preserve"> </v>
      </c>
    </row>
    <row r="37" spans="1:26" s="1" customFormat="1" x14ac:dyDescent="0.45">
      <c r="A37" s="70"/>
      <c r="B37" s="70" t="str">
        <f>IFERROR(VLOOKUP($A37,'Project Reference'!$S$2:$T$41,2),"Enter Project Number")</f>
        <v>Enter Project Number</v>
      </c>
      <c r="C37" s="54"/>
      <c r="D37" s="53"/>
      <c r="E37" s="8"/>
      <c r="F37" s="8"/>
      <c r="G37" s="8"/>
      <c r="H37" s="8"/>
      <c r="I37" s="8"/>
      <c r="J37" s="9"/>
      <c r="K37" s="23"/>
      <c r="L37" s="47" t="str">
        <f>IFERROR(VLOOKUP($A37,'Project Reference'!$B$2:$C$41,2), " ")</f>
        <v xml:space="preserve"> </v>
      </c>
      <c r="M37" s="8" t="str">
        <f>IFERROR(VLOOKUP($A37,'Project Reference'!$B$2:$D$41,3), " ")</f>
        <v xml:space="preserve"> </v>
      </c>
      <c r="N37" s="54" t="str">
        <f>IFERROR(VLOOKUP($A37,'Project Reference'!$B$2:$E$41,4), " ")</f>
        <v xml:space="preserve"> </v>
      </c>
      <c r="O37" s="8" t="str">
        <f>IFERROR(VLOOKUP($A37,'Project Reference'!$B$2:$F$41,5), " ")</f>
        <v xml:space="preserve"> </v>
      </c>
      <c r="P37" s="8" t="str">
        <f>IFERROR(VLOOKUP($A37,'Project Reference'!$B$2:$G$41,6), " ")</f>
        <v xml:space="preserve"> </v>
      </c>
      <c r="Q37" s="8" t="str">
        <f>IFERROR(VLOOKUP($A37,'Project Reference'!$B$2:$H$41,7), " ")</f>
        <v xml:space="preserve"> </v>
      </c>
      <c r="R37" s="8" t="str">
        <f>IFERROR(VLOOKUP($A37,'Project Reference'!$B$2:$I$41,8), " ")</f>
        <v xml:space="preserve"> </v>
      </c>
      <c r="S37" s="8" t="str">
        <f>IFERROR(VLOOKUP($A37,'Project Reference'!$B$2:$J$41,9), " ")</f>
        <v xml:space="preserve"> </v>
      </c>
      <c r="T37" s="8" t="str">
        <f>IFERROR(VLOOKUP($A37,'Project Reference'!$B$2:$K$41,10), " ")</f>
        <v xml:space="preserve"> </v>
      </c>
      <c r="U37" s="8" t="str">
        <f>IFERROR(VLOOKUP($A37,'Project Reference'!$B$2:$L$41,11), " ")</f>
        <v xml:space="preserve"> </v>
      </c>
      <c r="V37" s="8" t="str">
        <f>IFERROR(VLOOKUP($A37,'Project Reference'!$B$2:$M$41,12), " ")</f>
        <v xml:space="preserve"> </v>
      </c>
      <c r="W37" s="8" t="str">
        <f>IFERROR(VLOOKUP($A37,'Project Reference'!$B$2:$N$41,13), " ")</f>
        <v xml:space="preserve"> </v>
      </c>
      <c r="X37" s="8" t="str">
        <f>IFERROR(VLOOKUP($A37,'Project Reference'!$B$2:$O$41,14), " ")</f>
        <v xml:space="preserve"> </v>
      </c>
      <c r="Y37" s="8" t="str">
        <f>IFERROR(VLOOKUP($A37,'Project Reference'!$B$2:$P$41,15), " ")</f>
        <v xml:space="preserve"> </v>
      </c>
      <c r="Z37" s="9" t="str">
        <f>IFERROR(VLOOKUP($A37,'Project Reference'!$B$2:$Q$41,16), " ")</f>
        <v xml:space="preserve"> </v>
      </c>
    </row>
    <row r="38" spans="1:26" s="1" customFormat="1" x14ac:dyDescent="0.45">
      <c r="A38" s="70"/>
      <c r="B38" s="70" t="str">
        <f>IFERROR(VLOOKUP($A38,'Project Reference'!$S$2:$T$41,2),"Enter Project Number")</f>
        <v>Enter Project Number</v>
      </c>
      <c r="C38" s="54"/>
      <c r="D38" s="53"/>
      <c r="E38" s="8"/>
      <c r="F38" s="8"/>
      <c r="G38" s="8"/>
      <c r="H38" s="8"/>
      <c r="I38" s="8"/>
      <c r="J38" s="9"/>
      <c r="K38" s="23"/>
      <c r="L38" s="47" t="str">
        <f>IFERROR(VLOOKUP($A38,'Project Reference'!$B$2:$C$41,2), " ")</f>
        <v xml:space="preserve"> </v>
      </c>
      <c r="M38" s="8" t="str">
        <f>IFERROR(VLOOKUP($A38,'Project Reference'!$B$2:$D$41,3), " ")</f>
        <v xml:space="preserve"> </v>
      </c>
      <c r="N38" s="54" t="str">
        <f>IFERROR(VLOOKUP($A38,'Project Reference'!$B$2:$E$41,4), " ")</f>
        <v xml:space="preserve"> </v>
      </c>
      <c r="O38" s="8" t="str">
        <f>IFERROR(VLOOKUP($A38,'Project Reference'!$B$2:$F$41,5), " ")</f>
        <v xml:space="preserve"> </v>
      </c>
      <c r="P38" s="8" t="str">
        <f>IFERROR(VLOOKUP($A38,'Project Reference'!$B$2:$G$41,6), " ")</f>
        <v xml:space="preserve"> </v>
      </c>
      <c r="Q38" s="8" t="str">
        <f>IFERROR(VLOOKUP($A38,'Project Reference'!$B$2:$H$41,7), " ")</f>
        <v xml:space="preserve"> </v>
      </c>
      <c r="R38" s="8" t="str">
        <f>IFERROR(VLOOKUP($A38,'Project Reference'!$B$2:$I$41,8), " ")</f>
        <v xml:space="preserve"> </v>
      </c>
      <c r="S38" s="8" t="str">
        <f>IFERROR(VLOOKUP($A38,'Project Reference'!$B$2:$J$41,9), " ")</f>
        <v xml:space="preserve"> </v>
      </c>
      <c r="T38" s="8" t="str">
        <f>IFERROR(VLOOKUP($A38,'Project Reference'!$B$2:$K$41,10), " ")</f>
        <v xml:space="preserve"> </v>
      </c>
      <c r="U38" s="8" t="str">
        <f>IFERROR(VLOOKUP($A38,'Project Reference'!$B$2:$L$41,11), " ")</f>
        <v xml:space="preserve"> </v>
      </c>
      <c r="V38" s="8" t="str">
        <f>IFERROR(VLOOKUP($A38,'Project Reference'!$B$2:$M$41,12), " ")</f>
        <v xml:space="preserve"> </v>
      </c>
      <c r="W38" s="8" t="str">
        <f>IFERROR(VLOOKUP($A38,'Project Reference'!$B$2:$N$41,13), " ")</f>
        <v xml:space="preserve"> </v>
      </c>
      <c r="X38" s="8" t="str">
        <f>IFERROR(VLOOKUP($A38,'Project Reference'!$B$2:$O$41,14), " ")</f>
        <v xml:space="preserve"> </v>
      </c>
      <c r="Y38" s="8" t="str">
        <f>IFERROR(VLOOKUP($A38,'Project Reference'!$B$2:$P$41,15), " ")</f>
        <v xml:space="preserve"> </v>
      </c>
      <c r="Z38" s="9" t="str">
        <f>IFERROR(VLOOKUP($A38,'Project Reference'!$B$2:$Q$41,16), " ")</f>
        <v xml:space="preserve"> </v>
      </c>
    </row>
    <row r="39" spans="1:26" s="1" customFormat="1" x14ac:dyDescent="0.45">
      <c r="A39" s="70"/>
      <c r="B39" s="70" t="str">
        <f>IFERROR(VLOOKUP($A39,'Project Reference'!$S$2:$T$41,2),"Enter Project Number")</f>
        <v>Enter Project Number</v>
      </c>
      <c r="C39" s="54"/>
      <c r="D39" s="53"/>
      <c r="E39" s="8"/>
      <c r="F39" s="8"/>
      <c r="G39" s="8"/>
      <c r="H39" s="8"/>
      <c r="I39" s="8"/>
      <c r="J39" s="9"/>
      <c r="K39" s="23"/>
      <c r="L39" s="47" t="str">
        <f>IFERROR(VLOOKUP($A39,'Project Reference'!$B$2:$C$41,2), " ")</f>
        <v xml:space="preserve"> </v>
      </c>
      <c r="M39" s="8" t="str">
        <f>IFERROR(VLOOKUP($A39,'Project Reference'!$B$2:$D$41,3), " ")</f>
        <v xml:space="preserve"> </v>
      </c>
      <c r="N39" s="54" t="str">
        <f>IFERROR(VLOOKUP($A39,'Project Reference'!$B$2:$E$41,4), " ")</f>
        <v xml:space="preserve"> </v>
      </c>
      <c r="O39" s="8" t="str">
        <f>IFERROR(VLOOKUP($A39,'Project Reference'!$B$2:$F$41,5), " ")</f>
        <v xml:space="preserve"> </v>
      </c>
      <c r="P39" s="8" t="str">
        <f>IFERROR(VLOOKUP($A39,'Project Reference'!$B$2:$G$41,6), " ")</f>
        <v xml:space="preserve"> </v>
      </c>
      <c r="Q39" s="8" t="str">
        <f>IFERROR(VLOOKUP($A39,'Project Reference'!$B$2:$H$41,7), " ")</f>
        <v xml:space="preserve"> </v>
      </c>
      <c r="R39" s="8" t="str">
        <f>IFERROR(VLOOKUP($A39,'Project Reference'!$B$2:$I$41,8), " ")</f>
        <v xml:space="preserve"> </v>
      </c>
      <c r="S39" s="8" t="str">
        <f>IFERROR(VLOOKUP($A39,'Project Reference'!$B$2:$J$41,9), " ")</f>
        <v xml:space="preserve"> </v>
      </c>
      <c r="T39" s="8" t="str">
        <f>IFERROR(VLOOKUP($A39,'Project Reference'!$B$2:$K$41,10), " ")</f>
        <v xml:space="preserve"> </v>
      </c>
      <c r="U39" s="8" t="str">
        <f>IFERROR(VLOOKUP($A39,'Project Reference'!$B$2:$L$41,11), " ")</f>
        <v xml:space="preserve"> </v>
      </c>
      <c r="V39" s="8" t="str">
        <f>IFERROR(VLOOKUP($A39,'Project Reference'!$B$2:$M$41,12), " ")</f>
        <v xml:space="preserve"> </v>
      </c>
      <c r="W39" s="8" t="str">
        <f>IFERROR(VLOOKUP($A39,'Project Reference'!$B$2:$N$41,13), " ")</f>
        <v xml:space="preserve"> </v>
      </c>
      <c r="X39" s="8" t="str">
        <f>IFERROR(VLOOKUP($A39,'Project Reference'!$B$2:$O$41,14), " ")</f>
        <v xml:space="preserve"> </v>
      </c>
      <c r="Y39" s="8" t="str">
        <f>IFERROR(VLOOKUP($A39,'Project Reference'!$B$2:$P$41,15), " ")</f>
        <v xml:space="preserve"> </v>
      </c>
      <c r="Z39" s="9" t="str">
        <f>IFERROR(VLOOKUP($A39,'Project Reference'!$B$2:$Q$41,16), " ")</f>
        <v xml:space="preserve"> </v>
      </c>
    </row>
    <row r="40" spans="1:26" s="1" customFormat="1" x14ac:dyDescent="0.45">
      <c r="A40" s="70"/>
      <c r="B40" s="70" t="str">
        <f>IFERROR(VLOOKUP($A40,'Project Reference'!$S$2:$T$41,2),"Enter Project Number")</f>
        <v>Enter Project Number</v>
      </c>
      <c r="C40" s="54"/>
      <c r="D40" s="53"/>
      <c r="E40" s="8"/>
      <c r="F40" s="8"/>
      <c r="G40" s="8"/>
      <c r="H40" s="8"/>
      <c r="I40" s="8"/>
      <c r="J40" s="9"/>
      <c r="K40" s="23"/>
      <c r="L40" s="47" t="str">
        <f>IFERROR(VLOOKUP($A40,'Project Reference'!$B$2:$C$41,2), " ")</f>
        <v xml:space="preserve"> </v>
      </c>
      <c r="M40" s="8" t="str">
        <f>IFERROR(VLOOKUP($A40,'Project Reference'!$B$2:$D$41,3), " ")</f>
        <v xml:space="preserve"> </v>
      </c>
      <c r="N40" s="54" t="str">
        <f>IFERROR(VLOOKUP($A40,'Project Reference'!$B$2:$E$41,4), " ")</f>
        <v xml:space="preserve"> </v>
      </c>
      <c r="O40" s="8" t="str">
        <f>IFERROR(VLOOKUP($A40,'Project Reference'!$B$2:$F$41,5), " ")</f>
        <v xml:space="preserve"> </v>
      </c>
      <c r="P40" s="8" t="str">
        <f>IFERROR(VLOOKUP($A40,'Project Reference'!$B$2:$G$41,6), " ")</f>
        <v xml:space="preserve"> </v>
      </c>
      <c r="Q40" s="8" t="str">
        <f>IFERROR(VLOOKUP($A40,'Project Reference'!$B$2:$H$41,7), " ")</f>
        <v xml:space="preserve"> </v>
      </c>
      <c r="R40" s="8" t="str">
        <f>IFERROR(VLOOKUP($A40,'Project Reference'!$B$2:$I$41,8), " ")</f>
        <v xml:space="preserve"> </v>
      </c>
      <c r="S40" s="8" t="str">
        <f>IFERROR(VLOOKUP($A40,'Project Reference'!$B$2:$J$41,9), " ")</f>
        <v xml:space="preserve"> </v>
      </c>
      <c r="T40" s="8" t="str">
        <f>IFERROR(VLOOKUP($A40,'Project Reference'!$B$2:$K$41,10), " ")</f>
        <v xml:space="preserve"> </v>
      </c>
      <c r="U40" s="8" t="str">
        <f>IFERROR(VLOOKUP($A40,'Project Reference'!$B$2:$L$41,11), " ")</f>
        <v xml:space="preserve"> </v>
      </c>
      <c r="V40" s="8" t="str">
        <f>IFERROR(VLOOKUP($A40,'Project Reference'!$B$2:$M$41,12), " ")</f>
        <v xml:space="preserve"> </v>
      </c>
      <c r="W40" s="8" t="str">
        <f>IFERROR(VLOOKUP($A40,'Project Reference'!$B$2:$N$41,13), " ")</f>
        <v xml:space="preserve"> </v>
      </c>
      <c r="X40" s="8" t="str">
        <f>IFERROR(VLOOKUP($A40,'Project Reference'!$B$2:$O$41,14), " ")</f>
        <v xml:space="preserve"> </v>
      </c>
      <c r="Y40" s="8" t="str">
        <f>IFERROR(VLOOKUP($A40,'Project Reference'!$B$2:$P$41,15), " ")</f>
        <v xml:space="preserve"> </v>
      </c>
      <c r="Z40" s="9" t="str">
        <f>IFERROR(VLOOKUP($A40,'Project Reference'!$B$2:$Q$41,16), " ")</f>
        <v xml:space="preserve"> </v>
      </c>
    </row>
    <row r="41" spans="1:26" s="1" customFormat="1" x14ac:dyDescent="0.45">
      <c r="A41" s="70"/>
      <c r="B41" s="70" t="str">
        <f>IFERROR(VLOOKUP($A41,'Project Reference'!$S$2:$T$41,2),"Enter Project Number")</f>
        <v>Enter Project Number</v>
      </c>
      <c r="C41" s="54"/>
      <c r="D41" s="53"/>
      <c r="E41" s="8"/>
      <c r="F41" s="8"/>
      <c r="G41" s="8"/>
      <c r="H41" s="8"/>
      <c r="I41" s="8"/>
      <c r="J41" s="9"/>
      <c r="K41" s="23"/>
      <c r="L41" s="47" t="str">
        <f>IFERROR(VLOOKUP($A41,'Project Reference'!$B$2:$C$41,2), " ")</f>
        <v xml:space="preserve"> </v>
      </c>
      <c r="M41" s="8" t="str">
        <f>IFERROR(VLOOKUP($A41,'Project Reference'!$B$2:$D$41,3), " ")</f>
        <v xml:space="preserve"> </v>
      </c>
      <c r="N41" s="54" t="str">
        <f>IFERROR(VLOOKUP($A41,'Project Reference'!$B$2:$E$41,4), " ")</f>
        <v xml:space="preserve"> </v>
      </c>
      <c r="O41" s="8" t="str">
        <f>IFERROR(VLOOKUP($A41,'Project Reference'!$B$2:$F$41,5), " ")</f>
        <v xml:space="preserve"> </v>
      </c>
      <c r="P41" s="8" t="str">
        <f>IFERROR(VLOOKUP($A41,'Project Reference'!$B$2:$G$41,6), " ")</f>
        <v xml:space="preserve"> </v>
      </c>
      <c r="Q41" s="8" t="str">
        <f>IFERROR(VLOOKUP($A41,'Project Reference'!$B$2:$H$41,7), " ")</f>
        <v xml:space="preserve"> </v>
      </c>
      <c r="R41" s="8" t="str">
        <f>IFERROR(VLOOKUP($A41,'Project Reference'!$B$2:$I$41,8), " ")</f>
        <v xml:space="preserve"> </v>
      </c>
      <c r="S41" s="8" t="str">
        <f>IFERROR(VLOOKUP($A41,'Project Reference'!$B$2:$J$41,9), " ")</f>
        <v xml:space="preserve"> </v>
      </c>
      <c r="T41" s="8" t="str">
        <f>IFERROR(VLOOKUP($A41,'Project Reference'!$B$2:$K$41,10), " ")</f>
        <v xml:space="preserve"> </v>
      </c>
      <c r="U41" s="8" t="str">
        <f>IFERROR(VLOOKUP($A41,'Project Reference'!$B$2:$L$41,11), " ")</f>
        <v xml:space="preserve"> </v>
      </c>
      <c r="V41" s="8" t="str">
        <f>IFERROR(VLOOKUP($A41,'Project Reference'!$B$2:$M$41,12), " ")</f>
        <v xml:space="preserve"> </v>
      </c>
      <c r="W41" s="8" t="str">
        <f>IFERROR(VLOOKUP($A41,'Project Reference'!$B$2:$N$41,13), " ")</f>
        <v xml:space="preserve"> </v>
      </c>
      <c r="X41" s="8" t="str">
        <f>IFERROR(VLOOKUP($A41,'Project Reference'!$B$2:$O$41,14), " ")</f>
        <v xml:space="preserve"> </v>
      </c>
      <c r="Y41" s="8" t="str">
        <f>IFERROR(VLOOKUP($A41,'Project Reference'!$B$2:$P$41,15), " ")</f>
        <v xml:space="preserve"> </v>
      </c>
      <c r="Z41" s="9" t="str">
        <f>IFERROR(VLOOKUP($A41,'Project Reference'!$B$2:$Q$41,16), " ")</f>
        <v xml:space="preserve"> </v>
      </c>
    </row>
    <row r="42" spans="1:26" s="1" customFormat="1" x14ac:dyDescent="0.45">
      <c r="A42" s="70"/>
      <c r="B42" s="70" t="str">
        <f>IFERROR(VLOOKUP($A42,'Project Reference'!$S$2:$T$41,2),"Enter Project Number")</f>
        <v>Enter Project Number</v>
      </c>
      <c r="C42" s="54"/>
      <c r="D42" s="53"/>
      <c r="E42" s="8"/>
      <c r="F42" s="8"/>
      <c r="G42" s="8"/>
      <c r="H42" s="8"/>
      <c r="I42" s="8"/>
      <c r="J42" s="9"/>
      <c r="K42" s="23"/>
      <c r="L42" s="47" t="str">
        <f>IFERROR(VLOOKUP($A42,'Project Reference'!$B$2:$C$41,2), " ")</f>
        <v xml:space="preserve"> </v>
      </c>
      <c r="M42" s="8" t="str">
        <f>IFERROR(VLOOKUP($A42,'Project Reference'!$B$2:$D$41,3), " ")</f>
        <v xml:space="preserve"> </v>
      </c>
      <c r="N42" s="54" t="str">
        <f>IFERROR(VLOOKUP($A42,'Project Reference'!$B$2:$E$41,4), " ")</f>
        <v xml:space="preserve"> </v>
      </c>
      <c r="O42" s="8" t="str">
        <f>IFERROR(VLOOKUP($A42,'Project Reference'!$B$2:$F$41,5), " ")</f>
        <v xml:space="preserve"> </v>
      </c>
      <c r="P42" s="8" t="str">
        <f>IFERROR(VLOOKUP($A42,'Project Reference'!$B$2:$G$41,6), " ")</f>
        <v xml:space="preserve"> </v>
      </c>
      <c r="Q42" s="8" t="str">
        <f>IFERROR(VLOOKUP($A42,'Project Reference'!$B$2:$H$41,7), " ")</f>
        <v xml:space="preserve"> </v>
      </c>
      <c r="R42" s="8" t="str">
        <f>IFERROR(VLOOKUP($A42,'Project Reference'!$B$2:$I$41,8), " ")</f>
        <v xml:space="preserve"> </v>
      </c>
      <c r="S42" s="8" t="str">
        <f>IFERROR(VLOOKUP($A42,'Project Reference'!$B$2:$J$41,9), " ")</f>
        <v xml:space="preserve"> </v>
      </c>
      <c r="T42" s="8" t="str">
        <f>IFERROR(VLOOKUP($A42,'Project Reference'!$B$2:$K$41,10), " ")</f>
        <v xml:space="preserve"> </v>
      </c>
      <c r="U42" s="8" t="str">
        <f>IFERROR(VLOOKUP($A42,'Project Reference'!$B$2:$L$41,11), " ")</f>
        <v xml:space="preserve"> </v>
      </c>
      <c r="V42" s="8" t="str">
        <f>IFERROR(VLOOKUP($A42,'Project Reference'!$B$2:$M$41,12), " ")</f>
        <v xml:space="preserve"> </v>
      </c>
      <c r="W42" s="8" t="str">
        <f>IFERROR(VLOOKUP($A42,'Project Reference'!$B$2:$N$41,13), " ")</f>
        <v xml:space="preserve"> </v>
      </c>
      <c r="X42" s="8" t="str">
        <f>IFERROR(VLOOKUP($A42,'Project Reference'!$B$2:$O$41,14), " ")</f>
        <v xml:space="preserve"> </v>
      </c>
      <c r="Y42" s="8" t="str">
        <f>IFERROR(VLOOKUP($A42,'Project Reference'!$B$2:$P$41,15), " ")</f>
        <v xml:space="preserve"> </v>
      </c>
      <c r="Z42" s="9" t="str">
        <f>IFERROR(VLOOKUP($A42,'Project Reference'!$B$2:$Q$41,16), " ")</f>
        <v xml:space="preserve"> </v>
      </c>
    </row>
    <row r="43" spans="1:26" s="1" customFormat="1" x14ac:dyDescent="0.45">
      <c r="A43" s="70"/>
      <c r="B43" s="70" t="str">
        <f>IFERROR(VLOOKUP($A43,'Project Reference'!$S$2:$T$41,2),"Enter Project Number")</f>
        <v>Enter Project Number</v>
      </c>
      <c r="C43" s="54"/>
      <c r="D43" s="53"/>
      <c r="E43" s="8"/>
      <c r="F43" s="8"/>
      <c r="G43" s="8"/>
      <c r="H43" s="8"/>
      <c r="I43" s="8"/>
      <c r="J43" s="9"/>
      <c r="K43" s="23"/>
      <c r="L43" s="47" t="str">
        <f>IFERROR(VLOOKUP($A43,'Project Reference'!$B$2:$C$41,2), " ")</f>
        <v xml:space="preserve"> </v>
      </c>
      <c r="M43" s="8" t="str">
        <f>IFERROR(VLOOKUP($A43,'Project Reference'!$B$2:$D$41,3), " ")</f>
        <v xml:space="preserve"> </v>
      </c>
      <c r="N43" s="54" t="str">
        <f>IFERROR(VLOOKUP($A43,'Project Reference'!$B$2:$E$41,4), " ")</f>
        <v xml:space="preserve"> </v>
      </c>
      <c r="O43" s="8" t="str">
        <f>IFERROR(VLOOKUP($A43,'Project Reference'!$B$2:$F$41,5), " ")</f>
        <v xml:space="preserve"> </v>
      </c>
      <c r="P43" s="8" t="str">
        <f>IFERROR(VLOOKUP($A43,'Project Reference'!$B$2:$G$41,6), " ")</f>
        <v xml:space="preserve"> </v>
      </c>
      <c r="Q43" s="8" t="str">
        <f>IFERROR(VLOOKUP($A43,'Project Reference'!$B$2:$H$41,7), " ")</f>
        <v xml:space="preserve"> </v>
      </c>
      <c r="R43" s="8" t="str">
        <f>IFERROR(VLOOKUP($A43,'Project Reference'!$B$2:$I$41,8), " ")</f>
        <v xml:space="preserve"> </v>
      </c>
      <c r="S43" s="8" t="str">
        <f>IFERROR(VLOOKUP($A43,'Project Reference'!$B$2:$J$41,9), " ")</f>
        <v xml:space="preserve"> </v>
      </c>
      <c r="T43" s="8" t="str">
        <f>IFERROR(VLOOKUP($A43,'Project Reference'!$B$2:$K$41,10), " ")</f>
        <v xml:space="preserve"> </v>
      </c>
      <c r="U43" s="8" t="str">
        <f>IFERROR(VLOOKUP($A43,'Project Reference'!$B$2:$L$41,11), " ")</f>
        <v xml:space="preserve"> </v>
      </c>
      <c r="V43" s="8" t="str">
        <f>IFERROR(VLOOKUP($A43,'Project Reference'!$B$2:$M$41,12), " ")</f>
        <v xml:space="preserve"> </v>
      </c>
      <c r="W43" s="8" t="str">
        <f>IFERROR(VLOOKUP($A43,'Project Reference'!$B$2:$N$41,13), " ")</f>
        <v xml:space="preserve"> </v>
      </c>
      <c r="X43" s="8" t="str">
        <f>IFERROR(VLOOKUP($A43,'Project Reference'!$B$2:$O$41,14), " ")</f>
        <v xml:space="preserve"> </v>
      </c>
      <c r="Y43" s="8" t="str">
        <f>IFERROR(VLOOKUP($A43,'Project Reference'!$B$2:$P$41,15), " ")</f>
        <v xml:space="preserve"> </v>
      </c>
      <c r="Z43" s="9" t="str">
        <f>IFERROR(VLOOKUP($A43,'Project Reference'!$B$2:$Q$41,16), " ")</f>
        <v xml:space="preserve"> </v>
      </c>
    </row>
    <row r="44" spans="1:26" s="1" customFormat="1" x14ac:dyDescent="0.45">
      <c r="A44" s="70"/>
      <c r="B44" s="70" t="str">
        <f>IFERROR(VLOOKUP($A44,'Project Reference'!$S$2:$T$41,2),"Enter Project Number")</f>
        <v>Enter Project Number</v>
      </c>
      <c r="C44" s="54"/>
      <c r="D44" s="53"/>
      <c r="E44" s="8"/>
      <c r="F44" s="8"/>
      <c r="G44" s="8"/>
      <c r="H44" s="8"/>
      <c r="I44" s="8"/>
      <c r="J44" s="9"/>
      <c r="K44" s="23"/>
      <c r="L44" s="47" t="str">
        <f>IFERROR(VLOOKUP($A44,'Project Reference'!$B$2:$C$41,2), " ")</f>
        <v xml:space="preserve"> </v>
      </c>
      <c r="M44" s="8" t="str">
        <f>IFERROR(VLOOKUP($A44,'Project Reference'!$B$2:$D$41,3), " ")</f>
        <v xml:space="preserve"> </v>
      </c>
      <c r="N44" s="54" t="str">
        <f>IFERROR(VLOOKUP($A44,'Project Reference'!$B$2:$E$41,4), " ")</f>
        <v xml:space="preserve"> </v>
      </c>
      <c r="O44" s="8" t="str">
        <f>IFERROR(VLOOKUP($A44,'Project Reference'!$B$2:$F$41,5), " ")</f>
        <v xml:space="preserve"> </v>
      </c>
      <c r="P44" s="8" t="str">
        <f>IFERROR(VLOOKUP($A44,'Project Reference'!$B$2:$G$41,6), " ")</f>
        <v xml:space="preserve"> </v>
      </c>
      <c r="Q44" s="8" t="str">
        <f>IFERROR(VLOOKUP($A44,'Project Reference'!$B$2:$H$41,7), " ")</f>
        <v xml:space="preserve"> </v>
      </c>
      <c r="R44" s="8" t="str">
        <f>IFERROR(VLOOKUP($A44,'Project Reference'!$B$2:$I$41,8), " ")</f>
        <v xml:space="preserve"> </v>
      </c>
      <c r="S44" s="8" t="str">
        <f>IFERROR(VLOOKUP($A44,'Project Reference'!$B$2:$J$41,9), " ")</f>
        <v xml:space="preserve"> </v>
      </c>
      <c r="T44" s="8" t="str">
        <f>IFERROR(VLOOKUP($A44,'Project Reference'!$B$2:$K$41,10), " ")</f>
        <v xml:space="preserve"> </v>
      </c>
      <c r="U44" s="8" t="str">
        <f>IFERROR(VLOOKUP($A44,'Project Reference'!$B$2:$L$41,11), " ")</f>
        <v xml:space="preserve"> </v>
      </c>
      <c r="V44" s="8" t="str">
        <f>IFERROR(VLOOKUP($A44,'Project Reference'!$B$2:$M$41,12), " ")</f>
        <v xml:space="preserve"> </v>
      </c>
      <c r="W44" s="8" t="str">
        <f>IFERROR(VLOOKUP($A44,'Project Reference'!$B$2:$N$41,13), " ")</f>
        <v xml:space="preserve"> </v>
      </c>
      <c r="X44" s="8" t="str">
        <f>IFERROR(VLOOKUP($A44,'Project Reference'!$B$2:$O$41,14), " ")</f>
        <v xml:space="preserve"> </v>
      </c>
      <c r="Y44" s="8" t="str">
        <f>IFERROR(VLOOKUP($A44,'Project Reference'!$B$2:$P$41,15), " ")</f>
        <v xml:space="preserve"> </v>
      </c>
      <c r="Z44" s="9" t="str">
        <f>IFERROR(VLOOKUP($A44,'Project Reference'!$B$2:$Q$41,16), " ")</f>
        <v xml:space="preserve"> </v>
      </c>
    </row>
    <row r="45" spans="1:26" s="1" customFormat="1" x14ac:dyDescent="0.45">
      <c r="A45" s="70"/>
      <c r="B45" s="70" t="str">
        <f>IFERROR(VLOOKUP($A45,'Project Reference'!$S$2:$T$41,2),"Enter Project Number")</f>
        <v>Enter Project Number</v>
      </c>
      <c r="C45" s="54"/>
      <c r="D45" s="53"/>
      <c r="E45" s="8"/>
      <c r="F45" s="8"/>
      <c r="G45" s="8"/>
      <c r="H45" s="8"/>
      <c r="I45" s="8"/>
      <c r="J45" s="9"/>
      <c r="K45" s="23"/>
      <c r="L45" s="47" t="str">
        <f>IFERROR(VLOOKUP($A45,'Project Reference'!$B$2:$C$41,2), " ")</f>
        <v xml:space="preserve"> </v>
      </c>
      <c r="M45" s="8" t="str">
        <f>IFERROR(VLOOKUP($A45,'Project Reference'!$B$2:$D$41,3), " ")</f>
        <v xml:space="preserve"> </v>
      </c>
      <c r="N45" s="54" t="str">
        <f>IFERROR(VLOOKUP($A45,'Project Reference'!$B$2:$E$41,4), " ")</f>
        <v xml:space="preserve"> </v>
      </c>
      <c r="O45" s="8" t="str">
        <f>IFERROR(VLOOKUP($A45,'Project Reference'!$B$2:$F$41,5), " ")</f>
        <v xml:space="preserve"> </v>
      </c>
      <c r="P45" s="8" t="str">
        <f>IFERROR(VLOOKUP($A45,'Project Reference'!$B$2:$G$41,6), " ")</f>
        <v xml:space="preserve"> </v>
      </c>
      <c r="Q45" s="8" t="str">
        <f>IFERROR(VLOOKUP($A45,'Project Reference'!$B$2:$H$41,7), " ")</f>
        <v xml:space="preserve"> </v>
      </c>
      <c r="R45" s="8" t="str">
        <f>IFERROR(VLOOKUP($A45,'Project Reference'!$B$2:$I$41,8), " ")</f>
        <v xml:space="preserve"> </v>
      </c>
      <c r="S45" s="8" t="str">
        <f>IFERROR(VLOOKUP($A45,'Project Reference'!$B$2:$J$41,9), " ")</f>
        <v xml:space="preserve"> </v>
      </c>
      <c r="T45" s="8" t="str">
        <f>IFERROR(VLOOKUP($A45,'Project Reference'!$B$2:$K$41,10), " ")</f>
        <v xml:space="preserve"> </v>
      </c>
      <c r="U45" s="8" t="str">
        <f>IFERROR(VLOOKUP($A45,'Project Reference'!$B$2:$L$41,11), " ")</f>
        <v xml:space="preserve"> </v>
      </c>
      <c r="V45" s="8" t="str">
        <f>IFERROR(VLOOKUP($A45,'Project Reference'!$B$2:$M$41,12), " ")</f>
        <v xml:space="preserve"> </v>
      </c>
      <c r="W45" s="8" t="str">
        <f>IFERROR(VLOOKUP($A45,'Project Reference'!$B$2:$N$41,13), " ")</f>
        <v xml:space="preserve"> </v>
      </c>
      <c r="X45" s="8" t="str">
        <f>IFERROR(VLOOKUP($A45,'Project Reference'!$B$2:$O$41,14), " ")</f>
        <v xml:space="preserve"> </v>
      </c>
      <c r="Y45" s="8" t="str">
        <f>IFERROR(VLOOKUP($A45,'Project Reference'!$B$2:$P$41,15), " ")</f>
        <v xml:space="preserve"> </v>
      </c>
      <c r="Z45" s="9" t="str">
        <f>IFERROR(VLOOKUP($A45,'Project Reference'!$B$2:$Q$41,16), " ")</f>
        <v xml:space="preserve"> </v>
      </c>
    </row>
    <row r="46" spans="1:26" s="1" customFormat="1" x14ac:dyDescent="0.45">
      <c r="A46" s="70"/>
      <c r="B46" s="70" t="str">
        <f>IFERROR(VLOOKUP($A46,'Project Reference'!$S$2:$T$41,2),"Enter Project Number")</f>
        <v>Enter Project Number</v>
      </c>
      <c r="C46" s="54"/>
      <c r="D46" s="53"/>
      <c r="E46" s="8"/>
      <c r="F46" s="8"/>
      <c r="G46" s="8"/>
      <c r="H46" s="8"/>
      <c r="I46" s="8"/>
      <c r="J46" s="9"/>
      <c r="K46" s="23"/>
      <c r="L46" s="47" t="str">
        <f>IFERROR(VLOOKUP($A46,'Project Reference'!$B$2:$C$41,2), " ")</f>
        <v xml:space="preserve"> </v>
      </c>
      <c r="M46" s="8" t="str">
        <f>IFERROR(VLOOKUP($A46,'Project Reference'!$B$2:$D$41,3), " ")</f>
        <v xml:space="preserve"> </v>
      </c>
      <c r="N46" s="54" t="str">
        <f>IFERROR(VLOOKUP($A46,'Project Reference'!$B$2:$E$41,4), " ")</f>
        <v xml:space="preserve"> </v>
      </c>
      <c r="O46" s="8" t="str">
        <f>IFERROR(VLOOKUP($A46,'Project Reference'!$B$2:$F$41,5), " ")</f>
        <v xml:space="preserve"> </v>
      </c>
      <c r="P46" s="8" t="str">
        <f>IFERROR(VLOOKUP($A46,'Project Reference'!$B$2:$G$41,6), " ")</f>
        <v xml:space="preserve"> </v>
      </c>
      <c r="Q46" s="8" t="str">
        <f>IFERROR(VLOOKUP($A46,'Project Reference'!$B$2:$H$41,7), " ")</f>
        <v xml:space="preserve"> </v>
      </c>
      <c r="R46" s="8" t="str">
        <f>IFERROR(VLOOKUP($A46,'Project Reference'!$B$2:$I$41,8), " ")</f>
        <v xml:space="preserve"> </v>
      </c>
      <c r="S46" s="8" t="str">
        <f>IFERROR(VLOOKUP($A46,'Project Reference'!$B$2:$J$41,9), " ")</f>
        <v xml:space="preserve"> </v>
      </c>
      <c r="T46" s="8" t="str">
        <f>IFERROR(VLOOKUP($A46,'Project Reference'!$B$2:$K$41,10), " ")</f>
        <v xml:space="preserve"> </v>
      </c>
      <c r="U46" s="8" t="str">
        <f>IFERROR(VLOOKUP($A46,'Project Reference'!$B$2:$L$41,11), " ")</f>
        <v xml:space="preserve"> </v>
      </c>
      <c r="V46" s="8" t="str">
        <f>IFERROR(VLOOKUP($A46,'Project Reference'!$B$2:$M$41,12), " ")</f>
        <v xml:space="preserve"> </v>
      </c>
      <c r="W46" s="8" t="str">
        <f>IFERROR(VLOOKUP($A46,'Project Reference'!$B$2:$N$41,13), " ")</f>
        <v xml:space="preserve"> </v>
      </c>
      <c r="X46" s="8" t="str">
        <f>IFERROR(VLOOKUP($A46,'Project Reference'!$B$2:$O$41,14), " ")</f>
        <v xml:space="preserve"> </v>
      </c>
      <c r="Y46" s="8" t="str">
        <f>IFERROR(VLOOKUP($A46,'Project Reference'!$B$2:$P$41,15), " ")</f>
        <v xml:space="preserve"> </v>
      </c>
      <c r="Z46" s="9" t="str">
        <f>IFERROR(VLOOKUP($A46,'Project Reference'!$B$2:$Q$41,16), " ")</f>
        <v xml:space="preserve"> </v>
      </c>
    </row>
    <row r="47" spans="1:26" s="1" customFormat="1" x14ac:dyDescent="0.45">
      <c r="A47" s="70"/>
      <c r="B47" s="70" t="str">
        <f>IFERROR(VLOOKUP($A47,'Project Reference'!$S$2:$T$41,2),"Enter Project Number")</f>
        <v>Enter Project Number</v>
      </c>
      <c r="C47" s="54"/>
      <c r="D47" s="53"/>
      <c r="E47" s="8"/>
      <c r="F47" s="8"/>
      <c r="G47" s="8"/>
      <c r="H47" s="8"/>
      <c r="I47" s="8"/>
      <c r="J47" s="9"/>
      <c r="K47" s="23"/>
      <c r="L47" s="47" t="str">
        <f>IFERROR(VLOOKUP($A47,'Project Reference'!$B$2:$C$41,2), " ")</f>
        <v xml:space="preserve"> </v>
      </c>
      <c r="M47" s="8" t="str">
        <f>IFERROR(VLOOKUP($A47,'Project Reference'!$B$2:$D$41,3), " ")</f>
        <v xml:space="preserve"> </v>
      </c>
      <c r="N47" s="54" t="str">
        <f>IFERROR(VLOOKUP($A47,'Project Reference'!$B$2:$E$41,4), " ")</f>
        <v xml:space="preserve"> </v>
      </c>
      <c r="O47" s="8" t="str">
        <f>IFERROR(VLOOKUP($A47,'Project Reference'!$B$2:$F$41,5), " ")</f>
        <v xml:space="preserve"> </v>
      </c>
      <c r="P47" s="8" t="str">
        <f>IFERROR(VLOOKUP($A47,'Project Reference'!$B$2:$G$41,6), " ")</f>
        <v xml:space="preserve"> </v>
      </c>
      <c r="Q47" s="8" t="str">
        <f>IFERROR(VLOOKUP($A47,'Project Reference'!$B$2:$H$41,7), " ")</f>
        <v xml:space="preserve"> </v>
      </c>
      <c r="R47" s="8" t="str">
        <f>IFERROR(VLOOKUP($A47,'Project Reference'!$B$2:$I$41,8), " ")</f>
        <v xml:space="preserve"> </v>
      </c>
      <c r="S47" s="8" t="str">
        <f>IFERROR(VLOOKUP($A47,'Project Reference'!$B$2:$J$41,9), " ")</f>
        <v xml:space="preserve"> </v>
      </c>
      <c r="T47" s="8" t="str">
        <f>IFERROR(VLOOKUP($A47,'Project Reference'!$B$2:$K$41,10), " ")</f>
        <v xml:space="preserve"> </v>
      </c>
      <c r="U47" s="8" t="str">
        <f>IFERROR(VLOOKUP($A47,'Project Reference'!$B$2:$L$41,11), " ")</f>
        <v xml:space="preserve"> </v>
      </c>
      <c r="V47" s="8" t="str">
        <f>IFERROR(VLOOKUP($A47,'Project Reference'!$B$2:$M$41,12), " ")</f>
        <v xml:space="preserve"> </v>
      </c>
      <c r="W47" s="8" t="str">
        <f>IFERROR(VLOOKUP($A47,'Project Reference'!$B$2:$N$41,13), " ")</f>
        <v xml:space="preserve"> </v>
      </c>
      <c r="X47" s="8" t="str">
        <f>IFERROR(VLOOKUP($A47,'Project Reference'!$B$2:$O$41,14), " ")</f>
        <v xml:space="preserve"> </v>
      </c>
      <c r="Y47" s="8" t="str">
        <f>IFERROR(VLOOKUP($A47,'Project Reference'!$B$2:$P$41,15), " ")</f>
        <v xml:space="preserve"> </v>
      </c>
      <c r="Z47" s="9" t="str">
        <f>IFERROR(VLOOKUP($A47,'Project Reference'!$B$2:$Q$41,16), " ")</f>
        <v xml:space="preserve"> </v>
      </c>
    </row>
    <row r="48" spans="1:26" s="1" customFormat="1" x14ac:dyDescent="0.45">
      <c r="A48" s="70"/>
      <c r="B48" s="70" t="str">
        <f>IFERROR(VLOOKUP($A48,'Project Reference'!$S$2:$T$41,2),"Enter Project Number")</f>
        <v>Enter Project Number</v>
      </c>
      <c r="C48" s="54"/>
      <c r="D48" s="53"/>
      <c r="E48" s="8"/>
      <c r="F48" s="8"/>
      <c r="G48" s="8"/>
      <c r="H48" s="8"/>
      <c r="I48" s="8"/>
      <c r="J48" s="9"/>
      <c r="K48" s="23"/>
      <c r="L48" s="47" t="str">
        <f>IFERROR(VLOOKUP($A48,'Project Reference'!$B$2:$C$41,2), " ")</f>
        <v xml:space="preserve"> </v>
      </c>
      <c r="M48" s="8" t="str">
        <f>IFERROR(VLOOKUP($A48,'Project Reference'!$B$2:$D$41,3), " ")</f>
        <v xml:space="preserve"> </v>
      </c>
      <c r="N48" s="54" t="str">
        <f>IFERROR(VLOOKUP($A48,'Project Reference'!$B$2:$E$41,4), " ")</f>
        <v xml:space="preserve"> </v>
      </c>
      <c r="O48" s="8" t="str">
        <f>IFERROR(VLOOKUP($A48,'Project Reference'!$B$2:$F$41,5), " ")</f>
        <v xml:space="preserve"> </v>
      </c>
      <c r="P48" s="8" t="str">
        <f>IFERROR(VLOOKUP($A48,'Project Reference'!$B$2:$G$41,6), " ")</f>
        <v xml:space="preserve"> </v>
      </c>
      <c r="Q48" s="8" t="str">
        <f>IFERROR(VLOOKUP($A48,'Project Reference'!$B$2:$H$41,7), " ")</f>
        <v xml:space="preserve"> </v>
      </c>
      <c r="R48" s="8" t="str">
        <f>IFERROR(VLOOKUP($A48,'Project Reference'!$B$2:$I$41,8), " ")</f>
        <v xml:space="preserve"> </v>
      </c>
      <c r="S48" s="8" t="str">
        <f>IFERROR(VLOOKUP($A48,'Project Reference'!$B$2:$J$41,9), " ")</f>
        <v xml:space="preserve"> </v>
      </c>
      <c r="T48" s="8" t="str">
        <f>IFERROR(VLOOKUP($A48,'Project Reference'!$B$2:$K$41,10), " ")</f>
        <v xml:space="preserve"> </v>
      </c>
      <c r="U48" s="8" t="str">
        <f>IFERROR(VLOOKUP($A48,'Project Reference'!$B$2:$L$41,11), " ")</f>
        <v xml:space="preserve"> </v>
      </c>
      <c r="V48" s="8" t="str">
        <f>IFERROR(VLOOKUP($A48,'Project Reference'!$B$2:$M$41,12), " ")</f>
        <v xml:space="preserve"> </v>
      </c>
      <c r="W48" s="8" t="str">
        <f>IFERROR(VLOOKUP($A48,'Project Reference'!$B$2:$N$41,13), " ")</f>
        <v xml:space="preserve"> </v>
      </c>
      <c r="X48" s="8" t="str">
        <f>IFERROR(VLOOKUP($A48,'Project Reference'!$B$2:$O$41,14), " ")</f>
        <v xml:space="preserve"> </v>
      </c>
      <c r="Y48" s="8" t="str">
        <f>IFERROR(VLOOKUP($A48,'Project Reference'!$B$2:$P$41,15), " ")</f>
        <v xml:space="preserve"> </v>
      </c>
      <c r="Z48" s="9" t="str">
        <f>IFERROR(VLOOKUP($A48,'Project Reference'!$B$2:$Q$41,16), " ")</f>
        <v xml:space="preserve"> </v>
      </c>
    </row>
    <row r="49" spans="1:26" s="1" customFormat="1" x14ac:dyDescent="0.45">
      <c r="A49" s="70"/>
      <c r="B49" s="70" t="str">
        <f>IFERROR(VLOOKUP($A49,'Project Reference'!$S$2:$T$41,2),"Enter Project Number")</f>
        <v>Enter Project Number</v>
      </c>
      <c r="C49" s="54"/>
      <c r="D49" s="53"/>
      <c r="E49" s="8"/>
      <c r="F49" s="8"/>
      <c r="G49" s="8"/>
      <c r="H49" s="8"/>
      <c r="I49" s="8"/>
      <c r="J49" s="9"/>
      <c r="K49" s="23"/>
      <c r="L49" s="47" t="str">
        <f>IFERROR(VLOOKUP($A49,'Project Reference'!$B$2:$C$41,2), " ")</f>
        <v xml:space="preserve"> </v>
      </c>
      <c r="M49" s="8" t="str">
        <f>IFERROR(VLOOKUP($A49,'Project Reference'!$B$2:$D$41,3), " ")</f>
        <v xml:space="preserve"> </v>
      </c>
      <c r="N49" s="54" t="str">
        <f>IFERROR(VLOOKUP($A49,'Project Reference'!$B$2:$E$41,4), " ")</f>
        <v xml:space="preserve"> </v>
      </c>
      <c r="O49" s="8" t="str">
        <f>IFERROR(VLOOKUP($A49,'Project Reference'!$B$2:$F$41,5), " ")</f>
        <v xml:space="preserve"> </v>
      </c>
      <c r="P49" s="8" t="str">
        <f>IFERROR(VLOOKUP($A49,'Project Reference'!$B$2:$G$41,6), " ")</f>
        <v xml:space="preserve"> </v>
      </c>
      <c r="Q49" s="8" t="str">
        <f>IFERROR(VLOOKUP($A49,'Project Reference'!$B$2:$H$41,7), " ")</f>
        <v xml:space="preserve"> </v>
      </c>
      <c r="R49" s="8" t="str">
        <f>IFERROR(VLOOKUP($A49,'Project Reference'!$B$2:$I$41,8), " ")</f>
        <v xml:space="preserve"> </v>
      </c>
      <c r="S49" s="8" t="str">
        <f>IFERROR(VLOOKUP($A49,'Project Reference'!$B$2:$J$41,9), " ")</f>
        <v xml:space="preserve"> </v>
      </c>
      <c r="T49" s="8" t="str">
        <f>IFERROR(VLOOKUP($A49,'Project Reference'!$B$2:$K$41,10), " ")</f>
        <v xml:space="preserve"> </v>
      </c>
      <c r="U49" s="8" t="str">
        <f>IFERROR(VLOOKUP($A49,'Project Reference'!$B$2:$L$41,11), " ")</f>
        <v xml:space="preserve"> </v>
      </c>
      <c r="V49" s="8" t="str">
        <f>IFERROR(VLOOKUP($A49,'Project Reference'!$B$2:$M$41,12), " ")</f>
        <v xml:space="preserve"> </v>
      </c>
      <c r="W49" s="8" t="str">
        <f>IFERROR(VLOOKUP($A49,'Project Reference'!$B$2:$N$41,13), " ")</f>
        <v xml:space="preserve"> </v>
      </c>
      <c r="X49" s="8" t="str">
        <f>IFERROR(VLOOKUP($A49,'Project Reference'!$B$2:$O$41,14), " ")</f>
        <v xml:space="preserve"> </v>
      </c>
      <c r="Y49" s="8" t="str">
        <f>IFERROR(VLOOKUP($A49,'Project Reference'!$B$2:$P$41,15), " ")</f>
        <v xml:space="preserve"> </v>
      </c>
      <c r="Z49" s="9" t="str">
        <f>IFERROR(VLOOKUP($A49,'Project Reference'!$B$2:$Q$41,16), " ")</f>
        <v xml:space="preserve"> </v>
      </c>
    </row>
    <row r="50" spans="1:26" s="1" customFormat="1" x14ac:dyDescent="0.45">
      <c r="A50" s="70"/>
      <c r="B50" s="70" t="str">
        <f>IFERROR(VLOOKUP($A50,'Project Reference'!$S$2:$T$41,2),"Enter Project Number")</f>
        <v>Enter Project Number</v>
      </c>
      <c r="C50" s="54"/>
      <c r="D50" s="53"/>
      <c r="E50" s="8"/>
      <c r="F50" s="8"/>
      <c r="G50" s="8"/>
      <c r="H50" s="8"/>
      <c r="I50" s="8"/>
      <c r="J50" s="9"/>
      <c r="K50" s="23"/>
      <c r="L50" s="47" t="str">
        <f>IFERROR(VLOOKUP($A50,'Project Reference'!$B$2:$C$41,2), " ")</f>
        <v xml:space="preserve"> </v>
      </c>
      <c r="M50" s="8" t="str">
        <f>IFERROR(VLOOKUP($A50,'Project Reference'!$B$2:$D$41,3), " ")</f>
        <v xml:space="preserve"> </v>
      </c>
      <c r="N50" s="54" t="str">
        <f>IFERROR(VLOOKUP($A50,'Project Reference'!$B$2:$E$41,4), " ")</f>
        <v xml:space="preserve"> </v>
      </c>
      <c r="O50" s="8" t="str">
        <f>IFERROR(VLOOKUP($A50,'Project Reference'!$B$2:$F$41,5), " ")</f>
        <v xml:space="preserve"> </v>
      </c>
      <c r="P50" s="8" t="str">
        <f>IFERROR(VLOOKUP($A50,'Project Reference'!$B$2:$G$41,6), " ")</f>
        <v xml:space="preserve"> </v>
      </c>
      <c r="Q50" s="8" t="str">
        <f>IFERROR(VLOOKUP($A50,'Project Reference'!$B$2:$H$41,7), " ")</f>
        <v xml:space="preserve"> </v>
      </c>
      <c r="R50" s="8" t="str">
        <f>IFERROR(VLOOKUP($A50,'Project Reference'!$B$2:$I$41,8), " ")</f>
        <v xml:space="preserve"> </v>
      </c>
      <c r="S50" s="8" t="str">
        <f>IFERROR(VLOOKUP($A50,'Project Reference'!$B$2:$J$41,9), " ")</f>
        <v xml:space="preserve"> </v>
      </c>
      <c r="T50" s="8" t="str">
        <f>IFERROR(VLOOKUP($A50,'Project Reference'!$B$2:$K$41,10), " ")</f>
        <v xml:space="preserve"> </v>
      </c>
      <c r="U50" s="8" t="str">
        <f>IFERROR(VLOOKUP($A50,'Project Reference'!$B$2:$L$41,11), " ")</f>
        <v xml:space="preserve"> </v>
      </c>
      <c r="V50" s="8" t="str">
        <f>IFERROR(VLOOKUP($A50,'Project Reference'!$B$2:$M$41,12), " ")</f>
        <v xml:space="preserve"> </v>
      </c>
      <c r="W50" s="8" t="str">
        <f>IFERROR(VLOOKUP($A50,'Project Reference'!$B$2:$N$41,13), " ")</f>
        <v xml:space="preserve"> </v>
      </c>
      <c r="X50" s="8" t="str">
        <f>IFERROR(VLOOKUP($A50,'Project Reference'!$B$2:$O$41,14), " ")</f>
        <v xml:space="preserve"> </v>
      </c>
      <c r="Y50" s="8" t="str">
        <f>IFERROR(VLOOKUP($A50,'Project Reference'!$B$2:$P$41,15), " ")</f>
        <v xml:space="preserve"> </v>
      </c>
      <c r="Z50" s="9" t="str">
        <f>IFERROR(VLOOKUP($A50,'Project Reference'!$B$2:$Q$41,16), " ")</f>
        <v xml:space="preserve"> </v>
      </c>
    </row>
    <row r="51" spans="1:26" s="1" customFormat="1" x14ac:dyDescent="0.45">
      <c r="A51" s="70"/>
      <c r="B51" s="70" t="str">
        <f>IFERROR(VLOOKUP($A51,'Project Reference'!$S$2:$T$41,2),"Enter Project Number")</f>
        <v>Enter Project Number</v>
      </c>
      <c r="C51" s="54"/>
      <c r="D51" s="53"/>
      <c r="E51" s="8"/>
      <c r="F51" s="8"/>
      <c r="G51" s="8"/>
      <c r="H51" s="8"/>
      <c r="I51" s="8"/>
      <c r="J51" s="9"/>
      <c r="K51" s="23"/>
      <c r="L51" s="47" t="str">
        <f>IFERROR(VLOOKUP($A51,'Project Reference'!$B$2:$C$41,2), " ")</f>
        <v xml:space="preserve"> </v>
      </c>
      <c r="M51" s="8" t="str">
        <f>IFERROR(VLOOKUP($A51,'Project Reference'!$B$2:$D$41,3), " ")</f>
        <v xml:space="preserve"> </v>
      </c>
      <c r="N51" s="54" t="str">
        <f>IFERROR(VLOOKUP($A51,'Project Reference'!$B$2:$E$41,4), " ")</f>
        <v xml:space="preserve"> </v>
      </c>
      <c r="O51" s="8" t="str">
        <f>IFERROR(VLOOKUP($A51,'Project Reference'!$B$2:$F$41,5), " ")</f>
        <v xml:space="preserve"> </v>
      </c>
      <c r="P51" s="8" t="str">
        <f>IFERROR(VLOOKUP($A51,'Project Reference'!$B$2:$G$41,6), " ")</f>
        <v xml:space="preserve"> </v>
      </c>
      <c r="Q51" s="8" t="str">
        <f>IFERROR(VLOOKUP($A51,'Project Reference'!$B$2:$H$41,7), " ")</f>
        <v xml:space="preserve"> </v>
      </c>
      <c r="R51" s="8" t="str">
        <f>IFERROR(VLOOKUP($A51,'Project Reference'!$B$2:$I$41,8), " ")</f>
        <v xml:space="preserve"> </v>
      </c>
      <c r="S51" s="8" t="str">
        <f>IFERROR(VLOOKUP($A51,'Project Reference'!$B$2:$J$41,9), " ")</f>
        <v xml:space="preserve"> </v>
      </c>
      <c r="T51" s="8" t="str">
        <f>IFERROR(VLOOKUP($A51,'Project Reference'!$B$2:$K$41,10), " ")</f>
        <v xml:space="preserve"> </v>
      </c>
      <c r="U51" s="8" t="str">
        <f>IFERROR(VLOOKUP($A51,'Project Reference'!$B$2:$L$41,11), " ")</f>
        <v xml:space="preserve"> </v>
      </c>
      <c r="V51" s="8" t="str">
        <f>IFERROR(VLOOKUP($A51,'Project Reference'!$B$2:$M$41,12), " ")</f>
        <v xml:space="preserve"> </v>
      </c>
      <c r="W51" s="8" t="str">
        <f>IFERROR(VLOOKUP($A51,'Project Reference'!$B$2:$N$41,13), " ")</f>
        <v xml:space="preserve"> </v>
      </c>
      <c r="X51" s="8" t="str">
        <f>IFERROR(VLOOKUP($A51,'Project Reference'!$B$2:$O$41,14), " ")</f>
        <v xml:space="preserve"> </v>
      </c>
      <c r="Y51" s="8" t="str">
        <f>IFERROR(VLOOKUP($A51,'Project Reference'!$B$2:$P$41,15), " ")</f>
        <v xml:space="preserve"> </v>
      </c>
      <c r="Z51" s="9" t="str">
        <f>IFERROR(VLOOKUP($A51,'Project Reference'!$B$2:$Q$41,16), " ")</f>
        <v xml:space="preserve"> </v>
      </c>
    </row>
    <row r="52" spans="1:26" s="1" customFormat="1" x14ac:dyDescent="0.45">
      <c r="A52" s="70"/>
      <c r="B52" s="70" t="str">
        <f>IFERROR(VLOOKUP($A52,'Project Reference'!$S$2:$T$41,2),"Enter Project Number")</f>
        <v>Enter Project Number</v>
      </c>
      <c r="C52" s="54"/>
      <c r="D52" s="53"/>
      <c r="E52" s="8"/>
      <c r="F52" s="8"/>
      <c r="G52" s="8"/>
      <c r="H52" s="8"/>
      <c r="I52" s="8"/>
      <c r="J52" s="9"/>
      <c r="K52" s="23"/>
      <c r="L52" s="47" t="str">
        <f>IFERROR(VLOOKUP($A52,'Project Reference'!$B$2:$C$41,2), " ")</f>
        <v xml:space="preserve"> </v>
      </c>
      <c r="M52" s="8" t="str">
        <f>IFERROR(VLOOKUP($A52,'Project Reference'!$B$2:$D$41,3), " ")</f>
        <v xml:space="preserve"> </v>
      </c>
      <c r="N52" s="54" t="str">
        <f>IFERROR(VLOOKUP($A52,'Project Reference'!$B$2:$E$41,4), " ")</f>
        <v xml:space="preserve"> </v>
      </c>
      <c r="O52" s="8" t="str">
        <f>IFERROR(VLOOKUP($A52,'Project Reference'!$B$2:$F$41,5), " ")</f>
        <v xml:space="preserve"> </v>
      </c>
      <c r="P52" s="8" t="str">
        <f>IFERROR(VLOOKUP($A52,'Project Reference'!$B$2:$G$41,6), " ")</f>
        <v xml:space="preserve"> </v>
      </c>
      <c r="Q52" s="8" t="str">
        <f>IFERROR(VLOOKUP($A52,'Project Reference'!$B$2:$H$41,7), " ")</f>
        <v xml:space="preserve"> </v>
      </c>
      <c r="R52" s="8" t="str">
        <f>IFERROR(VLOOKUP($A52,'Project Reference'!$B$2:$I$41,8), " ")</f>
        <v xml:space="preserve"> </v>
      </c>
      <c r="S52" s="8" t="str">
        <f>IFERROR(VLOOKUP($A52,'Project Reference'!$B$2:$J$41,9), " ")</f>
        <v xml:space="preserve"> </v>
      </c>
      <c r="T52" s="8" t="str">
        <f>IFERROR(VLOOKUP($A52,'Project Reference'!$B$2:$K$41,10), " ")</f>
        <v xml:space="preserve"> </v>
      </c>
      <c r="U52" s="8" t="str">
        <f>IFERROR(VLOOKUP($A52,'Project Reference'!$B$2:$L$41,11), " ")</f>
        <v xml:space="preserve"> </v>
      </c>
      <c r="V52" s="8" t="str">
        <f>IFERROR(VLOOKUP($A52,'Project Reference'!$B$2:$M$41,12), " ")</f>
        <v xml:space="preserve"> </v>
      </c>
      <c r="W52" s="8" t="str">
        <f>IFERROR(VLOOKUP($A52,'Project Reference'!$B$2:$N$41,13), " ")</f>
        <v xml:space="preserve"> </v>
      </c>
      <c r="X52" s="8" t="str">
        <f>IFERROR(VLOOKUP($A52,'Project Reference'!$B$2:$O$41,14), " ")</f>
        <v xml:space="preserve"> </v>
      </c>
      <c r="Y52" s="8" t="str">
        <f>IFERROR(VLOOKUP($A52,'Project Reference'!$B$2:$P$41,15), " ")</f>
        <v xml:space="preserve"> </v>
      </c>
      <c r="Z52" s="9" t="str">
        <f>IFERROR(VLOOKUP($A52,'Project Reference'!$B$2:$Q$41,16), " ")</f>
        <v xml:space="preserve"> </v>
      </c>
    </row>
    <row r="53" spans="1:26" s="1" customFormat="1" x14ac:dyDescent="0.45">
      <c r="A53" s="70"/>
      <c r="B53" s="70" t="str">
        <f>IFERROR(VLOOKUP($A53,'Project Reference'!$S$2:$T$41,2),"Enter Project Number")</f>
        <v>Enter Project Number</v>
      </c>
      <c r="C53" s="54"/>
      <c r="D53" s="53"/>
      <c r="E53" s="8"/>
      <c r="F53" s="8"/>
      <c r="G53" s="8"/>
      <c r="H53" s="8"/>
      <c r="I53" s="8"/>
      <c r="J53" s="9"/>
      <c r="K53" s="23"/>
      <c r="L53" s="47" t="str">
        <f>IFERROR(VLOOKUP($A53,'Project Reference'!$B$2:$C$41,2), " ")</f>
        <v xml:space="preserve"> </v>
      </c>
      <c r="M53" s="8" t="str">
        <f>IFERROR(VLOOKUP($A53,'Project Reference'!$B$2:$D$41,3), " ")</f>
        <v xml:space="preserve"> </v>
      </c>
      <c r="N53" s="54" t="str">
        <f>IFERROR(VLOOKUP($A53,'Project Reference'!$B$2:$E$41,4), " ")</f>
        <v xml:space="preserve"> </v>
      </c>
      <c r="O53" s="8" t="str">
        <f>IFERROR(VLOOKUP($A53,'Project Reference'!$B$2:$F$41,5), " ")</f>
        <v xml:space="preserve"> </v>
      </c>
      <c r="P53" s="8" t="str">
        <f>IFERROR(VLOOKUP($A53,'Project Reference'!$B$2:$G$41,6), " ")</f>
        <v xml:space="preserve"> </v>
      </c>
      <c r="Q53" s="8" t="str">
        <f>IFERROR(VLOOKUP($A53,'Project Reference'!$B$2:$H$41,7), " ")</f>
        <v xml:space="preserve"> </v>
      </c>
      <c r="R53" s="8" t="str">
        <f>IFERROR(VLOOKUP($A53,'Project Reference'!$B$2:$I$41,8), " ")</f>
        <v xml:space="preserve"> </v>
      </c>
      <c r="S53" s="8" t="str">
        <f>IFERROR(VLOOKUP($A53,'Project Reference'!$B$2:$J$41,9), " ")</f>
        <v xml:space="preserve"> </v>
      </c>
      <c r="T53" s="8" t="str">
        <f>IFERROR(VLOOKUP($A53,'Project Reference'!$B$2:$K$41,10), " ")</f>
        <v xml:space="preserve"> </v>
      </c>
      <c r="U53" s="8" t="str">
        <f>IFERROR(VLOOKUP($A53,'Project Reference'!$B$2:$L$41,11), " ")</f>
        <v xml:space="preserve"> </v>
      </c>
      <c r="V53" s="8" t="str">
        <f>IFERROR(VLOOKUP($A53,'Project Reference'!$B$2:$M$41,12), " ")</f>
        <v xml:space="preserve"> </v>
      </c>
      <c r="W53" s="8" t="str">
        <f>IFERROR(VLOOKUP($A53,'Project Reference'!$B$2:$N$41,13), " ")</f>
        <v xml:space="preserve"> </v>
      </c>
      <c r="X53" s="8" t="str">
        <f>IFERROR(VLOOKUP($A53,'Project Reference'!$B$2:$O$41,14), " ")</f>
        <v xml:space="preserve"> </v>
      </c>
      <c r="Y53" s="8" t="str">
        <f>IFERROR(VLOOKUP($A53,'Project Reference'!$B$2:$P$41,15), " ")</f>
        <v xml:space="preserve"> </v>
      </c>
      <c r="Z53" s="9" t="str">
        <f>IFERROR(VLOOKUP($A53,'Project Reference'!$B$2:$Q$41,16), " ")</f>
        <v xml:space="preserve"> </v>
      </c>
    </row>
    <row r="54" spans="1:26" s="1" customFormat="1" x14ac:dyDescent="0.45">
      <c r="A54" s="70"/>
      <c r="B54" s="70" t="str">
        <f>IFERROR(VLOOKUP($A54,'Project Reference'!$S$2:$T$41,2),"Enter Project Number")</f>
        <v>Enter Project Number</v>
      </c>
      <c r="C54" s="54"/>
      <c r="D54" s="53"/>
      <c r="E54" s="8"/>
      <c r="F54" s="8"/>
      <c r="G54" s="8"/>
      <c r="H54" s="8"/>
      <c r="I54" s="8"/>
      <c r="J54" s="9"/>
      <c r="K54" s="23"/>
      <c r="L54" s="47" t="str">
        <f>IFERROR(VLOOKUP($A54,'Project Reference'!$B$2:$C$41,2), " ")</f>
        <v xml:space="preserve"> </v>
      </c>
      <c r="M54" s="8" t="str">
        <f>IFERROR(VLOOKUP($A54,'Project Reference'!$B$2:$D$41,3), " ")</f>
        <v xml:space="preserve"> </v>
      </c>
      <c r="N54" s="54" t="str">
        <f>IFERROR(VLOOKUP($A54,'Project Reference'!$B$2:$E$41,4), " ")</f>
        <v xml:space="preserve"> </v>
      </c>
      <c r="O54" s="8" t="str">
        <f>IFERROR(VLOOKUP($A54,'Project Reference'!$B$2:$F$41,5), " ")</f>
        <v xml:space="preserve"> </v>
      </c>
      <c r="P54" s="8" t="str">
        <f>IFERROR(VLOOKUP($A54,'Project Reference'!$B$2:$G$41,6), " ")</f>
        <v xml:space="preserve"> </v>
      </c>
      <c r="Q54" s="8" t="str">
        <f>IFERROR(VLOOKUP($A54,'Project Reference'!$B$2:$H$41,7), " ")</f>
        <v xml:space="preserve"> </v>
      </c>
      <c r="R54" s="8" t="str">
        <f>IFERROR(VLOOKUP($A54,'Project Reference'!$B$2:$I$41,8), " ")</f>
        <v xml:space="preserve"> </v>
      </c>
      <c r="S54" s="8" t="str">
        <f>IFERROR(VLOOKUP($A54,'Project Reference'!$B$2:$J$41,9), " ")</f>
        <v xml:space="preserve"> </v>
      </c>
      <c r="T54" s="8" t="str">
        <f>IFERROR(VLOOKUP($A54,'Project Reference'!$B$2:$K$41,10), " ")</f>
        <v xml:space="preserve"> </v>
      </c>
      <c r="U54" s="8" t="str">
        <f>IFERROR(VLOOKUP($A54,'Project Reference'!$B$2:$L$41,11), " ")</f>
        <v xml:space="preserve"> </v>
      </c>
      <c r="V54" s="8" t="str">
        <f>IFERROR(VLOOKUP($A54,'Project Reference'!$B$2:$M$41,12), " ")</f>
        <v xml:space="preserve"> </v>
      </c>
      <c r="W54" s="8" t="str">
        <f>IFERROR(VLOOKUP($A54,'Project Reference'!$B$2:$N$41,13), " ")</f>
        <v xml:space="preserve"> </v>
      </c>
      <c r="X54" s="8" t="str">
        <f>IFERROR(VLOOKUP($A54,'Project Reference'!$B$2:$O$41,14), " ")</f>
        <v xml:space="preserve"> </v>
      </c>
      <c r="Y54" s="8" t="str">
        <f>IFERROR(VLOOKUP($A54,'Project Reference'!$B$2:$P$41,15), " ")</f>
        <v xml:space="preserve"> </v>
      </c>
      <c r="Z54" s="9" t="str">
        <f>IFERROR(VLOOKUP($A54,'Project Reference'!$B$2:$Q$41,16), " ")</f>
        <v xml:space="preserve"> </v>
      </c>
    </row>
    <row r="55" spans="1:26" s="1" customFormat="1" x14ac:dyDescent="0.45">
      <c r="A55" s="70"/>
      <c r="B55" s="70" t="str">
        <f>IFERROR(VLOOKUP($A55,'Project Reference'!$S$2:$T$41,2),"Enter Project Number")</f>
        <v>Enter Project Number</v>
      </c>
      <c r="C55" s="54"/>
      <c r="D55" s="53"/>
      <c r="E55" s="8"/>
      <c r="F55" s="8"/>
      <c r="G55" s="8"/>
      <c r="H55" s="8"/>
      <c r="I55" s="8"/>
      <c r="J55" s="9"/>
      <c r="K55" s="23"/>
      <c r="L55" s="47" t="str">
        <f>IFERROR(VLOOKUP($A55,'Project Reference'!$B$2:$C$41,2), " ")</f>
        <v xml:space="preserve"> </v>
      </c>
      <c r="M55" s="8" t="str">
        <f>IFERROR(VLOOKUP($A55,'Project Reference'!$B$2:$D$41,3), " ")</f>
        <v xml:space="preserve"> </v>
      </c>
      <c r="N55" s="54" t="str">
        <f>IFERROR(VLOOKUP($A55,'Project Reference'!$B$2:$E$41,4), " ")</f>
        <v xml:space="preserve"> </v>
      </c>
      <c r="O55" s="8" t="str">
        <f>IFERROR(VLOOKUP($A55,'Project Reference'!$B$2:$F$41,5), " ")</f>
        <v xml:space="preserve"> </v>
      </c>
      <c r="P55" s="8" t="str">
        <f>IFERROR(VLOOKUP($A55,'Project Reference'!$B$2:$G$41,6), " ")</f>
        <v xml:space="preserve"> </v>
      </c>
      <c r="Q55" s="8" t="str">
        <f>IFERROR(VLOOKUP($A55,'Project Reference'!$B$2:$H$41,7), " ")</f>
        <v xml:space="preserve"> </v>
      </c>
      <c r="R55" s="8" t="str">
        <f>IFERROR(VLOOKUP($A55,'Project Reference'!$B$2:$I$41,8), " ")</f>
        <v xml:space="preserve"> </v>
      </c>
      <c r="S55" s="8" t="str">
        <f>IFERROR(VLOOKUP($A55,'Project Reference'!$B$2:$J$41,9), " ")</f>
        <v xml:space="preserve"> </v>
      </c>
      <c r="T55" s="8" t="str">
        <f>IFERROR(VLOOKUP($A55,'Project Reference'!$B$2:$K$41,10), " ")</f>
        <v xml:space="preserve"> </v>
      </c>
      <c r="U55" s="8" t="str">
        <f>IFERROR(VLOOKUP($A55,'Project Reference'!$B$2:$L$41,11), " ")</f>
        <v xml:space="preserve"> </v>
      </c>
      <c r="V55" s="8" t="str">
        <f>IFERROR(VLOOKUP($A55,'Project Reference'!$B$2:$M$41,12), " ")</f>
        <v xml:space="preserve"> </v>
      </c>
      <c r="W55" s="8" t="str">
        <f>IFERROR(VLOOKUP($A55,'Project Reference'!$B$2:$N$41,13), " ")</f>
        <v xml:space="preserve"> </v>
      </c>
      <c r="X55" s="8" t="str">
        <f>IFERROR(VLOOKUP($A55,'Project Reference'!$B$2:$O$41,14), " ")</f>
        <v xml:space="preserve"> </v>
      </c>
      <c r="Y55" s="8" t="str">
        <f>IFERROR(VLOOKUP($A55,'Project Reference'!$B$2:$P$41,15), " ")</f>
        <v xml:space="preserve"> </v>
      </c>
      <c r="Z55" s="9" t="str">
        <f>IFERROR(VLOOKUP($A55,'Project Reference'!$B$2:$Q$41,16), " ")</f>
        <v xml:space="preserve"> </v>
      </c>
    </row>
    <row r="56" spans="1:26" s="1" customFormat="1" x14ac:dyDescent="0.45">
      <c r="A56" s="70"/>
      <c r="B56" s="70" t="str">
        <f>IFERROR(VLOOKUP($A56,'Project Reference'!$S$2:$T$41,2),"Enter Project Number")</f>
        <v>Enter Project Number</v>
      </c>
      <c r="C56" s="54"/>
      <c r="D56" s="53"/>
      <c r="E56" s="8"/>
      <c r="F56" s="8"/>
      <c r="G56" s="8"/>
      <c r="H56" s="8"/>
      <c r="I56" s="8"/>
      <c r="J56" s="9"/>
      <c r="K56" s="23"/>
      <c r="L56" s="47" t="str">
        <f>IFERROR(VLOOKUP($A56,'Project Reference'!$B$2:$C$41,2), " ")</f>
        <v xml:space="preserve"> </v>
      </c>
      <c r="M56" s="8" t="str">
        <f>IFERROR(VLOOKUP($A56,'Project Reference'!$B$2:$D$41,3), " ")</f>
        <v xml:space="preserve"> </v>
      </c>
      <c r="N56" s="54" t="str">
        <f>IFERROR(VLOOKUP($A56,'Project Reference'!$B$2:$E$41,4), " ")</f>
        <v xml:space="preserve"> </v>
      </c>
      <c r="O56" s="8" t="str">
        <f>IFERROR(VLOOKUP($A56,'Project Reference'!$B$2:$F$41,5), " ")</f>
        <v xml:space="preserve"> </v>
      </c>
      <c r="P56" s="8" t="str">
        <f>IFERROR(VLOOKUP($A56,'Project Reference'!$B$2:$G$41,6), " ")</f>
        <v xml:space="preserve"> </v>
      </c>
      <c r="Q56" s="8" t="str">
        <f>IFERROR(VLOOKUP($A56,'Project Reference'!$B$2:$H$41,7), " ")</f>
        <v xml:space="preserve"> </v>
      </c>
      <c r="R56" s="8" t="str">
        <f>IFERROR(VLOOKUP($A56,'Project Reference'!$B$2:$I$41,8), " ")</f>
        <v xml:space="preserve"> </v>
      </c>
      <c r="S56" s="8" t="str">
        <f>IFERROR(VLOOKUP($A56,'Project Reference'!$B$2:$J$41,9), " ")</f>
        <v xml:space="preserve"> </v>
      </c>
      <c r="T56" s="8" t="str">
        <f>IFERROR(VLOOKUP($A56,'Project Reference'!$B$2:$K$41,10), " ")</f>
        <v xml:space="preserve"> </v>
      </c>
      <c r="U56" s="8" t="str">
        <f>IFERROR(VLOOKUP($A56,'Project Reference'!$B$2:$L$41,11), " ")</f>
        <v xml:space="preserve"> </v>
      </c>
      <c r="V56" s="8" t="str">
        <f>IFERROR(VLOOKUP($A56,'Project Reference'!$B$2:$M$41,12), " ")</f>
        <v xml:space="preserve"> </v>
      </c>
      <c r="W56" s="8" t="str">
        <f>IFERROR(VLOOKUP($A56,'Project Reference'!$B$2:$N$41,13), " ")</f>
        <v xml:space="preserve"> </v>
      </c>
      <c r="X56" s="8" t="str">
        <f>IFERROR(VLOOKUP($A56,'Project Reference'!$B$2:$O$41,14), " ")</f>
        <v xml:space="preserve"> </v>
      </c>
      <c r="Y56" s="8" t="str">
        <f>IFERROR(VLOOKUP($A56,'Project Reference'!$B$2:$P$41,15), " ")</f>
        <v xml:space="preserve"> </v>
      </c>
      <c r="Z56" s="9" t="str">
        <f>IFERROR(VLOOKUP($A56,'Project Reference'!$B$2:$Q$41,16), " ")</f>
        <v xml:space="preserve"> </v>
      </c>
    </row>
    <row r="57" spans="1:26" s="1" customFormat="1" x14ac:dyDescent="0.45">
      <c r="A57" s="70"/>
      <c r="B57" s="70" t="str">
        <f>IFERROR(VLOOKUP($A57,'Project Reference'!$S$2:$T$41,2),"Enter Project Number")</f>
        <v>Enter Project Number</v>
      </c>
      <c r="C57" s="54"/>
      <c r="D57" s="53"/>
      <c r="E57" s="8"/>
      <c r="F57" s="8"/>
      <c r="G57" s="8"/>
      <c r="H57" s="8"/>
      <c r="I57" s="8"/>
      <c r="J57" s="9"/>
      <c r="K57" s="23"/>
      <c r="L57" s="47" t="str">
        <f>IFERROR(VLOOKUP($A57,'Project Reference'!$B$2:$C$41,2), " ")</f>
        <v xml:space="preserve"> </v>
      </c>
      <c r="M57" s="8" t="str">
        <f>IFERROR(VLOOKUP($A57,'Project Reference'!$B$2:$D$41,3), " ")</f>
        <v xml:space="preserve"> </v>
      </c>
      <c r="N57" s="54" t="str">
        <f>IFERROR(VLOOKUP($A57,'Project Reference'!$B$2:$E$41,4), " ")</f>
        <v xml:space="preserve"> </v>
      </c>
      <c r="O57" s="8" t="str">
        <f>IFERROR(VLOOKUP($A57,'Project Reference'!$B$2:$F$41,5), " ")</f>
        <v xml:space="preserve"> </v>
      </c>
      <c r="P57" s="8" t="str">
        <f>IFERROR(VLOOKUP($A57,'Project Reference'!$B$2:$G$41,6), " ")</f>
        <v xml:space="preserve"> </v>
      </c>
      <c r="Q57" s="8" t="str">
        <f>IFERROR(VLOOKUP($A57,'Project Reference'!$B$2:$H$41,7), " ")</f>
        <v xml:space="preserve"> </v>
      </c>
      <c r="R57" s="8" t="str">
        <f>IFERROR(VLOOKUP($A57,'Project Reference'!$B$2:$I$41,8), " ")</f>
        <v xml:space="preserve"> </v>
      </c>
      <c r="S57" s="8" t="str">
        <f>IFERROR(VLOOKUP($A57,'Project Reference'!$B$2:$J$41,9), " ")</f>
        <v xml:space="preserve"> </v>
      </c>
      <c r="T57" s="8" t="str">
        <f>IFERROR(VLOOKUP($A57,'Project Reference'!$B$2:$K$41,10), " ")</f>
        <v xml:space="preserve"> </v>
      </c>
      <c r="U57" s="8" t="str">
        <f>IFERROR(VLOOKUP($A57,'Project Reference'!$B$2:$L$41,11), " ")</f>
        <v xml:space="preserve"> </v>
      </c>
      <c r="V57" s="8" t="str">
        <f>IFERROR(VLOOKUP($A57,'Project Reference'!$B$2:$M$41,12), " ")</f>
        <v xml:space="preserve"> </v>
      </c>
      <c r="W57" s="8" t="str">
        <f>IFERROR(VLOOKUP($A57,'Project Reference'!$B$2:$N$41,13), " ")</f>
        <v xml:space="preserve"> </v>
      </c>
      <c r="X57" s="8" t="str">
        <f>IFERROR(VLOOKUP($A57,'Project Reference'!$B$2:$O$41,14), " ")</f>
        <v xml:space="preserve"> </v>
      </c>
      <c r="Y57" s="8" t="str">
        <f>IFERROR(VLOOKUP($A57,'Project Reference'!$B$2:$P$41,15), " ")</f>
        <v xml:space="preserve"> </v>
      </c>
      <c r="Z57" s="9" t="str">
        <f>IFERROR(VLOOKUP($A57,'Project Reference'!$B$2:$Q$41,16), " ")</f>
        <v xml:space="preserve"> </v>
      </c>
    </row>
    <row r="58" spans="1:26" s="1" customFormat="1" x14ac:dyDescent="0.45">
      <c r="A58" s="70"/>
      <c r="B58" s="70" t="str">
        <f>IFERROR(VLOOKUP($A58,'Project Reference'!$S$2:$T$41,2),"Enter Project Number")</f>
        <v>Enter Project Number</v>
      </c>
      <c r="C58" s="54"/>
      <c r="D58" s="53"/>
      <c r="E58" s="8"/>
      <c r="F58" s="8"/>
      <c r="G58" s="8"/>
      <c r="H58" s="8"/>
      <c r="I58" s="8"/>
      <c r="J58" s="9"/>
      <c r="K58" s="23"/>
      <c r="L58" s="47" t="str">
        <f>IFERROR(VLOOKUP($A58,'Project Reference'!$B$2:$C$41,2), " ")</f>
        <v xml:space="preserve"> </v>
      </c>
      <c r="M58" s="8" t="str">
        <f>IFERROR(VLOOKUP($A58,'Project Reference'!$B$2:$D$41,3), " ")</f>
        <v xml:space="preserve"> </v>
      </c>
      <c r="N58" s="54" t="str">
        <f>IFERROR(VLOOKUP($A58,'Project Reference'!$B$2:$E$41,4), " ")</f>
        <v xml:space="preserve"> </v>
      </c>
      <c r="O58" s="8" t="str">
        <f>IFERROR(VLOOKUP($A58,'Project Reference'!$B$2:$F$41,5), " ")</f>
        <v xml:space="preserve"> </v>
      </c>
      <c r="P58" s="8" t="str">
        <f>IFERROR(VLOOKUP($A58,'Project Reference'!$B$2:$G$41,6), " ")</f>
        <v xml:space="preserve"> </v>
      </c>
      <c r="Q58" s="8" t="str">
        <f>IFERROR(VLOOKUP($A58,'Project Reference'!$B$2:$H$41,7), " ")</f>
        <v xml:space="preserve"> </v>
      </c>
      <c r="R58" s="8" t="str">
        <f>IFERROR(VLOOKUP($A58,'Project Reference'!$B$2:$I$41,8), " ")</f>
        <v xml:space="preserve"> </v>
      </c>
      <c r="S58" s="8" t="str">
        <f>IFERROR(VLOOKUP($A58,'Project Reference'!$B$2:$J$41,9), " ")</f>
        <v xml:space="preserve"> </v>
      </c>
      <c r="T58" s="8" t="str">
        <f>IFERROR(VLOOKUP($A58,'Project Reference'!$B$2:$K$41,10), " ")</f>
        <v xml:space="preserve"> </v>
      </c>
      <c r="U58" s="8" t="str">
        <f>IFERROR(VLOOKUP($A58,'Project Reference'!$B$2:$L$41,11), " ")</f>
        <v xml:space="preserve"> </v>
      </c>
      <c r="V58" s="8" t="str">
        <f>IFERROR(VLOOKUP($A58,'Project Reference'!$B$2:$M$41,12), " ")</f>
        <v xml:space="preserve"> </v>
      </c>
      <c r="W58" s="8" t="str">
        <f>IFERROR(VLOOKUP($A58,'Project Reference'!$B$2:$N$41,13), " ")</f>
        <v xml:space="preserve"> </v>
      </c>
      <c r="X58" s="8" t="str">
        <f>IFERROR(VLOOKUP($A58,'Project Reference'!$B$2:$O$41,14), " ")</f>
        <v xml:space="preserve"> </v>
      </c>
      <c r="Y58" s="8" t="str">
        <f>IFERROR(VLOOKUP($A58,'Project Reference'!$B$2:$P$41,15), " ")</f>
        <v xml:space="preserve"> </v>
      </c>
      <c r="Z58" s="9" t="str">
        <f>IFERROR(VLOOKUP($A58,'Project Reference'!$B$2:$Q$41,16), " ")</f>
        <v xml:space="preserve"> </v>
      </c>
    </row>
    <row r="59" spans="1:26" s="1" customFormat="1" x14ac:dyDescent="0.45">
      <c r="A59" s="70"/>
      <c r="B59" s="70" t="str">
        <f>IFERROR(VLOOKUP($A59,'Project Reference'!$S$2:$T$41,2),"Enter Project Number")</f>
        <v>Enter Project Number</v>
      </c>
      <c r="C59" s="54"/>
      <c r="D59" s="53"/>
      <c r="E59" s="8"/>
      <c r="F59" s="8"/>
      <c r="G59" s="8"/>
      <c r="H59" s="8"/>
      <c r="I59" s="8"/>
      <c r="J59" s="9"/>
      <c r="K59" s="23"/>
      <c r="L59" s="47" t="str">
        <f>IFERROR(VLOOKUP($A59,'Project Reference'!$B$2:$C$41,2), " ")</f>
        <v xml:space="preserve"> </v>
      </c>
      <c r="M59" s="8" t="str">
        <f>IFERROR(VLOOKUP($A59,'Project Reference'!$B$2:$D$41,3), " ")</f>
        <v xml:space="preserve"> </v>
      </c>
      <c r="N59" s="54" t="str">
        <f>IFERROR(VLOOKUP($A59,'Project Reference'!$B$2:$E$41,4), " ")</f>
        <v xml:space="preserve"> </v>
      </c>
      <c r="O59" s="8" t="str">
        <f>IFERROR(VLOOKUP($A59,'Project Reference'!$B$2:$F$41,5), " ")</f>
        <v xml:space="preserve"> </v>
      </c>
      <c r="P59" s="8" t="str">
        <f>IFERROR(VLOOKUP($A59,'Project Reference'!$B$2:$G$41,6), " ")</f>
        <v xml:space="preserve"> </v>
      </c>
      <c r="Q59" s="8" t="str">
        <f>IFERROR(VLOOKUP($A59,'Project Reference'!$B$2:$H$41,7), " ")</f>
        <v xml:space="preserve"> </v>
      </c>
      <c r="R59" s="8" t="str">
        <f>IFERROR(VLOOKUP($A59,'Project Reference'!$B$2:$I$41,8), " ")</f>
        <v xml:space="preserve"> </v>
      </c>
      <c r="S59" s="8" t="str">
        <f>IFERROR(VLOOKUP($A59,'Project Reference'!$B$2:$J$41,9), " ")</f>
        <v xml:space="preserve"> </v>
      </c>
      <c r="T59" s="8" t="str">
        <f>IFERROR(VLOOKUP($A59,'Project Reference'!$B$2:$K$41,10), " ")</f>
        <v xml:space="preserve"> </v>
      </c>
      <c r="U59" s="8" t="str">
        <f>IFERROR(VLOOKUP($A59,'Project Reference'!$B$2:$L$41,11), " ")</f>
        <v xml:space="preserve"> </v>
      </c>
      <c r="V59" s="8" t="str">
        <f>IFERROR(VLOOKUP($A59,'Project Reference'!$B$2:$M$41,12), " ")</f>
        <v xml:space="preserve"> </v>
      </c>
      <c r="W59" s="8" t="str">
        <f>IFERROR(VLOOKUP($A59,'Project Reference'!$B$2:$N$41,13), " ")</f>
        <v xml:space="preserve"> </v>
      </c>
      <c r="X59" s="8" t="str">
        <f>IFERROR(VLOOKUP($A59,'Project Reference'!$B$2:$O$41,14), " ")</f>
        <v xml:space="preserve"> </v>
      </c>
      <c r="Y59" s="8" t="str">
        <f>IFERROR(VLOOKUP($A59,'Project Reference'!$B$2:$P$41,15), " ")</f>
        <v xml:space="preserve"> </v>
      </c>
      <c r="Z59" s="9" t="str">
        <f>IFERROR(VLOOKUP($A59,'Project Reference'!$B$2:$Q$41,16), " ")</f>
        <v xml:space="preserve"> </v>
      </c>
    </row>
    <row r="60" spans="1:26" s="1" customFormat="1" x14ac:dyDescent="0.45">
      <c r="A60" s="70"/>
      <c r="B60" s="70" t="str">
        <f>IFERROR(VLOOKUP($A60,'Project Reference'!$S$2:$T$41,2),"Enter Project Number")</f>
        <v>Enter Project Number</v>
      </c>
      <c r="C60" s="54"/>
      <c r="D60" s="53"/>
      <c r="E60" s="8"/>
      <c r="F60" s="8"/>
      <c r="G60" s="8"/>
      <c r="H60" s="8"/>
      <c r="I60" s="8"/>
      <c r="J60" s="9"/>
      <c r="K60" s="23"/>
      <c r="L60" s="47" t="str">
        <f>IFERROR(VLOOKUP($A60,'Project Reference'!$B$2:$C$41,2), " ")</f>
        <v xml:space="preserve"> </v>
      </c>
      <c r="M60" s="8" t="str">
        <f>IFERROR(VLOOKUP($A60,'Project Reference'!$B$2:$D$41,3), " ")</f>
        <v xml:space="preserve"> </v>
      </c>
      <c r="N60" s="54" t="str">
        <f>IFERROR(VLOOKUP($A60,'Project Reference'!$B$2:$E$41,4), " ")</f>
        <v xml:space="preserve"> </v>
      </c>
      <c r="O60" s="8" t="str">
        <f>IFERROR(VLOOKUP($A60,'Project Reference'!$B$2:$F$41,5), " ")</f>
        <v xml:space="preserve"> </v>
      </c>
      <c r="P60" s="8" t="str">
        <f>IFERROR(VLOOKUP($A60,'Project Reference'!$B$2:$G$41,6), " ")</f>
        <v xml:space="preserve"> </v>
      </c>
      <c r="Q60" s="8" t="str">
        <f>IFERROR(VLOOKUP($A60,'Project Reference'!$B$2:$H$41,7), " ")</f>
        <v xml:space="preserve"> </v>
      </c>
      <c r="R60" s="8" t="str">
        <f>IFERROR(VLOOKUP($A60,'Project Reference'!$B$2:$I$41,8), " ")</f>
        <v xml:space="preserve"> </v>
      </c>
      <c r="S60" s="8" t="str">
        <f>IFERROR(VLOOKUP($A60,'Project Reference'!$B$2:$J$41,9), " ")</f>
        <v xml:space="preserve"> </v>
      </c>
      <c r="T60" s="8" t="str">
        <f>IFERROR(VLOOKUP($A60,'Project Reference'!$B$2:$K$41,10), " ")</f>
        <v xml:space="preserve"> </v>
      </c>
      <c r="U60" s="8" t="str">
        <f>IFERROR(VLOOKUP($A60,'Project Reference'!$B$2:$L$41,11), " ")</f>
        <v xml:space="preserve"> </v>
      </c>
      <c r="V60" s="8" t="str">
        <f>IFERROR(VLOOKUP($A60,'Project Reference'!$B$2:$M$41,12), " ")</f>
        <v xml:space="preserve"> </v>
      </c>
      <c r="W60" s="8" t="str">
        <f>IFERROR(VLOOKUP($A60,'Project Reference'!$B$2:$N$41,13), " ")</f>
        <v xml:space="preserve"> </v>
      </c>
      <c r="X60" s="8" t="str">
        <f>IFERROR(VLOOKUP($A60,'Project Reference'!$B$2:$O$41,14), " ")</f>
        <v xml:space="preserve"> </v>
      </c>
      <c r="Y60" s="8" t="str">
        <f>IFERROR(VLOOKUP($A60,'Project Reference'!$B$2:$P$41,15), " ")</f>
        <v xml:space="preserve"> </v>
      </c>
      <c r="Z60" s="9" t="str">
        <f>IFERROR(VLOOKUP($A60,'Project Reference'!$B$2:$Q$41,16), " ")</f>
        <v xml:space="preserve"> </v>
      </c>
    </row>
    <row r="61" spans="1:26" s="1" customFormat="1" x14ac:dyDescent="0.45">
      <c r="A61" s="70"/>
      <c r="B61" s="70" t="str">
        <f>IFERROR(VLOOKUP($A61,'Project Reference'!$S$2:$T$41,2),"Enter Project Number")</f>
        <v>Enter Project Number</v>
      </c>
      <c r="C61" s="54"/>
      <c r="D61" s="53"/>
      <c r="E61" s="8"/>
      <c r="F61" s="8"/>
      <c r="G61" s="8"/>
      <c r="H61" s="8"/>
      <c r="I61" s="8"/>
      <c r="J61" s="9"/>
      <c r="K61" s="23"/>
      <c r="L61" s="47" t="str">
        <f>IFERROR(VLOOKUP($A61,'Project Reference'!$B$2:$C$41,2), " ")</f>
        <v xml:space="preserve"> </v>
      </c>
      <c r="M61" s="8" t="str">
        <f>IFERROR(VLOOKUP($A61,'Project Reference'!$B$2:$D$41,3), " ")</f>
        <v xml:space="preserve"> </v>
      </c>
      <c r="N61" s="54" t="str">
        <f>IFERROR(VLOOKUP($A61,'Project Reference'!$B$2:$E$41,4), " ")</f>
        <v xml:space="preserve"> </v>
      </c>
      <c r="O61" s="8" t="str">
        <f>IFERROR(VLOOKUP($A61,'Project Reference'!$B$2:$F$41,5), " ")</f>
        <v xml:space="preserve"> </v>
      </c>
      <c r="P61" s="8" t="str">
        <f>IFERROR(VLOOKUP($A61,'Project Reference'!$B$2:$G$41,6), " ")</f>
        <v xml:space="preserve"> </v>
      </c>
      <c r="Q61" s="8" t="str">
        <f>IFERROR(VLOOKUP($A61,'Project Reference'!$B$2:$H$41,7), " ")</f>
        <v xml:space="preserve"> </v>
      </c>
      <c r="R61" s="8" t="str">
        <f>IFERROR(VLOOKUP($A61,'Project Reference'!$B$2:$I$41,8), " ")</f>
        <v xml:space="preserve"> </v>
      </c>
      <c r="S61" s="8" t="str">
        <f>IFERROR(VLOOKUP($A61,'Project Reference'!$B$2:$J$41,9), " ")</f>
        <v xml:space="preserve"> </v>
      </c>
      <c r="T61" s="8" t="str">
        <f>IFERROR(VLOOKUP($A61,'Project Reference'!$B$2:$K$41,10), " ")</f>
        <v xml:space="preserve"> </v>
      </c>
      <c r="U61" s="8" t="str">
        <f>IFERROR(VLOOKUP($A61,'Project Reference'!$B$2:$L$41,11), " ")</f>
        <v xml:space="preserve"> </v>
      </c>
      <c r="V61" s="8" t="str">
        <f>IFERROR(VLOOKUP($A61,'Project Reference'!$B$2:$M$41,12), " ")</f>
        <v xml:space="preserve"> </v>
      </c>
      <c r="W61" s="8" t="str">
        <f>IFERROR(VLOOKUP($A61,'Project Reference'!$B$2:$N$41,13), " ")</f>
        <v xml:space="preserve"> </v>
      </c>
      <c r="X61" s="8" t="str">
        <f>IFERROR(VLOOKUP($A61,'Project Reference'!$B$2:$O$41,14), " ")</f>
        <v xml:space="preserve"> </v>
      </c>
      <c r="Y61" s="8" t="str">
        <f>IFERROR(VLOOKUP($A61,'Project Reference'!$B$2:$P$41,15), " ")</f>
        <v xml:space="preserve"> </v>
      </c>
      <c r="Z61" s="9" t="str">
        <f>IFERROR(VLOOKUP($A61,'Project Reference'!$B$2:$Q$41,16), " ")</f>
        <v xml:space="preserve"> </v>
      </c>
    </row>
    <row r="62" spans="1:26" s="1" customFormat="1" x14ac:dyDescent="0.45">
      <c r="A62" s="70"/>
      <c r="B62" s="70" t="str">
        <f>IFERROR(VLOOKUP($A62,'Project Reference'!$S$2:$T$41,2),"Enter Project Number")</f>
        <v>Enter Project Number</v>
      </c>
      <c r="C62" s="54"/>
      <c r="D62" s="53"/>
      <c r="E62" s="8"/>
      <c r="F62" s="8"/>
      <c r="G62" s="8"/>
      <c r="H62" s="8"/>
      <c r="I62" s="8"/>
      <c r="J62" s="9"/>
      <c r="K62" s="23"/>
      <c r="L62" s="47" t="str">
        <f>IFERROR(VLOOKUP($A62,'Project Reference'!$B$2:$C$41,2), " ")</f>
        <v xml:space="preserve"> </v>
      </c>
      <c r="M62" s="8" t="str">
        <f>IFERROR(VLOOKUP($A62,'Project Reference'!$B$2:$D$41,3), " ")</f>
        <v xml:space="preserve"> </v>
      </c>
      <c r="N62" s="54" t="str">
        <f>IFERROR(VLOOKUP($A62,'Project Reference'!$B$2:$E$41,4), " ")</f>
        <v xml:space="preserve"> </v>
      </c>
      <c r="O62" s="8" t="str">
        <f>IFERROR(VLOOKUP($A62,'Project Reference'!$B$2:$F$41,5), " ")</f>
        <v xml:space="preserve"> </v>
      </c>
      <c r="P62" s="8" t="str">
        <f>IFERROR(VLOOKUP($A62,'Project Reference'!$B$2:$G$41,6), " ")</f>
        <v xml:space="preserve"> </v>
      </c>
      <c r="Q62" s="8" t="str">
        <f>IFERROR(VLOOKUP($A62,'Project Reference'!$B$2:$H$41,7), " ")</f>
        <v xml:space="preserve"> </v>
      </c>
      <c r="R62" s="8" t="str">
        <f>IFERROR(VLOOKUP($A62,'Project Reference'!$B$2:$I$41,8), " ")</f>
        <v xml:space="preserve"> </v>
      </c>
      <c r="S62" s="8" t="str">
        <f>IFERROR(VLOOKUP($A62,'Project Reference'!$B$2:$J$41,9), " ")</f>
        <v xml:space="preserve"> </v>
      </c>
      <c r="T62" s="8" t="str">
        <f>IFERROR(VLOOKUP($A62,'Project Reference'!$B$2:$K$41,10), " ")</f>
        <v xml:space="preserve"> </v>
      </c>
      <c r="U62" s="8" t="str">
        <f>IFERROR(VLOOKUP($A62,'Project Reference'!$B$2:$L$41,11), " ")</f>
        <v xml:space="preserve"> </v>
      </c>
      <c r="V62" s="8" t="str">
        <f>IFERROR(VLOOKUP($A62,'Project Reference'!$B$2:$M$41,12), " ")</f>
        <v xml:space="preserve"> </v>
      </c>
      <c r="W62" s="8" t="str">
        <f>IFERROR(VLOOKUP($A62,'Project Reference'!$B$2:$N$41,13), " ")</f>
        <v xml:space="preserve"> </v>
      </c>
      <c r="X62" s="8" t="str">
        <f>IFERROR(VLOOKUP($A62,'Project Reference'!$B$2:$O$41,14), " ")</f>
        <v xml:space="preserve"> </v>
      </c>
      <c r="Y62" s="8" t="str">
        <f>IFERROR(VLOOKUP($A62,'Project Reference'!$B$2:$P$41,15), " ")</f>
        <v xml:space="preserve"> </v>
      </c>
      <c r="Z62" s="9" t="str">
        <f>IFERROR(VLOOKUP($A62,'Project Reference'!$B$2:$Q$41,16), " ")</f>
        <v xml:space="preserve"> </v>
      </c>
    </row>
    <row r="63" spans="1:26" s="1" customFormat="1" x14ac:dyDescent="0.45">
      <c r="A63" s="70"/>
      <c r="B63" s="70" t="str">
        <f>IFERROR(VLOOKUP($A63,'Project Reference'!$S$2:$T$41,2),"Enter Project Number")</f>
        <v>Enter Project Number</v>
      </c>
      <c r="C63" s="54"/>
      <c r="D63" s="53"/>
      <c r="E63" s="8"/>
      <c r="F63" s="8"/>
      <c r="G63" s="8"/>
      <c r="H63" s="8"/>
      <c r="I63" s="8"/>
      <c r="J63" s="9"/>
      <c r="K63" s="23"/>
      <c r="L63" s="47" t="str">
        <f>IFERROR(VLOOKUP($A63,'Project Reference'!$B$2:$C$41,2), " ")</f>
        <v xml:space="preserve"> </v>
      </c>
      <c r="M63" s="8" t="str">
        <f>IFERROR(VLOOKUP($A63,'Project Reference'!$B$2:$D$41,3), " ")</f>
        <v xml:space="preserve"> </v>
      </c>
      <c r="N63" s="54" t="str">
        <f>IFERROR(VLOOKUP($A63,'Project Reference'!$B$2:$E$41,4), " ")</f>
        <v xml:space="preserve"> </v>
      </c>
      <c r="O63" s="8" t="str">
        <f>IFERROR(VLOOKUP($A63,'Project Reference'!$B$2:$F$41,5), " ")</f>
        <v xml:space="preserve"> </v>
      </c>
      <c r="P63" s="8" t="str">
        <f>IFERROR(VLOOKUP($A63,'Project Reference'!$B$2:$G$41,6), " ")</f>
        <v xml:space="preserve"> </v>
      </c>
      <c r="Q63" s="8" t="str">
        <f>IFERROR(VLOOKUP($A63,'Project Reference'!$B$2:$H$41,7), " ")</f>
        <v xml:space="preserve"> </v>
      </c>
      <c r="R63" s="8" t="str">
        <f>IFERROR(VLOOKUP($A63,'Project Reference'!$B$2:$I$41,8), " ")</f>
        <v xml:space="preserve"> </v>
      </c>
      <c r="S63" s="8" t="str">
        <f>IFERROR(VLOOKUP($A63,'Project Reference'!$B$2:$J$41,9), " ")</f>
        <v xml:space="preserve"> </v>
      </c>
      <c r="T63" s="8" t="str">
        <f>IFERROR(VLOOKUP($A63,'Project Reference'!$B$2:$K$41,10), " ")</f>
        <v xml:space="preserve"> </v>
      </c>
      <c r="U63" s="8" t="str">
        <f>IFERROR(VLOOKUP($A63,'Project Reference'!$B$2:$L$41,11), " ")</f>
        <v xml:space="preserve"> </v>
      </c>
      <c r="V63" s="8" t="str">
        <f>IFERROR(VLOOKUP($A63,'Project Reference'!$B$2:$M$41,12), " ")</f>
        <v xml:space="preserve"> </v>
      </c>
      <c r="W63" s="8" t="str">
        <f>IFERROR(VLOOKUP($A63,'Project Reference'!$B$2:$N$41,13), " ")</f>
        <v xml:space="preserve"> </v>
      </c>
      <c r="X63" s="8" t="str">
        <f>IFERROR(VLOOKUP($A63,'Project Reference'!$B$2:$O$41,14), " ")</f>
        <v xml:space="preserve"> </v>
      </c>
      <c r="Y63" s="8" t="str">
        <f>IFERROR(VLOOKUP($A63,'Project Reference'!$B$2:$P$41,15), " ")</f>
        <v xml:space="preserve"> </v>
      </c>
      <c r="Z63" s="9" t="str">
        <f>IFERROR(VLOOKUP($A63,'Project Reference'!$B$2:$Q$41,16), " ")</f>
        <v xml:space="preserve"> </v>
      </c>
    </row>
    <row r="64" spans="1:26" s="1" customFormat="1" x14ac:dyDescent="0.45">
      <c r="A64" s="70"/>
      <c r="B64" s="70" t="str">
        <f>IFERROR(VLOOKUP($A64,'Project Reference'!$S$2:$T$41,2),"Enter Project Number")</f>
        <v>Enter Project Number</v>
      </c>
      <c r="C64" s="54"/>
      <c r="D64" s="53"/>
      <c r="E64" s="8"/>
      <c r="F64" s="8"/>
      <c r="G64" s="8"/>
      <c r="H64" s="8"/>
      <c r="I64" s="8"/>
      <c r="J64" s="9"/>
      <c r="K64" s="23"/>
      <c r="L64" s="47" t="str">
        <f>IFERROR(VLOOKUP($A64,'Project Reference'!$B$2:$C$41,2), " ")</f>
        <v xml:space="preserve"> </v>
      </c>
      <c r="M64" s="8" t="str">
        <f>IFERROR(VLOOKUP($A64,'Project Reference'!$B$2:$D$41,3), " ")</f>
        <v xml:space="preserve"> </v>
      </c>
      <c r="N64" s="54" t="str">
        <f>IFERROR(VLOOKUP($A64,'Project Reference'!$B$2:$E$41,4), " ")</f>
        <v xml:space="preserve"> </v>
      </c>
      <c r="O64" s="8" t="str">
        <f>IFERROR(VLOOKUP($A64,'Project Reference'!$B$2:$F$41,5), " ")</f>
        <v xml:space="preserve"> </v>
      </c>
      <c r="P64" s="8" t="str">
        <f>IFERROR(VLOOKUP($A64,'Project Reference'!$B$2:$G$41,6), " ")</f>
        <v xml:space="preserve"> </v>
      </c>
      <c r="Q64" s="8" t="str">
        <f>IFERROR(VLOOKUP($A64,'Project Reference'!$B$2:$H$41,7), " ")</f>
        <v xml:space="preserve"> </v>
      </c>
      <c r="R64" s="8" t="str">
        <f>IFERROR(VLOOKUP($A64,'Project Reference'!$B$2:$I$41,8), " ")</f>
        <v xml:space="preserve"> </v>
      </c>
      <c r="S64" s="8" t="str">
        <f>IFERROR(VLOOKUP($A64,'Project Reference'!$B$2:$J$41,9), " ")</f>
        <v xml:space="preserve"> </v>
      </c>
      <c r="T64" s="8" t="str">
        <f>IFERROR(VLOOKUP($A64,'Project Reference'!$B$2:$K$41,10), " ")</f>
        <v xml:space="preserve"> </v>
      </c>
      <c r="U64" s="8" t="str">
        <f>IFERROR(VLOOKUP($A64,'Project Reference'!$B$2:$L$41,11), " ")</f>
        <v xml:space="preserve"> </v>
      </c>
      <c r="V64" s="8" t="str">
        <f>IFERROR(VLOOKUP($A64,'Project Reference'!$B$2:$M$41,12), " ")</f>
        <v xml:space="preserve"> </v>
      </c>
      <c r="W64" s="8" t="str">
        <f>IFERROR(VLOOKUP($A64,'Project Reference'!$B$2:$N$41,13), " ")</f>
        <v xml:space="preserve"> </v>
      </c>
      <c r="X64" s="8" t="str">
        <f>IFERROR(VLOOKUP($A64,'Project Reference'!$B$2:$O$41,14), " ")</f>
        <v xml:space="preserve"> </v>
      </c>
      <c r="Y64" s="8" t="str">
        <f>IFERROR(VLOOKUP($A64,'Project Reference'!$B$2:$P$41,15), " ")</f>
        <v xml:space="preserve"> </v>
      </c>
      <c r="Z64" s="9" t="str">
        <f>IFERROR(VLOOKUP($A64,'Project Reference'!$B$2:$Q$41,16), " ")</f>
        <v xml:space="preserve"> </v>
      </c>
    </row>
    <row r="65" spans="1:26" s="1" customFormat="1" x14ac:dyDescent="0.45">
      <c r="A65" s="70"/>
      <c r="B65" s="70" t="str">
        <f>IFERROR(VLOOKUP($A65,'Project Reference'!$S$2:$T$41,2),"Enter Project Number")</f>
        <v>Enter Project Number</v>
      </c>
      <c r="C65" s="54"/>
      <c r="D65" s="53"/>
      <c r="E65" s="8"/>
      <c r="F65" s="8"/>
      <c r="G65" s="8"/>
      <c r="H65" s="8"/>
      <c r="I65" s="8"/>
      <c r="J65" s="9"/>
      <c r="K65" s="23"/>
      <c r="L65" s="47" t="str">
        <f>IFERROR(VLOOKUP($A65,'Project Reference'!$B$2:$C$41,2), " ")</f>
        <v xml:space="preserve"> </v>
      </c>
      <c r="M65" s="8" t="str">
        <f>IFERROR(VLOOKUP($A65,'Project Reference'!$B$2:$D$41,3), " ")</f>
        <v xml:space="preserve"> </v>
      </c>
      <c r="N65" s="54" t="str">
        <f>IFERROR(VLOOKUP($A65,'Project Reference'!$B$2:$E$41,4), " ")</f>
        <v xml:space="preserve"> </v>
      </c>
      <c r="O65" s="8" t="str">
        <f>IFERROR(VLOOKUP($A65,'Project Reference'!$B$2:$F$41,5), " ")</f>
        <v xml:space="preserve"> </v>
      </c>
      <c r="P65" s="8" t="str">
        <f>IFERROR(VLOOKUP($A65,'Project Reference'!$B$2:$G$41,6), " ")</f>
        <v xml:space="preserve"> </v>
      </c>
      <c r="Q65" s="8" t="str">
        <f>IFERROR(VLOOKUP($A65,'Project Reference'!$B$2:$H$41,7), " ")</f>
        <v xml:space="preserve"> </v>
      </c>
      <c r="R65" s="8" t="str">
        <f>IFERROR(VLOOKUP($A65,'Project Reference'!$B$2:$I$41,8), " ")</f>
        <v xml:space="preserve"> </v>
      </c>
      <c r="S65" s="8" t="str">
        <f>IFERROR(VLOOKUP($A65,'Project Reference'!$B$2:$J$41,9), " ")</f>
        <v xml:space="preserve"> </v>
      </c>
      <c r="T65" s="8" t="str">
        <f>IFERROR(VLOOKUP($A65,'Project Reference'!$B$2:$K$41,10), " ")</f>
        <v xml:space="preserve"> </v>
      </c>
      <c r="U65" s="8" t="str">
        <f>IFERROR(VLOOKUP($A65,'Project Reference'!$B$2:$L$41,11), " ")</f>
        <v xml:space="preserve"> </v>
      </c>
      <c r="V65" s="8" t="str">
        <f>IFERROR(VLOOKUP($A65,'Project Reference'!$B$2:$M$41,12), " ")</f>
        <v xml:space="preserve"> </v>
      </c>
      <c r="W65" s="8" t="str">
        <f>IFERROR(VLOOKUP($A65,'Project Reference'!$B$2:$N$41,13), " ")</f>
        <v xml:space="preserve"> </v>
      </c>
      <c r="X65" s="8" t="str">
        <f>IFERROR(VLOOKUP($A65,'Project Reference'!$B$2:$O$41,14), " ")</f>
        <v xml:space="preserve"> </v>
      </c>
      <c r="Y65" s="8" t="str">
        <f>IFERROR(VLOOKUP($A65,'Project Reference'!$B$2:$P$41,15), " ")</f>
        <v xml:space="preserve"> </v>
      </c>
      <c r="Z65" s="9" t="str">
        <f>IFERROR(VLOOKUP($A65,'Project Reference'!$B$2:$Q$41,16), " ")</f>
        <v xml:space="preserve"> </v>
      </c>
    </row>
    <row r="66" spans="1:26" s="1" customFormat="1" x14ac:dyDescent="0.45">
      <c r="A66" s="70"/>
      <c r="B66" s="70" t="str">
        <f>IFERROR(VLOOKUP($A66,'Project Reference'!$S$2:$T$41,2),"Enter Project Number")</f>
        <v>Enter Project Number</v>
      </c>
      <c r="C66" s="54"/>
      <c r="D66" s="53"/>
      <c r="E66" s="8"/>
      <c r="F66" s="8"/>
      <c r="G66" s="8"/>
      <c r="H66" s="8"/>
      <c r="I66" s="8"/>
      <c r="J66" s="9"/>
      <c r="K66" s="23"/>
      <c r="L66" s="47" t="str">
        <f>IFERROR(VLOOKUP($A66,'Project Reference'!$B$2:$C$41,2), " ")</f>
        <v xml:space="preserve"> </v>
      </c>
      <c r="M66" s="8" t="str">
        <f>IFERROR(VLOOKUP($A66,'Project Reference'!$B$2:$D$41,3), " ")</f>
        <v xml:space="preserve"> </v>
      </c>
      <c r="N66" s="54" t="str">
        <f>IFERROR(VLOOKUP($A66,'Project Reference'!$B$2:$E$41,4), " ")</f>
        <v xml:space="preserve"> </v>
      </c>
      <c r="O66" s="8" t="str">
        <f>IFERROR(VLOOKUP($A66,'Project Reference'!$B$2:$F$41,5), " ")</f>
        <v xml:space="preserve"> </v>
      </c>
      <c r="P66" s="8" t="str">
        <f>IFERROR(VLOOKUP($A66,'Project Reference'!$B$2:$G$41,6), " ")</f>
        <v xml:space="preserve"> </v>
      </c>
      <c r="Q66" s="8" t="str">
        <f>IFERROR(VLOOKUP($A66,'Project Reference'!$B$2:$H$41,7), " ")</f>
        <v xml:space="preserve"> </v>
      </c>
      <c r="R66" s="8" t="str">
        <f>IFERROR(VLOOKUP($A66,'Project Reference'!$B$2:$I$41,8), " ")</f>
        <v xml:space="preserve"> </v>
      </c>
      <c r="S66" s="8" t="str">
        <f>IFERROR(VLOOKUP($A66,'Project Reference'!$B$2:$J$41,9), " ")</f>
        <v xml:space="preserve"> </v>
      </c>
      <c r="T66" s="8" t="str">
        <f>IFERROR(VLOOKUP($A66,'Project Reference'!$B$2:$K$41,10), " ")</f>
        <v xml:space="preserve"> </v>
      </c>
      <c r="U66" s="8" t="str">
        <f>IFERROR(VLOOKUP($A66,'Project Reference'!$B$2:$L$41,11), " ")</f>
        <v xml:space="preserve"> </v>
      </c>
      <c r="V66" s="8" t="str">
        <f>IFERROR(VLOOKUP($A66,'Project Reference'!$B$2:$M$41,12), " ")</f>
        <v xml:space="preserve"> </v>
      </c>
      <c r="W66" s="8" t="str">
        <f>IFERROR(VLOOKUP($A66,'Project Reference'!$B$2:$N$41,13), " ")</f>
        <v xml:space="preserve"> </v>
      </c>
      <c r="X66" s="8" t="str">
        <f>IFERROR(VLOOKUP($A66,'Project Reference'!$B$2:$O$41,14), " ")</f>
        <v xml:space="preserve"> </v>
      </c>
      <c r="Y66" s="8" t="str">
        <f>IFERROR(VLOOKUP($A66,'Project Reference'!$B$2:$P$41,15), " ")</f>
        <v xml:space="preserve"> </v>
      </c>
      <c r="Z66" s="9" t="str">
        <f>IFERROR(VLOOKUP($A66,'Project Reference'!$B$2:$Q$41,16), " ")</f>
        <v xml:space="preserve"> </v>
      </c>
    </row>
    <row r="67" spans="1:26" s="1" customFormat="1" x14ac:dyDescent="0.45">
      <c r="A67" s="70"/>
      <c r="B67" s="70" t="str">
        <f>IFERROR(VLOOKUP($A67,'Project Reference'!$S$2:$T$41,2),"Enter Project Number")</f>
        <v>Enter Project Number</v>
      </c>
      <c r="C67" s="54"/>
      <c r="D67" s="53"/>
      <c r="E67" s="8"/>
      <c r="F67" s="8"/>
      <c r="G67" s="8"/>
      <c r="H67" s="8"/>
      <c r="I67" s="8"/>
      <c r="J67" s="9"/>
      <c r="K67" s="23"/>
      <c r="L67" s="47" t="str">
        <f>IFERROR(VLOOKUP($A67,'Project Reference'!$B$2:$C$41,2), " ")</f>
        <v xml:space="preserve"> </v>
      </c>
      <c r="M67" s="8" t="str">
        <f>IFERROR(VLOOKUP($A67,'Project Reference'!$B$2:$D$41,3), " ")</f>
        <v xml:space="preserve"> </v>
      </c>
      <c r="N67" s="54" t="str">
        <f>IFERROR(VLOOKUP($A67,'Project Reference'!$B$2:$E$41,4), " ")</f>
        <v xml:space="preserve"> </v>
      </c>
      <c r="O67" s="8" t="str">
        <f>IFERROR(VLOOKUP($A67,'Project Reference'!$B$2:$F$41,5), " ")</f>
        <v xml:space="preserve"> </v>
      </c>
      <c r="P67" s="8" t="str">
        <f>IFERROR(VLOOKUP($A67,'Project Reference'!$B$2:$G$41,6), " ")</f>
        <v xml:space="preserve"> </v>
      </c>
      <c r="Q67" s="8" t="str">
        <f>IFERROR(VLOOKUP($A67,'Project Reference'!$B$2:$H$41,7), " ")</f>
        <v xml:space="preserve"> </v>
      </c>
      <c r="R67" s="8" t="str">
        <f>IFERROR(VLOOKUP($A67,'Project Reference'!$B$2:$I$41,8), " ")</f>
        <v xml:space="preserve"> </v>
      </c>
      <c r="S67" s="8" t="str">
        <f>IFERROR(VLOOKUP($A67,'Project Reference'!$B$2:$J$41,9), " ")</f>
        <v xml:space="preserve"> </v>
      </c>
      <c r="T67" s="8" t="str">
        <f>IFERROR(VLOOKUP($A67,'Project Reference'!$B$2:$K$41,10), " ")</f>
        <v xml:space="preserve"> </v>
      </c>
      <c r="U67" s="8" t="str">
        <f>IFERROR(VLOOKUP($A67,'Project Reference'!$B$2:$L$41,11), " ")</f>
        <v xml:space="preserve"> </v>
      </c>
      <c r="V67" s="8" t="str">
        <f>IFERROR(VLOOKUP($A67,'Project Reference'!$B$2:$M$41,12), " ")</f>
        <v xml:space="preserve"> </v>
      </c>
      <c r="W67" s="8" t="str">
        <f>IFERROR(VLOOKUP($A67,'Project Reference'!$B$2:$N$41,13), " ")</f>
        <v xml:space="preserve"> </v>
      </c>
      <c r="X67" s="8" t="str">
        <f>IFERROR(VLOOKUP($A67,'Project Reference'!$B$2:$O$41,14), " ")</f>
        <v xml:space="preserve"> </v>
      </c>
      <c r="Y67" s="8" t="str">
        <f>IFERROR(VLOOKUP($A67,'Project Reference'!$B$2:$P$41,15), " ")</f>
        <v xml:space="preserve"> </v>
      </c>
      <c r="Z67" s="9" t="str">
        <f>IFERROR(VLOOKUP($A67,'Project Reference'!$B$2:$Q$41,16), " ")</f>
        <v xml:space="preserve"> </v>
      </c>
    </row>
    <row r="68" spans="1:26" s="1" customFormat="1" x14ac:dyDescent="0.45">
      <c r="A68" s="70"/>
      <c r="B68" s="70" t="str">
        <f>IFERROR(VLOOKUP($A68,'Project Reference'!$S$2:$T$41,2),"Enter Project Number")</f>
        <v>Enter Project Number</v>
      </c>
      <c r="C68" s="54"/>
      <c r="D68" s="53"/>
      <c r="E68" s="8"/>
      <c r="F68" s="8"/>
      <c r="G68" s="8"/>
      <c r="H68" s="8"/>
      <c r="I68" s="8"/>
      <c r="J68" s="9"/>
      <c r="K68" s="23"/>
      <c r="L68" s="47" t="str">
        <f>IFERROR(VLOOKUP($A68,'Project Reference'!$B$2:$C$41,2), " ")</f>
        <v xml:space="preserve"> </v>
      </c>
      <c r="M68" s="8" t="str">
        <f>IFERROR(VLOOKUP($A68,'Project Reference'!$B$2:$D$41,3), " ")</f>
        <v xml:space="preserve"> </v>
      </c>
      <c r="N68" s="54" t="str">
        <f>IFERROR(VLOOKUP($A68,'Project Reference'!$B$2:$E$41,4), " ")</f>
        <v xml:space="preserve"> </v>
      </c>
      <c r="O68" s="8" t="str">
        <f>IFERROR(VLOOKUP($A68,'Project Reference'!$B$2:$F$41,5), " ")</f>
        <v xml:space="preserve"> </v>
      </c>
      <c r="P68" s="8" t="str">
        <f>IFERROR(VLOOKUP($A68,'Project Reference'!$B$2:$G$41,6), " ")</f>
        <v xml:space="preserve"> </v>
      </c>
      <c r="Q68" s="8" t="str">
        <f>IFERROR(VLOOKUP($A68,'Project Reference'!$B$2:$H$41,7), " ")</f>
        <v xml:space="preserve"> </v>
      </c>
      <c r="R68" s="8" t="str">
        <f>IFERROR(VLOOKUP($A68,'Project Reference'!$B$2:$I$41,8), " ")</f>
        <v xml:space="preserve"> </v>
      </c>
      <c r="S68" s="8" t="str">
        <f>IFERROR(VLOOKUP($A68,'Project Reference'!$B$2:$J$41,9), " ")</f>
        <v xml:space="preserve"> </v>
      </c>
      <c r="T68" s="8" t="str">
        <f>IFERROR(VLOOKUP($A68,'Project Reference'!$B$2:$K$41,10), " ")</f>
        <v xml:space="preserve"> </v>
      </c>
      <c r="U68" s="8" t="str">
        <f>IFERROR(VLOOKUP($A68,'Project Reference'!$B$2:$L$41,11), " ")</f>
        <v xml:space="preserve"> </v>
      </c>
      <c r="V68" s="8" t="str">
        <f>IFERROR(VLOOKUP($A68,'Project Reference'!$B$2:$M$41,12), " ")</f>
        <v xml:space="preserve"> </v>
      </c>
      <c r="W68" s="8" t="str">
        <f>IFERROR(VLOOKUP($A68,'Project Reference'!$B$2:$N$41,13), " ")</f>
        <v xml:space="preserve"> </v>
      </c>
      <c r="X68" s="8" t="str">
        <f>IFERROR(VLOOKUP($A68,'Project Reference'!$B$2:$O$41,14), " ")</f>
        <v xml:space="preserve"> </v>
      </c>
      <c r="Y68" s="8" t="str">
        <f>IFERROR(VLOOKUP($A68,'Project Reference'!$B$2:$P$41,15), " ")</f>
        <v xml:space="preserve"> </v>
      </c>
      <c r="Z68" s="9" t="str">
        <f>IFERROR(VLOOKUP($A68,'Project Reference'!$B$2:$Q$41,16), " ")</f>
        <v xml:space="preserve"> </v>
      </c>
    </row>
    <row r="69" spans="1:26" s="1" customFormat="1" x14ac:dyDescent="0.45">
      <c r="A69" s="70"/>
      <c r="B69" s="70" t="str">
        <f>IFERROR(VLOOKUP($A69,'Project Reference'!$S$2:$T$41,2),"Enter Project Number")</f>
        <v>Enter Project Number</v>
      </c>
      <c r="C69" s="54"/>
      <c r="D69" s="53"/>
      <c r="E69" s="8"/>
      <c r="F69" s="8"/>
      <c r="G69" s="8"/>
      <c r="H69" s="8"/>
      <c r="I69" s="8"/>
      <c r="J69" s="9"/>
      <c r="K69" s="23"/>
      <c r="L69" s="47" t="str">
        <f>IFERROR(VLOOKUP($A69,'Project Reference'!$B$2:$C$41,2), " ")</f>
        <v xml:space="preserve"> </v>
      </c>
      <c r="M69" s="8" t="str">
        <f>IFERROR(VLOOKUP($A69,'Project Reference'!$B$2:$D$41,3), " ")</f>
        <v xml:space="preserve"> </v>
      </c>
      <c r="N69" s="54" t="str">
        <f>IFERROR(VLOOKUP($A69,'Project Reference'!$B$2:$E$41,4), " ")</f>
        <v xml:space="preserve"> </v>
      </c>
      <c r="O69" s="8" t="str">
        <f>IFERROR(VLOOKUP($A69,'Project Reference'!$B$2:$F$41,5), " ")</f>
        <v xml:space="preserve"> </v>
      </c>
      <c r="P69" s="8" t="str">
        <f>IFERROR(VLOOKUP($A69,'Project Reference'!$B$2:$G$41,6), " ")</f>
        <v xml:space="preserve"> </v>
      </c>
      <c r="Q69" s="8" t="str">
        <f>IFERROR(VLOOKUP($A69,'Project Reference'!$B$2:$H$41,7), " ")</f>
        <v xml:space="preserve"> </v>
      </c>
      <c r="R69" s="8" t="str">
        <f>IFERROR(VLOOKUP($A69,'Project Reference'!$B$2:$I$41,8), " ")</f>
        <v xml:space="preserve"> </v>
      </c>
      <c r="S69" s="8" t="str">
        <f>IFERROR(VLOOKUP($A69,'Project Reference'!$B$2:$J$41,9), " ")</f>
        <v xml:space="preserve"> </v>
      </c>
      <c r="T69" s="8" t="str">
        <f>IFERROR(VLOOKUP($A69,'Project Reference'!$B$2:$K$41,10), " ")</f>
        <v xml:space="preserve"> </v>
      </c>
      <c r="U69" s="8" t="str">
        <f>IFERROR(VLOOKUP($A69,'Project Reference'!$B$2:$L$41,11), " ")</f>
        <v xml:space="preserve"> </v>
      </c>
      <c r="V69" s="8" t="str">
        <f>IFERROR(VLOOKUP($A69,'Project Reference'!$B$2:$M$41,12), " ")</f>
        <v xml:space="preserve"> </v>
      </c>
      <c r="W69" s="8" t="str">
        <f>IFERROR(VLOOKUP($A69,'Project Reference'!$B$2:$N$41,13), " ")</f>
        <v xml:space="preserve"> </v>
      </c>
      <c r="X69" s="8" t="str">
        <f>IFERROR(VLOOKUP($A69,'Project Reference'!$B$2:$O$41,14), " ")</f>
        <v xml:space="preserve"> </v>
      </c>
      <c r="Y69" s="8" t="str">
        <f>IFERROR(VLOOKUP($A69,'Project Reference'!$B$2:$P$41,15), " ")</f>
        <v xml:space="preserve"> </v>
      </c>
      <c r="Z69" s="9" t="str">
        <f>IFERROR(VLOOKUP($A69,'Project Reference'!$B$2:$Q$41,16), " ")</f>
        <v xml:space="preserve"> </v>
      </c>
    </row>
    <row r="70" spans="1:26" s="1" customFormat="1" x14ac:dyDescent="0.45">
      <c r="A70" s="70"/>
      <c r="B70" s="70" t="str">
        <f>IFERROR(VLOOKUP($A70,'Project Reference'!$S$2:$T$41,2),"Enter Project Number")</f>
        <v>Enter Project Number</v>
      </c>
      <c r="C70" s="54"/>
      <c r="D70" s="53"/>
      <c r="E70" s="8"/>
      <c r="F70" s="8"/>
      <c r="G70" s="8"/>
      <c r="H70" s="8"/>
      <c r="I70" s="8"/>
      <c r="J70" s="9"/>
      <c r="K70" s="23"/>
      <c r="L70" s="47" t="str">
        <f>IFERROR(VLOOKUP($A70,'Project Reference'!$B$2:$C$41,2), " ")</f>
        <v xml:space="preserve"> </v>
      </c>
      <c r="M70" s="8" t="str">
        <f>IFERROR(VLOOKUP($A70,'Project Reference'!$B$2:$D$41,3), " ")</f>
        <v xml:space="preserve"> </v>
      </c>
      <c r="N70" s="54" t="str">
        <f>IFERROR(VLOOKUP($A70,'Project Reference'!$B$2:$E$41,4), " ")</f>
        <v xml:space="preserve"> </v>
      </c>
      <c r="O70" s="8" t="str">
        <f>IFERROR(VLOOKUP($A70,'Project Reference'!$B$2:$F$41,5), " ")</f>
        <v xml:space="preserve"> </v>
      </c>
      <c r="P70" s="8" t="str">
        <f>IFERROR(VLOOKUP($A70,'Project Reference'!$B$2:$G$41,6), " ")</f>
        <v xml:space="preserve"> </v>
      </c>
      <c r="Q70" s="8" t="str">
        <f>IFERROR(VLOOKUP($A70,'Project Reference'!$B$2:$H$41,7), " ")</f>
        <v xml:space="preserve"> </v>
      </c>
      <c r="R70" s="8" t="str">
        <f>IFERROR(VLOOKUP($A70,'Project Reference'!$B$2:$I$41,8), " ")</f>
        <v xml:space="preserve"> </v>
      </c>
      <c r="S70" s="8" t="str">
        <f>IFERROR(VLOOKUP($A70,'Project Reference'!$B$2:$J$41,9), " ")</f>
        <v xml:space="preserve"> </v>
      </c>
      <c r="T70" s="8" t="str">
        <f>IFERROR(VLOOKUP($A70,'Project Reference'!$B$2:$K$41,10), " ")</f>
        <v xml:space="preserve"> </v>
      </c>
      <c r="U70" s="8" t="str">
        <f>IFERROR(VLOOKUP($A70,'Project Reference'!$B$2:$L$41,11), " ")</f>
        <v xml:space="preserve"> </v>
      </c>
      <c r="V70" s="8" t="str">
        <f>IFERROR(VLOOKUP($A70,'Project Reference'!$B$2:$M$41,12), " ")</f>
        <v xml:space="preserve"> </v>
      </c>
      <c r="W70" s="8" t="str">
        <f>IFERROR(VLOOKUP($A70,'Project Reference'!$B$2:$N$41,13), " ")</f>
        <v xml:space="preserve"> </v>
      </c>
      <c r="X70" s="8" t="str">
        <f>IFERROR(VLOOKUP($A70,'Project Reference'!$B$2:$O$41,14), " ")</f>
        <v xml:space="preserve"> </v>
      </c>
      <c r="Y70" s="8" t="str">
        <f>IFERROR(VLOOKUP($A70,'Project Reference'!$B$2:$P$41,15), " ")</f>
        <v xml:space="preserve"> </v>
      </c>
      <c r="Z70" s="9" t="str">
        <f>IFERROR(VLOOKUP($A70,'Project Reference'!$B$2:$Q$41,16), " ")</f>
        <v xml:space="preserve"> </v>
      </c>
    </row>
    <row r="71" spans="1:26" s="1" customFormat="1" x14ac:dyDescent="0.45">
      <c r="A71" s="70"/>
      <c r="B71" s="70" t="str">
        <f>IFERROR(VLOOKUP($A71,'Project Reference'!$S$2:$T$41,2),"Enter Project Number")</f>
        <v>Enter Project Number</v>
      </c>
      <c r="C71" s="54"/>
      <c r="D71" s="53"/>
      <c r="E71" s="8"/>
      <c r="F71" s="8"/>
      <c r="G71" s="8"/>
      <c r="H71" s="8"/>
      <c r="I71" s="8"/>
      <c r="J71" s="9"/>
      <c r="K71" s="23"/>
      <c r="L71" s="47" t="str">
        <f>IFERROR(VLOOKUP($A71,'Project Reference'!$B$2:$C$41,2), " ")</f>
        <v xml:space="preserve"> </v>
      </c>
      <c r="M71" s="8" t="str">
        <f>IFERROR(VLOOKUP($A71,'Project Reference'!$B$2:$D$41,3), " ")</f>
        <v xml:space="preserve"> </v>
      </c>
      <c r="N71" s="54" t="str">
        <f>IFERROR(VLOOKUP($A71,'Project Reference'!$B$2:$E$41,4), " ")</f>
        <v xml:space="preserve"> </v>
      </c>
      <c r="O71" s="8" t="str">
        <f>IFERROR(VLOOKUP($A71,'Project Reference'!$B$2:$F$41,5), " ")</f>
        <v xml:space="preserve"> </v>
      </c>
      <c r="P71" s="8" t="str">
        <f>IFERROR(VLOOKUP($A71,'Project Reference'!$B$2:$G$41,6), " ")</f>
        <v xml:space="preserve"> </v>
      </c>
      <c r="Q71" s="8" t="str">
        <f>IFERROR(VLOOKUP($A71,'Project Reference'!$B$2:$H$41,7), " ")</f>
        <v xml:space="preserve"> </v>
      </c>
      <c r="R71" s="8" t="str">
        <f>IFERROR(VLOOKUP($A71,'Project Reference'!$B$2:$I$41,8), " ")</f>
        <v xml:space="preserve"> </v>
      </c>
      <c r="S71" s="8" t="str">
        <f>IFERROR(VLOOKUP($A71,'Project Reference'!$B$2:$J$41,9), " ")</f>
        <v xml:space="preserve"> </v>
      </c>
      <c r="T71" s="8" t="str">
        <f>IFERROR(VLOOKUP($A71,'Project Reference'!$B$2:$K$41,10), " ")</f>
        <v xml:space="preserve"> </v>
      </c>
      <c r="U71" s="8" t="str">
        <f>IFERROR(VLOOKUP($A71,'Project Reference'!$B$2:$L$41,11), " ")</f>
        <v xml:space="preserve"> </v>
      </c>
      <c r="V71" s="8" t="str">
        <f>IFERROR(VLOOKUP($A71,'Project Reference'!$B$2:$M$41,12), " ")</f>
        <v xml:space="preserve"> </v>
      </c>
      <c r="W71" s="8" t="str">
        <f>IFERROR(VLOOKUP($A71,'Project Reference'!$B$2:$N$41,13), " ")</f>
        <v xml:space="preserve"> </v>
      </c>
      <c r="X71" s="8" t="str">
        <f>IFERROR(VLOOKUP($A71,'Project Reference'!$B$2:$O$41,14), " ")</f>
        <v xml:space="preserve"> </v>
      </c>
      <c r="Y71" s="8" t="str">
        <f>IFERROR(VLOOKUP($A71,'Project Reference'!$B$2:$P$41,15), " ")</f>
        <v xml:space="preserve"> </v>
      </c>
      <c r="Z71" s="9" t="str">
        <f>IFERROR(VLOOKUP($A71,'Project Reference'!$B$2:$Q$41,16), " ")</f>
        <v xml:space="preserve"> </v>
      </c>
    </row>
    <row r="72" spans="1:26" s="1" customFormat="1" x14ac:dyDescent="0.45">
      <c r="A72" s="70"/>
      <c r="B72" s="70" t="str">
        <f>IFERROR(VLOOKUP($A72,'Project Reference'!$S$2:$T$41,2),"Enter Project Number")</f>
        <v>Enter Project Number</v>
      </c>
      <c r="C72" s="54"/>
      <c r="D72" s="53"/>
      <c r="E72" s="8"/>
      <c r="F72" s="8"/>
      <c r="G72" s="8"/>
      <c r="H72" s="8"/>
      <c r="I72" s="8"/>
      <c r="J72" s="9"/>
      <c r="K72" s="23"/>
      <c r="L72" s="47" t="str">
        <f>IFERROR(VLOOKUP($A72,'Project Reference'!$B$2:$C$41,2), " ")</f>
        <v xml:space="preserve"> </v>
      </c>
      <c r="M72" s="8" t="str">
        <f>IFERROR(VLOOKUP($A72,'Project Reference'!$B$2:$D$41,3), " ")</f>
        <v xml:space="preserve"> </v>
      </c>
      <c r="N72" s="54" t="str">
        <f>IFERROR(VLOOKUP($A72,'Project Reference'!$B$2:$E$41,4), " ")</f>
        <v xml:space="preserve"> </v>
      </c>
      <c r="O72" s="8" t="str">
        <f>IFERROR(VLOOKUP($A72,'Project Reference'!$B$2:$F$41,5), " ")</f>
        <v xml:space="preserve"> </v>
      </c>
      <c r="P72" s="8" t="str">
        <f>IFERROR(VLOOKUP($A72,'Project Reference'!$B$2:$G$41,6), " ")</f>
        <v xml:space="preserve"> </v>
      </c>
      <c r="Q72" s="8" t="str">
        <f>IFERROR(VLOOKUP($A72,'Project Reference'!$B$2:$H$41,7), " ")</f>
        <v xml:space="preserve"> </v>
      </c>
      <c r="R72" s="8" t="str">
        <f>IFERROR(VLOOKUP($A72,'Project Reference'!$B$2:$I$41,8), " ")</f>
        <v xml:space="preserve"> </v>
      </c>
      <c r="S72" s="8" t="str">
        <f>IFERROR(VLOOKUP($A72,'Project Reference'!$B$2:$J$41,9), " ")</f>
        <v xml:space="preserve"> </v>
      </c>
      <c r="T72" s="8" t="str">
        <f>IFERROR(VLOOKUP($A72,'Project Reference'!$B$2:$K$41,10), " ")</f>
        <v xml:space="preserve"> </v>
      </c>
      <c r="U72" s="8" t="str">
        <f>IFERROR(VLOOKUP($A72,'Project Reference'!$B$2:$L$41,11), " ")</f>
        <v xml:space="preserve"> </v>
      </c>
      <c r="V72" s="8" t="str">
        <f>IFERROR(VLOOKUP($A72,'Project Reference'!$B$2:$M$41,12), " ")</f>
        <v xml:space="preserve"> </v>
      </c>
      <c r="W72" s="8" t="str">
        <f>IFERROR(VLOOKUP($A72,'Project Reference'!$B$2:$N$41,13), " ")</f>
        <v xml:space="preserve"> </v>
      </c>
      <c r="X72" s="8" t="str">
        <f>IFERROR(VLOOKUP($A72,'Project Reference'!$B$2:$O$41,14), " ")</f>
        <v xml:space="preserve"> </v>
      </c>
      <c r="Y72" s="8" t="str">
        <f>IFERROR(VLOOKUP($A72,'Project Reference'!$B$2:$P$41,15), " ")</f>
        <v xml:space="preserve"> </v>
      </c>
      <c r="Z72" s="9" t="str">
        <f>IFERROR(VLOOKUP($A72,'Project Reference'!$B$2:$Q$41,16), " ")</f>
        <v xml:space="preserve"> </v>
      </c>
    </row>
    <row r="73" spans="1:26" s="1" customFormat="1" x14ac:dyDescent="0.45">
      <c r="A73" s="70"/>
      <c r="B73" s="70" t="str">
        <f>IFERROR(VLOOKUP($A73,'Project Reference'!$S$2:$T$41,2),"Enter Project Number")</f>
        <v>Enter Project Number</v>
      </c>
      <c r="C73" s="54"/>
      <c r="D73" s="53"/>
      <c r="E73" s="8"/>
      <c r="F73" s="8"/>
      <c r="G73" s="8"/>
      <c r="H73" s="8"/>
      <c r="I73" s="8"/>
      <c r="J73" s="9"/>
      <c r="K73" s="23"/>
      <c r="L73" s="47" t="str">
        <f>IFERROR(VLOOKUP($A73,'Project Reference'!$B$2:$C$41,2), " ")</f>
        <v xml:space="preserve"> </v>
      </c>
      <c r="M73" s="8" t="str">
        <f>IFERROR(VLOOKUP($A73,'Project Reference'!$B$2:$D$41,3), " ")</f>
        <v xml:space="preserve"> </v>
      </c>
      <c r="N73" s="54" t="str">
        <f>IFERROR(VLOOKUP($A73,'Project Reference'!$B$2:$E$41,4), " ")</f>
        <v xml:space="preserve"> </v>
      </c>
      <c r="O73" s="8" t="str">
        <f>IFERROR(VLOOKUP($A73,'Project Reference'!$B$2:$F$41,5), " ")</f>
        <v xml:space="preserve"> </v>
      </c>
      <c r="P73" s="8" t="str">
        <f>IFERROR(VLOOKUP($A73,'Project Reference'!$B$2:$G$41,6), " ")</f>
        <v xml:space="preserve"> </v>
      </c>
      <c r="Q73" s="8" t="str">
        <f>IFERROR(VLOOKUP($A73,'Project Reference'!$B$2:$H$41,7), " ")</f>
        <v xml:space="preserve"> </v>
      </c>
      <c r="R73" s="8" t="str">
        <f>IFERROR(VLOOKUP($A73,'Project Reference'!$B$2:$I$41,8), " ")</f>
        <v xml:space="preserve"> </v>
      </c>
      <c r="S73" s="8" t="str">
        <f>IFERROR(VLOOKUP($A73,'Project Reference'!$B$2:$J$41,9), " ")</f>
        <v xml:space="preserve"> </v>
      </c>
      <c r="T73" s="8" t="str">
        <f>IFERROR(VLOOKUP($A73,'Project Reference'!$B$2:$K$41,10), " ")</f>
        <v xml:space="preserve"> </v>
      </c>
      <c r="U73" s="8" t="str">
        <f>IFERROR(VLOOKUP($A73,'Project Reference'!$B$2:$L$41,11), " ")</f>
        <v xml:space="preserve"> </v>
      </c>
      <c r="V73" s="8" t="str">
        <f>IFERROR(VLOOKUP($A73,'Project Reference'!$B$2:$M$41,12), " ")</f>
        <v xml:space="preserve"> </v>
      </c>
      <c r="W73" s="8" t="str">
        <f>IFERROR(VLOOKUP($A73,'Project Reference'!$B$2:$N$41,13), " ")</f>
        <v xml:space="preserve"> </v>
      </c>
      <c r="X73" s="8" t="str">
        <f>IFERROR(VLOOKUP($A73,'Project Reference'!$B$2:$O$41,14), " ")</f>
        <v xml:space="preserve"> </v>
      </c>
      <c r="Y73" s="8" t="str">
        <f>IFERROR(VLOOKUP($A73,'Project Reference'!$B$2:$P$41,15), " ")</f>
        <v xml:space="preserve"> </v>
      </c>
      <c r="Z73" s="9" t="str">
        <f>IFERROR(VLOOKUP($A73,'Project Reference'!$B$2:$Q$41,16), " ")</f>
        <v xml:space="preserve"> </v>
      </c>
    </row>
    <row r="74" spans="1:26" s="1" customFormat="1" x14ac:dyDescent="0.45">
      <c r="A74" s="70"/>
      <c r="B74" s="70" t="str">
        <f>IFERROR(VLOOKUP($A74,'Project Reference'!$S$2:$T$41,2),"Enter Project Number")</f>
        <v>Enter Project Number</v>
      </c>
      <c r="C74" s="54"/>
      <c r="D74" s="53"/>
      <c r="E74" s="8"/>
      <c r="F74" s="8"/>
      <c r="G74" s="8"/>
      <c r="H74" s="8"/>
      <c r="I74" s="8"/>
      <c r="J74" s="9"/>
      <c r="K74" s="23"/>
      <c r="L74" s="47" t="str">
        <f>IFERROR(VLOOKUP($A74,'Project Reference'!$B$2:$C$41,2), " ")</f>
        <v xml:space="preserve"> </v>
      </c>
      <c r="M74" s="8" t="str">
        <f>IFERROR(VLOOKUP($A74,'Project Reference'!$B$2:$D$41,3), " ")</f>
        <v xml:space="preserve"> </v>
      </c>
      <c r="N74" s="54" t="str">
        <f>IFERROR(VLOOKUP($A74,'Project Reference'!$B$2:$E$41,4), " ")</f>
        <v xml:space="preserve"> </v>
      </c>
      <c r="O74" s="8" t="str">
        <f>IFERROR(VLOOKUP($A74,'Project Reference'!$B$2:$F$41,5), " ")</f>
        <v xml:space="preserve"> </v>
      </c>
      <c r="P74" s="8" t="str">
        <f>IFERROR(VLOOKUP($A74,'Project Reference'!$B$2:$G$41,6), " ")</f>
        <v xml:space="preserve"> </v>
      </c>
      <c r="Q74" s="8" t="str">
        <f>IFERROR(VLOOKUP($A74,'Project Reference'!$B$2:$H$41,7), " ")</f>
        <v xml:space="preserve"> </v>
      </c>
      <c r="R74" s="8" t="str">
        <f>IFERROR(VLOOKUP($A74,'Project Reference'!$B$2:$I$41,8), " ")</f>
        <v xml:space="preserve"> </v>
      </c>
      <c r="S74" s="8" t="str">
        <f>IFERROR(VLOOKUP($A74,'Project Reference'!$B$2:$J$41,9), " ")</f>
        <v xml:space="preserve"> </v>
      </c>
      <c r="T74" s="8" t="str">
        <f>IFERROR(VLOOKUP($A74,'Project Reference'!$B$2:$K$41,10), " ")</f>
        <v xml:space="preserve"> </v>
      </c>
      <c r="U74" s="8" t="str">
        <f>IFERROR(VLOOKUP($A74,'Project Reference'!$B$2:$L$41,11), " ")</f>
        <v xml:space="preserve"> </v>
      </c>
      <c r="V74" s="8" t="str">
        <f>IFERROR(VLOOKUP($A74,'Project Reference'!$B$2:$M$41,12), " ")</f>
        <v xml:space="preserve"> </v>
      </c>
      <c r="W74" s="8" t="str">
        <f>IFERROR(VLOOKUP($A74,'Project Reference'!$B$2:$N$41,13), " ")</f>
        <v xml:space="preserve"> </v>
      </c>
      <c r="X74" s="8" t="str">
        <f>IFERROR(VLOOKUP($A74,'Project Reference'!$B$2:$O$41,14), " ")</f>
        <v xml:space="preserve"> </v>
      </c>
      <c r="Y74" s="8" t="str">
        <f>IFERROR(VLOOKUP($A74,'Project Reference'!$B$2:$P$41,15), " ")</f>
        <v xml:space="preserve"> </v>
      </c>
      <c r="Z74" s="9" t="str">
        <f>IFERROR(VLOOKUP($A74,'Project Reference'!$B$2:$Q$41,16), " ")</f>
        <v xml:space="preserve"> </v>
      </c>
    </row>
    <row r="75" spans="1:26" s="1" customFormat="1" x14ac:dyDescent="0.45">
      <c r="A75" s="70"/>
      <c r="B75" s="70" t="str">
        <f>IFERROR(VLOOKUP($A75,'Project Reference'!$S$2:$T$41,2),"Enter Project Number")</f>
        <v>Enter Project Number</v>
      </c>
      <c r="C75" s="54"/>
      <c r="D75" s="53"/>
      <c r="E75" s="8"/>
      <c r="F75" s="8"/>
      <c r="G75" s="8"/>
      <c r="H75" s="8"/>
      <c r="I75" s="8"/>
      <c r="J75" s="9"/>
      <c r="K75" s="23"/>
      <c r="L75" s="47" t="str">
        <f>IFERROR(VLOOKUP($A75,'Project Reference'!$B$2:$C$41,2), " ")</f>
        <v xml:space="preserve"> </v>
      </c>
      <c r="M75" s="8" t="str">
        <f>IFERROR(VLOOKUP($A75,'Project Reference'!$B$2:$D$41,3), " ")</f>
        <v xml:space="preserve"> </v>
      </c>
      <c r="N75" s="54" t="str">
        <f>IFERROR(VLOOKUP($A75,'Project Reference'!$B$2:$E$41,4), " ")</f>
        <v xml:space="preserve"> </v>
      </c>
      <c r="O75" s="8" t="str">
        <f>IFERROR(VLOOKUP($A75,'Project Reference'!$B$2:$F$41,5), " ")</f>
        <v xml:space="preserve"> </v>
      </c>
      <c r="P75" s="8" t="str">
        <f>IFERROR(VLOOKUP($A75,'Project Reference'!$B$2:$G$41,6), " ")</f>
        <v xml:space="preserve"> </v>
      </c>
      <c r="Q75" s="8" t="str">
        <f>IFERROR(VLOOKUP($A75,'Project Reference'!$B$2:$H$41,7), " ")</f>
        <v xml:space="preserve"> </v>
      </c>
      <c r="R75" s="8" t="str">
        <f>IFERROR(VLOOKUP($A75,'Project Reference'!$B$2:$I$41,8), " ")</f>
        <v xml:space="preserve"> </v>
      </c>
      <c r="S75" s="8" t="str">
        <f>IFERROR(VLOOKUP($A75,'Project Reference'!$B$2:$J$41,9), " ")</f>
        <v xml:space="preserve"> </v>
      </c>
      <c r="T75" s="8" t="str">
        <f>IFERROR(VLOOKUP($A75,'Project Reference'!$B$2:$K$41,10), " ")</f>
        <v xml:space="preserve"> </v>
      </c>
      <c r="U75" s="8" t="str">
        <f>IFERROR(VLOOKUP($A75,'Project Reference'!$B$2:$L$41,11), " ")</f>
        <v xml:space="preserve"> </v>
      </c>
      <c r="V75" s="8" t="str">
        <f>IFERROR(VLOOKUP($A75,'Project Reference'!$B$2:$M$41,12), " ")</f>
        <v xml:space="preserve"> </v>
      </c>
      <c r="W75" s="8" t="str">
        <f>IFERROR(VLOOKUP($A75,'Project Reference'!$B$2:$N$41,13), " ")</f>
        <v xml:space="preserve"> </v>
      </c>
      <c r="X75" s="8" t="str">
        <f>IFERROR(VLOOKUP($A75,'Project Reference'!$B$2:$O$41,14), " ")</f>
        <v xml:space="preserve"> </v>
      </c>
      <c r="Y75" s="8" t="str">
        <f>IFERROR(VLOOKUP($A75,'Project Reference'!$B$2:$P$41,15), " ")</f>
        <v xml:space="preserve"> </v>
      </c>
      <c r="Z75" s="9" t="str">
        <f>IFERROR(VLOOKUP($A75,'Project Reference'!$B$2:$Q$41,16), " ")</f>
        <v xml:space="preserve"> </v>
      </c>
    </row>
    <row r="76" spans="1:26" s="1" customFormat="1" x14ac:dyDescent="0.45">
      <c r="A76" s="70"/>
      <c r="B76" s="70" t="str">
        <f>IFERROR(VLOOKUP($A76,'Project Reference'!$S$2:$T$41,2),"Enter Project Number")</f>
        <v>Enter Project Number</v>
      </c>
      <c r="C76" s="54"/>
      <c r="D76" s="53"/>
      <c r="E76" s="8"/>
      <c r="F76" s="8"/>
      <c r="G76" s="8"/>
      <c r="H76" s="8"/>
      <c r="I76" s="8"/>
      <c r="J76" s="9"/>
      <c r="K76" s="23"/>
      <c r="L76" s="47" t="str">
        <f>IFERROR(VLOOKUP($A76,'Project Reference'!$B$2:$C$41,2), " ")</f>
        <v xml:space="preserve"> </v>
      </c>
      <c r="M76" s="8" t="str">
        <f>IFERROR(VLOOKUP($A76,'Project Reference'!$B$2:$D$41,3), " ")</f>
        <v xml:space="preserve"> </v>
      </c>
      <c r="N76" s="54" t="str">
        <f>IFERROR(VLOOKUP($A76,'Project Reference'!$B$2:$E$41,4), " ")</f>
        <v xml:space="preserve"> </v>
      </c>
      <c r="O76" s="8" t="str">
        <f>IFERROR(VLOOKUP($A76,'Project Reference'!$B$2:$F$41,5), " ")</f>
        <v xml:space="preserve"> </v>
      </c>
      <c r="P76" s="8" t="str">
        <f>IFERROR(VLOOKUP($A76,'Project Reference'!$B$2:$G$41,6), " ")</f>
        <v xml:space="preserve"> </v>
      </c>
      <c r="Q76" s="8" t="str">
        <f>IFERROR(VLOOKUP($A76,'Project Reference'!$B$2:$H$41,7), " ")</f>
        <v xml:space="preserve"> </v>
      </c>
      <c r="R76" s="8" t="str">
        <f>IFERROR(VLOOKUP($A76,'Project Reference'!$B$2:$I$41,8), " ")</f>
        <v xml:space="preserve"> </v>
      </c>
      <c r="S76" s="8" t="str">
        <f>IFERROR(VLOOKUP($A76,'Project Reference'!$B$2:$J$41,9), " ")</f>
        <v xml:space="preserve"> </v>
      </c>
      <c r="T76" s="8" t="str">
        <f>IFERROR(VLOOKUP($A76,'Project Reference'!$B$2:$K$41,10), " ")</f>
        <v xml:space="preserve"> </v>
      </c>
      <c r="U76" s="8" t="str">
        <f>IFERROR(VLOOKUP($A76,'Project Reference'!$B$2:$L$41,11), " ")</f>
        <v xml:space="preserve"> </v>
      </c>
      <c r="V76" s="8" t="str">
        <f>IFERROR(VLOOKUP($A76,'Project Reference'!$B$2:$M$41,12), " ")</f>
        <v xml:space="preserve"> </v>
      </c>
      <c r="W76" s="8" t="str">
        <f>IFERROR(VLOOKUP($A76,'Project Reference'!$B$2:$N$41,13), " ")</f>
        <v xml:space="preserve"> </v>
      </c>
      <c r="X76" s="8" t="str">
        <f>IFERROR(VLOOKUP($A76,'Project Reference'!$B$2:$O$41,14), " ")</f>
        <v xml:space="preserve"> </v>
      </c>
      <c r="Y76" s="8" t="str">
        <f>IFERROR(VLOOKUP($A76,'Project Reference'!$B$2:$P$41,15), " ")</f>
        <v xml:space="preserve"> </v>
      </c>
      <c r="Z76" s="9" t="str">
        <f>IFERROR(VLOOKUP($A76,'Project Reference'!$B$2:$Q$41,16), " ")</f>
        <v xml:space="preserve"> </v>
      </c>
    </row>
    <row r="77" spans="1:26" s="1" customFormat="1" x14ac:dyDescent="0.45">
      <c r="A77" s="70"/>
      <c r="B77" s="70" t="str">
        <f>IFERROR(VLOOKUP($A77,'Project Reference'!$S$2:$T$41,2),"Enter Project Number")</f>
        <v>Enter Project Number</v>
      </c>
      <c r="C77" s="54"/>
      <c r="D77" s="53"/>
      <c r="E77" s="8"/>
      <c r="F77" s="8"/>
      <c r="G77" s="8"/>
      <c r="H77" s="8"/>
      <c r="I77" s="8"/>
      <c r="J77" s="9"/>
      <c r="K77" s="23"/>
      <c r="L77" s="47" t="str">
        <f>IFERROR(VLOOKUP($A77,'Project Reference'!$B$2:$C$41,2), " ")</f>
        <v xml:space="preserve"> </v>
      </c>
      <c r="M77" s="8" t="str">
        <f>IFERROR(VLOOKUP($A77,'Project Reference'!$B$2:$D$41,3), " ")</f>
        <v xml:space="preserve"> </v>
      </c>
      <c r="N77" s="54" t="str">
        <f>IFERROR(VLOOKUP($A77,'Project Reference'!$B$2:$E$41,4), " ")</f>
        <v xml:space="preserve"> </v>
      </c>
      <c r="O77" s="8" t="str">
        <f>IFERROR(VLOOKUP($A77,'Project Reference'!$B$2:$F$41,5), " ")</f>
        <v xml:space="preserve"> </v>
      </c>
      <c r="P77" s="8" t="str">
        <f>IFERROR(VLOOKUP($A77,'Project Reference'!$B$2:$G$41,6), " ")</f>
        <v xml:space="preserve"> </v>
      </c>
      <c r="Q77" s="8" t="str">
        <f>IFERROR(VLOOKUP($A77,'Project Reference'!$B$2:$H$41,7), " ")</f>
        <v xml:space="preserve"> </v>
      </c>
      <c r="R77" s="8" t="str">
        <f>IFERROR(VLOOKUP($A77,'Project Reference'!$B$2:$I$41,8), " ")</f>
        <v xml:space="preserve"> </v>
      </c>
      <c r="S77" s="8" t="str">
        <f>IFERROR(VLOOKUP($A77,'Project Reference'!$B$2:$J$41,9), " ")</f>
        <v xml:space="preserve"> </v>
      </c>
      <c r="T77" s="8" t="str">
        <f>IFERROR(VLOOKUP($A77,'Project Reference'!$B$2:$K$41,10), " ")</f>
        <v xml:space="preserve"> </v>
      </c>
      <c r="U77" s="8" t="str">
        <f>IFERROR(VLOOKUP($A77,'Project Reference'!$B$2:$L$41,11), " ")</f>
        <v xml:space="preserve"> </v>
      </c>
      <c r="V77" s="8" t="str">
        <f>IFERROR(VLOOKUP($A77,'Project Reference'!$B$2:$M$41,12), " ")</f>
        <v xml:space="preserve"> </v>
      </c>
      <c r="W77" s="8" t="str">
        <f>IFERROR(VLOOKUP($A77,'Project Reference'!$B$2:$N$41,13), " ")</f>
        <v xml:space="preserve"> </v>
      </c>
      <c r="X77" s="8" t="str">
        <f>IFERROR(VLOOKUP($A77,'Project Reference'!$B$2:$O$41,14), " ")</f>
        <v xml:space="preserve"> </v>
      </c>
      <c r="Y77" s="8" t="str">
        <f>IFERROR(VLOOKUP($A77,'Project Reference'!$B$2:$P$41,15), " ")</f>
        <v xml:space="preserve"> </v>
      </c>
      <c r="Z77" s="9" t="str">
        <f>IFERROR(VLOOKUP($A77,'Project Reference'!$B$2:$Q$41,16), " ")</f>
        <v xml:space="preserve"> </v>
      </c>
    </row>
    <row r="78" spans="1:26" s="1" customFormat="1" x14ac:dyDescent="0.45">
      <c r="A78" s="70"/>
      <c r="B78" s="70" t="str">
        <f>IFERROR(VLOOKUP($A78,'Project Reference'!$S$2:$T$41,2),"Enter Project Number")</f>
        <v>Enter Project Number</v>
      </c>
      <c r="C78" s="54"/>
      <c r="D78" s="53"/>
      <c r="E78" s="8"/>
      <c r="F78" s="8"/>
      <c r="G78" s="8"/>
      <c r="H78" s="8"/>
      <c r="I78" s="8"/>
      <c r="J78" s="9"/>
      <c r="K78" s="23"/>
      <c r="L78" s="47" t="str">
        <f>IFERROR(VLOOKUP($A78,'Project Reference'!$B$2:$C$41,2), " ")</f>
        <v xml:space="preserve"> </v>
      </c>
      <c r="M78" s="8" t="str">
        <f>IFERROR(VLOOKUP($A78,'Project Reference'!$B$2:$D$41,3), " ")</f>
        <v xml:space="preserve"> </v>
      </c>
      <c r="N78" s="54" t="str">
        <f>IFERROR(VLOOKUP($A78,'Project Reference'!$B$2:$E$41,4), " ")</f>
        <v xml:space="preserve"> </v>
      </c>
      <c r="O78" s="8" t="str">
        <f>IFERROR(VLOOKUP($A78,'Project Reference'!$B$2:$F$41,5), " ")</f>
        <v xml:space="preserve"> </v>
      </c>
      <c r="P78" s="8" t="str">
        <f>IFERROR(VLOOKUP($A78,'Project Reference'!$B$2:$G$41,6), " ")</f>
        <v xml:space="preserve"> </v>
      </c>
      <c r="Q78" s="8" t="str">
        <f>IFERROR(VLOOKUP($A78,'Project Reference'!$B$2:$H$41,7), " ")</f>
        <v xml:space="preserve"> </v>
      </c>
      <c r="R78" s="8" t="str">
        <f>IFERROR(VLOOKUP($A78,'Project Reference'!$B$2:$I$41,8), " ")</f>
        <v xml:space="preserve"> </v>
      </c>
      <c r="S78" s="8" t="str">
        <f>IFERROR(VLOOKUP($A78,'Project Reference'!$B$2:$J$41,9), " ")</f>
        <v xml:space="preserve"> </v>
      </c>
      <c r="T78" s="8" t="str">
        <f>IFERROR(VLOOKUP($A78,'Project Reference'!$B$2:$K$41,10), " ")</f>
        <v xml:space="preserve"> </v>
      </c>
      <c r="U78" s="8" t="str">
        <f>IFERROR(VLOOKUP($A78,'Project Reference'!$B$2:$L$41,11), " ")</f>
        <v xml:space="preserve"> </v>
      </c>
      <c r="V78" s="8" t="str">
        <f>IFERROR(VLOOKUP($A78,'Project Reference'!$B$2:$M$41,12), " ")</f>
        <v xml:space="preserve"> </v>
      </c>
      <c r="W78" s="8" t="str">
        <f>IFERROR(VLOOKUP($A78,'Project Reference'!$B$2:$N$41,13), " ")</f>
        <v xml:space="preserve"> </v>
      </c>
      <c r="X78" s="8" t="str">
        <f>IFERROR(VLOOKUP($A78,'Project Reference'!$B$2:$O$41,14), " ")</f>
        <v xml:space="preserve"> </v>
      </c>
      <c r="Y78" s="8" t="str">
        <f>IFERROR(VLOOKUP($A78,'Project Reference'!$B$2:$P$41,15), " ")</f>
        <v xml:space="preserve"> </v>
      </c>
      <c r="Z78" s="9" t="str">
        <f>IFERROR(VLOOKUP($A78,'Project Reference'!$B$2:$Q$41,16), " ")</f>
        <v xml:space="preserve"> </v>
      </c>
    </row>
    <row r="79" spans="1:26" s="1" customFormat="1" x14ac:dyDescent="0.45">
      <c r="A79" s="70"/>
      <c r="B79" s="70" t="str">
        <f>IFERROR(VLOOKUP($A79,'Project Reference'!$S$2:$T$41,2),"Enter Project Number")</f>
        <v>Enter Project Number</v>
      </c>
      <c r="C79" s="54"/>
      <c r="D79" s="53"/>
      <c r="E79" s="8"/>
      <c r="F79" s="8"/>
      <c r="G79" s="8"/>
      <c r="H79" s="8"/>
      <c r="I79" s="8"/>
      <c r="J79" s="9"/>
      <c r="K79" s="23"/>
      <c r="L79" s="47" t="str">
        <f>IFERROR(VLOOKUP($A79,'Project Reference'!$B$2:$C$41,2), " ")</f>
        <v xml:space="preserve"> </v>
      </c>
      <c r="M79" s="8" t="str">
        <f>IFERROR(VLOOKUP($A79,'Project Reference'!$B$2:$D$41,3), " ")</f>
        <v xml:space="preserve"> </v>
      </c>
      <c r="N79" s="54" t="str">
        <f>IFERROR(VLOOKUP($A79,'Project Reference'!$B$2:$E$41,4), " ")</f>
        <v xml:space="preserve"> </v>
      </c>
      <c r="O79" s="8" t="str">
        <f>IFERROR(VLOOKUP($A79,'Project Reference'!$B$2:$F$41,5), " ")</f>
        <v xml:space="preserve"> </v>
      </c>
      <c r="P79" s="8" t="str">
        <f>IFERROR(VLOOKUP($A79,'Project Reference'!$B$2:$G$41,6), " ")</f>
        <v xml:space="preserve"> </v>
      </c>
      <c r="Q79" s="8" t="str">
        <f>IFERROR(VLOOKUP($A79,'Project Reference'!$B$2:$H$41,7), " ")</f>
        <v xml:space="preserve"> </v>
      </c>
      <c r="R79" s="8" t="str">
        <f>IFERROR(VLOOKUP($A79,'Project Reference'!$B$2:$I$41,8), " ")</f>
        <v xml:space="preserve"> </v>
      </c>
      <c r="S79" s="8" t="str">
        <f>IFERROR(VLOOKUP($A79,'Project Reference'!$B$2:$J$41,9), " ")</f>
        <v xml:space="preserve"> </v>
      </c>
      <c r="T79" s="8" t="str">
        <f>IFERROR(VLOOKUP($A79,'Project Reference'!$B$2:$K$41,10), " ")</f>
        <v xml:space="preserve"> </v>
      </c>
      <c r="U79" s="8" t="str">
        <f>IFERROR(VLOOKUP($A79,'Project Reference'!$B$2:$L$41,11), " ")</f>
        <v xml:space="preserve"> </v>
      </c>
      <c r="V79" s="8" t="str">
        <f>IFERROR(VLOOKUP($A79,'Project Reference'!$B$2:$M$41,12), " ")</f>
        <v xml:space="preserve"> </v>
      </c>
      <c r="W79" s="8" t="str">
        <f>IFERROR(VLOOKUP($A79,'Project Reference'!$B$2:$N$41,13), " ")</f>
        <v xml:space="preserve"> </v>
      </c>
      <c r="X79" s="8" t="str">
        <f>IFERROR(VLOOKUP($A79,'Project Reference'!$B$2:$O$41,14), " ")</f>
        <v xml:space="preserve"> </v>
      </c>
      <c r="Y79" s="8" t="str">
        <f>IFERROR(VLOOKUP($A79,'Project Reference'!$B$2:$P$41,15), " ")</f>
        <v xml:space="preserve"> </v>
      </c>
      <c r="Z79" s="9" t="str">
        <f>IFERROR(VLOOKUP($A79,'Project Reference'!$B$2:$Q$41,16), " ")</f>
        <v xml:space="preserve"> </v>
      </c>
    </row>
    <row r="80" spans="1:26" s="1" customFormat="1" x14ac:dyDescent="0.45">
      <c r="A80" s="70"/>
      <c r="B80" s="70" t="str">
        <f>IFERROR(VLOOKUP($A80,'Project Reference'!$S$2:$T$41,2),"Enter Project Number")</f>
        <v>Enter Project Number</v>
      </c>
      <c r="C80" s="54"/>
      <c r="D80" s="53"/>
      <c r="E80" s="8"/>
      <c r="F80" s="8"/>
      <c r="G80" s="8"/>
      <c r="H80" s="8"/>
      <c r="I80" s="8"/>
      <c r="J80" s="9"/>
      <c r="K80" s="23"/>
      <c r="L80" s="47" t="str">
        <f>IFERROR(VLOOKUP($A80,'Project Reference'!$B$2:$C$41,2), " ")</f>
        <v xml:space="preserve"> </v>
      </c>
      <c r="M80" s="8" t="str">
        <f>IFERROR(VLOOKUP($A80,'Project Reference'!$B$2:$D$41,3), " ")</f>
        <v xml:space="preserve"> </v>
      </c>
      <c r="N80" s="54" t="str">
        <f>IFERROR(VLOOKUP($A80,'Project Reference'!$B$2:$E$41,4), " ")</f>
        <v xml:space="preserve"> </v>
      </c>
      <c r="O80" s="8" t="str">
        <f>IFERROR(VLOOKUP($A80,'Project Reference'!$B$2:$F$41,5), " ")</f>
        <v xml:space="preserve"> </v>
      </c>
      <c r="P80" s="8" t="str">
        <f>IFERROR(VLOOKUP($A80,'Project Reference'!$B$2:$G$41,6), " ")</f>
        <v xml:space="preserve"> </v>
      </c>
      <c r="Q80" s="8" t="str">
        <f>IFERROR(VLOOKUP($A80,'Project Reference'!$B$2:$H$41,7), " ")</f>
        <v xml:space="preserve"> </v>
      </c>
      <c r="R80" s="8" t="str">
        <f>IFERROR(VLOOKUP($A80,'Project Reference'!$B$2:$I$41,8), " ")</f>
        <v xml:space="preserve"> </v>
      </c>
      <c r="S80" s="8" t="str">
        <f>IFERROR(VLOOKUP($A80,'Project Reference'!$B$2:$J$41,9), " ")</f>
        <v xml:space="preserve"> </v>
      </c>
      <c r="T80" s="8" t="str">
        <f>IFERROR(VLOOKUP($A80,'Project Reference'!$B$2:$K$41,10), " ")</f>
        <v xml:space="preserve"> </v>
      </c>
      <c r="U80" s="8" t="str">
        <f>IFERROR(VLOOKUP($A80,'Project Reference'!$B$2:$L$41,11), " ")</f>
        <v xml:space="preserve"> </v>
      </c>
      <c r="V80" s="8" t="str">
        <f>IFERROR(VLOOKUP($A80,'Project Reference'!$B$2:$M$41,12), " ")</f>
        <v xml:space="preserve"> </v>
      </c>
      <c r="W80" s="8" t="str">
        <f>IFERROR(VLOOKUP($A80,'Project Reference'!$B$2:$N$41,13), " ")</f>
        <v xml:space="preserve"> </v>
      </c>
      <c r="X80" s="8" t="str">
        <f>IFERROR(VLOOKUP($A80,'Project Reference'!$B$2:$O$41,14), " ")</f>
        <v xml:space="preserve"> </v>
      </c>
      <c r="Y80" s="8" t="str">
        <f>IFERROR(VLOOKUP($A80,'Project Reference'!$B$2:$P$41,15), " ")</f>
        <v xml:space="preserve"> </v>
      </c>
      <c r="Z80" s="9" t="str">
        <f>IFERROR(VLOOKUP($A80,'Project Reference'!$B$2:$Q$41,16), " ")</f>
        <v xml:space="preserve"> </v>
      </c>
    </row>
    <row r="81" spans="1:26" s="1" customFormat="1" x14ac:dyDescent="0.45">
      <c r="A81" s="70"/>
      <c r="B81" s="70" t="str">
        <f>IFERROR(VLOOKUP($A81,'Project Reference'!$S$2:$T$41,2),"Enter Project Number")</f>
        <v>Enter Project Number</v>
      </c>
      <c r="C81" s="54"/>
      <c r="D81" s="53"/>
      <c r="E81" s="8"/>
      <c r="F81" s="8"/>
      <c r="G81" s="8"/>
      <c r="H81" s="8"/>
      <c r="I81" s="8"/>
      <c r="J81" s="9"/>
      <c r="K81" s="23"/>
      <c r="L81" s="47" t="str">
        <f>IFERROR(VLOOKUP($A81,'Project Reference'!$B$2:$C$41,2), " ")</f>
        <v xml:space="preserve"> </v>
      </c>
      <c r="M81" s="8" t="str">
        <f>IFERROR(VLOOKUP($A81,'Project Reference'!$B$2:$D$41,3), " ")</f>
        <v xml:space="preserve"> </v>
      </c>
      <c r="N81" s="54" t="str">
        <f>IFERROR(VLOOKUP($A81,'Project Reference'!$B$2:$E$41,4), " ")</f>
        <v xml:space="preserve"> </v>
      </c>
      <c r="O81" s="8" t="str">
        <f>IFERROR(VLOOKUP($A81,'Project Reference'!$B$2:$F$41,5), " ")</f>
        <v xml:space="preserve"> </v>
      </c>
      <c r="P81" s="8" t="str">
        <f>IFERROR(VLOOKUP($A81,'Project Reference'!$B$2:$G$41,6), " ")</f>
        <v xml:space="preserve"> </v>
      </c>
      <c r="Q81" s="8" t="str">
        <f>IFERROR(VLOOKUP($A81,'Project Reference'!$B$2:$H$41,7), " ")</f>
        <v xml:space="preserve"> </v>
      </c>
      <c r="R81" s="8" t="str">
        <f>IFERROR(VLOOKUP($A81,'Project Reference'!$B$2:$I$41,8), " ")</f>
        <v xml:space="preserve"> </v>
      </c>
      <c r="S81" s="8" t="str">
        <f>IFERROR(VLOOKUP($A81,'Project Reference'!$B$2:$J$41,9), " ")</f>
        <v xml:space="preserve"> </v>
      </c>
      <c r="T81" s="8" t="str">
        <f>IFERROR(VLOOKUP($A81,'Project Reference'!$B$2:$K$41,10), " ")</f>
        <v xml:space="preserve"> </v>
      </c>
      <c r="U81" s="8" t="str">
        <f>IFERROR(VLOOKUP($A81,'Project Reference'!$B$2:$L$41,11), " ")</f>
        <v xml:space="preserve"> </v>
      </c>
      <c r="V81" s="8" t="str">
        <f>IFERROR(VLOOKUP($A81,'Project Reference'!$B$2:$M$41,12), " ")</f>
        <v xml:space="preserve"> </v>
      </c>
      <c r="W81" s="8" t="str">
        <f>IFERROR(VLOOKUP($A81,'Project Reference'!$B$2:$N$41,13), " ")</f>
        <v xml:space="preserve"> </v>
      </c>
      <c r="X81" s="8" t="str">
        <f>IFERROR(VLOOKUP($A81,'Project Reference'!$B$2:$O$41,14), " ")</f>
        <v xml:space="preserve"> </v>
      </c>
      <c r="Y81" s="8" t="str">
        <f>IFERROR(VLOOKUP($A81,'Project Reference'!$B$2:$P$41,15), " ")</f>
        <v xml:space="preserve"> </v>
      </c>
      <c r="Z81" s="9" t="str">
        <f>IFERROR(VLOOKUP($A81,'Project Reference'!$B$2:$Q$41,16), " ")</f>
        <v xml:space="preserve"> </v>
      </c>
    </row>
    <row r="82" spans="1:26" s="1" customFormat="1" x14ac:dyDescent="0.45">
      <c r="A82" s="70"/>
      <c r="B82" s="70" t="str">
        <f>IFERROR(VLOOKUP($A82,'Project Reference'!$S$2:$T$41,2),"Enter Project Number")</f>
        <v>Enter Project Number</v>
      </c>
      <c r="C82" s="54"/>
      <c r="D82" s="53"/>
      <c r="E82" s="8"/>
      <c r="F82" s="8"/>
      <c r="G82" s="8"/>
      <c r="H82" s="8"/>
      <c r="I82" s="8"/>
      <c r="J82" s="9"/>
      <c r="K82" s="23"/>
      <c r="L82" s="47" t="str">
        <f>IFERROR(VLOOKUP($A82,'Project Reference'!$B$2:$C$41,2), " ")</f>
        <v xml:space="preserve"> </v>
      </c>
      <c r="M82" s="8" t="str">
        <f>IFERROR(VLOOKUP($A82,'Project Reference'!$B$2:$D$41,3), " ")</f>
        <v xml:space="preserve"> </v>
      </c>
      <c r="N82" s="54" t="str">
        <f>IFERROR(VLOOKUP($A82,'Project Reference'!$B$2:$E$41,4), " ")</f>
        <v xml:space="preserve"> </v>
      </c>
      <c r="O82" s="8" t="str">
        <f>IFERROR(VLOOKUP($A82,'Project Reference'!$B$2:$F$41,5), " ")</f>
        <v xml:space="preserve"> </v>
      </c>
      <c r="P82" s="8" t="str">
        <f>IFERROR(VLOOKUP($A82,'Project Reference'!$B$2:$G$41,6), " ")</f>
        <v xml:space="preserve"> </v>
      </c>
      <c r="Q82" s="8" t="str">
        <f>IFERROR(VLOOKUP($A82,'Project Reference'!$B$2:$H$41,7), " ")</f>
        <v xml:space="preserve"> </v>
      </c>
      <c r="R82" s="8" t="str">
        <f>IFERROR(VLOOKUP($A82,'Project Reference'!$B$2:$I$41,8), " ")</f>
        <v xml:space="preserve"> </v>
      </c>
      <c r="S82" s="8" t="str">
        <f>IFERROR(VLOOKUP($A82,'Project Reference'!$B$2:$J$41,9), " ")</f>
        <v xml:space="preserve"> </v>
      </c>
      <c r="T82" s="8" t="str">
        <f>IFERROR(VLOOKUP($A82,'Project Reference'!$B$2:$K$41,10), " ")</f>
        <v xml:space="preserve"> </v>
      </c>
      <c r="U82" s="8" t="str">
        <f>IFERROR(VLOOKUP($A82,'Project Reference'!$B$2:$L$41,11), " ")</f>
        <v xml:space="preserve"> </v>
      </c>
      <c r="V82" s="8" t="str">
        <f>IFERROR(VLOOKUP($A82,'Project Reference'!$B$2:$M$41,12), " ")</f>
        <v xml:space="preserve"> </v>
      </c>
      <c r="W82" s="8" t="str">
        <f>IFERROR(VLOOKUP($A82,'Project Reference'!$B$2:$N$41,13), " ")</f>
        <v xml:space="preserve"> </v>
      </c>
      <c r="X82" s="8" t="str">
        <f>IFERROR(VLOOKUP($A82,'Project Reference'!$B$2:$O$41,14), " ")</f>
        <v xml:space="preserve"> </v>
      </c>
      <c r="Y82" s="8" t="str">
        <f>IFERROR(VLOOKUP($A82,'Project Reference'!$B$2:$P$41,15), " ")</f>
        <v xml:space="preserve"> </v>
      </c>
      <c r="Z82" s="9" t="str">
        <f>IFERROR(VLOOKUP($A82,'Project Reference'!$B$2:$Q$41,16), " ")</f>
        <v xml:space="preserve"> </v>
      </c>
    </row>
    <row r="83" spans="1:26" s="1" customFormat="1" x14ac:dyDescent="0.45">
      <c r="A83" s="70"/>
      <c r="B83" s="70" t="str">
        <f>IFERROR(VLOOKUP($A83,'Project Reference'!$S$2:$T$41,2),"Enter Project Number")</f>
        <v>Enter Project Number</v>
      </c>
      <c r="C83" s="54"/>
      <c r="D83" s="53"/>
      <c r="E83" s="8"/>
      <c r="F83" s="8"/>
      <c r="G83" s="8"/>
      <c r="H83" s="8"/>
      <c r="I83" s="8"/>
      <c r="J83" s="9"/>
      <c r="K83" s="23"/>
      <c r="L83" s="47" t="str">
        <f>IFERROR(VLOOKUP($A83,'Project Reference'!$B$2:$C$41,2), " ")</f>
        <v xml:space="preserve"> </v>
      </c>
      <c r="M83" s="8" t="str">
        <f>IFERROR(VLOOKUP($A83,'Project Reference'!$B$2:$D$41,3), " ")</f>
        <v xml:space="preserve"> </v>
      </c>
      <c r="N83" s="54" t="str">
        <f>IFERROR(VLOOKUP($A83,'Project Reference'!$B$2:$E$41,4), " ")</f>
        <v xml:space="preserve"> </v>
      </c>
      <c r="O83" s="8" t="str">
        <f>IFERROR(VLOOKUP($A83,'Project Reference'!$B$2:$F$41,5), " ")</f>
        <v xml:space="preserve"> </v>
      </c>
      <c r="P83" s="8" t="str">
        <f>IFERROR(VLOOKUP($A83,'Project Reference'!$B$2:$G$41,6), " ")</f>
        <v xml:space="preserve"> </v>
      </c>
      <c r="Q83" s="8" t="str">
        <f>IFERROR(VLOOKUP($A83,'Project Reference'!$B$2:$H$41,7), " ")</f>
        <v xml:space="preserve"> </v>
      </c>
      <c r="R83" s="8" t="str">
        <f>IFERROR(VLOOKUP($A83,'Project Reference'!$B$2:$I$41,8), " ")</f>
        <v xml:space="preserve"> </v>
      </c>
      <c r="S83" s="8" t="str">
        <f>IFERROR(VLOOKUP($A83,'Project Reference'!$B$2:$J$41,9), " ")</f>
        <v xml:space="preserve"> </v>
      </c>
      <c r="T83" s="8" t="str">
        <f>IFERROR(VLOOKUP($A83,'Project Reference'!$B$2:$K$41,10), " ")</f>
        <v xml:space="preserve"> </v>
      </c>
      <c r="U83" s="8" t="str">
        <f>IFERROR(VLOOKUP($A83,'Project Reference'!$B$2:$L$41,11), " ")</f>
        <v xml:space="preserve"> </v>
      </c>
      <c r="V83" s="8" t="str">
        <f>IFERROR(VLOOKUP($A83,'Project Reference'!$B$2:$M$41,12), " ")</f>
        <v xml:space="preserve"> </v>
      </c>
      <c r="W83" s="8" t="str">
        <f>IFERROR(VLOOKUP($A83,'Project Reference'!$B$2:$N$41,13), " ")</f>
        <v xml:space="preserve"> </v>
      </c>
      <c r="X83" s="8" t="str">
        <f>IFERROR(VLOOKUP($A83,'Project Reference'!$B$2:$O$41,14), " ")</f>
        <v xml:space="preserve"> </v>
      </c>
      <c r="Y83" s="8" t="str">
        <f>IFERROR(VLOOKUP($A83,'Project Reference'!$B$2:$P$41,15), " ")</f>
        <v xml:space="preserve"> </v>
      </c>
      <c r="Z83" s="9" t="str">
        <f>IFERROR(VLOOKUP($A83,'Project Reference'!$B$2:$Q$41,16), " ")</f>
        <v xml:space="preserve"> </v>
      </c>
    </row>
    <row r="84" spans="1:26" s="1" customFormat="1" x14ac:dyDescent="0.45">
      <c r="A84" s="70"/>
      <c r="B84" s="70" t="str">
        <f>IFERROR(VLOOKUP($A84,'Project Reference'!$S$2:$T$41,2),"Enter Project Number")</f>
        <v>Enter Project Number</v>
      </c>
      <c r="C84" s="54"/>
      <c r="D84" s="53"/>
      <c r="E84" s="8"/>
      <c r="F84" s="8"/>
      <c r="G84" s="8"/>
      <c r="H84" s="8"/>
      <c r="I84" s="8"/>
      <c r="J84" s="9"/>
      <c r="K84" s="23"/>
      <c r="L84" s="47" t="str">
        <f>IFERROR(VLOOKUP($A84,'Project Reference'!$B$2:$C$41,2), " ")</f>
        <v xml:space="preserve"> </v>
      </c>
      <c r="M84" s="8" t="str">
        <f>IFERROR(VLOOKUP($A84,'Project Reference'!$B$2:$D$41,3), " ")</f>
        <v xml:space="preserve"> </v>
      </c>
      <c r="N84" s="54" t="str">
        <f>IFERROR(VLOOKUP($A84,'Project Reference'!$B$2:$E$41,4), " ")</f>
        <v xml:space="preserve"> </v>
      </c>
      <c r="O84" s="8" t="str">
        <f>IFERROR(VLOOKUP($A84,'Project Reference'!$B$2:$F$41,5), " ")</f>
        <v xml:space="preserve"> </v>
      </c>
      <c r="P84" s="8" t="str">
        <f>IFERROR(VLOOKUP($A84,'Project Reference'!$B$2:$G$41,6), " ")</f>
        <v xml:space="preserve"> </v>
      </c>
      <c r="Q84" s="8" t="str">
        <f>IFERROR(VLOOKUP($A84,'Project Reference'!$B$2:$H$41,7), " ")</f>
        <v xml:space="preserve"> </v>
      </c>
      <c r="R84" s="8" t="str">
        <f>IFERROR(VLOOKUP($A84,'Project Reference'!$B$2:$I$41,8), " ")</f>
        <v xml:space="preserve"> </v>
      </c>
      <c r="S84" s="8" t="str">
        <f>IFERROR(VLOOKUP($A84,'Project Reference'!$B$2:$J$41,9), " ")</f>
        <v xml:space="preserve"> </v>
      </c>
      <c r="T84" s="8" t="str">
        <f>IFERROR(VLOOKUP($A84,'Project Reference'!$B$2:$K$41,10), " ")</f>
        <v xml:space="preserve"> </v>
      </c>
      <c r="U84" s="8" t="str">
        <f>IFERROR(VLOOKUP($A84,'Project Reference'!$B$2:$L$41,11), " ")</f>
        <v xml:space="preserve"> </v>
      </c>
      <c r="V84" s="8" t="str">
        <f>IFERROR(VLOOKUP($A84,'Project Reference'!$B$2:$M$41,12), " ")</f>
        <v xml:space="preserve"> </v>
      </c>
      <c r="W84" s="8" t="str">
        <f>IFERROR(VLOOKUP($A84,'Project Reference'!$B$2:$N$41,13), " ")</f>
        <v xml:space="preserve"> </v>
      </c>
      <c r="X84" s="8" t="str">
        <f>IFERROR(VLOOKUP($A84,'Project Reference'!$B$2:$O$41,14), " ")</f>
        <v xml:space="preserve"> </v>
      </c>
      <c r="Y84" s="8" t="str">
        <f>IFERROR(VLOOKUP($A84,'Project Reference'!$B$2:$P$41,15), " ")</f>
        <v xml:space="preserve"> </v>
      </c>
      <c r="Z84" s="9" t="str">
        <f>IFERROR(VLOOKUP($A84,'Project Reference'!$B$2:$Q$41,16), " ")</f>
        <v xml:space="preserve"> </v>
      </c>
    </row>
    <row r="85" spans="1:26" s="1" customFormat="1" x14ac:dyDescent="0.45">
      <c r="A85" s="70"/>
      <c r="B85" s="70" t="str">
        <f>IFERROR(VLOOKUP($A85,'Project Reference'!$S$2:$T$41,2),"Enter Project Number")</f>
        <v>Enter Project Number</v>
      </c>
      <c r="C85" s="54"/>
      <c r="D85" s="53"/>
      <c r="E85" s="8"/>
      <c r="F85" s="8"/>
      <c r="G85" s="8"/>
      <c r="H85" s="8"/>
      <c r="I85" s="8"/>
      <c r="J85" s="9"/>
      <c r="K85" s="23"/>
      <c r="L85" s="47" t="str">
        <f>IFERROR(VLOOKUP($A85,'Project Reference'!$B$2:$C$41,2), " ")</f>
        <v xml:space="preserve"> </v>
      </c>
      <c r="M85" s="8" t="str">
        <f>IFERROR(VLOOKUP($A85,'Project Reference'!$B$2:$D$41,3), " ")</f>
        <v xml:space="preserve"> </v>
      </c>
      <c r="N85" s="54" t="str">
        <f>IFERROR(VLOOKUP($A85,'Project Reference'!$B$2:$E$41,4), " ")</f>
        <v xml:space="preserve"> </v>
      </c>
      <c r="O85" s="8" t="str">
        <f>IFERROR(VLOOKUP($A85,'Project Reference'!$B$2:$F$41,5), " ")</f>
        <v xml:space="preserve"> </v>
      </c>
      <c r="P85" s="8" t="str">
        <f>IFERROR(VLOOKUP($A85,'Project Reference'!$B$2:$G$41,6), " ")</f>
        <v xml:space="preserve"> </v>
      </c>
      <c r="Q85" s="8" t="str">
        <f>IFERROR(VLOOKUP($A85,'Project Reference'!$B$2:$H$41,7), " ")</f>
        <v xml:space="preserve"> </v>
      </c>
      <c r="R85" s="8" t="str">
        <f>IFERROR(VLOOKUP($A85,'Project Reference'!$B$2:$I$41,8), " ")</f>
        <v xml:space="preserve"> </v>
      </c>
      <c r="S85" s="8" t="str">
        <f>IFERROR(VLOOKUP($A85,'Project Reference'!$B$2:$J$41,9), " ")</f>
        <v xml:space="preserve"> </v>
      </c>
      <c r="T85" s="8" t="str">
        <f>IFERROR(VLOOKUP($A85,'Project Reference'!$B$2:$K$41,10), " ")</f>
        <v xml:space="preserve"> </v>
      </c>
      <c r="U85" s="8" t="str">
        <f>IFERROR(VLOOKUP($A85,'Project Reference'!$B$2:$L$41,11), " ")</f>
        <v xml:space="preserve"> </v>
      </c>
      <c r="V85" s="8" t="str">
        <f>IFERROR(VLOOKUP($A85,'Project Reference'!$B$2:$M$41,12), " ")</f>
        <v xml:space="preserve"> </v>
      </c>
      <c r="W85" s="8" t="str">
        <f>IFERROR(VLOOKUP($A85,'Project Reference'!$B$2:$N$41,13), " ")</f>
        <v xml:space="preserve"> </v>
      </c>
      <c r="X85" s="8" t="str">
        <f>IFERROR(VLOOKUP($A85,'Project Reference'!$B$2:$O$41,14), " ")</f>
        <v xml:space="preserve"> </v>
      </c>
      <c r="Y85" s="8" t="str">
        <f>IFERROR(VLOOKUP($A85,'Project Reference'!$B$2:$P$41,15), " ")</f>
        <v xml:space="preserve"> </v>
      </c>
      <c r="Z85" s="9" t="str">
        <f>IFERROR(VLOOKUP($A85,'Project Reference'!$B$2:$Q$41,16), " ")</f>
        <v xml:space="preserve"> </v>
      </c>
    </row>
    <row r="86" spans="1:26" s="1" customFormat="1" x14ac:dyDescent="0.45">
      <c r="A86" s="70"/>
      <c r="B86" s="70" t="str">
        <f>IFERROR(VLOOKUP($A86,'Project Reference'!$S$2:$T$41,2),"Enter Project Number")</f>
        <v>Enter Project Number</v>
      </c>
      <c r="C86" s="54"/>
      <c r="D86" s="53"/>
      <c r="E86" s="8"/>
      <c r="F86" s="8"/>
      <c r="G86" s="8"/>
      <c r="H86" s="8"/>
      <c r="I86" s="8"/>
      <c r="J86" s="9"/>
      <c r="K86" s="23"/>
      <c r="L86" s="47" t="str">
        <f>IFERROR(VLOOKUP($A86,'Project Reference'!$B$2:$C$41,2), " ")</f>
        <v xml:space="preserve"> </v>
      </c>
      <c r="M86" s="8" t="str">
        <f>IFERROR(VLOOKUP($A86,'Project Reference'!$B$2:$D$41,3), " ")</f>
        <v xml:space="preserve"> </v>
      </c>
      <c r="N86" s="54" t="str">
        <f>IFERROR(VLOOKUP($A86,'Project Reference'!$B$2:$E$41,4), " ")</f>
        <v xml:space="preserve"> </v>
      </c>
      <c r="O86" s="8" t="str">
        <f>IFERROR(VLOOKUP($A86,'Project Reference'!$B$2:$F$41,5), " ")</f>
        <v xml:space="preserve"> </v>
      </c>
      <c r="P86" s="8" t="str">
        <f>IFERROR(VLOOKUP($A86,'Project Reference'!$B$2:$G$41,6), " ")</f>
        <v xml:space="preserve"> </v>
      </c>
      <c r="Q86" s="8" t="str">
        <f>IFERROR(VLOOKUP($A86,'Project Reference'!$B$2:$H$41,7), " ")</f>
        <v xml:space="preserve"> </v>
      </c>
      <c r="R86" s="8" t="str">
        <f>IFERROR(VLOOKUP($A86,'Project Reference'!$B$2:$I$41,8), " ")</f>
        <v xml:space="preserve"> </v>
      </c>
      <c r="S86" s="8" t="str">
        <f>IFERROR(VLOOKUP($A86,'Project Reference'!$B$2:$J$41,9), " ")</f>
        <v xml:space="preserve"> </v>
      </c>
      <c r="T86" s="8" t="str">
        <f>IFERROR(VLOOKUP($A86,'Project Reference'!$B$2:$K$41,10), " ")</f>
        <v xml:space="preserve"> </v>
      </c>
      <c r="U86" s="8" t="str">
        <f>IFERROR(VLOOKUP($A86,'Project Reference'!$B$2:$L$41,11), " ")</f>
        <v xml:space="preserve"> </v>
      </c>
      <c r="V86" s="8" t="str">
        <f>IFERROR(VLOOKUP($A86,'Project Reference'!$B$2:$M$41,12), " ")</f>
        <v xml:space="preserve"> </v>
      </c>
      <c r="W86" s="8" t="str">
        <f>IFERROR(VLOOKUP($A86,'Project Reference'!$B$2:$N$41,13), " ")</f>
        <v xml:space="preserve"> </v>
      </c>
      <c r="X86" s="8" t="str">
        <f>IFERROR(VLOOKUP($A86,'Project Reference'!$B$2:$O$41,14), " ")</f>
        <v xml:space="preserve"> </v>
      </c>
      <c r="Y86" s="8" t="str">
        <f>IFERROR(VLOOKUP($A86,'Project Reference'!$B$2:$P$41,15), " ")</f>
        <v xml:space="preserve"> </v>
      </c>
      <c r="Z86" s="9" t="str">
        <f>IFERROR(VLOOKUP($A86,'Project Reference'!$B$2:$Q$41,16), " ")</f>
        <v xml:space="preserve"> </v>
      </c>
    </row>
    <row r="87" spans="1:26" s="1" customFormat="1" x14ac:dyDescent="0.45">
      <c r="A87" s="70"/>
      <c r="B87" s="70" t="str">
        <f>IFERROR(VLOOKUP($A87,'Project Reference'!$S$2:$T$41,2),"Enter Project Number")</f>
        <v>Enter Project Number</v>
      </c>
      <c r="C87" s="54"/>
      <c r="D87" s="53"/>
      <c r="E87" s="8"/>
      <c r="F87" s="8"/>
      <c r="G87" s="8"/>
      <c r="H87" s="8"/>
      <c r="I87" s="8"/>
      <c r="J87" s="9"/>
      <c r="K87" s="23"/>
      <c r="L87" s="47" t="str">
        <f>IFERROR(VLOOKUP($A87,'Project Reference'!$B$2:$C$41,2), " ")</f>
        <v xml:space="preserve"> </v>
      </c>
      <c r="M87" s="8" t="str">
        <f>IFERROR(VLOOKUP($A87,'Project Reference'!$B$2:$D$41,3), " ")</f>
        <v xml:space="preserve"> </v>
      </c>
      <c r="N87" s="54" t="str">
        <f>IFERROR(VLOOKUP($A87,'Project Reference'!$B$2:$E$41,4), " ")</f>
        <v xml:space="preserve"> </v>
      </c>
      <c r="O87" s="8" t="str">
        <f>IFERROR(VLOOKUP($A87,'Project Reference'!$B$2:$F$41,5), " ")</f>
        <v xml:space="preserve"> </v>
      </c>
      <c r="P87" s="8" t="str">
        <f>IFERROR(VLOOKUP($A87,'Project Reference'!$B$2:$G$41,6), " ")</f>
        <v xml:space="preserve"> </v>
      </c>
      <c r="Q87" s="8" t="str">
        <f>IFERROR(VLOOKUP($A87,'Project Reference'!$B$2:$H$41,7), " ")</f>
        <v xml:space="preserve"> </v>
      </c>
      <c r="R87" s="8" t="str">
        <f>IFERROR(VLOOKUP($A87,'Project Reference'!$B$2:$I$41,8), " ")</f>
        <v xml:space="preserve"> </v>
      </c>
      <c r="S87" s="8" t="str">
        <f>IFERROR(VLOOKUP($A87,'Project Reference'!$B$2:$J$41,9), " ")</f>
        <v xml:space="preserve"> </v>
      </c>
      <c r="T87" s="8" t="str">
        <f>IFERROR(VLOOKUP($A87,'Project Reference'!$B$2:$K$41,10), " ")</f>
        <v xml:space="preserve"> </v>
      </c>
      <c r="U87" s="8" t="str">
        <f>IFERROR(VLOOKUP($A87,'Project Reference'!$B$2:$L$41,11), " ")</f>
        <v xml:space="preserve"> </v>
      </c>
      <c r="V87" s="8" t="str">
        <f>IFERROR(VLOOKUP($A87,'Project Reference'!$B$2:$M$41,12), " ")</f>
        <v xml:space="preserve"> </v>
      </c>
      <c r="W87" s="8" t="str">
        <f>IFERROR(VLOOKUP($A87,'Project Reference'!$B$2:$N$41,13), " ")</f>
        <v xml:space="preserve"> </v>
      </c>
      <c r="X87" s="8" t="str">
        <f>IFERROR(VLOOKUP($A87,'Project Reference'!$B$2:$O$41,14), " ")</f>
        <v xml:space="preserve"> </v>
      </c>
      <c r="Y87" s="8" t="str">
        <f>IFERROR(VLOOKUP($A87,'Project Reference'!$B$2:$P$41,15), " ")</f>
        <v xml:space="preserve"> </v>
      </c>
      <c r="Z87" s="9" t="str">
        <f>IFERROR(VLOOKUP($A87,'Project Reference'!$B$2:$Q$41,16), " ")</f>
        <v xml:space="preserve"> </v>
      </c>
    </row>
    <row r="88" spans="1:26" s="1" customFormat="1" x14ac:dyDescent="0.45">
      <c r="A88" s="70"/>
      <c r="B88" s="70" t="str">
        <f>IFERROR(VLOOKUP($A88,'Project Reference'!$S$2:$T$41,2),"Enter Project Number")</f>
        <v>Enter Project Number</v>
      </c>
      <c r="C88" s="54"/>
      <c r="D88" s="53"/>
      <c r="E88" s="8"/>
      <c r="F88" s="8"/>
      <c r="G88" s="8"/>
      <c r="H88" s="8"/>
      <c r="I88" s="8"/>
      <c r="J88" s="9"/>
      <c r="K88" s="23"/>
      <c r="L88" s="47" t="str">
        <f>IFERROR(VLOOKUP($A88,'Project Reference'!$B$2:$C$41,2), " ")</f>
        <v xml:space="preserve"> </v>
      </c>
      <c r="M88" s="8" t="str">
        <f>IFERROR(VLOOKUP($A88,'Project Reference'!$B$2:$D$41,3), " ")</f>
        <v xml:space="preserve"> </v>
      </c>
      <c r="N88" s="54" t="str">
        <f>IFERROR(VLOOKUP($A88,'Project Reference'!$B$2:$E$41,4), " ")</f>
        <v xml:space="preserve"> </v>
      </c>
      <c r="O88" s="8" t="str">
        <f>IFERROR(VLOOKUP($A88,'Project Reference'!$B$2:$F$41,5), " ")</f>
        <v xml:space="preserve"> </v>
      </c>
      <c r="P88" s="8" t="str">
        <f>IFERROR(VLOOKUP($A88,'Project Reference'!$B$2:$G$41,6), " ")</f>
        <v xml:space="preserve"> </v>
      </c>
      <c r="Q88" s="8" t="str">
        <f>IFERROR(VLOOKUP($A88,'Project Reference'!$B$2:$H$41,7), " ")</f>
        <v xml:space="preserve"> </v>
      </c>
      <c r="R88" s="8" t="str">
        <f>IFERROR(VLOOKUP($A88,'Project Reference'!$B$2:$I$41,8), " ")</f>
        <v xml:space="preserve"> </v>
      </c>
      <c r="S88" s="8" t="str">
        <f>IFERROR(VLOOKUP($A88,'Project Reference'!$B$2:$J$41,9), " ")</f>
        <v xml:space="preserve"> </v>
      </c>
      <c r="T88" s="8" t="str">
        <f>IFERROR(VLOOKUP($A88,'Project Reference'!$B$2:$K$41,10), " ")</f>
        <v xml:space="preserve"> </v>
      </c>
      <c r="U88" s="8" t="str">
        <f>IFERROR(VLOOKUP($A88,'Project Reference'!$B$2:$L$41,11), " ")</f>
        <v xml:space="preserve"> </v>
      </c>
      <c r="V88" s="8" t="str">
        <f>IFERROR(VLOOKUP($A88,'Project Reference'!$B$2:$M$41,12), " ")</f>
        <v xml:space="preserve"> </v>
      </c>
      <c r="W88" s="8" t="str">
        <f>IFERROR(VLOOKUP($A88,'Project Reference'!$B$2:$N$41,13), " ")</f>
        <v xml:space="preserve"> </v>
      </c>
      <c r="X88" s="8" t="str">
        <f>IFERROR(VLOOKUP($A88,'Project Reference'!$B$2:$O$41,14), " ")</f>
        <v xml:space="preserve"> </v>
      </c>
      <c r="Y88" s="8" t="str">
        <f>IFERROR(VLOOKUP($A88,'Project Reference'!$B$2:$P$41,15), " ")</f>
        <v xml:space="preserve"> </v>
      </c>
      <c r="Z88" s="9" t="str">
        <f>IFERROR(VLOOKUP($A88,'Project Reference'!$B$2:$Q$41,16), " ")</f>
        <v xml:space="preserve"> </v>
      </c>
    </row>
    <row r="89" spans="1:26" s="1" customFormat="1" x14ac:dyDescent="0.45">
      <c r="A89" s="70"/>
      <c r="B89" s="70" t="str">
        <f>IFERROR(VLOOKUP($A89,'Project Reference'!$S$2:$T$41,2),"Enter Project Number")</f>
        <v>Enter Project Number</v>
      </c>
      <c r="C89" s="54"/>
      <c r="D89" s="53"/>
      <c r="E89" s="8"/>
      <c r="F89" s="8"/>
      <c r="G89" s="8"/>
      <c r="H89" s="8"/>
      <c r="I89" s="8"/>
      <c r="J89" s="9"/>
      <c r="K89" s="23"/>
      <c r="L89" s="47" t="str">
        <f>IFERROR(VLOOKUP($A89,'Project Reference'!$B$2:$C$41,2), " ")</f>
        <v xml:space="preserve"> </v>
      </c>
      <c r="M89" s="8" t="str">
        <f>IFERROR(VLOOKUP($A89,'Project Reference'!$B$2:$D$41,3), " ")</f>
        <v xml:space="preserve"> </v>
      </c>
      <c r="N89" s="54" t="str">
        <f>IFERROR(VLOOKUP($A89,'Project Reference'!$B$2:$E$41,4), " ")</f>
        <v xml:space="preserve"> </v>
      </c>
      <c r="O89" s="8" t="str">
        <f>IFERROR(VLOOKUP($A89,'Project Reference'!$B$2:$F$41,5), " ")</f>
        <v xml:space="preserve"> </v>
      </c>
      <c r="P89" s="8" t="str">
        <f>IFERROR(VLOOKUP($A89,'Project Reference'!$B$2:$G$41,6), " ")</f>
        <v xml:space="preserve"> </v>
      </c>
      <c r="Q89" s="8" t="str">
        <f>IFERROR(VLOOKUP($A89,'Project Reference'!$B$2:$H$41,7), " ")</f>
        <v xml:space="preserve"> </v>
      </c>
      <c r="R89" s="8" t="str">
        <f>IFERROR(VLOOKUP($A89,'Project Reference'!$B$2:$I$41,8), " ")</f>
        <v xml:space="preserve"> </v>
      </c>
      <c r="S89" s="8" t="str">
        <f>IFERROR(VLOOKUP($A89,'Project Reference'!$B$2:$J$41,9), " ")</f>
        <v xml:space="preserve"> </v>
      </c>
      <c r="T89" s="8" t="str">
        <f>IFERROR(VLOOKUP($A89,'Project Reference'!$B$2:$K$41,10), " ")</f>
        <v xml:space="preserve"> </v>
      </c>
      <c r="U89" s="8" t="str">
        <f>IFERROR(VLOOKUP($A89,'Project Reference'!$B$2:$L$41,11), " ")</f>
        <v xml:space="preserve"> </v>
      </c>
      <c r="V89" s="8" t="str">
        <f>IFERROR(VLOOKUP($A89,'Project Reference'!$B$2:$M$41,12), " ")</f>
        <v xml:space="preserve"> </v>
      </c>
      <c r="W89" s="8" t="str">
        <f>IFERROR(VLOOKUP($A89,'Project Reference'!$B$2:$N$41,13), " ")</f>
        <v xml:space="preserve"> </v>
      </c>
      <c r="X89" s="8" t="str">
        <f>IFERROR(VLOOKUP($A89,'Project Reference'!$B$2:$O$41,14), " ")</f>
        <v xml:space="preserve"> </v>
      </c>
      <c r="Y89" s="8" t="str">
        <f>IFERROR(VLOOKUP($A89,'Project Reference'!$B$2:$P$41,15), " ")</f>
        <v xml:space="preserve"> </v>
      </c>
      <c r="Z89" s="9" t="str">
        <f>IFERROR(VLOOKUP($A89,'Project Reference'!$B$2:$Q$41,16), " ")</f>
        <v xml:space="preserve"> </v>
      </c>
    </row>
    <row r="90" spans="1:26" s="1" customFormat="1" x14ac:dyDescent="0.45">
      <c r="A90" s="70"/>
      <c r="B90" s="70" t="str">
        <f>IFERROR(VLOOKUP($A90,'Project Reference'!$S$2:$T$41,2),"Enter Project Number")</f>
        <v>Enter Project Number</v>
      </c>
      <c r="C90" s="54"/>
      <c r="D90" s="53"/>
      <c r="E90" s="8"/>
      <c r="F90" s="8"/>
      <c r="G90" s="8"/>
      <c r="H90" s="8"/>
      <c r="I90" s="8"/>
      <c r="J90" s="9"/>
      <c r="K90" s="23"/>
      <c r="L90" s="47" t="str">
        <f>IFERROR(VLOOKUP($A90,'Project Reference'!$B$2:$C$41,2), " ")</f>
        <v xml:space="preserve"> </v>
      </c>
      <c r="M90" s="8" t="str">
        <f>IFERROR(VLOOKUP($A90,'Project Reference'!$B$2:$D$41,3), " ")</f>
        <v xml:space="preserve"> </v>
      </c>
      <c r="N90" s="54" t="str">
        <f>IFERROR(VLOOKUP($A90,'Project Reference'!$B$2:$E$41,4), " ")</f>
        <v xml:space="preserve"> </v>
      </c>
      <c r="O90" s="8" t="str">
        <f>IFERROR(VLOOKUP($A90,'Project Reference'!$B$2:$F$41,5), " ")</f>
        <v xml:space="preserve"> </v>
      </c>
      <c r="P90" s="8" t="str">
        <f>IFERROR(VLOOKUP($A90,'Project Reference'!$B$2:$G$41,6), " ")</f>
        <v xml:space="preserve"> </v>
      </c>
      <c r="Q90" s="8" t="str">
        <f>IFERROR(VLOOKUP($A90,'Project Reference'!$B$2:$H$41,7), " ")</f>
        <v xml:space="preserve"> </v>
      </c>
      <c r="R90" s="8" t="str">
        <f>IFERROR(VLOOKUP($A90,'Project Reference'!$B$2:$I$41,8), " ")</f>
        <v xml:space="preserve"> </v>
      </c>
      <c r="S90" s="8" t="str">
        <f>IFERROR(VLOOKUP($A90,'Project Reference'!$B$2:$J$41,9), " ")</f>
        <v xml:space="preserve"> </v>
      </c>
      <c r="T90" s="8" t="str">
        <f>IFERROR(VLOOKUP($A90,'Project Reference'!$B$2:$K$41,10), " ")</f>
        <v xml:space="preserve"> </v>
      </c>
      <c r="U90" s="8" t="str">
        <f>IFERROR(VLOOKUP($A90,'Project Reference'!$B$2:$L$41,11), " ")</f>
        <v xml:space="preserve"> </v>
      </c>
      <c r="V90" s="8" t="str">
        <f>IFERROR(VLOOKUP($A90,'Project Reference'!$B$2:$M$41,12), " ")</f>
        <v xml:space="preserve"> </v>
      </c>
      <c r="W90" s="8" t="str">
        <f>IFERROR(VLOOKUP($A90,'Project Reference'!$B$2:$N$41,13), " ")</f>
        <v xml:space="preserve"> </v>
      </c>
      <c r="X90" s="8" t="str">
        <f>IFERROR(VLOOKUP($A90,'Project Reference'!$B$2:$O$41,14), " ")</f>
        <v xml:space="preserve"> </v>
      </c>
      <c r="Y90" s="8" t="str">
        <f>IFERROR(VLOOKUP($A90,'Project Reference'!$B$2:$P$41,15), " ")</f>
        <v xml:space="preserve"> </v>
      </c>
      <c r="Z90" s="9" t="str">
        <f>IFERROR(VLOOKUP($A90,'Project Reference'!$B$2:$Q$41,16), " ")</f>
        <v xml:space="preserve"> </v>
      </c>
    </row>
    <row r="91" spans="1:26" s="1" customFormat="1" x14ac:dyDescent="0.45">
      <c r="A91" s="70"/>
      <c r="B91" s="70" t="str">
        <f>IFERROR(VLOOKUP($A91,'Project Reference'!$S$2:$T$41,2),"Enter Project Number")</f>
        <v>Enter Project Number</v>
      </c>
      <c r="C91" s="54"/>
      <c r="D91" s="53"/>
      <c r="E91" s="8"/>
      <c r="F91" s="8"/>
      <c r="G91" s="8"/>
      <c r="H91" s="8"/>
      <c r="I91" s="8"/>
      <c r="J91" s="9"/>
      <c r="K91" s="23"/>
      <c r="L91" s="47" t="str">
        <f>IFERROR(VLOOKUP($A91,'Project Reference'!$B$2:$C$41,2), " ")</f>
        <v xml:space="preserve"> </v>
      </c>
      <c r="M91" s="8" t="str">
        <f>IFERROR(VLOOKUP($A91,'Project Reference'!$B$2:$D$41,3), " ")</f>
        <v xml:space="preserve"> </v>
      </c>
      <c r="N91" s="54" t="str">
        <f>IFERROR(VLOOKUP($A91,'Project Reference'!$B$2:$E$41,4), " ")</f>
        <v xml:space="preserve"> </v>
      </c>
      <c r="O91" s="8" t="str">
        <f>IFERROR(VLOOKUP($A91,'Project Reference'!$B$2:$F$41,5), " ")</f>
        <v xml:space="preserve"> </v>
      </c>
      <c r="P91" s="8" t="str">
        <f>IFERROR(VLOOKUP($A91,'Project Reference'!$B$2:$G$41,6), " ")</f>
        <v xml:space="preserve"> </v>
      </c>
      <c r="Q91" s="8" t="str">
        <f>IFERROR(VLOOKUP($A91,'Project Reference'!$B$2:$H$41,7), " ")</f>
        <v xml:space="preserve"> </v>
      </c>
      <c r="R91" s="8" t="str">
        <f>IFERROR(VLOOKUP($A91,'Project Reference'!$B$2:$I$41,8), " ")</f>
        <v xml:space="preserve"> </v>
      </c>
      <c r="S91" s="8" t="str">
        <f>IFERROR(VLOOKUP($A91,'Project Reference'!$B$2:$J$41,9), " ")</f>
        <v xml:space="preserve"> </v>
      </c>
      <c r="T91" s="8" t="str">
        <f>IFERROR(VLOOKUP($A91,'Project Reference'!$B$2:$K$41,10), " ")</f>
        <v xml:space="preserve"> </v>
      </c>
      <c r="U91" s="8" t="str">
        <f>IFERROR(VLOOKUP($A91,'Project Reference'!$B$2:$L$41,11), " ")</f>
        <v xml:space="preserve"> </v>
      </c>
      <c r="V91" s="8" t="str">
        <f>IFERROR(VLOOKUP($A91,'Project Reference'!$B$2:$M$41,12), " ")</f>
        <v xml:space="preserve"> </v>
      </c>
      <c r="W91" s="8" t="str">
        <f>IFERROR(VLOOKUP($A91,'Project Reference'!$B$2:$N$41,13), " ")</f>
        <v xml:space="preserve"> </v>
      </c>
      <c r="X91" s="8" t="str">
        <f>IFERROR(VLOOKUP($A91,'Project Reference'!$B$2:$O$41,14), " ")</f>
        <v xml:space="preserve"> </v>
      </c>
      <c r="Y91" s="8" t="str">
        <f>IFERROR(VLOOKUP($A91,'Project Reference'!$B$2:$P$41,15), " ")</f>
        <v xml:space="preserve"> </v>
      </c>
      <c r="Z91" s="9" t="str">
        <f>IFERROR(VLOOKUP($A91,'Project Reference'!$B$2:$Q$41,16), " ")</f>
        <v xml:space="preserve"> </v>
      </c>
    </row>
    <row r="92" spans="1:26" s="1" customFormat="1" x14ac:dyDescent="0.45">
      <c r="A92" s="70"/>
      <c r="B92" s="70" t="str">
        <f>IFERROR(VLOOKUP($A92,'Project Reference'!$S$2:$T$41,2),"Enter Project Number")</f>
        <v>Enter Project Number</v>
      </c>
      <c r="C92" s="54"/>
      <c r="D92" s="53"/>
      <c r="E92" s="8"/>
      <c r="F92" s="8"/>
      <c r="G92" s="8"/>
      <c r="H92" s="8"/>
      <c r="I92" s="8"/>
      <c r="J92" s="9"/>
      <c r="K92" s="23"/>
      <c r="L92" s="47" t="str">
        <f>IFERROR(VLOOKUP($A92,'Project Reference'!$B$2:$C$41,2), " ")</f>
        <v xml:space="preserve"> </v>
      </c>
      <c r="M92" s="8" t="str">
        <f>IFERROR(VLOOKUP($A92,'Project Reference'!$B$2:$D$41,3), " ")</f>
        <v xml:space="preserve"> </v>
      </c>
      <c r="N92" s="54" t="str">
        <f>IFERROR(VLOOKUP($A92,'Project Reference'!$B$2:$E$41,4), " ")</f>
        <v xml:space="preserve"> </v>
      </c>
      <c r="O92" s="8" t="str">
        <f>IFERROR(VLOOKUP($A92,'Project Reference'!$B$2:$F$41,5), " ")</f>
        <v xml:space="preserve"> </v>
      </c>
      <c r="P92" s="8" t="str">
        <f>IFERROR(VLOOKUP($A92,'Project Reference'!$B$2:$G$41,6), " ")</f>
        <v xml:space="preserve"> </v>
      </c>
      <c r="Q92" s="8" t="str">
        <f>IFERROR(VLOOKUP($A92,'Project Reference'!$B$2:$H$41,7), " ")</f>
        <v xml:space="preserve"> </v>
      </c>
      <c r="R92" s="8" t="str">
        <f>IFERROR(VLOOKUP($A92,'Project Reference'!$B$2:$I$41,8), " ")</f>
        <v xml:space="preserve"> </v>
      </c>
      <c r="S92" s="8" t="str">
        <f>IFERROR(VLOOKUP($A92,'Project Reference'!$B$2:$J$41,9), " ")</f>
        <v xml:space="preserve"> </v>
      </c>
      <c r="T92" s="8" t="str">
        <f>IFERROR(VLOOKUP($A92,'Project Reference'!$B$2:$K$41,10), " ")</f>
        <v xml:space="preserve"> </v>
      </c>
      <c r="U92" s="8" t="str">
        <f>IFERROR(VLOOKUP($A92,'Project Reference'!$B$2:$L$41,11), " ")</f>
        <v xml:space="preserve"> </v>
      </c>
      <c r="V92" s="8" t="str">
        <f>IFERROR(VLOOKUP($A92,'Project Reference'!$B$2:$M$41,12), " ")</f>
        <v xml:space="preserve"> </v>
      </c>
      <c r="W92" s="8" t="str">
        <f>IFERROR(VLOOKUP($A92,'Project Reference'!$B$2:$N$41,13), " ")</f>
        <v xml:space="preserve"> </v>
      </c>
      <c r="X92" s="8" t="str">
        <f>IFERROR(VLOOKUP($A92,'Project Reference'!$B$2:$O$41,14), " ")</f>
        <v xml:space="preserve"> </v>
      </c>
      <c r="Y92" s="8" t="str">
        <f>IFERROR(VLOOKUP($A92,'Project Reference'!$B$2:$P$41,15), " ")</f>
        <v xml:space="preserve"> </v>
      </c>
      <c r="Z92" s="9" t="str">
        <f>IFERROR(VLOOKUP($A92,'Project Reference'!$B$2:$Q$41,16), " ")</f>
        <v xml:space="preserve"> </v>
      </c>
    </row>
    <row r="93" spans="1:26" s="1" customFormat="1" x14ac:dyDescent="0.45">
      <c r="A93" s="70"/>
      <c r="B93" s="70" t="str">
        <f>IFERROR(VLOOKUP($A93,'Project Reference'!$S$2:$T$41,2),"Enter Project Number")</f>
        <v>Enter Project Number</v>
      </c>
      <c r="C93" s="54"/>
      <c r="D93" s="53"/>
      <c r="E93" s="8"/>
      <c r="F93" s="8"/>
      <c r="G93" s="8"/>
      <c r="H93" s="8"/>
      <c r="I93" s="8"/>
      <c r="J93" s="9"/>
      <c r="K93" s="23"/>
      <c r="L93" s="47" t="str">
        <f>IFERROR(VLOOKUP($A93,'Project Reference'!$B$2:$C$41,2), " ")</f>
        <v xml:space="preserve"> </v>
      </c>
      <c r="M93" s="8" t="str">
        <f>IFERROR(VLOOKUP($A93,'Project Reference'!$B$2:$D$41,3), " ")</f>
        <v xml:space="preserve"> </v>
      </c>
      <c r="N93" s="54" t="str">
        <f>IFERROR(VLOOKUP($A93,'Project Reference'!$B$2:$E$41,4), " ")</f>
        <v xml:space="preserve"> </v>
      </c>
      <c r="O93" s="8" t="str">
        <f>IFERROR(VLOOKUP($A93,'Project Reference'!$B$2:$F$41,5), " ")</f>
        <v xml:space="preserve"> </v>
      </c>
      <c r="P93" s="8" t="str">
        <f>IFERROR(VLOOKUP($A93,'Project Reference'!$B$2:$G$41,6), " ")</f>
        <v xml:space="preserve"> </v>
      </c>
      <c r="Q93" s="8" t="str">
        <f>IFERROR(VLOOKUP($A93,'Project Reference'!$B$2:$H$41,7), " ")</f>
        <v xml:space="preserve"> </v>
      </c>
      <c r="R93" s="8" t="str">
        <f>IFERROR(VLOOKUP($A93,'Project Reference'!$B$2:$I$41,8), " ")</f>
        <v xml:space="preserve"> </v>
      </c>
      <c r="S93" s="8" t="str">
        <f>IFERROR(VLOOKUP($A93,'Project Reference'!$B$2:$J$41,9), " ")</f>
        <v xml:space="preserve"> </v>
      </c>
      <c r="T93" s="8" t="str">
        <f>IFERROR(VLOOKUP($A93,'Project Reference'!$B$2:$K$41,10), " ")</f>
        <v xml:space="preserve"> </v>
      </c>
      <c r="U93" s="8" t="str">
        <f>IFERROR(VLOOKUP($A93,'Project Reference'!$B$2:$L$41,11), " ")</f>
        <v xml:space="preserve"> </v>
      </c>
      <c r="V93" s="8" t="str">
        <f>IFERROR(VLOOKUP($A93,'Project Reference'!$B$2:$M$41,12), " ")</f>
        <v xml:space="preserve"> </v>
      </c>
      <c r="W93" s="8" t="str">
        <f>IFERROR(VLOOKUP($A93,'Project Reference'!$B$2:$N$41,13), " ")</f>
        <v xml:space="preserve"> </v>
      </c>
      <c r="X93" s="8" t="str">
        <f>IFERROR(VLOOKUP($A93,'Project Reference'!$B$2:$O$41,14), " ")</f>
        <v xml:space="preserve"> </v>
      </c>
      <c r="Y93" s="8" t="str">
        <f>IFERROR(VLOOKUP($A93,'Project Reference'!$B$2:$P$41,15), " ")</f>
        <v xml:space="preserve"> </v>
      </c>
      <c r="Z93" s="9" t="str">
        <f>IFERROR(VLOOKUP($A93,'Project Reference'!$B$2:$Q$41,16), " ")</f>
        <v xml:space="preserve"> </v>
      </c>
    </row>
    <row r="94" spans="1:26" s="1" customFormat="1" x14ac:dyDescent="0.45">
      <c r="A94" s="70"/>
      <c r="B94" s="70" t="str">
        <f>IFERROR(VLOOKUP($A94,'Project Reference'!$S$2:$T$41,2),"Enter Project Number")</f>
        <v>Enter Project Number</v>
      </c>
      <c r="C94" s="54"/>
      <c r="D94" s="53"/>
      <c r="E94" s="8"/>
      <c r="F94" s="8"/>
      <c r="G94" s="8"/>
      <c r="H94" s="8"/>
      <c r="I94" s="8"/>
      <c r="J94" s="9"/>
      <c r="K94" s="23"/>
      <c r="L94" s="47" t="str">
        <f>IFERROR(VLOOKUP($A94,'Project Reference'!$B$2:$C$41,2), " ")</f>
        <v xml:space="preserve"> </v>
      </c>
      <c r="M94" s="8" t="str">
        <f>IFERROR(VLOOKUP($A94,'Project Reference'!$B$2:$D$41,3), " ")</f>
        <v xml:space="preserve"> </v>
      </c>
      <c r="N94" s="54" t="str">
        <f>IFERROR(VLOOKUP($A94,'Project Reference'!$B$2:$E$41,4), " ")</f>
        <v xml:space="preserve"> </v>
      </c>
      <c r="O94" s="8" t="str">
        <f>IFERROR(VLOOKUP($A94,'Project Reference'!$B$2:$F$41,5), " ")</f>
        <v xml:space="preserve"> </v>
      </c>
      <c r="P94" s="8" t="str">
        <f>IFERROR(VLOOKUP($A94,'Project Reference'!$B$2:$G$41,6), " ")</f>
        <v xml:space="preserve"> </v>
      </c>
      <c r="Q94" s="8" t="str">
        <f>IFERROR(VLOOKUP($A94,'Project Reference'!$B$2:$H$41,7), " ")</f>
        <v xml:space="preserve"> </v>
      </c>
      <c r="R94" s="8" t="str">
        <f>IFERROR(VLOOKUP($A94,'Project Reference'!$B$2:$I$41,8), " ")</f>
        <v xml:space="preserve"> </v>
      </c>
      <c r="S94" s="8" t="str">
        <f>IFERROR(VLOOKUP($A94,'Project Reference'!$B$2:$J$41,9), " ")</f>
        <v xml:space="preserve"> </v>
      </c>
      <c r="T94" s="8" t="str">
        <f>IFERROR(VLOOKUP($A94,'Project Reference'!$B$2:$K$41,10), " ")</f>
        <v xml:space="preserve"> </v>
      </c>
      <c r="U94" s="8" t="str">
        <f>IFERROR(VLOOKUP($A94,'Project Reference'!$B$2:$L$41,11), " ")</f>
        <v xml:space="preserve"> </v>
      </c>
      <c r="V94" s="8" t="str">
        <f>IFERROR(VLOOKUP($A94,'Project Reference'!$B$2:$M$41,12), " ")</f>
        <v xml:space="preserve"> </v>
      </c>
      <c r="W94" s="8" t="str">
        <f>IFERROR(VLOOKUP($A94,'Project Reference'!$B$2:$N$41,13), " ")</f>
        <v xml:space="preserve"> </v>
      </c>
      <c r="X94" s="8" t="str">
        <f>IFERROR(VLOOKUP($A94,'Project Reference'!$B$2:$O$41,14), " ")</f>
        <v xml:space="preserve"> </v>
      </c>
      <c r="Y94" s="8" t="str">
        <f>IFERROR(VLOOKUP($A94,'Project Reference'!$B$2:$P$41,15), " ")</f>
        <v xml:space="preserve"> </v>
      </c>
      <c r="Z94" s="9" t="str">
        <f>IFERROR(VLOOKUP($A94,'Project Reference'!$B$2:$Q$41,16), " ")</f>
        <v xml:space="preserve"> </v>
      </c>
    </row>
    <row r="95" spans="1:26" s="1" customFormat="1" x14ac:dyDescent="0.45">
      <c r="A95" s="70"/>
      <c r="B95" s="70" t="str">
        <f>IFERROR(VLOOKUP($A95,'Project Reference'!$S$2:$T$41,2),"Enter Project Number")</f>
        <v>Enter Project Number</v>
      </c>
      <c r="C95" s="54"/>
      <c r="D95" s="53"/>
      <c r="E95" s="8"/>
      <c r="F95" s="8"/>
      <c r="G95" s="8"/>
      <c r="H95" s="8"/>
      <c r="I95" s="8"/>
      <c r="J95" s="9"/>
      <c r="K95" s="23"/>
      <c r="L95" s="47" t="str">
        <f>IFERROR(VLOOKUP($A95,'Project Reference'!$B$2:$C$41,2), " ")</f>
        <v xml:space="preserve"> </v>
      </c>
      <c r="M95" s="8" t="str">
        <f>IFERROR(VLOOKUP($A95,'Project Reference'!$B$2:$D$41,3), " ")</f>
        <v xml:space="preserve"> </v>
      </c>
      <c r="N95" s="54" t="str">
        <f>IFERROR(VLOOKUP($A95,'Project Reference'!$B$2:$E$41,4), " ")</f>
        <v xml:space="preserve"> </v>
      </c>
      <c r="O95" s="8" t="str">
        <f>IFERROR(VLOOKUP($A95,'Project Reference'!$B$2:$F$41,5), " ")</f>
        <v xml:space="preserve"> </v>
      </c>
      <c r="P95" s="8" t="str">
        <f>IFERROR(VLOOKUP($A95,'Project Reference'!$B$2:$G$41,6), " ")</f>
        <v xml:space="preserve"> </v>
      </c>
      <c r="Q95" s="8" t="str">
        <f>IFERROR(VLOOKUP($A95,'Project Reference'!$B$2:$H$41,7), " ")</f>
        <v xml:space="preserve"> </v>
      </c>
      <c r="R95" s="8" t="str">
        <f>IFERROR(VLOOKUP($A95,'Project Reference'!$B$2:$I$41,8), " ")</f>
        <v xml:space="preserve"> </v>
      </c>
      <c r="S95" s="8" t="str">
        <f>IFERROR(VLOOKUP($A95,'Project Reference'!$B$2:$J$41,9), " ")</f>
        <v xml:space="preserve"> </v>
      </c>
      <c r="T95" s="8" t="str">
        <f>IFERROR(VLOOKUP($A95,'Project Reference'!$B$2:$K$41,10), " ")</f>
        <v xml:space="preserve"> </v>
      </c>
      <c r="U95" s="8" t="str">
        <f>IFERROR(VLOOKUP($A95,'Project Reference'!$B$2:$L$41,11), " ")</f>
        <v xml:space="preserve"> </v>
      </c>
      <c r="V95" s="8" t="str">
        <f>IFERROR(VLOOKUP($A95,'Project Reference'!$B$2:$M$41,12), " ")</f>
        <v xml:space="preserve"> </v>
      </c>
      <c r="W95" s="8" t="str">
        <f>IFERROR(VLOOKUP($A95,'Project Reference'!$B$2:$N$41,13), " ")</f>
        <v xml:space="preserve"> </v>
      </c>
      <c r="X95" s="8" t="str">
        <f>IFERROR(VLOOKUP($A95,'Project Reference'!$B$2:$O$41,14), " ")</f>
        <v xml:space="preserve"> </v>
      </c>
      <c r="Y95" s="8" t="str">
        <f>IFERROR(VLOOKUP($A95,'Project Reference'!$B$2:$P$41,15), " ")</f>
        <v xml:space="preserve"> </v>
      </c>
      <c r="Z95" s="9" t="str">
        <f>IFERROR(VLOOKUP($A95,'Project Reference'!$B$2:$Q$41,16), " ")</f>
        <v xml:space="preserve"> </v>
      </c>
    </row>
    <row r="96" spans="1:26" s="1" customFormat="1" x14ac:dyDescent="0.45">
      <c r="A96" s="70"/>
      <c r="B96" s="70" t="str">
        <f>IFERROR(VLOOKUP($A96,'Project Reference'!$S$2:$T$41,2),"Enter Project Number")</f>
        <v>Enter Project Number</v>
      </c>
      <c r="C96" s="54"/>
      <c r="D96" s="53"/>
      <c r="E96" s="8"/>
      <c r="F96" s="8"/>
      <c r="G96" s="8"/>
      <c r="H96" s="8"/>
      <c r="I96" s="8"/>
      <c r="J96" s="9"/>
      <c r="K96" s="23"/>
      <c r="L96" s="47" t="str">
        <f>IFERROR(VLOOKUP($A96,'Project Reference'!$B$2:$C$41,2), " ")</f>
        <v xml:space="preserve"> </v>
      </c>
      <c r="M96" s="8" t="str">
        <f>IFERROR(VLOOKUP($A96,'Project Reference'!$B$2:$D$41,3), " ")</f>
        <v xml:space="preserve"> </v>
      </c>
      <c r="N96" s="54" t="str">
        <f>IFERROR(VLOOKUP($A96,'Project Reference'!$B$2:$E$41,4), " ")</f>
        <v xml:space="preserve"> </v>
      </c>
      <c r="O96" s="8" t="str">
        <f>IFERROR(VLOOKUP($A96,'Project Reference'!$B$2:$F$41,5), " ")</f>
        <v xml:space="preserve"> </v>
      </c>
      <c r="P96" s="8" t="str">
        <f>IFERROR(VLOOKUP($A96,'Project Reference'!$B$2:$G$41,6), " ")</f>
        <v xml:space="preserve"> </v>
      </c>
      <c r="Q96" s="8" t="str">
        <f>IFERROR(VLOOKUP($A96,'Project Reference'!$B$2:$H$41,7), " ")</f>
        <v xml:space="preserve"> </v>
      </c>
      <c r="R96" s="8" t="str">
        <f>IFERROR(VLOOKUP($A96,'Project Reference'!$B$2:$I$41,8), " ")</f>
        <v xml:space="preserve"> </v>
      </c>
      <c r="S96" s="8" t="str">
        <f>IFERROR(VLOOKUP($A96,'Project Reference'!$B$2:$J$41,9), " ")</f>
        <v xml:space="preserve"> </v>
      </c>
      <c r="T96" s="8" t="str">
        <f>IFERROR(VLOOKUP($A96,'Project Reference'!$B$2:$K$41,10), " ")</f>
        <v xml:space="preserve"> </v>
      </c>
      <c r="U96" s="8" t="str">
        <f>IFERROR(VLOOKUP($A96,'Project Reference'!$B$2:$L$41,11), " ")</f>
        <v xml:space="preserve"> </v>
      </c>
      <c r="V96" s="8" t="str">
        <f>IFERROR(VLOOKUP($A96,'Project Reference'!$B$2:$M$41,12), " ")</f>
        <v xml:space="preserve"> </v>
      </c>
      <c r="W96" s="8" t="str">
        <f>IFERROR(VLOOKUP($A96,'Project Reference'!$B$2:$N$41,13), " ")</f>
        <v xml:space="preserve"> </v>
      </c>
      <c r="X96" s="8" t="str">
        <f>IFERROR(VLOOKUP($A96,'Project Reference'!$B$2:$O$41,14), " ")</f>
        <v xml:space="preserve"> </v>
      </c>
      <c r="Y96" s="8" t="str">
        <f>IFERROR(VLOOKUP($A96,'Project Reference'!$B$2:$P$41,15), " ")</f>
        <v xml:space="preserve"> </v>
      </c>
      <c r="Z96" s="9" t="str">
        <f>IFERROR(VLOOKUP($A96,'Project Reference'!$B$2:$Q$41,16), " ")</f>
        <v xml:space="preserve"> </v>
      </c>
    </row>
    <row r="97" spans="1:26" s="1" customFormat="1" x14ac:dyDescent="0.45">
      <c r="A97" s="70"/>
      <c r="B97" s="70" t="str">
        <f>IFERROR(VLOOKUP($A97,'Project Reference'!$S$2:$T$41,2),"Enter Project Number")</f>
        <v>Enter Project Number</v>
      </c>
      <c r="C97" s="54"/>
      <c r="D97" s="53"/>
      <c r="E97" s="8"/>
      <c r="F97" s="8"/>
      <c r="G97" s="8"/>
      <c r="H97" s="8"/>
      <c r="I97" s="8"/>
      <c r="J97" s="9"/>
      <c r="K97" s="23"/>
      <c r="L97" s="47" t="str">
        <f>IFERROR(VLOOKUP($A97,'Project Reference'!$B$2:$C$41,2), " ")</f>
        <v xml:space="preserve"> </v>
      </c>
      <c r="M97" s="8" t="str">
        <f>IFERROR(VLOOKUP($A97,'Project Reference'!$B$2:$D$41,3), " ")</f>
        <v xml:space="preserve"> </v>
      </c>
      <c r="N97" s="54" t="str">
        <f>IFERROR(VLOOKUP($A97,'Project Reference'!$B$2:$E$41,4), " ")</f>
        <v xml:space="preserve"> </v>
      </c>
      <c r="O97" s="8" t="str">
        <f>IFERROR(VLOOKUP($A97,'Project Reference'!$B$2:$F$41,5), " ")</f>
        <v xml:space="preserve"> </v>
      </c>
      <c r="P97" s="8" t="str">
        <f>IFERROR(VLOOKUP($A97,'Project Reference'!$B$2:$G$41,6), " ")</f>
        <v xml:space="preserve"> </v>
      </c>
      <c r="Q97" s="8" t="str">
        <f>IFERROR(VLOOKUP($A97,'Project Reference'!$B$2:$H$41,7), " ")</f>
        <v xml:space="preserve"> </v>
      </c>
      <c r="R97" s="8" t="str">
        <f>IFERROR(VLOOKUP($A97,'Project Reference'!$B$2:$I$41,8), " ")</f>
        <v xml:space="preserve"> </v>
      </c>
      <c r="S97" s="8" t="str">
        <f>IFERROR(VLOOKUP($A97,'Project Reference'!$B$2:$J$41,9), " ")</f>
        <v xml:space="preserve"> </v>
      </c>
      <c r="T97" s="8" t="str">
        <f>IFERROR(VLOOKUP($A97,'Project Reference'!$B$2:$K$41,10), " ")</f>
        <v xml:space="preserve"> </v>
      </c>
      <c r="U97" s="8" t="str">
        <f>IFERROR(VLOOKUP($A97,'Project Reference'!$B$2:$L$41,11), " ")</f>
        <v xml:space="preserve"> </v>
      </c>
      <c r="V97" s="8" t="str">
        <f>IFERROR(VLOOKUP($A97,'Project Reference'!$B$2:$M$41,12), " ")</f>
        <v xml:space="preserve"> </v>
      </c>
      <c r="W97" s="8" t="str">
        <f>IFERROR(VLOOKUP($A97,'Project Reference'!$B$2:$N$41,13), " ")</f>
        <v xml:space="preserve"> </v>
      </c>
      <c r="X97" s="8" t="str">
        <f>IFERROR(VLOOKUP($A97,'Project Reference'!$B$2:$O$41,14), " ")</f>
        <v xml:space="preserve"> </v>
      </c>
      <c r="Y97" s="8" t="str">
        <f>IFERROR(VLOOKUP($A97,'Project Reference'!$B$2:$P$41,15), " ")</f>
        <v xml:space="preserve"> </v>
      </c>
      <c r="Z97" s="9" t="str">
        <f>IFERROR(VLOOKUP($A97,'Project Reference'!$B$2:$Q$41,16), " ")</f>
        <v xml:space="preserve"> </v>
      </c>
    </row>
    <row r="98" spans="1:26" s="1" customFormat="1" x14ac:dyDescent="0.45">
      <c r="A98" s="70"/>
      <c r="B98" s="70" t="str">
        <f>IFERROR(VLOOKUP($A98,'Project Reference'!$S$2:$T$41,2),"Enter Project Number")</f>
        <v>Enter Project Number</v>
      </c>
      <c r="C98" s="54"/>
      <c r="D98" s="53"/>
      <c r="E98" s="8"/>
      <c r="F98" s="8"/>
      <c r="G98" s="8"/>
      <c r="H98" s="8"/>
      <c r="I98" s="8"/>
      <c r="J98" s="9"/>
      <c r="K98" s="23"/>
      <c r="L98" s="47" t="str">
        <f>IFERROR(VLOOKUP($A98,'Project Reference'!$B$2:$C$41,2), " ")</f>
        <v xml:space="preserve"> </v>
      </c>
      <c r="M98" s="8" t="str">
        <f>IFERROR(VLOOKUP($A98,'Project Reference'!$B$2:$D$41,3), " ")</f>
        <v xml:space="preserve"> </v>
      </c>
      <c r="N98" s="54" t="str">
        <f>IFERROR(VLOOKUP($A98,'Project Reference'!$B$2:$E$41,4), " ")</f>
        <v xml:space="preserve"> </v>
      </c>
      <c r="O98" s="8" t="str">
        <f>IFERROR(VLOOKUP($A98,'Project Reference'!$B$2:$F$41,5), " ")</f>
        <v xml:space="preserve"> </v>
      </c>
      <c r="P98" s="8" t="str">
        <f>IFERROR(VLOOKUP($A98,'Project Reference'!$B$2:$G$41,6), " ")</f>
        <v xml:space="preserve"> </v>
      </c>
      <c r="Q98" s="8" t="str">
        <f>IFERROR(VLOOKUP($A98,'Project Reference'!$B$2:$H$41,7), " ")</f>
        <v xml:space="preserve"> </v>
      </c>
      <c r="R98" s="8" t="str">
        <f>IFERROR(VLOOKUP($A98,'Project Reference'!$B$2:$I$41,8), " ")</f>
        <v xml:space="preserve"> </v>
      </c>
      <c r="S98" s="8" t="str">
        <f>IFERROR(VLOOKUP($A98,'Project Reference'!$B$2:$J$41,9), " ")</f>
        <v xml:space="preserve"> </v>
      </c>
      <c r="T98" s="8" t="str">
        <f>IFERROR(VLOOKUP($A98,'Project Reference'!$B$2:$K$41,10), " ")</f>
        <v xml:space="preserve"> </v>
      </c>
      <c r="U98" s="8" t="str">
        <f>IFERROR(VLOOKUP($A98,'Project Reference'!$B$2:$L$41,11), " ")</f>
        <v xml:space="preserve"> </v>
      </c>
      <c r="V98" s="8" t="str">
        <f>IFERROR(VLOOKUP($A98,'Project Reference'!$B$2:$M$41,12), " ")</f>
        <v xml:space="preserve"> </v>
      </c>
      <c r="W98" s="8" t="str">
        <f>IFERROR(VLOOKUP($A98,'Project Reference'!$B$2:$N$41,13), " ")</f>
        <v xml:space="preserve"> </v>
      </c>
      <c r="X98" s="8" t="str">
        <f>IFERROR(VLOOKUP($A98,'Project Reference'!$B$2:$O$41,14), " ")</f>
        <v xml:space="preserve"> </v>
      </c>
      <c r="Y98" s="8" t="str">
        <f>IFERROR(VLOOKUP($A98,'Project Reference'!$B$2:$P$41,15), " ")</f>
        <v xml:space="preserve"> </v>
      </c>
      <c r="Z98" s="9" t="str">
        <f>IFERROR(VLOOKUP($A98,'Project Reference'!$B$2:$Q$41,16), " ")</f>
        <v xml:space="preserve"> </v>
      </c>
    </row>
    <row r="99" spans="1:26" s="1" customFormat="1" x14ac:dyDescent="0.45">
      <c r="A99" s="70"/>
      <c r="B99" s="70" t="str">
        <f>IFERROR(VLOOKUP($A99,'Project Reference'!$S$2:$T$41,2),"Enter Project Number")</f>
        <v>Enter Project Number</v>
      </c>
      <c r="C99" s="54"/>
      <c r="D99" s="53"/>
      <c r="E99" s="8"/>
      <c r="F99" s="8"/>
      <c r="G99" s="8"/>
      <c r="H99" s="8"/>
      <c r="I99" s="8"/>
      <c r="J99" s="9"/>
      <c r="K99" s="23"/>
      <c r="L99" s="47" t="str">
        <f>IFERROR(VLOOKUP($A99,'Project Reference'!$B$2:$C$41,2), " ")</f>
        <v xml:space="preserve"> </v>
      </c>
      <c r="M99" s="8" t="str">
        <f>IFERROR(VLOOKUP($A99,'Project Reference'!$B$2:$D$41,3), " ")</f>
        <v xml:space="preserve"> </v>
      </c>
      <c r="N99" s="54" t="str">
        <f>IFERROR(VLOOKUP($A99,'Project Reference'!$B$2:$E$41,4), " ")</f>
        <v xml:space="preserve"> </v>
      </c>
      <c r="O99" s="8" t="str">
        <f>IFERROR(VLOOKUP($A99,'Project Reference'!$B$2:$F$41,5), " ")</f>
        <v xml:space="preserve"> </v>
      </c>
      <c r="P99" s="8" t="str">
        <f>IFERROR(VLOOKUP($A99,'Project Reference'!$B$2:$G$41,6), " ")</f>
        <v xml:space="preserve"> </v>
      </c>
      <c r="Q99" s="8" t="str">
        <f>IFERROR(VLOOKUP($A99,'Project Reference'!$B$2:$H$41,7), " ")</f>
        <v xml:space="preserve"> </v>
      </c>
      <c r="R99" s="8" t="str">
        <f>IFERROR(VLOOKUP($A99,'Project Reference'!$B$2:$I$41,8), " ")</f>
        <v xml:space="preserve"> </v>
      </c>
      <c r="S99" s="8" t="str">
        <f>IFERROR(VLOOKUP($A99,'Project Reference'!$B$2:$J$41,9), " ")</f>
        <v xml:space="preserve"> </v>
      </c>
      <c r="T99" s="8" t="str">
        <f>IFERROR(VLOOKUP($A99,'Project Reference'!$B$2:$K$41,10), " ")</f>
        <v xml:space="preserve"> </v>
      </c>
      <c r="U99" s="8" t="str">
        <f>IFERROR(VLOOKUP($A99,'Project Reference'!$B$2:$L$41,11), " ")</f>
        <v xml:space="preserve"> </v>
      </c>
      <c r="V99" s="8" t="str">
        <f>IFERROR(VLOOKUP($A99,'Project Reference'!$B$2:$M$41,12), " ")</f>
        <v xml:space="preserve"> </v>
      </c>
      <c r="W99" s="8" t="str">
        <f>IFERROR(VLOOKUP($A99,'Project Reference'!$B$2:$N$41,13), " ")</f>
        <v xml:space="preserve"> </v>
      </c>
      <c r="X99" s="8" t="str">
        <f>IFERROR(VLOOKUP($A99,'Project Reference'!$B$2:$O$41,14), " ")</f>
        <v xml:space="preserve"> </v>
      </c>
      <c r="Y99" s="8" t="str">
        <f>IFERROR(VLOOKUP($A99,'Project Reference'!$B$2:$P$41,15), " ")</f>
        <v xml:space="preserve"> </v>
      </c>
      <c r="Z99" s="9" t="str">
        <f>IFERROR(VLOOKUP($A99,'Project Reference'!$B$2:$Q$41,16), " ")</f>
        <v xml:space="preserve"> </v>
      </c>
    </row>
    <row r="100" spans="1:26" s="1" customFormat="1" x14ac:dyDescent="0.45">
      <c r="A100" s="70"/>
      <c r="B100" s="70" t="str">
        <f>IFERROR(VLOOKUP($A100,'Project Reference'!$S$2:$T$41,2),"Enter Project Number")</f>
        <v>Enter Project Number</v>
      </c>
      <c r="C100" s="54"/>
      <c r="D100" s="53"/>
      <c r="E100" s="8"/>
      <c r="F100" s="8"/>
      <c r="G100" s="8"/>
      <c r="H100" s="8"/>
      <c r="I100" s="8"/>
      <c r="J100" s="9"/>
      <c r="K100" s="23"/>
      <c r="L100" s="47" t="str">
        <f>IFERROR(VLOOKUP($A100,'Project Reference'!$B$2:$C$41,2), " ")</f>
        <v xml:space="preserve"> </v>
      </c>
      <c r="M100" s="8" t="str">
        <f>IFERROR(VLOOKUP($A100,'Project Reference'!$B$2:$D$41,3), " ")</f>
        <v xml:space="preserve"> </v>
      </c>
      <c r="N100" s="54" t="str">
        <f>IFERROR(VLOOKUP($A100,'Project Reference'!$B$2:$E$41,4), " ")</f>
        <v xml:space="preserve"> </v>
      </c>
      <c r="O100" s="8" t="str">
        <f>IFERROR(VLOOKUP($A100,'Project Reference'!$B$2:$F$41,5), " ")</f>
        <v xml:space="preserve"> </v>
      </c>
      <c r="P100" s="8" t="str">
        <f>IFERROR(VLOOKUP($A100,'Project Reference'!$B$2:$G$41,6), " ")</f>
        <v xml:space="preserve"> </v>
      </c>
      <c r="Q100" s="8" t="str">
        <f>IFERROR(VLOOKUP($A100,'Project Reference'!$B$2:$H$41,7), " ")</f>
        <v xml:space="preserve"> </v>
      </c>
      <c r="R100" s="8" t="str">
        <f>IFERROR(VLOOKUP($A100,'Project Reference'!$B$2:$I$41,8), " ")</f>
        <v xml:space="preserve"> </v>
      </c>
      <c r="S100" s="8" t="str">
        <f>IFERROR(VLOOKUP($A100,'Project Reference'!$B$2:$J$41,9), " ")</f>
        <v xml:space="preserve"> </v>
      </c>
      <c r="T100" s="8" t="str">
        <f>IFERROR(VLOOKUP($A100,'Project Reference'!$B$2:$K$41,10), " ")</f>
        <v xml:space="preserve"> </v>
      </c>
      <c r="U100" s="8" t="str">
        <f>IFERROR(VLOOKUP($A100,'Project Reference'!$B$2:$L$41,11), " ")</f>
        <v xml:space="preserve"> </v>
      </c>
      <c r="V100" s="8" t="str">
        <f>IFERROR(VLOOKUP($A100,'Project Reference'!$B$2:$M$41,12), " ")</f>
        <v xml:space="preserve"> </v>
      </c>
      <c r="W100" s="8" t="str">
        <f>IFERROR(VLOOKUP($A100,'Project Reference'!$B$2:$N$41,13), " ")</f>
        <v xml:space="preserve"> </v>
      </c>
      <c r="X100" s="8" t="str">
        <f>IFERROR(VLOOKUP($A100,'Project Reference'!$B$2:$O$41,14), " ")</f>
        <v xml:space="preserve"> </v>
      </c>
      <c r="Y100" s="8" t="str">
        <f>IFERROR(VLOOKUP($A100,'Project Reference'!$B$2:$P$41,15), " ")</f>
        <v xml:space="preserve"> </v>
      </c>
      <c r="Z100" s="9" t="str">
        <f>IFERROR(VLOOKUP($A100,'Project Reference'!$B$2:$Q$41,16), " ")</f>
        <v xml:space="preserve"> </v>
      </c>
    </row>
    <row r="101" spans="1:26" s="1" customFormat="1" x14ac:dyDescent="0.45">
      <c r="A101" s="70"/>
      <c r="B101" s="70" t="str">
        <f>IFERROR(VLOOKUP($A101,'Project Reference'!$S$2:$T$41,2),"Enter Project Number")</f>
        <v>Enter Project Number</v>
      </c>
      <c r="C101" s="54"/>
      <c r="D101" s="53"/>
      <c r="E101" s="8"/>
      <c r="F101" s="8"/>
      <c r="G101" s="8"/>
      <c r="H101" s="8"/>
      <c r="I101" s="8"/>
      <c r="J101" s="9"/>
      <c r="K101" s="23"/>
      <c r="L101" s="47" t="str">
        <f>IFERROR(VLOOKUP($A101,'Project Reference'!$B$2:$C$41,2), " ")</f>
        <v xml:space="preserve"> </v>
      </c>
      <c r="M101" s="8" t="str">
        <f>IFERROR(VLOOKUP($A101,'Project Reference'!$B$2:$D$41,3), " ")</f>
        <v xml:space="preserve"> </v>
      </c>
      <c r="N101" s="54" t="str">
        <f>IFERROR(VLOOKUP($A101,'Project Reference'!$B$2:$E$41,4), " ")</f>
        <v xml:space="preserve"> </v>
      </c>
      <c r="O101" s="8" t="str">
        <f>IFERROR(VLOOKUP($A101,'Project Reference'!$B$2:$F$41,5), " ")</f>
        <v xml:space="preserve"> </v>
      </c>
      <c r="P101" s="8" t="str">
        <f>IFERROR(VLOOKUP($A101,'Project Reference'!$B$2:$G$41,6), " ")</f>
        <v xml:space="preserve"> </v>
      </c>
      <c r="Q101" s="8" t="str">
        <f>IFERROR(VLOOKUP($A101,'Project Reference'!$B$2:$H$41,7), " ")</f>
        <v xml:space="preserve"> </v>
      </c>
      <c r="R101" s="8" t="str">
        <f>IFERROR(VLOOKUP($A101,'Project Reference'!$B$2:$I$41,8), " ")</f>
        <v xml:space="preserve"> </v>
      </c>
      <c r="S101" s="8" t="str">
        <f>IFERROR(VLOOKUP($A101,'Project Reference'!$B$2:$J$41,9), " ")</f>
        <v xml:space="preserve"> </v>
      </c>
      <c r="T101" s="8" t="str">
        <f>IFERROR(VLOOKUP($A101,'Project Reference'!$B$2:$K$41,10), " ")</f>
        <v xml:space="preserve"> </v>
      </c>
      <c r="U101" s="8" t="str">
        <f>IFERROR(VLOOKUP($A101,'Project Reference'!$B$2:$L$41,11), " ")</f>
        <v xml:space="preserve"> </v>
      </c>
      <c r="V101" s="8" t="str">
        <f>IFERROR(VLOOKUP($A101,'Project Reference'!$B$2:$M$41,12), " ")</f>
        <v xml:space="preserve"> </v>
      </c>
      <c r="W101" s="8" t="str">
        <f>IFERROR(VLOOKUP($A101,'Project Reference'!$B$2:$N$41,13), " ")</f>
        <v xml:space="preserve"> </v>
      </c>
      <c r="X101" s="8" t="str">
        <f>IFERROR(VLOOKUP($A101,'Project Reference'!$B$2:$O$41,14), " ")</f>
        <v xml:space="preserve"> </v>
      </c>
      <c r="Y101" s="8" t="str">
        <f>IFERROR(VLOOKUP($A101,'Project Reference'!$B$2:$P$41,15), " ")</f>
        <v xml:space="preserve"> </v>
      </c>
      <c r="Z101" s="9" t="str">
        <f>IFERROR(VLOOKUP($A101,'Project Reference'!$B$2:$Q$41,16), " ")</f>
        <v xml:space="preserve"> </v>
      </c>
    </row>
    <row r="102" spans="1:26" s="1" customFormat="1" x14ac:dyDescent="0.45">
      <c r="A102" s="70"/>
      <c r="B102" s="70" t="str">
        <f>IFERROR(VLOOKUP($A102,'Project Reference'!$S$2:$T$41,2),"Enter Project Number")</f>
        <v>Enter Project Number</v>
      </c>
      <c r="C102" s="54"/>
      <c r="D102" s="53"/>
      <c r="E102" s="8"/>
      <c r="F102" s="8"/>
      <c r="G102" s="8"/>
      <c r="H102" s="8"/>
      <c r="I102" s="8"/>
      <c r="J102" s="9"/>
      <c r="K102" s="23"/>
      <c r="L102" s="47" t="str">
        <f>IFERROR(VLOOKUP($A102,'Project Reference'!$B$2:$C$41,2), " ")</f>
        <v xml:space="preserve"> </v>
      </c>
      <c r="M102" s="8" t="str">
        <f>IFERROR(VLOOKUP($A102,'Project Reference'!$B$2:$D$41,3), " ")</f>
        <v xml:space="preserve"> </v>
      </c>
      <c r="N102" s="54" t="str">
        <f>IFERROR(VLOOKUP($A102,'Project Reference'!$B$2:$E$41,4), " ")</f>
        <v xml:space="preserve"> </v>
      </c>
      <c r="O102" s="8" t="str">
        <f>IFERROR(VLOOKUP($A102,'Project Reference'!$B$2:$F$41,5), " ")</f>
        <v xml:space="preserve"> </v>
      </c>
      <c r="P102" s="8" t="str">
        <f>IFERROR(VLOOKUP($A102,'Project Reference'!$B$2:$G$41,6), " ")</f>
        <v xml:space="preserve"> </v>
      </c>
      <c r="Q102" s="8" t="str">
        <f>IFERROR(VLOOKUP($A102,'Project Reference'!$B$2:$H$41,7), " ")</f>
        <v xml:space="preserve"> </v>
      </c>
      <c r="R102" s="8" t="str">
        <f>IFERROR(VLOOKUP($A102,'Project Reference'!$B$2:$I$41,8), " ")</f>
        <v xml:space="preserve"> </v>
      </c>
      <c r="S102" s="8" t="str">
        <f>IFERROR(VLOOKUP($A102,'Project Reference'!$B$2:$J$41,9), " ")</f>
        <v xml:space="preserve"> </v>
      </c>
      <c r="T102" s="8" t="str">
        <f>IFERROR(VLOOKUP($A102,'Project Reference'!$B$2:$K$41,10), " ")</f>
        <v xml:space="preserve"> </v>
      </c>
      <c r="U102" s="8" t="str">
        <f>IFERROR(VLOOKUP($A102,'Project Reference'!$B$2:$L$41,11), " ")</f>
        <v xml:space="preserve"> </v>
      </c>
      <c r="V102" s="8" t="str">
        <f>IFERROR(VLOOKUP($A102,'Project Reference'!$B$2:$M$41,12), " ")</f>
        <v xml:space="preserve"> </v>
      </c>
      <c r="W102" s="8" t="str">
        <f>IFERROR(VLOOKUP($A102,'Project Reference'!$B$2:$N$41,13), " ")</f>
        <v xml:space="preserve"> </v>
      </c>
      <c r="X102" s="8" t="str">
        <f>IFERROR(VLOOKUP($A102,'Project Reference'!$B$2:$O$41,14), " ")</f>
        <v xml:space="preserve"> </v>
      </c>
      <c r="Y102" s="8" t="str">
        <f>IFERROR(VLOOKUP($A102,'Project Reference'!$B$2:$P$41,15), " ")</f>
        <v xml:space="preserve"> </v>
      </c>
      <c r="Z102" s="9" t="str">
        <f>IFERROR(VLOOKUP($A102,'Project Reference'!$B$2:$Q$41,16), " ")</f>
        <v xml:space="preserve"> </v>
      </c>
    </row>
    <row r="103" spans="1:26" s="1" customFormat="1" x14ac:dyDescent="0.45">
      <c r="A103" s="70"/>
      <c r="B103" s="70" t="str">
        <f>IFERROR(VLOOKUP($A103,'Project Reference'!$S$2:$T$41,2),"Enter Project Number")</f>
        <v>Enter Project Number</v>
      </c>
      <c r="C103" s="54"/>
      <c r="D103" s="53"/>
      <c r="E103" s="8"/>
      <c r="F103" s="8"/>
      <c r="G103" s="8"/>
      <c r="H103" s="8"/>
      <c r="I103" s="8"/>
      <c r="J103" s="9"/>
      <c r="K103" s="23"/>
      <c r="L103" s="47" t="str">
        <f>IFERROR(VLOOKUP($A103,'Project Reference'!$B$2:$C$41,2), " ")</f>
        <v xml:space="preserve"> </v>
      </c>
      <c r="M103" s="8" t="str">
        <f>IFERROR(VLOOKUP($A103,'Project Reference'!$B$2:$D$41,3), " ")</f>
        <v xml:space="preserve"> </v>
      </c>
      <c r="N103" s="54" t="str">
        <f>IFERROR(VLOOKUP($A103,'Project Reference'!$B$2:$E$41,4), " ")</f>
        <v xml:space="preserve"> </v>
      </c>
      <c r="O103" s="8" t="str">
        <f>IFERROR(VLOOKUP($A103,'Project Reference'!$B$2:$F$41,5), " ")</f>
        <v xml:space="preserve"> </v>
      </c>
      <c r="P103" s="8" t="str">
        <f>IFERROR(VLOOKUP($A103,'Project Reference'!$B$2:$G$41,6), " ")</f>
        <v xml:space="preserve"> </v>
      </c>
      <c r="Q103" s="8" t="str">
        <f>IFERROR(VLOOKUP($A103,'Project Reference'!$B$2:$H$41,7), " ")</f>
        <v xml:space="preserve"> </v>
      </c>
      <c r="R103" s="8" t="str">
        <f>IFERROR(VLOOKUP($A103,'Project Reference'!$B$2:$I$41,8), " ")</f>
        <v xml:space="preserve"> </v>
      </c>
      <c r="S103" s="8" t="str">
        <f>IFERROR(VLOOKUP($A103,'Project Reference'!$B$2:$J$41,9), " ")</f>
        <v xml:space="preserve"> </v>
      </c>
      <c r="T103" s="8" t="str">
        <f>IFERROR(VLOOKUP($A103,'Project Reference'!$B$2:$K$41,10), " ")</f>
        <v xml:space="preserve"> </v>
      </c>
      <c r="U103" s="8" t="str">
        <f>IFERROR(VLOOKUP($A103,'Project Reference'!$B$2:$L$41,11), " ")</f>
        <v xml:space="preserve"> </v>
      </c>
      <c r="V103" s="8" t="str">
        <f>IFERROR(VLOOKUP($A103,'Project Reference'!$B$2:$M$41,12), " ")</f>
        <v xml:space="preserve"> </v>
      </c>
      <c r="W103" s="8" t="str">
        <f>IFERROR(VLOOKUP($A103,'Project Reference'!$B$2:$N$41,13), " ")</f>
        <v xml:space="preserve"> </v>
      </c>
      <c r="X103" s="8" t="str">
        <f>IFERROR(VLOOKUP($A103,'Project Reference'!$B$2:$O$41,14), " ")</f>
        <v xml:space="preserve"> </v>
      </c>
      <c r="Y103" s="8" t="str">
        <f>IFERROR(VLOOKUP($A103,'Project Reference'!$B$2:$P$41,15), " ")</f>
        <v xml:space="preserve"> </v>
      </c>
      <c r="Z103" s="9" t="str">
        <f>IFERROR(VLOOKUP($A103,'Project Reference'!$B$2:$Q$41,16), " ")</f>
        <v xml:space="preserve"> </v>
      </c>
    </row>
    <row r="104" spans="1:26" s="1" customFormat="1" x14ac:dyDescent="0.45">
      <c r="A104" s="70"/>
      <c r="B104" s="70" t="str">
        <f>IFERROR(VLOOKUP($A104,'Project Reference'!$S$2:$T$41,2),"Enter Project Number")</f>
        <v>Enter Project Number</v>
      </c>
      <c r="C104" s="54"/>
      <c r="D104" s="53"/>
      <c r="E104" s="8"/>
      <c r="F104" s="8"/>
      <c r="G104" s="8"/>
      <c r="H104" s="8"/>
      <c r="I104" s="8"/>
      <c r="J104" s="9"/>
      <c r="K104" s="23"/>
      <c r="L104" s="47" t="str">
        <f>IFERROR(VLOOKUP($A104,'Project Reference'!$B$2:$C$41,2), " ")</f>
        <v xml:space="preserve"> </v>
      </c>
      <c r="M104" s="8" t="str">
        <f>IFERROR(VLOOKUP($A104,'Project Reference'!$B$2:$D$41,3), " ")</f>
        <v xml:space="preserve"> </v>
      </c>
      <c r="N104" s="54" t="str">
        <f>IFERROR(VLOOKUP($A104,'Project Reference'!$B$2:$E$41,4), " ")</f>
        <v xml:space="preserve"> </v>
      </c>
      <c r="O104" s="8" t="str">
        <f>IFERROR(VLOOKUP($A104,'Project Reference'!$B$2:$F$41,5), " ")</f>
        <v xml:space="preserve"> </v>
      </c>
      <c r="P104" s="8" t="str">
        <f>IFERROR(VLOOKUP($A104,'Project Reference'!$B$2:$G$41,6), " ")</f>
        <v xml:space="preserve"> </v>
      </c>
      <c r="Q104" s="8" t="str">
        <f>IFERROR(VLOOKUP($A104,'Project Reference'!$B$2:$H$41,7), " ")</f>
        <v xml:space="preserve"> </v>
      </c>
      <c r="R104" s="8" t="str">
        <f>IFERROR(VLOOKUP($A104,'Project Reference'!$B$2:$I$41,8), " ")</f>
        <v xml:space="preserve"> </v>
      </c>
      <c r="S104" s="8" t="str">
        <f>IFERROR(VLOOKUP($A104,'Project Reference'!$B$2:$J$41,9), " ")</f>
        <v xml:space="preserve"> </v>
      </c>
      <c r="T104" s="8" t="str">
        <f>IFERROR(VLOOKUP($A104,'Project Reference'!$B$2:$K$41,10), " ")</f>
        <v xml:space="preserve"> </v>
      </c>
      <c r="U104" s="8" t="str">
        <f>IFERROR(VLOOKUP($A104,'Project Reference'!$B$2:$L$41,11), " ")</f>
        <v xml:space="preserve"> </v>
      </c>
      <c r="V104" s="8" t="str">
        <f>IFERROR(VLOOKUP($A104,'Project Reference'!$B$2:$M$41,12), " ")</f>
        <v xml:space="preserve"> </v>
      </c>
      <c r="W104" s="8" t="str">
        <f>IFERROR(VLOOKUP($A104,'Project Reference'!$B$2:$N$41,13), " ")</f>
        <v xml:space="preserve"> </v>
      </c>
      <c r="X104" s="8" t="str">
        <f>IFERROR(VLOOKUP($A104,'Project Reference'!$B$2:$O$41,14), " ")</f>
        <v xml:space="preserve"> </v>
      </c>
      <c r="Y104" s="8" t="str">
        <f>IFERROR(VLOOKUP($A104,'Project Reference'!$B$2:$P$41,15), " ")</f>
        <v xml:space="preserve"> </v>
      </c>
      <c r="Z104" s="9" t="str">
        <f>IFERROR(VLOOKUP($A104,'Project Reference'!$B$2:$Q$41,16), " ")</f>
        <v xml:space="preserve"> </v>
      </c>
    </row>
    <row r="105" spans="1:26" s="1" customFormat="1" x14ac:dyDescent="0.45">
      <c r="A105" s="70"/>
      <c r="B105" s="70" t="str">
        <f>IFERROR(VLOOKUP($A105,'Project Reference'!$S$2:$T$41,2),"Enter Project Number")</f>
        <v>Enter Project Number</v>
      </c>
      <c r="C105" s="54"/>
      <c r="D105" s="53"/>
      <c r="E105" s="8"/>
      <c r="F105" s="8"/>
      <c r="G105" s="8"/>
      <c r="H105" s="8"/>
      <c r="I105" s="8"/>
      <c r="J105" s="9"/>
      <c r="K105" s="23"/>
      <c r="L105" s="47" t="str">
        <f>IFERROR(VLOOKUP($A105,'Project Reference'!$B$2:$C$41,2), " ")</f>
        <v xml:space="preserve"> </v>
      </c>
      <c r="M105" s="8" t="str">
        <f>IFERROR(VLOOKUP($A105,'Project Reference'!$B$2:$D$41,3), " ")</f>
        <v xml:space="preserve"> </v>
      </c>
      <c r="N105" s="54" t="str">
        <f>IFERROR(VLOOKUP($A105,'Project Reference'!$B$2:$E$41,4), " ")</f>
        <v xml:space="preserve"> </v>
      </c>
      <c r="O105" s="8" t="str">
        <f>IFERROR(VLOOKUP($A105,'Project Reference'!$B$2:$F$41,5), " ")</f>
        <v xml:space="preserve"> </v>
      </c>
      <c r="P105" s="8" t="str">
        <f>IFERROR(VLOOKUP($A105,'Project Reference'!$B$2:$G$41,6), " ")</f>
        <v xml:space="preserve"> </v>
      </c>
      <c r="Q105" s="8" t="str">
        <f>IFERROR(VLOOKUP($A105,'Project Reference'!$B$2:$H$41,7), " ")</f>
        <v xml:space="preserve"> </v>
      </c>
      <c r="R105" s="8" t="str">
        <f>IFERROR(VLOOKUP($A105,'Project Reference'!$B$2:$I$41,8), " ")</f>
        <v xml:space="preserve"> </v>
      </c>
      <c r="S105" s="8" t="str">
        <f>IFERROR(VLOOKUP($A105,'Project Reference'!$B$2:$J$41,9), " ")</f>
        <v xml:space="preserve"> </v>
      </c>
      <c r="T105" s="8" t="str">
        <f>IFERROR(VLOOKUP($A105,'Project Reference'!$B$2:$K$41,10), " ")</f>
        <v xml:space="preserve"> </v>
      </c>
      <c r="U105" s="8" t="str">
        <f>IFERROR(VLOOKUP($A105,'Project Reference'!$B$2:$L$41,11), " ")</f>
        <v xml:space="preserve"> </v>
      </c>
      <c r="V105" s="8" t="str">
        <f>IFERROR(VLOOKUP($A105,'Project Reference'!$B$2:$M$41,12), " ")</f>
        <v xml:space="preserve"> </v>
      </c>
      <c r="W105" s="8" t="str">
        <f>IFERROR(VLOOKUP($A105,'Project Reference'!$B$2:$N$41,13), " ")</f>
        <v xml:space="preserve"> </v>
      </c>
      <c r="X105" s="8" t="str">
        <f>IFERROR(VLOOKUP($A105,'Project Reference'!$B$2:$O$41,14), " ")</f>
        <v xml:space="preserve"> </v>
      </c>
      <c r="Y105" s="8" t="str">
        <f>IFERROR(VLOOKUP($A105,'Project Reference'!$B$2:$P$41,15), " ")</f>
        <v xml:space="preserve"> </v>
      </c>
      <c r="Z105" s="9" t="str">
        <f>IFERROR(VLOOKUP($A105,'Project Reference'!$B$2:$Q$41,16), " ")</f>
        <v xml:space="preserve"> </v>
      </c>
    </row>
    <row r="106" spans="1:26" s="1" customFormat="1" x14ac:dyDescent="0.45">
      <c r="A106" s="70"/>
      <c r="B106" s="70" t="str">
        <f>IFERROR(VLOOKUP($A106,'Project Reference'!$S$2:$T$41,2),"Enter Project Number")</f>
        <v>Enter Project Number</v>
      </c>
      <c r="C106" s="54"/>
      <c r="D106" s="53"/>
      <c r="E106" s="8"/>
      <c r="F106" s="8"/>
      <c r="G106" s="8"/>
      <c r="H106" s="8"/>
      <c r="I106" s="8"/>
      <c r="J106" s="9"/>
      <c r="K106" s="23"/>
      <c r="L106" s="47" t="str">
        <f>IFERROR(VLOOKUP($A106,'Project Reference'!$B$2:$C$41,2), " ")</f>
        <v xml:space="preserve"> </v>
      </c>
      <c r="M106" s="8" t="str">
        <f>IFERROR(VLOOKUP($A106,'Project Reference'!$B$2:$D$41,3), " ")</f>
        <v xml:space="preserve"> </v>
      </c>
      <c r="N106" s="54" t="str">
        <f>IFERROR(VLOOKUP($A106,'Project Reference'!$B$2:$E$41,4), " ")</f>
        <v xml:space="preserve"> </v>
      </c>
      <c r="O106" s="8" t="str">
        <f>IFERROR(VLOOKUP($A106,'Project Reference'!$B$2:$F$41,5), " ")</f>
        <v xml:space="preserve"> </v>
      </c>
      <c r="P106" s="8" t="str">
        <f>IFERROR(VLOOKUP($A106,'Project Reference'!$B$2:$G$41,6), " ")</f>
        <v xml:space="preserve"> </v>
      </c>
      <c r="Q106" s="8" t="str">
        <f>IFERROR(VLOOKUP($A106,'Project Reference'!$B$2:$H$41,7), " ")</f>
        <v xml:space="preserve"> </v>
      </c>
      <c r="R106" s="8" t="str">
        <f>IFERROR(VLOOKUP($A106,'Project Reference'!$B$2:$I$41,8), " ")</f>
        <v xml:space="preserve"> </v>
      </c>
      <c r="S106" s="8" t="str">
        <f>IFERROR(VLOOKUP($A106,'Project Reference'!$B$2:$J$41,9), " ")</f>
        <v xml:space="preserve"> </v>
      </c>
      <c r="T106" s="8" t="str">
        <f>IFERROR(VLOOKUP($A106,'Project Reference'!$B$2:$K$41,10), " ")</f>
        <v xml:space="preserve"> </v>
      </c>
      <c r="U106" s="8" t="str">
        <f>IFERROR(VLOOKUP($A106,'Project Reference'!$B$2:$L$41,11), " ")</f>
        <v xml:space="preserve"> </v>
      </c>
      <c r="V106" s="8" t="str">
        <f>IFERROR(VLOOKUP($A106,'Project Reference'!$B$2:$M$41,12), " ")</f>
        <v xml:space="preserve"> </v>
      </c>
      <c r="W106" s="8" t="str">
        <f>IFERROR(VLOOKUP($A106,'Project Reference'!$B$2:$N$41,13), " ")</f>
        <v xml:space="preserve"> </v>
      </c>
      <c r="X106" s="8" t="str">
        <f>IFERROR(VLOOKUP($A106,'Project Reference'!$B$2:$O$41,14), " ")</f>
        <v xml:space="preserve"> </v>
      </c>
      <c r="Y106" s="8" t="str">
        <f>IFERROR(VLOOKUP($A106,'Project Reference'!$B$2:$P$41,15), " ")</f>
        <v xml:space="preserve"> </v>
      </c>
      <c r="Z106" s="9" t="str">
        <f>IFERROR(VLOOKUP($A106,'Project Reference'!$B$2:$Q$41,16), " ")</f>
        <v xml:space="preserve"> </v>
      </c>
    </row>
    <row r="107" spans="1:26" s="1" customFormat="1" x14ac:dyDescent="0.45">
      <c r="A107" s="70"/>
      <c r="B107" s="70" t="str">
        <f>IFERROR(VLOOKUP($A107,'Project Reference'!$S$2:$T$41,2),"Enter Project Number")</f>
        <v>Enter Project Number</v>
      </c>
      <c r="C107" s="54"/>
      <c r="D107" s="53"/>
      <c r="E107" s="8"/>
      <c r="F107" s="8"/>
      <c r="G107" s="8"/>
      <c r="H107" s="8"/>
      <c r="I107" s="8"/>
      <c r="J107" s="9"/>
      <c r="K107" s="23"/>
      <c r="L107" s="47" t="str">
        <f>IFERROR(VLOOKUP($A107,'Project Reference'!$B$2:$C$41,2), " ")</f>
        <v xml:space="preserve"> </v>
      </c>
      <c r="M107" s="8" t="str">
        <f>IFERROR(VLOOKUP($A107,'Project Reference'!$B$2:$D$41,3), " ")</f>
        <v xml:space="preserve"> </v>
      </c>
      <c r="N107" s="54" t="str">
        <f>IFERROR(VLOOKUP($A107,'Project Reference'!$B$2:$E$41,4), " ")</f>
        <v xml:space="preserve"> </v>
      </c>
      <c r="O107" s="8" t="str">
        <f>IFERROR(VLOOKUP($A107,'Project Reference'!$B$2:$F$41,5), " ")</f>
        <v xml:space="preserve"> </v>
      </c>
      <c r="P107" s="8" t="str">
        <f>IFERROR(VLOOKUP($A107,'Project Reference'!$B$2:$G$41,6), " ")</f>
        <v xml:space="preserve"> </v>
      </c>
      <c r="Q107" s="8" t="str">
        <f>IFERROR(VLOOKUP($A107,'Project Reference'!$B$2:$H$41,7), " ")</f>
        <v xml:space="preserve"> </v>
      </c>
      <c r="R107" s="8" t="str">
        <f>IFERROR(VLOOKUP($A107,'Project Reference'!$B$2:$I$41,8), " ")</f>
        <v xml:space="preserve"> </v>
      </c>
      <c r="S107" s="8" t="str">
        <f>IFERROR(VLOOKUP($A107,'Project Reference'!$B$2:$J$41,9), " ")</f>
        <v xml:space="preserve"> </v>
      </c>
      <c r="T107" s="8" t="str">
        <f>IFERROR(VLOOKUP($A107,'Project Reference'!$B$2:$K$41,10), " ")</f>
        <v xml:space="preserve"> </v>
      </c>
      <c r="U107" s="8" t="str">
        <f>IFERROR(VLOOKUP($A107,'Project Reference'!$B$2:$L$41,11), " ")</f>
        <v xml:space="preserve"> </v>
      </c>
      <c r="V107" s="8" t="str">
        <f>IFERROR(VLOOKUP($A107,'Project Reference'!$B$2:$M$41,12), " ")</f>
        <v xml:space="preserve"> </v>
      </c>
      <c r="W107" s="8" t="str">
        <f>IFERROR(VLOOKUP($A107,'Project Reference'!$B$2:$N$41,13), " ")</f>
        <v xml:space="preserve"> </v>
      </c>
      <c r="X107" s="8" t="str">
        <f>IFERROR(VLOOKUP($A107,'Project Reference'!$B$2:$O$41,14), " ")</f>
        <v xml:space="preserve"> </v>
      </c>
      <c r="Y107" s="8" t="str">
        <f>IFERROR(VLOOKUP($A107,'Project Reference'!$B$2:$P$41,15), " ")</f>
        <v xml:space="preserve"> </v>
      </c>
      <c r="Z107" s="9" t="str">
        <f>IFERROR(VLOOKUP($A107,'Project Reference'!$B$2:$Q$41,16), " ")</f>
        <v xml:space="preserve"> </v>
      </c>
    </row>
    <row r="108" spans="1:26" s="1" customFormat="1" x14ac:dyDescent="0.45">
      <c r="A108" s="70"/>
      <c r="B108" s="70" t="str">
        <f>IFERROR(VLOOKUP($A108,'Project Reference'!$S$2:$T$41,2),"Enter Project Number")</f>
        <v>Enter Project Number</v>
      </c>
      <c r="C108" s="54"/>
      <c r="D108" s="53"/>
      <c r="E108" s="8"/>
      <c r="F108" s="8"/>
      <c r="G108" s="8"/>
      <c r="H108" s="8"/>
      <c r="I108" s="8"/>
      <c r="J108" s="9"/>
      <c r="K108" s="23"/>
      <c r="L108" s="47" t="str">
        <f>IFERROR(VLOOKUP($A108,'Project Reference'!$B$2:$C$41,2), " ")</f>
        <v xml:space="preserve"> </v>
      </c>
      <c r="M108" s="8" t="str">
        <f>IFERROR(VLOOKUP($A108,'Project Reference'!$B$2:$D$41,3), " ")</f>
        <v xml:space="preserve"> </v>
      </c>
      <c r="N108" s="54" t="str">
        <f>IFERROR(VLOOKUP($A108,'Project Reference'!$B$2:$E$41,4), " ")</f>
        <v xml:space="preserve"> </v>
      </c>
      <c r="O108" s="8" t="str">
        <f>IFERROR(VLOOKUP($A108,'Project Reference'!$B$2:$F$41,5), " ")</f>
        <v xml:space="preserve"> </v>
      </c>
      <c r="P108" s="8" t="str">
        <f>IFERROR(VLOOKUP($A108,'Project Reference'!$B$2:$G$41,6), " ")</f>
        <v xml:space="preserve"> </v>
      </c>
      <c r="Q108" s="8" t="str">
        <f>IFERROR(VLOOKUP($A108,'Project Reference'!$B$2:$H$41,7), " ")</f>
        <v xml:space="preserve"> </v>
      </c>
      <c r="R108" s="8" t="str">
        <f>IFERROR(VLOOKUP($A108,'Project Reference'!$B$2:$I$41,8), " ")</f>
        <v xml:space="preserve"> </v>
      </c>
      <c r="S108" s="8" t="str">
        <f>IFERROR(VLOOKUP($A108,'Project Reference'!$B$2:$J$41,9), " ")</f>
        <v xml:space="preserve"> </v>
      </c>
      <c r="T108" s="8" t="str">
        <f>IFERROR(VLOOKUP($A108,'Project Reference'!$B$2:$K$41,10), " ")</f>
        <v xml:space="preserve"> </v>
      </c>
      <c r="U108" s="8" t="str">
        <f>IFERROR(VLOOKUP($A108,'Project Reference'!$B$2:$L$41,11), " ")</f>
        <v xml:space="preserve"> </v>
      </c>
      <c r="V108" s="8" t="str">
        <f>IFERROR(VLOOKUP($A108,'Project Reference'!$B$2:$M$41,12), " ")</f>
        <v xml:space="preserve"> </v>
      </c>
      <c r="W108" s="8" t="str">
        <f>IFERROR(VLOOKUP($A108,'Project Reference'!$B$2:$N$41,13), " ")</f>
        <v xml:space="preserve"> </v>
      </c>
      <c r="X108" s="8" t="str">
        <f>IFERROR(VLOOKUP($A108,'Project Reference'!$B$2:$O$41,14), " ")</f>
        <v xml:space="preserve"> </v>
      </c>
      <c r="Y108" s="8" t="str">
        <f>IFERROR(VLOOKUP($A108,'Project Reference'!$B$2:$P$41,15), " ")</f>
        <v xml:space="preserve"> </v>
      </c>
      <c r="Z108" s="9" t="str">
        <f>IFERROR(VLOOKUP($A108,'Project Reference'!$B$2:$Q$41,16), " ")</f>
        <v xml:space="preserve"> </v>
      </c>
    </row>
    <row r="109" spans="1:26" s="1" customFormat="1" x14ac:dyDescent="0.45">
      <c r="A109" s="70"/>
      <c r="B109" s="70" t="str">
        <f>IFERROR(VLOOKUP($A109,'Project Reference'!$S$2:$T$41,2),"Enter Project Number")</f>
        <v>Enter Project Number</v>
      </c>
      <c r="C109" s="54"/>
      <c r="D109" s="53"/>
      <c r="E109" s="8"/>
      <c r="F109" s="8"/>
      <c r="G109" s="8"/>
      <c r="H109" s="8"/>
      <c r="I109" s="8"/>
      <c r="J109" s="9"/>
      <c r="K109" s="23"/>
      <c r="L109" s="47" t="str">
        <f>IFERROR(VLOOKUP($A109,'Project Reference'!$B$2:$C$41,2), " ")</f>
        <v xml:space="preserve"> </v>
      </c>
      <c r="M109" s="8" t="str">
        <f>IFERROR(VLOOKUP($A109,'Project Reference'!$B$2:$D$41,3), " ")</f>
        <v xml:space="preserve"> </v>
      </c>
      <c r="N109" s="54" t="str">
        <f>IFERROR(VLOOKUP($A109,'Project Reference'!$B$2:$E$41,4), " ")</f>
        <v xml:space="preserve"> </v>
      </c>
      <c r="O109" s="8" t="str">
        <f>IFERROR(VLOOKUP($A109,'Project Reference'!$B$2:$F$41,5), " ")</f>
        <v xml:space="preserve"> </v>
      </c>
      <c r="P109" s="8" t="str">
        <f>IFERROR(VLOOKUP($A109,'Project Reference'!$B$2:$G$41,6), " ")</f>
        <v xml:space="preserve"> </v>
      </c>
      <c r="Q109" s="8" t="str">
        <f>IFERROR(VLOOKUP($A109,'Project Reference'!$B$2:$H$41,7), " ")</f>
        <v xml:space="preserve"> </v>
      </c>
      <c r="R109" s="8" t="str">
        <f>IFERROR(VLOOKUP($A109,'Project Reference'!$B$2:$I$41,8), " ")</f>
        <v xml:space="preserve"> </v>
      </c>
      <c r="S109" s="8" t="str">
        <f>IFERROR(VLOOKUP($A109,'Project Reference'!$B$2:$J$41,9), " ")</f>
        <v xml:space="preserve"> </v>
      </c>
      <c r="T109" s="8" t="str">
        <f>IFERROR(VLOOKUP($A109,'Project Reference'!$B$2:$K$41,10), " ")</f>
        <v xml:space="preserve"> </v>
      </c>
      <c r="U109" s="8" t="str">
        <f>IFERROR(VLOOKUP($A109,'Project Reference'!$B$2:$L$41,11), " ")</f>
        <v xml:space="preserve"> </v>
      </c>
      <c r="V109" s="8" t="str">
        <f>IFERROR(VLOOKUP($A109,'Project Reference'!$B$2:$M$41,12), " ")</f>
        <v xml:space="preserve"> </v>
      </c>
      <c r="W109" s="8" t="str">
        <f>IFERROR(VLOOKUP($A109,'Project Reference'!$B$2:$N$41,13), " ")</f>
        <v xml:space="preserve"> </v>
      </c>
      <c r="X109" s="8" t="str">
        <f>IFERROR(VLOOKUP($A109,'Project Reference'!$B$2:$O$41,14), " ")</f>
        <v xml:space="preserve"> </v>
      </c>
      <c r="Y109" s="8" t="str">
        <f>IFERROR(VLOOKUP($A109,'Project Reference'!$B$2:$P$41,15), " ")</f>
        <v xml:space="preserve"> </v>
      </c>
      <c r="Z109" s="9" t="str">
        <f>IFERROR(VLOOKUP($A109,'Project Reference'!$B$2:$Q$41,16), " ")</f>
        <v xml:space="preserve"> </v>
      </c>
    </row>
    <row r="110" spans="1:26" s="1" customFormat="1" x14ac:dyDescent="0.45">
      <c r="A110" s="70"/>
      <c r="B110" s="70" t="str">
        <f>IFERROR(VLOOKUP($A110,'Project Reference'!$S$2:$T$41,2),"Enter Project Number")</f>
        <v>Enter Project Number</v>
      </c>
      <c r="C110" s="54"/>
      <c r="D110" s="53"/>
      <c r="E110" s="8"/>
      <c r="F110" s="8"/>
      <c r="G110" s="8"/>
      <c r="H110" s="8"/>
      <c r="I110" s="8"/>
      <c r="J110" s="9"/>
      <c r="K110" s="23"/>
      <c r="L110" s="47" t="str">
        <f>IFERROR(VLOOKUP($A110,'Project Reference'!$B$2:$C$41,2), " ")</f>
        <v xml:space="preserve"> </v>
      </c>
      <c r="M110" s="8" t="str">
        <f>IFERROR(VLOOKUP($A110,'Project Reference'!$B$2:$D$41,3), " ")</f>
        <v xml:space="preserve"> </v>
      </c>
      <c r="N110" s="54" t="str">
        <f>IFERROR(VLOOKUP($A110,'Project Reference'!$B$2:$E$41,4), " ")</f>
        <v xml:space="preserve"> </v>
      </c>
      <c r="O110" s="8" t="str">
        <f>IFERROR(VLOOKUP($A110,'Project Reference'!$B$2:$F$41,5), " ")</f>
        <v xml:space="preserve"> </v>
      </c>
      <c r="P110" s="8" t="str">
        <f>IFERROR(VLOOKUP($A110,'Project Reference'!$B$2:$G$41,6), " ")</f>
        <v xml:space="preserve"> </v>
      </c>
      <c r="Q110" s="8" t="str">
        <f>IFERROR(VLOOKUP($A110,'Project Reference'!$B$2:$H$41,7), " ")</f>
        <v xml:space="preserve"> </v>
      </c>
      <c r="R110" s="8" t="str">
        <f>IFERROR(VLOOKUP($A110,'Project Reference'!$B$2:$I$41,8), " ")</f>
        <v xml:space="preserve"> </v>
      </c>
      <c r="S110" s="8" t="str">
        <f>IFERROR(VLOOKUP($A110,'Project Reference'!$B$2:$J$41,9), " ")</f>
        <v xml:space="preserve"> </v>
      </c>
      <c r="T110" s="8" t="str">
        <f>IFERROR(VLOOKUP($A110,'Project Reference'!$B$2:$K$41,10), " ")</f>
        <v xml:space="preserve"> </v>
      </c>
      <c r="U110" s="8" t="str">
        <f>IFERROR(VLOOKUP($A110,'Project Reference'!$B$2:$L$41,11), " ")</f>
        <v xml:space="preserve"> </v>
      </c>
      <c r="V110" s="8" t="str">
        <f>IFERROR(VLOOKUP($A110,'Project Reference'!$B$2:$M$41,12), " ")</f>
        <v xml:space="preserve"> </v>
      </c>
      <c r="W110" s="8" t="str">
        <f>IFERROR(VLOOKUP($A110,'Project Reference'!$B$2:$N$41,13), " ")</f>
        <v xml:space="preserve"> </v>
      </c>
      <c r="X110" s="8" t="str">
        <f>IFERROR(VLOOKUP($A110,'Project Reference'!$B$2:$O$41,14), " ")</f>
        <v xml:space="preserve"> </v>
      </c>
      <c r="Y110" s="8" t="str">
        <f>IFERROR(VLOOKUP($A110,'Project Reference'!$B$2:$P$41,15), " ")</f>
        <v xml:space="preserve"> </v>
      </c>
      <c r="Z110" s="9" t="str">
        <f>IFERROR(VLOOKUP($A110,'Project Reference'!$B$2:$Q$41,16), " ")</f>
        <v xml:space="preserve"> </v>
      </c>
    </row>
    <row r="111" spans="1:26" s="1" customFormat="1" x14ac:dyDescent="0.45">
      <c r="A111" s="70"/>
      <c r="B111" s="70" t="str">
        <f>IFERROR(VLOOKUP($A111,'Project Reference'!$S$2:$T$41,2),"Enter Project Number")</f>
        <v>Enter Project Number</v>
      </c>
      <c r="C111" s="54"/>
      <c r="D111" s="53"/>
      <c r="E111" s="8"/>
      <c r="F111" s="8"/>
      <c r="G111" s="8"/>
      <c r="H111" s="8"/>
      <c r="I111" s="8"/>
      <c r="J111" s="9"/>
      <c r="K111" s="23"/>
      <c r="L111" s="47" t="str">
        <f>IFERROR(VLOOKUP($A111,'Project Reference'!$B$2:$C$41,2), " ")</f>
        <v xml:space="preserve"> </v>
      </c>
      <c r="M111" s="8" t="str">
        <f>IFERROR(VLOOKUP($A111,'Project Reference'!$B$2:$D$41,3), " ")</f>
        <v xml:space="preserve"> </v>
      </c>
      <c r="N111" s="54" t="str">
        <f>IFERROR(VLOOKUP($A111,'Project Reference'!$B$2:$E$41,4), " ")</f>
        <v xml:space="preserve"> </v>
      </c>
      <c r="O111" s="8" t="str">
        <f>IFERROR(VLOOKUP($A111,'Project Reference'!$B$2:$F$41,5), " ")</f>
        <v xml:space="preserve"> </v>
      </c>
      <c r="P111" s="8" t="str">
        <f>IFERROR(VLOOKUP($A111,'Project Reference'!$B$2:$G$41,6), " ")</f>
        <v xml:space="preserve"> </v>
      </c>
      <c r="Q111" s="8" t="str">
        <f>IFERROR(VLOOKUP($A111,'Project Reference'!$B$2:$H$41,7), " ")</f>
        <v xml:space="preserve"> </v>
      </c>
      <c r="R111" s="8" t="str">
        <f>IFERROR(VLOOKUP($A111,'Project Reference'!$B$2:$I$41,8), " ")</f>
        <v xml:space="preserve"> </v>
      </c>
      <c r="S111" s="8" t="str">
        <f>IFERROR(VLOOKUP($A111,'Project Reference'!$B$2:$J$41,9), " ")</f>
        <v xml:space="preserve"> </v>
      </c>
      <c r="T111" s="8" t="str">
        <f>IFERROR(VLOOKUP($A111,'Project Reference'!$B$2:$K$41,10), " ")</f>
        <v xml:space="preserve"> </v>
      </c>
      <c r="U111" s="8" t="str">
        <f>IFERROR(VLOOKUP($A111,'Project Reference'!$B$2:$L$41,11), " ")</f>
        <v xml:space="preserve"> </v>
      </c>
      <c r="V111" s="8" t="str">
        <f>IFERROR(VLOOKUP($A111,'Project Reference'!$B$2:$M$41,12), " ")</f>
        <v xml:space="preserve"> </v>
      </c>
      <c r="W111" s="8" t="str">
        <f>IFERROR(VLOOKUP($A111,'Project Reference'!$B$2:$N$41,13), " ")</f>
        <v xml:space="preserve"> </v>
      </c>
      <c r="X111" s="8" t="str">
        <f>IFERROR(VLOOKUP($A111,'Project Reference'!$B$2:$O$41,14), " ")</f>
        <v xml:space="preserve"> </v>
      </c>
      <c r="Y111" s="8" t="str">
        <f>IFERROR(VLOOKUP($A111,'Project Reference'!$B$2:$P$41,15), " ")</f>
        <v xml:space="preserve"> </v>
      </c>
      <c r="Z111" s="9" t="str">
        <f>IFERROR(VLOOKUP($A111,'Project Reference'!$B$2:$Q$41,16), " ")</f>
        <v xml:space="preserve"> </v>
      </c>
    </row>
    <row r="112" spans="1:26" s="1" customFormat="1" x14ac:dyDescent="0.45">
      <c r="A112" s="70"/>
      <c r="B112" s="70" t="str">
        <f>IFERROR(VLOOKUP($A112,'Project Reference'!$S$2:$T$41,2),"Enter Project Number")</f>
        <v>Enter Project Number</v>
      </c>
      <c r="C112" s="54"/>
      <c r="D112" s="53"/>
      <c r="E112" s="8"/>
      <c r="F112" s="8"/>
      <c r="G112" s="8"/>
      <c r="H112" s="8"/>
      <c r="I112" s="8"/>
      <c r="J112" s="9"/>
      <c r="K112" s="23"/>
      <c r="L112" s="47" t="str">
        <f>IFERROR(VLOOKUP($A112,'Project Reference'!$B$2:$C$41,2), " ")</f>
        <v xml:space="preserve"> </v>
      </c>
      <c r="M112" s="8" t="str">
        <f>IFERROR(VLOOKUP($A112,'Project Reference'!$B$2:$D$41,3), " ")</f>
        <v xml:space="preserve"> </v>
      </c>
      <c r="N112" s="54" t="str">
        <f>IFERROR(VLOOKUP($A112,'Project Reference'!$B$2:$E$41,4), " ")</f>
        <v xml:space="preserve"> </v>
      </c>
      <c r="O112" s="8" t="str">
        <f>IFERROR(VLOOKUP($A112,'Project Reference'!$B$2:$F$41,5), " ")</f>
        <v xml:space="preserve"> </v>
      </c>
      <c r="P112" s="8" t="str">
        <f>IFERROR(VLOOKUP($A112,'Project Reference'!$B$2:$G$41,6), " ")</f>
        <v xml:space="preserve"> </v>
      </c>
      <c r="Q112" s="8" t="str">
        <f>IFERROR(VLOOKUP($A112,'Project Reference'!$B$2:$H$41,7), " ")</f>
        <v xml:space="preserve"> </v>
      </c>
      <c r="R112" s="8" t="str">
        <f>IFERROR(VLOOKUP($A112,'Project Reference'!$B$2:$I$41,8), " ")</f>
        <v xml:space="preserve"> </v>
      </c>
      <c r="S112" s="8" t="str">
        <f>IFERROR(VLOOKUP($A112,'Project Reference'!$B$2:$J$41,9), " ")</f>
        <v xml:space="preserve"> </v>
      </c>
      <c r="T112" s="8" t="str">
        <f>IFERROR(VLOOKUP($A112,'Project Reference'!$B$2:$K$41,10), " ")</f>
        <v xml:space="preserve"> </v>
      </c>
      <c r="U112" s="8" t="str">
        <f>IFERROR(VLOOKUP($A112,'Project Reference'!$B$2:$L$41,11), " ")</f>
        <v xml:space="preserve"> </v>
      </c>
      <c r="V112" s="8" t="str">
        <f>IFERROR(VLOOKUP($A112,'Project Reference'!$B$2:$M$41,12), " ")</f>
        <v xml:space="preserve"> </v>
      </c>
      <c r="W112" s="8" t="str">
        <f>IFERROR(VLOOKUP($A112,'Project Reference'!$B$2:$N$41,13), " ")</f>
        <v xml:space="preserve"> </v>
      </c>
      <c r="X112" s="8" t="str">
        <f>IFERROR(VLOOKUP($A112,'Project Reference'!$B$2:$O$41,14), " ")</f>
        <v xml:space="preserve"> </v>
      </c>
      <c r="Y112" s="8" t="str">
        <f>IFERROR(VLOOKUP($A112,'Project Reference'!$B$2:$P$41,15), " ")</f>
        <v xml:space="preserve"> </v>
      </c>
      <c r="Z112" s="9" t="str">
        <f>IFERROR(VLOOKUP($A112,'Project Reference'!$B$2:$Q$41,16), " ")</f>
        <v xml:space="preserve"> </v>
      </c>
    </row>
    <row r="113" spans="1:26" s="1" customFormat="1" x14ac:dyDescent="0.45">
      <c r="A113" s="70"/>
      <c r="B113" s="70" t="str">
        <f>IFERROR(VLOOKUP($A113,'Project Reference'!$S$2:$T$41,2),"Enter Project Number")</f>
        <v>Enter Project Number</v>
      </c>
      <c r="C113" s="54"/>
      <c r="D113" s="53"/>
      <c r="E113" s="8"/>
      <c r="F113" s="8"/>
      <c r="G113" s="8"/>
      <c r="H113" s="8"/>
      <c r="I113" s="8"/>
      <c r="J113" s="9"/>
      <c r="K113" s="23"/>
      <c r="L113" s="47" t="str">
        <f>IFERROR(VLOOKUP($A113,'Project Reference'!$B$2:$C$41,2), " ")</f>
        <v xml:space="preserve"> </v>
      </c>
      <c r="M113" s="8" t="str">
        <f>IFERROR(VLOOKUP($A113,'Project Reference'!$B$2:$D$41,3), " ")</f>
        <v xml:space="preserve"> </v>
      </c>
      <c r="N113" s="54" t="str">
        <f>IFERROR(VLOOKUP($A113,'Project Reference'!$B$2:$E$41,4), " ")</f>
        <v xml:space="preserve"> </v>
      </c>
      <c r="O113" s="8" t="str">
        <f>IFERROR(VLOOKUP($A113,'Project Reference'!$B$2:$F$41,5), " ")</f>
        <v xml:space="preserve"> </v>
      </c>
      <c r="P113" s="8" t="str">
        <f>IFERROR(VLOOKUP($A113,'Project Reference'!$B$2:$G$41,6), " ")</f>
        <v xml:space="preserve"> </v>
      </c>
      <c r="Q113" s="8" t="str">
        <f>IFERROR(VLOOKUP($A113,'Project Reference'!$B$2:$H$41,7), " ")</f>
        <v xml:space="preserve"> </v>
      </c>
      <c r="R113" s="8" t="str">
        <f>IFERROR(VLOOKUP($A113,'Project Reference'!$B$2:$I$41,8), " ")</f>
        <v xml:space="preserve"> </v>
      </c>
      <c r="S113" s="8" t="str">
        <f>IFERROR(VLOOKUP($A113,'Project Reference'!$B$2:$J$41,9), " ")</f>
        <v xml:space="preserve"> </v>
      </c>
      <c r="T113" s="8" t="str">
        <f>IFERROR(VLOOKUP($A113,'Project Reference'!$B$2:$K$41,10), " ")</f>
        <v xml:space="preserve"> </v>
      </c>
      <c r="U113" s="8" t="str">
        <f>IFERROR(VLOOKUP($A113,'Project Reference'!$B$2:$L$41,11), " ")</f>
        <v xml:space="preserve"> </v>
      </c>
      <c r="V113" s="8" t="str">
        <f>IFERROR(VLOOKUP($A113,'Project Reference'!$B$2:$M$41,12), " ")</f>
        <v xml:space="preserve"> </v>
      </c>
      <c r="W113" s="8" t="str">
        <f>IFERROR(VLOOKUP($A113,'Project Reference'!$B$2:$N$41,13), " ")</f>
        <v xml:space="preserve"> </v>
      </c>
      <c r="X113" s="8" t="str">
        <f>IFERROR(VLOOKUP($A113,'Project Reference'!$B$2:$O$41,14), " ")</f>
        <v xml:space="preserve"> </v>
      </c>
      <c r="Y113" s="8" t="str">
        <f>IFERROR(VLOOKUP($A113,'Project Reference'!$B$2:$P$41,15), " ")</f>
        <v xml:space="preserve"> </v>
      </c>
      <c r="Z113" s="9" t="str">
        <f>IFERROR(VLOOKUP($A113,'Project Reference'!$B$2:$Q$41,16), " ")</f>
        <v xml:space="preserve"> </v>
      </c>
    </row>
    <row r="114" spans="1:26" s="1" customFormat="1" x14ac:dyDescent="0.45">
      <c r="A114" s="70"/>
      <c r="B114" s="70" t="str">
        <f>IFERROR(VLOOKUP($A114,'Project Reference'!$S$2:$T$41,2),"Enter Project Number")</f>
        <v>Enter Project Number</v>
      </c>
      <c r="C114" s="54"/>
      <c r="D114" s="53"/>
      <c r="E114" s="8"/>
      <c r="F114" s="8"/>
      <c r="G114" s="8"/>
      <c r="H114" s="8"/>
      <c r="I114" s="8"/>
      <c r="J114" s="9"/>
      <c r="K114" s="23"/>
      <c r="L114" s="47" t="str">
        <f>IFERROR(VLOOKUP($A114,'Project Reference'!$B$2:$C$41,2), " ")</f>
        <v xml:space="preserve"> </v>
      </c>
      <c r="M114" s="8" t="str">
        <f>IFERROR(VLOOKUP($A114,'Project Reference'!$B$2:$D$41,3), " ")</f>
        <v xml:space="preserve"> </v>
      </c>
      <c r="N114" s="54" t="str">
        <f>IFERROR(VLOOKUP($A114,'Project Reference'!$B$2:$E$41,4), " ")</f>
        <v xml:space="preserve"> </v>
      </c>
      <c r="O114" s="8" t="str">
        <f>IFERROR(VLOOKUP($A114,'Project Reference'!$B$2:$F$41,5), " ")</f>
        <v xml:space="preserve"> </v>
      </c>
      <c r="P114" s="8" t="str">
        <f>IFERROR(VLOOKUP($A114,'Project Reference'!$B$2:$G$41,6), " ")</f>
        <v xml:space="preserve"> </v>
      </c>
      <c r="Q114" s="8" t="str">
        <f>IFERROR(VLOOKUP($A114,'Project Reference'!$B$2:$H$41,7), " ")</f>
        <v xml:space="preserve"> </v>
      </c>
      <c r="R114" s="8" t="str">
        <f>IFERROR(VLOOKUP($A114,'Project Reference'!$B$2:$I$41,8), " ")</f>
        <v xml:space="preserve"> </v>
      </c>
      <c r="S114" s="8" t="str">
        <f>IFERROR(VLOOKUP($A114,'Project Reference'!$B$2:$J$41,9), " ")</f>
        <v xml:space="preserve"> </v>
      </c>
      <c r="T114" s="8" t="str">
        <f>IFERROR(VLOOKUP($A114,'Project Reference'!$B$2:$K$41,10), " ")</f>
        <v xml:space="preserve"> </v>
      </c>
      <c r="U114" s="8" t="str">
        <f>IFERROR(VLOOKUP($A114,'Project Reference'!$B$2:$L$41,11), " ")</f>
        <v xml:space="preserve"> </v>
      </c>
      <c r="V114" s="8" t="str">
        <f>IFERROR(VLOOKUP($A114,'Project Reference'!$B$2:$M$41,12), " ")</f>
        <v xml:space="preserve"> </v>
      </c>
      <c r="W114" s="8" t="str">
        <f>IFERROR(VLOOKUP($A114,'Project Reference'!$B$2:$N$41,13), " ")</f>
        <v xml:space="preserve"> </v>
      </c>
      <c r="X114" s="8" t="str">
        <f>IFERROR(VLOOKUP($A114,'Project Reference'!$B$2:$O$41,14), " ")</f>
        <v xml:space="preserve"> </v>
      </c>
      <c r="Y114" s="8" t="str">
        <f>IFERROR(VLOOKUP($A114,'Project Reference'!$B$2:$P$41,15), " ")</f>
        <v xml:space="preserve"> </v>
      </c>
      <c r="Z114" s="9" t="str">
        <f>IFERROR(VLOOKUP($A114,'Project Reference'!$B$2:$Q$41,16), " ")</f>
        <v xml:space="preserve"> </v>
      </c>
    </row>
    <row r="115" spans="1:26" s="1" customFormat="1" x14ac:dyDescent="0.45">
      <c r="A115" s="70"/>
      <c r="B115" s="70" t="str">
        <f>IFERROR(VLOOKUP($A115,'Project Reference'!$S$2:$T$41,2),"Enter Project Number")</f>
        <v>Enter Project Number</v>
      </c>
      <c r="C115" s="54"/>
      <c r="D115" s="53"/>
      <c r="E115" s="8"/>
      <c r="F115" s="8"/>
      <c r="G115" s="8"/>
      <c r="H115" s="8"/>
      <c r="I115" s="8"/>
      <c r="J115" s="9"/>
      <c r="K115" s="23"/>
      <c r="L115" s="47" t="str">
        <f>IFERROR(VLOOKUP($A115,'Project Reference'!$B$2:$C$41,2), " ")</f>
        <v xml:space="preserve"> </v>
      </c>
      <c r="M115" s="8" t="str">
        <f>IFERROR(VLOOKUP($A115,'Project Reference'!$B$2:$D$41,3), " ")</f>
        <v xml:space="preserve"> </v>
      </c>
      <c r="N115" s="54" t="str">
        <f>IFERROR(VLOOKUP($A115,'Project Reference'!$B$2:$E$41,4), " ")</f>
        <v xml:space="preserve"> </v>
      </c>
      <c r="O115" s="8" t="str">
        <f>IFERROR(VLOOKUP($A115,'Project Reference'!$B$2:$F$41,5), " ")</f>
        <v xml:space="preserve"> </v>
      </c>
      <c r="P115" s="8" t="str">
        <f>IFERROR(VLOOKUP($A115,'Project Reference'!$B$2:$G$41,6), " ")</f>
        <v xml:space="preserve"> </v>
      </c>
      <c r="Q115" s="8" t="str">
        <f>IFERROR(VLOOKUP($A115,'Project Reference'!$B$2:$H$41,7), " ")</f>
        <v xml:space="preserve"> </v>
      </c>
      <c r="R115" s="8" t="str">
        <f>IFERROR(VLOOKUP($A115,'Project Reference'!$B$2:$I$41,8), " ")</f>
        <v xml:space="preserve"> </v>
      </c>
      <c r="S115" s="8" t="str">
        <f>IFERROR(VLOOKUP($A115,'Project Reference'!$B$2:$J$41,9), " ")</f>
        <v xml:space="preserve"> </v>
      </c>
      <c r="T115" s="8" t="str">
        <f>IFERROR(VLOOKUP($A115,'Project Reference'!$B$2:$K$41,10), " ")</f>
        <v xml:space="preserve"> </v>
      </c>
      <c r="U115" s="8" t="str">
        <f>IFERROR(VLOOKUP($A115,'Project Reference'!$B$2:$L$41,11), " ")</f>
        <v xml:space="preserve"> </v>
      </c>
      <c r="V115" s="8" t="str">
        <f>IFERROR(VLOOKUP($A115,'Project Reference'!$B$2:$M$41,12), " ")</f>
        <v xml:space="preserve"> </v>
      </c>
      <c r="W115" s="8" t="str">
        <f>IFERROR(VLOOKUP($A115,'Project Reference'!$B$2:$N$41,13), " ")</f>
        <v xml:space="preserve"> </v>
      </c>
      <c r="X115" s="8" t="str">
        <f>IFERROR(VLOOKUP($A115,'Project Reference'!$B$2:$O$41,14), " ")</f>
        <v xml:space="preserve"> </v>
      </c>
      <c r="Y115" s="8" t="str">
        <f>IFERROR(VLOOKUP($A115,'Project Reference'!$B$2:$P$41,15), " ")</f>
        <v xml:space="preserve"> </v>
      </c>
      <c r="Z115" s="9" t="str">
        <f>IFERROR(VLOOKUP($A115,'Project Reference'!$B$2:$Q$41,16), " ")</f>
        <v xml:space="preserve"> </v>
      </c>
    </row>
    <row r="116" spans="1:26" s="1" customFormat="1" x14ac:dyDescent="0.45">
      <c r="A116" s="70"/>
      <c r="B116" s="70" t="str">
        <f>IFERROR(VLOOKUP($A116,'Project Reference'!$S$2:$T$41,2),"Enter Project Number")</f>
        <v>Enter Project Number</v>
      </c>
      <c r="C116" s="54"/>
      <c r="D116" s="53"/>
      <c r="E116" s="8"/>
      <c r="F116" s="8"/>
      <c r="G116" s="8"/>
      <c r="H116" s="8"/>
      <c r="I116" s="8"/>
      <c r="J116" s="9"/>
      <c r="K116" s="23"/>
      <c r="L116" s="47" t="str">
        <f>IFERROR(VLOOKUP($A116,'Project Reference'!$B$2:$C$41,2), " ")</f>
        <v xml:space="preserve"> </v>
      </c>
      <c r="M116" s="8" t="str">
        <f>IFERROR(VLOOKUP($A116,'Project Reference'!$B$2:$D$41,3), " ")</f>
        <v xml:space="preserve"> </v>
      </c>
      <c r="N116" s="54" t="str">
        <f>IFERROR(VLOOKUP($A116,'Project Reference'!$B$2:$E$41,4), " ")</f>
        <v xml:space="preserve"> </v>
      </c>
      <c r="O116" s="8" t="str">
        <f>IFERROR(VLOOKUP($A116,'Project Reference'!$B$2:$F$41,5), " ")</f>
        <v xml:space="preserve"> </v>
      </c>
      <c r="P116" s="8" t="str">
        <f>IFERROR(VLOOKUP($A116,'Project Reference'!$B$2:$G$41,6), " ")</f>
        <v xml:space="preserve"> </v>
      </c>
      <c r="Q116" s="8" t="str">
        <f>IFERROR(VLOOKUP($A116,'Project Reference'!$B$2:$H$41,7), " ")</f>
        <v xml:space="preserve"> </v>
      </c>
      <c r="R116" s="8" t="str">
        <f>IFERROR(VLOOKUP($A116,'Project Reference'!$B$2:$I$41,8), " ")</f>
        <v xml:space="preserve"> </v>
      </c>
      <c r="S116" s="8" t="str">
        <f>IFERROR(VLOOKUP($A116,'Project Reference'!$B$2:$J$41,9), " ")</f>
        <v xml:space="preserve"> </v>
      </c>
      <c r="T116" s="8" t="str">
        <f>IFERROR(VLOOKUP($A116,'Project Reference'!$B$2:$K$41,10), " ")</f>
        <v xml:space="preserve"> </v>
      </c>
      <c r="U116" s="8" t="str">
        <f>IFERROR(VLOOKUP($A116,'Project Reference'!$B$2:$L$41,11), " ")</f>
        <v xml:space="preserve"> </v>
      </c>
      <c r="V116" s="8" t="str">
        <f>IFERROR(VLOOKUP($A116,'Project Reference'!$B$2:$M$41,12), " ")</f>
        <v xml:space="preserve"> </v>
      </c>
      <c r="W116" s="8" t="str">
        <f>IFERROR(VLOOKUP($A116,'Project Reference'!$B$2:$N$41,13), " ")</f>
        <v xml:space="preserve"> </v>
      </c>
      <c r="X116" s="8" t="str">
        <f>IFERROR(VLOOKUP($A116,'Project Reference'!$B$2:$O$41,14), " ")</f>
        <v xml:space="preserve"> </v>
      </c>
      <c r="Y116" s="8" t="str">
        <f>IFERROR(VLOOKUP($A116,'Project Reference'!$B$2:$P$41,15), " ")</f>
        <v xml:space="preserve"> </v>
      </c>
      <c r="Z116" s="9" t="str">
        <f>IFERROR(VLOOKUP($A116,'Project Reference'!$B$2:$Q$41,16), " ")</f>
        <v xml:space="preserve"> </v>
      </c>
    </row>
    <row r="117" spans="1:26" s="1" customFormat="1" x14ac:dyDescent="0.45">
      <c r="A117" s="70"/>
      <c r="B117" s="70" t="str">
        <f>IFERROR(VLOOKUP($A117,'Project Reference'!$S$2:$T$41,2),"Enter Project Number")</f>
        <v>Enter Project Number</v>
      </c>
      <c r="C117" s="54"/>
      <c r="D117" s="53"/>
      <c r="E117" s="8"/>
      <c r="F117" s="8"/>
      <c r="G117" s="8"/>
      <c r="H117" s="8"/>
      <c r="I117" s="8"/>
      <c r="J117" s="9"/>
      <c r="K117" s="23"/>
      <c r="L117" s="47" t="str">
        <f>IFERROR(VLOOKUP($A117,'Project Reference'!$B$2:$C$41,2), " ")</f>
        <v xml:space="preserve"> </v>
      </c>
      <c r="M117" s="8" t="str">
        <f>IFERROR(VLOOKUP($A117,'Project Reference'!$B$2:$D$41,3), " ")</f>
        <v xml:space="preserve"> </v>
      </c>
      <c r="N117" s="54" t="str">
        <f>IFERROR(VLOOKUP($A117,'Project Reference'!$B$2:$E$41,4), " ")</f>
        <v xml:space="preserve"> </v>
      </c>
      <c r="O117" s="8" t="str">
        <f>IFERROR(VLOOKUP($A117,'Project Reference'!$B$2:$F$41,5), " ")</f>
        <v xml:space="preserve"> </v>
      </c>
      <c r="P117" s="8" t="str">
        <f>IFERROR(VLOOKUP($A117,'Project Reference'!$B$2:$G$41,6), " ")</f>
        <v xml:space="preserve"> </v>
      </c>
      <c r="Q117" s="8" t="str">
        <f>IFERROR(VLOOKUP($A117,'Project Reference'!$B$2:$H$41,7), " ")</f>
        <v xml:space="preserve"> </v>
      </c>
      <c r="R117" s="8" t="str">
        <f>IFERROR(VLOOKUP($A117,'Project Reference'!$B$2:$I$41,8), " ")</f>
        <v xml:space="preserve"> </v>
      </c>
      <c r="S117" s="8" t="str">
        <f>IFERROR(VLOOKUP($A117,'Project Reference'!$B$2:$J$41,9), " ")</f>
        <v xml:space="preserve"> </v>
      </c>
      <c r="T117" s="8" t="str">
        <f>IFERROR(VLOOKUP($A117,'Project Reference'!$B$2:$K$41,10), " ")</f>
        <v xml:space="preserve"> </v>
      </c>
      <c r="U117" s="8" t="str">
        <f>IFERROR(VLOOKUP($A117,'Project Reference'!$B$2:$L$41,11), " ")</f>
        <v xml:space="preserve"> </v>
      </c>
      <c r="V117" s="8" t="str">
        <f>IFERROR(VLOOKUP($A117,'Project Reference'!$B$2:$M$41,12), " ")</f>
        <v xml:space="preserve"> </v>
      </c>
      <c r="W117" s="8" t="str">
        <f>IFERROR(VLOOKUP($A117,'Project Reference'!$B$2:$N$41,13), " ")</f>
        <v xml:space="preserve"> </v>
      </c>
      <c r="X117" s="8" t="str">
        <f>IFERROR(VLOOKUP($A117,'Project Reference'!$B$2:$O$41,14), " ")</f>
        <v xml:space="preserve"> </v>
      </c>
      <c r="Y117" s="8" t="str">
        <f>IFERROR(VLOOKUP($A117,'Project Reference'!$B$2:$P$41,15), " ")</f>
        <v xml:space="preserve"> </v>
      </c>
      <c r="Z117" s="9" t="str">
        <f>IFERROR(VLOOKUP($A117,'Project Reference'!$B$2:$Q$41,16), " ")</f>
        <v xml:space="preserve"> </v>
      </c>
    </row>
    <row r="118" spans="1:26" s="1" customFormat="1" x14ac:dyDescent="0.45">
      <c r="A118" s="70"/>
      <c r="B118" s="70" t="str">
        <f>IFERROR(VLOOKUP($A118,'Project Reference'!$S$2:$T$41,2),"Enter Project Number")</f>
        <v>Enter Project Number</v>
      </c>
      <c r="C118" s="54"/>
      <c r="D118" s="53"/>
      <c r="E118" s="8"/>
      <c r="F118" s="8"/>
      <c r="G118" s="8"/>
      <c r="H118" s="8"/>
      <c r="I118" s="8"/>
      <c r="J118" s="9"/>
      <c r="K118" s="23"/>
      <c r="L118" s="47" t="str">
        <f>IFERROR(VLOOKUP($A118,'Project Reference'!$B$2:$C$41,2), " ")</f>
        <v xml:space="preserve"> </v>
      </c>
      <c r="M118" s="8" t="str">
        <f>IFERROR(VLOOKUP($A118,'Project Reference'!$B$2:$D$41,3), " ")</f>
        <v xml:space="preserve"> </v>
      </c>
      <c r="N118" s="54" t="str">
        <f>IFERROR(VLOOKUP($A118,'Project Reference'!$B$2:$E$41,4), " ")</f>
        <v xml:space="preserve"> </v>
      </c>
      <c r="O118" s="8" t="str">
        <f>IFERROR(VLOOKUP($A118,'Project Reference'!$B$2:$F$41,5), " ")</f>
        <v xml:space="preserve"> </v>
      </c>
      <c r="P118" s="8" t="str">
        <f>IFERROR(VLOOKUP($A118,'Project Reference'!$B$2:$G$41,6), " ")</f>
        <v xml:space="preserve"> </v>
      </c>
      <c r="Q118" s="8" t="str">
        <f>IFERROR(VLOOKUP($A118,'Project Reference'!$B$2:$H$41,7), " ")</f>
        <v xml:space="preserve"> </v>
      </c>
      <c r="R118" s="8" t="str">
        <f>IFERROR(VLOOKUP($A118,'Project Reference'!$B$2:$I$41,8), " ")</f>
        <v xml:space="preserve"> </v>
      </c>
      <c r="S118" s="8" t="str">
        <f>IFERROR(VLOOKUP($A118,'Project Reference'!$B$2:$J$41,9), " ")</f>
        <v xml:space="preserve"> </v>
      </c>
      <c r="T118" s="8" t="str">
        <f>IFERROR(VLOOKUP($A118,'Project Reference'!$B$2:$K$41,10), " ")</f>
        <v xml:space="preserve"> </v>
      </c>
      <c r="U118" s="8" t="str">
        <f>IFERROR(VLOOKUP($A118,'Project Reference'!$B$2:$L$41,11), " ")</f>
        <v xml:space="preserve"> </v>
      </c>
      <c r="V118" s="8" t="str">
        <f>IFERROR(VLOOKUP($A118,'Project Reference'!$B$2:$M$41,12), " ")</f>
        <v xml:space="preserve"> </v>
      </c>
      <c r="W118" s="8" t="str">
        <f>IFERROR(VLOOKUP($A118,'Project Reference'!$B$2:$N$41,13), " ")</f>
        <v xml:space="preserve"> </v>
      </c>
      <c r="X118" s="8" t="str">
        <f>IFERROR(VLOOKUP($A118,'Project Reference'!$B$2:$O$41,14), " ")</f>
        <v xml:space="preserve"> </v>
      </c>
      <c r="Y118" s="8" t="str">
        <f>IFERROR(VLOOKUP($A118,'Project Reference'!$B$2:$P$41,15), " ")</f>
        <v xml:space="preserve"> </v>
      </c>
      <c r="Z118" s="9" t="str">
        <f>IFERROR(VLOOKUP($A118,'Project Reference'!$B$2:$Q$41,16), " ")</f>
        <v xml:space="preserve"> </v>
      </c>
    </row>
    <row r="119" spans="1:26" s="1" customFormat="1" x14ac:dyDescent="0.45">
      <c r="A119" s="70"/>
      <c r="B119" s="70" t="str">
        <f>IFERROR(VLOOKUP($A119,'Project Reference'!$S$2:$T$41,2),"Enter Project Number")</f>
        <v>Enter Project Number</v>
      </c>
      <c r="C119" s="54"/>
      <c r="D119" s="53"/>
      <c r="E119" s="8"/>
      <c r="F119" s="8"/>
      <c r="G119" s="8"/>
      <c r="H119" s="8"/>
      <c r="I119" s="8"/>
      <c r="J119" s="9"/>
      <c r="K119" s="23"/>
      <c r="L119" s="47" t="str">
        <f>IFERROR(VLOOKUP($A119,'Project Reference'!$B$2:$C$41,2), " ")</f>
        <v xml:space="preserve"> </v>
      </c>
      <c r="M119" s="8" t="str">
        <f>IFERROR(VLOOKUP($A119,'Project Reference'!$B$2:$D$41,3), " ")</f>
        <v xml:space="preserve"> </v>
      </c>
      <c r="N119" s="54" t="str">
        <f>IFERROR(VLOOKUP($A119,'Project Reference'!$B$2:$E$41,4), " ")</f>
        <v xml:space="preserve"> </v>
      </c>
      <c r="O119" s="8" t="str">
        <f>IFERROR(VLOOKUP($A119,'Project Reference'!$B$2:$F$41,5), " ")</f>
        <v xml:space="preserve"> </v>
      </c>
      <c r="P119" s="8" t="str">
        <f>IFERROR(VLOOKUP($A119,'Project Reference'!$B$2:$G$41,6), " ")</f>
        <v xml:space="preserve"> </v>
      </c>
      <c r="Q119" s="8" t="str">
        <f>IFERROR(VLOOKUP($A119,'Project Reference'!$B$2:$H$41,7), " ")</f>
        <v xml:space="preserve"> </v>
      </c>
      <c r="R119" s="8" t="str">
        <f>IFERROR(VLOOKUP($A119,'Project Reference'!$B$2:$I$41,8), " ")</f>
        <v xml:space="preserve"> </v>
      </c>
      <c r="S119" s="8" t="str">
        <f>IFERROR(VLOOKUP($A119,'Project Reference'!$B$2:$J$41,9), " ")</f>
        <v xml:space="preserve"> </v>
      </c>
      <c r="T119" s="8" t="str">
        <f>IFERROR(VLOOKUP($A119,'Project Reference'!$B$2:$K$41,10), " ")</f>
        <v xml:space="preserve"> </v>
      </c>
      <c r="U119" s="8" t="str">
        <f>IFERROR(VLOOKUP($A119,'Project Reference'!$B$2:$L$41,11), " ")</f>
        <v xml:space="preserve"> </v>
      </c>
      <c r="V119" s="8" t="str">
        <f>IFERROR(VLOOKUP($A119,'Project Reference'!$B$2:$M$41,12), " ")</f>
        <v xml:space="preserve"> </v>
      </c>
      <c r="W119" s="8" t="str">
        <f>IFERROR(VLOOKUP($A119,'Project Reference'!$B$2:$N$41,13), " ")</f>
        <v xml:space="preserve"> </v>
      </c>
      <c r="X119" s="8" t="str">
        <f>IFERROR(VLOOKUP($A119,'Project Reference'!$B$2:$O$41,14), " ")</f>
        <v xml:space="preserve"> </v>
      </c>
      <c r="Y119" s="8" t="str">
        <f>IFERROR(VLOOKUP($A119,'Project Reference'!$B$2:$P$41,15), " ")</f>
        <v xml:space="preserve"> </v>
      </c>
      <c r="Z119" s="9" t="str">
        <f>IFERROR(VLOOKUP($A119,'Project Reference'!$B$2:$Q$41,16), " ")</f>
        <v xml:space="preserve"> </v>
      </c>
    </row>
    <row r="120" spans="1:26" s="1" customFormat="1" x14ac:dyDescent="0.45">
      <c r="A120" s="70"/>
      <c r="B120" s="70" t="str">
        <f>IFERROR(VLOOKUP($A120,'Project Reference'!$S$2:$T$41,2),"Enter Project Number")</f>
        <v>Enter Project Number</v>
      </c>
      <c r="C120" s="54"/>
      <c r="D120" s="53"/>
      <c r="E120" s="8"/>
      <c r="F120" s="8"/>
      <c r="G120" s="8"/>
      <c r="H120" s="8"/>
      <c r="I120" s="8"/>
      <c r="J120" s="9"/>
      <c r="K120" s="23"/>
      <c r="L120" s="47" t="str">
        <f>IFERROR(VLOOKUP($A120,'Project Reference'!$B$2:$C$41,2), " ")</f>
        <v xml:space="preserve"> </v>
      </c>
      <c r="M120" s="8" t="str">
        <f>IFERROR(VLOOKUP($A120,'Project Reference'!$B$2:$D$41,3), " ")</f>
        <v xml:space="preserve"> </v>
      </c>
      <c r="N120" s="54" t="str">
        <f>IFERROR(VLOOKUP($A120,'Project Reference'!$B$2:$E$41,4), " ")</f>
        <v xml:space="preserve"> </v>
      </c>
      <c r="O120" s="8" t="str">
        <f>IFERROR(VLOOKUP($A120,'Project Reference'!$B$2:$F$41,5), " ")</f>
        <v xml:space="preserve"> </v>
      </c>
      <c r="P120" s="8" t="str">
        <f>IFERROR(VLOOKUP($A120,'Project Reference'!$B$2:$G$41,6), " ")</f>
        <v xml:space="preserve"> </v>
      </c>
      <c r="Q120" s="8" t="str">
        <f>IFERROR(VLOOKUP($A120,'Project Reference'!$B$2:$H$41,7), " ")</f>
        <v xml:space="preserve"> </v>
      </c>
      <c r="R120" s="8" t="str">
        <f>IFERROR(VLOOKUP($A120,'Project Reference'!$B$2:$I$41,8), " ")</f>
        <v xml:space="preserve"> </v>
      </c>
      <c r="S120" s="8" t="str">
        <f>IFERROR(VLOOKUP($A120,'Project Reference'!$B$2:$J$41,9), " ")</f>
        <v xml:space="preserve"> </v>
      </c>
      <c r="T120" s="8" t="str">
        <f>IFERROR(VLOOKUP($A120,'Project Reference'!$B$2:$K$41,10), " ")</f>
        <v xml:space="preserve"> </v>
      </c>
      <c r="U120" s="8" t="str">
        <f>IFERROR(VLOOKUP($A120,'Project Reference'!$B$2:$L$41,11), " ")</f>
        <v xml:space="preserve"> </v>
      </c>
      <c r="V120" s="8" t="str">
        <f>IFERROR(VLOOKUP($A120,'Project Reference'!$B$2:$M$41,12), " ")</f>
        <v xml:space="preserve"> </v>
      </c>
      <c r="W120" s="8" t="str">
        <f>IFERROR(VLOOKUP($A120,'Project Reference'!$B$2:$N$41,13), " ")</f>
        <v xml:space="preserve"> </v>
      </c>
      <c r="X120" s="8" t="str">
        <f>IFERROR(VLOOKUP($A120,'Project Reference'!$B$2:$O$41,14), " ")</f>
        <v xml:space="preserve"> </v>
      </c>
      <c r="Y120" s="8" t="str">
        <f>IFERROR(VLOOKUP($A120,'Project Reference'!$B$2:$P$41,15), " ")</f>
        <v xml:space="preserve"> </v>
      </c>
      <c r="Z120" s="9" t="str">
        <f>IFERROR(VLOOKUP($A120,'Project Reference'!$B$2:$Q$41,16), " ")</f>
        <v xml:space="preserve"> </v>
      </c>
    </row>
    <row r="121" spans="1:26" s="1" customFormat="1" x14ac:dyDescent="0.45">
      <c r="A121" s="70"/>
      <c r="B121" s="70" t="str">
        <f>IFERROR(VLOOKUP($A121,'Project Reference'!$S$2:$T$41,2),"Enter Project Number")</f>
        <v>Enter Project Number</v>
      </c>
      <c r="C121" s="54"/>
      <c r="D121" s="53"/>
      <c r="E121" s="8"/>
      <c r="F121" s="8"/>
      <c r="G121" s="8"/>
      <c r="H121" s="8"/>
      <c r="I121" s="8"/>
      <c r="J121" s="9"/>
      <c r="K121" s="23"/>
      <c r="L121" s="47" t="str">
        <f>IFERROR(VLOOKUP($A121,'Project Reference'!$B$2:$C$41,2), " ")</f>
        <v xml:space="preserve"> </v>
      </c>
      <c r="M121" s="8" t="str">
        <f>IFERROR(VLOOKUP($A121,'Project Reference'!$B$2:$D$41,3), " ")</f>
        <v xml:space="preserve"> </v>
      </c>
      <c r="N121" s="54" t="str">
        <f>IFERROR(VLOOKUP($A121,'Project Reference'!$B$2:$E$41,4), " ")</f>
        <v xml:space="preserve"> </v>
      </c>
      <c r="O121" s="8" t="str">
        <f>IFERROR(VLOOKUP($A121,'Project Reference'!$B$2:$F$41,5), " ")</f>
        <v xml:space="preserve"> </v>
      </c>
      <c r="P121" s="8" t="str">
        <f>IFERROR(VLOOKUP($A121,'Project Reference'!$B$2:$G$41,6), " ")</f>
        <v xml:space="preserve"> </v>
      </c>
      <c r="Q121" s="8" t="str">
        <f>IFERROR(VLOOKUP($A121,'Project Reference'!$B$2:$H$41,7), " ")</f>
        <v xml:space="preserve"> </v>
      </c>
      <c r="R121" s="8" t="str">
        <f>IFERROR(VLOOKUP($A121,'Project Reference'!$B$2:$I$41,8), " ")</f>
        <v xml:space="preserve"> </v>
      </c>
      <c r="S121" s="8" t="str">
        <f>IFERROR(VLOOKUP($A121,'Project Reference'!$B$2:$J$41,9), " ")</f>
        <v xml:space="preserve"> </v>
      </c>
      <c r="T121" s="8" t="str">
        <f>IFERROR(VLOOKUP($A121,'Project Reference'!$B$2:$K$41,10), " ")</f>
        <v xml:space="preserve"> </v>
      </c>
      <c r="U121" s="8" t="str">
        <f>IFERROR(VLOOKUP($A121,'Project Reference'!$B$2:$L$41,11), " ")</f>
        <v xml:space="preserve"> </v>
      </c>
      <c r="V121" s="8" t="str">
        <f>IFERROR(VLOOKUP($A121,'Project Reference'!$B$2:$M$41,12), " ")</f>
        <v xml:space="preserve"> </v>
      </c>
      <c r="W121" s="8" t="str">
        <f>IFERROR(VLOOKUP($A121,'Project Reference'!$B$2:$N$41,13), " ")</f>
        <v xml:space="preserve"> </v>
      </c>
      <c r="X121" s="8" t="str">
        <f>IFERROR(VLOOKUP($A121,'Project Reference'!$B$2:$O$41,14), " ")</f>
        <v xml:space="preserve"> </v>
      </c>
      <c r="Y121" s="8" t="str">
        <f>IFERROR(VLOOKUP($A121,'Project Reference'!$B$2:$P$41,15), " ")</f>
        <v xml:space="preserve"> </v>
      </c>
      <c r="Z121" s="9" t="str">
        <f>IFERROR(VLOOKUP($A121,'Project Reference'!$B$2:$Q$41,16), " ")</f>
        <v xml:space="preserve"> </v>
      </c>
    </row>
    <row r="122" spans="1:26" s="1" customFormat="1" x14ac:dyDescent="0.45">
      <c r="A122" s="70"/>
      <c r="B122" s="70" t="str">
        <f>IFERROR(VLOOKUP($A122,'Project Reference'!$S$2:$T$41,2),"Enter Project Number")</f>
        <v>Enter Project Number</v>
      </c>
      <c r="C122" s="54"/>
      <c r="D122" s="53"/>
      <c r="E122" s="8"/>
      <c r="F122" s="8"/>
      <c r="G122" s="8"/>
      <c r="H122" s="8"/>
      <c r="I122" s="8"/>
      <c r="J122" s="9"/>
      <c r="K122" s="23"/>
      <c r="L122" s="47" t="str">
        <f>IFERROR(VLOOKUP($A122,'Project Reference'!$B$2:$C$41,2), " ")</f>
        <v xml:space="preserve"> </v>
      </c>
      <c r="M122" s="8" t="str">
        <f>IFERROR(VLOOKUP($A122,'Project Reference'!$B$2:$D$41,3), " ")</f>
        <v xml:space="preserve"> </v>
      </c>
      <c r="N122" s="54" t="str">
        <f>IFERROR(VLOOKUP($A122,'Project Reference'!$B$2:$E$41,4), " ")</f>
        <v xml:space="preserve"> </v>
      </c>
      <c r="O122" s="8" t="str">
        <f>IFERROR(VLOOKUP($A122,'Project Reference'!$B$2:$F$41,5), " ")</f>
        <v xml:space="preserve"> </v>
      </c>
      <c r="P122" s="8" t="str">
        <f>IFERROR(VLOOKUP($A122,'Project Reference'!$B$2:$G$41,6), " ")</f>
        <v xml:space="preserve"> </v>
      </c>
      <c r="Q122" s="8" t="str">
        <f>IFERROR(VLOOKUP($A122,'Project Reference'!$B$2:$H$41,7), " ")</f>
        <v xml:space="preserve"> </v>
      </c>
      <c r="R122" s="8" t="str">
        <f>IFERROR(VLOOKUP($A122,'Project Reference'!$B$2:$I$41,8), " ")</f>
        <v xml:space="preserve"> </v>
      </c>
      <c r="S122" s="8" t="str">
        <f>IFERROR(VLOOKUP($A122,'Project Reference'!$B$2:$J$41,9), " ")</f>
        <v xml:space="preserve"> </v>
      </c>
      <c r="T122" s="8" t="str">
        <f>IFERROR(VLOOKUP($A122,'Project Reference'!$B$2:$K$41,10), " ")</f>
        <v xml:space="preserve"> </v>
      </c>
      <c r="U122" s="8" t="str">
        <f>IFERROR(VLOOKUP($A122,'Project Reference'!$B$2:$L$41,11), " ")</f>
        <v xml:space="preserve"> </v>
      </c>
      <c r="V122" s="8" t="str">
        <f>IFERROR(VLOOKUP($A122,'Project Reference'!$B$2:$M$41,12), " ")</f>
        <v xml:space="preserve"> </v>
      </c>
      <c r="W122" s="8" t="str">
        <f>IFERROR(VLOOKUP($A122,'Project Reference'!$B$2:$N$41,13), " ")</f>
        <v xml:space="preserve"> </v>
      </c>
      <c r="X122" s="8" t="str">
        <f>IFERROR(VLOOKUP($A122,'Project Reference'!$B$2:$O$41,14), " ")</f>
        <v xml:space="preserve"> </v>
      </c>
      <c r="Y122" s="8" t="str">
        <f>IFERROR(VLOOKUP($A122,'Project Reference'!$B$2:$P$41,15), " ")</f>
        <v xml:space="preserve"> </v>
      </c>
      <c r="Z122" s="9" t="str">
        <f>IFERROR(VLOOKUP($A122,'Project Reference'!$B$2:$Q$41,16), " ")</f>
        <v xml:space="preserve"> </v>
      </c>
    </row>
    <row r="123" spans="1:26" s="1" customFormat="1" x14ac:dyDescent="0.45">
      <c r="A123" s="70"/>
      <c r="B123" s="70" t="str">
        <f>IFERROR(VLOOKUP($A123,'Project Reference'!$S$2:$T$41,2),"Enter Project Number")</f>
        <v>Enter Project Number</v>
      </c>
      <c r="C123" s="54"/>
      <c r="D123" s="53"/>
      <c r="E123" s="8"/>
      <c r="F123" s="8"/>
      <c r="G123" s="8"/>
      <c r="H123" s="8"/>
      <c r="I123" s="8"/>
      <c r="J123" s="9"/>
      <c r="K123" s="23"/>
      <c r="L123" s="47" t="str">
        <f>IFERROR(VLOOKUP($A123,'Project Reference'!$B$2:$C$41,2), " ")</f>
        <v xml:space="preserve"> </v>
      </c>
      <c r="M123" s="8" t="str">
        <f>IFERROR(VLOOKUP($A123,'Project Reference'!$B$2:$D$41,3), " ")</f>
        <v xml:space="preserve"> </v>
      </c>
      <c r="N123" s="54" t="str">
        <f>IFERROR(VLOOKUP($A123,'Project Reference'!$B$2:$E$41,4), " ")</f>
        <v xml:space="preserve"> </v>
      </c>
      <c r="O123" s="8" t="str">
        <f>IFERROR(VLOOKUP($A123,'Project Reference'!$B$2:$F$41,5), " ")</f>
        <v xml:space="preserve"> </v>
      </c>
      <c r="P123" s="8" t="str">
        <f>IFERROR(VLOOKUP($A123,'Project Reference'!$B$2:$G$41,6), " ")</f>
        <v xml:space="preserve"> </v>
      </c>
      <c r="Q123" s="8" t="str">
        <f>IFERROR(VLOOKUP($A123,'Project Reference'!$B$2:$H$41,7), " ")</f>
        <v xml:space="preserve"> </v>
      </c>
      <c r="R123" s="8" t="str">
        <f>IFERROR(VLOOKUP($A123,'Project Reference'!$B$2:$I$41,8), " ")</f>
        <v xml:space="preserve"> </v>
      </c>
      <c r="S123" s="8" t="str">
        <f>IFERROR(VLOOKUP($A123,'Project Reference'!$B$2:$J$41,9), " ")</f>
        <v xml:space="preserve"> </v>
      </c>
      <c r="T123" s="8" t="str">
        <f>IFERROR(VLOOKUP($A123,'Project Reference'!$B$2:$K$41,10), " ")</f>
        <v xml:space="preserve"> </v>
      </c>
      <c r="U123" s="8" t="str">
        <f>IFERROR(VLOOKUP($A123,'Project Reference'!$B$2:$L$41,11), " ")</f>
        <v xml:space="preserve"> </v>
      </c>
      <c r="V123" s="8" t="str">
        <f>IFERROR(VLOOKUP($A123,'Project Reference'!$B$2:$M$41,12), " ")</f>
        <v xml:space="preserve"> </v>
      </c>
      <c r="W123" s="8" t="str">
        <f>IFERROR(VLOOKUP($A123,'Project Reference'!$B$2:$N$41,13), " ")</f>
        <v xml:space="preserve"> </v>
      </c>
      <c r="X123" s="8" t="str">
        <f>IFERROR(VLOOKUP($A123,'Project Reference'!$B$2:$O$41,14), " ")</f>
        <v xml:space="preserve"> </v>
      </c>
      <c r="Y123" s="8" t="str">
        <f>IFERROR(VLOOKUP($A123,'Project Reference'!$B$2:$P$41,15), " ")</f>
        <v xml:space="preserve"> </v>
      </c>
      <c r="Z123" s="9" t="str">
        <f>IFERROR(VLOOKUP($A123,'Project Reference'!$B$2:$Q$41,16), " ")</f>
        <v xml:space="preserve"> </v>
      </c>
    </row>
    <row r="124" spans="1:26" s="1" customFormat="1" x14ac:dyDescent="0.45">
      <c r="A124" s="70"/>
      <c r="B124" s="70" t="str">
        <f>IFERROR(VLOOKUP($A124,'Project Reference'!$S$2:$T$41,2),"Enter Project Number")</f>
        <v>Enter Project Number</v>
      </c>
      <c r="C124" s="54"/>
      <c r="D124" s="53"/>
      <c r="E124" s="8"/>
      <c r="F124" s="8"/>
      <c r="G124" s="8"/>
      <c r="H124" s="8"/>
      <c r="I124" s="8"/>
      <c r="J124" s="9"/>
      <c r="K124" s="23"/>
      <c r="L124" s="47" t="str">
        <f>IFERROR(VLOOKUP($A124,'Project Reference'!$B$2:$C$41,2), " ")</f>
        <v xml:space="preserve"> </v>
      </c>
      <c r="M124" s="8" t="str">
        <f>IFERROR(VLOOKUP($A124,'Project Reference'!$B$2:$D$41,3), " ")</f>
        <v xml:space="preserve"> </v>
      </c>
      <c r="N124" s="54" t="str">
        <f>IFERROR(VLOOKUP($A124,'Project Reference'!$B$2:$E$41,4), " ")</f>
        <v xml:space="preserve"> </v>
      </c>
      <c r="O124" s="8" t="str">
        <f>IFERROR(VLOOKUP($A124,'Project Reference'!$B$2:$F$41,5), " ")</f>
        <v xml:space="preserve"> </v>
      </c>
      <c r="P124" s="8" t="str">
        <f>IFERROR(VLOOKUP($A124,'Project Reference'!$B$2:$G$41,6), " ")</f>
        <v xml:space="preserve"> </v>
      </c>
      <c r="Q124" s="8" t="str">
        <f>IFERROR(VLOOKUP($A124,'Project Reference'!$B$2:$H$41,7), " ")</f>
        <v xml:space="preserve"> </v>
      </c>
      <c r="R124" s="8" t="str">
        <f>IFERROR(VLOOKUP($A124,'Project Reference'!$B$2:$I$41,8), " ")</f>
        <v xml:space="preserve"> </v>
      </c>
      <c r="S124" s="8" t="str">
        <f>IFERROR(VLOOKUP($A124,'Project Reference'!$B$2:$J$41,9), " ")</f>
        <v xml:space="preserve"> </v>
      </c>
      <c r="T124" s="8" t="str">
        <f>IFERROR(VLOOKUP($A124,'Project Reference'!$B$2:$K$41,10), " ")</f>
        <v xml:space="preserve"> </v>
      </c>
      <c r="U124" s="8" t="str">
        <f>IFERROR(VLOOKUP($A124,'Project Reference'!$B$2:$L$41,11), " ")</f>
        <v xml:space="preserve"> </v>
      </c>
      <c r="V124" s="8" t="str">
        <f>IFERROR(VLOOKUP($A124,'Project Reference'!$B$2:$M$41,12), " ")</f>
        <v xml:space="preserve"> </v>
      </c>
      <c r="W124" s="8" t="str">
        <f>IFERROR(VLOOKUP($A124,'Project Reference'!$B$2:$N$41,13), " ")</f>
        <v xml:space="preserve"> </v>
      </c>
      <c r="X124" s="8" t="str">
        <f>IFERROR(VLOOKUP($A124,'Project Reference'!$B$2:$O$41,14), " ")</f>
        <v xml:space="preserve"> </v>
      </c>
      <c r="Y124" s="8" t="str">
        <f>IFERROR(VLOOKUP($A124,'Project Reference'!$B$2:$P$41,15), " ")</f>
        <v xml:space="preserve"> </v>
      </c>
      <c r="Z124" s="9" t="str">
        <f>IFERROR(VLOOKUP($A124,'Project Reference'!$B$2:$Q$41,16), " ")</f>
        <v xml:space="preserve"> </v>
      </c>
    </row>
    <row r="125" spans="1:26" s="1" customFormat="1" x14ac:dyDescent="0.45">
      <c r="A125" s="70"/>
      <c r="B125" s="70" t="str">
        <f>IFERROR(VLOOKUP($A125,'Project Reference'!$S$2:$T$41,2),"Enter Project Number")</f>
        <v>Enter Project Number</v>
      </c>
      <c r="C125" s="54"/>
      <c r="D125" s="53"/>
      <c r="E125" s="8"/>
      <c r="F125" s="8"/>
      <c r="G125" s="8"/>
      <c r="H125" s="8"/>
      <c r="I125" s="8"/>
      <c r="J125" s="9"/>
      <c r="K125" s="23"/>
      <c r="L125" s="47" t="str">
        <f>IFERROR(VLOOKUP($A125,'Project Reference'!$B$2:$C$41,2), " ")</f>
        <v xml:space="preserve"> </v>
      </c>
      <c r="M125" s="8" t="str">
        <f>IFERROR(VLOOKUP($A125,'Project Reference'!$B$2:$D$41,3), " ")</f>
        <v xml:space="preserve"> </v>
      </c>
      <c r="N125" s="54" t="str">
        <f>IFERROR(VLOOKUP($A125,'Project Reference'!$B$2:$E$41,4), " ")</f>
        <v xml:space="preserve"> </v>
      </c>
      <c r="O125" s="8" t="str">
        <f>IFERROR(VLOOKUP($A125,'Project Reference'!$B$2:$F$41,5), " ")</f>
        <v xml:space="preserve"> </v>
      </c>
      <c r="P125" s="8" t="str">
        <f>IFERROR(VLOOKUP($A125,'Project Reference'!$B$2:$G$41,6), " ")</f>
        <v xml:space="preserve"> </v>
      </c>
      <c r="Q125" s="8" t="str">
        <f>IFERROR(VLOOKUP($A125,'Project Reference'!$B$2:$H$41,7), " ")</f>
        <v xml:space="preserve"> </v>
      </c>
      <c r="R125" s="8" t="str">
        <f>IFERROR(VLOOKUP($A125,'Project Reference'!$B$2:$I$41,8), " ")</f>
        <v xml:space="preserve"> </v>
      </c>
      <c r="S125" s="8" t="str">
        <f>IFERROR(VLOOKUP($A125,'Project Reference'!$B$2:$J$41,9), " ")</f>
        <v xml:space="preserve"> </v>
      </c>
      <c r="T125" s="8" t="str">
        <f>IFERROR(VLOOKUP($A125,'Project Reference'!$B$2:$K$41,10), " ")</f>
        <v xml:space="preserve"> </v>
      </c>
      <c r="U125" s="8" t="str">
        <f>IFERROR(VLOOKUP($A125,'Project Reference'!$B$2:$L$41,11), " ")</f>
        <v xml:space="preserve"> </v>
      </c>
      <c r="V125" s="8" t="str">
        <f>IFERROR(VLOOKUP($A125,'Project Reference'!$B$2:$M$41,12), " ")</f>
        <v xml:space="preserve"> </v>
      </c>
      <c r="W125" s="8" t="str">
        <f>IFERROR(VLOOKUP($A125,'Project Reference'!$B$2:$N$41,13), " ")</f>
        <v xml:space="preserve"> </v>
      </c>
      <c r="X125" s="8" t="str">
        <f>IFERROR(VLOOKUP($A125,'Project Reference'!$B$2:$O$41,14), " ")</f>
        <v xml:space="preserve"> </v>
      </c>
      <c r="Y125" s="8" t="str">
        <f>IFERROR(VLOOKUP($A125,'Project Reference'!$B$2:$P$41,15), " ")</f>
        <v xml:space="preserve"> </v>
      </c>
      <c r="Z125" s="9" t="str">
        <f>IFERROR(VLOOKUP($A125,'Project Reference'!$B$2:$Q$41,16), " ")</f>
        <v xml:space="preserve"> </v>
      </c>
    </row>
    <row r="126" spans="1:26" s="1" customFormat="1" x14ac:dyDescent="0.45">
      <c r="A126" s="70"/>
      <c r="B126" s="70" t="str">
        <f>IFERROR(VLOOKUP($A126,'Project Reference'!$S$2:$T$41,2),"Enter Project Number")</f>
        <v>Enter Project Number</v>
      </c>
      <c r="C126" s="54"/>
      <c r="D126" s="53"/>
      <c r="E126" s="8"/>
      <c r="F126" s="8"/>
      <c r="G126" s="8"/>
      <c r="H126" s="8"/>
      <c r="I126" s="8"/>
      <c r="J126" s="9"/>
      <c r="K126" s="23"/>
      <c r="L126" s="47" t="str">
        <f>IFERROR(VLOOKUP($A126,'Project Reference'!$B$2:$C$41,2), " ")</f>
        <v xml:space="preserve"> </v>
      </c>
      <c r="M126" s="8" t="str">
        <f>IFERROR(VLOOKUP($A126,'Project Reference'!$B$2:$D$41,3), " ")</f>
        <v xml:space="preserve"> </v>
      </c>
      <c r="N126" s="54" t="str">
        <f>IFERROR(VLOOKUP($A126,'Project Reference'!$B$2:$E$41,4), " ")</f>
        <v xml:space="preserve"> </v>
      </c>
      <c r="O126" s="8" t="str">
        <f>IFERROR(VLOOKUP($A126,'Project Reference'!$B$2:$F$41,5), " ")</f>
        <v xml:space="preserve"> </v>
      </c>
      <c r="P126" s="8" t="str">
        <f>IFERROR(VLOOKUP($A126,'Project Reference'!$B$2:$G$41,6), " ")</f>
        <v xml:space="preserve"> </v>
      </c>
      <c r="Q126" s="8" t="str">
        <f>IFERROR(VLOOKUP($A126,'Project Reference'!$B$2:$H$41,7), " ")</f>
        <v xml:space="preserve"> </v>
      </c>
      <c r="R126" s="8" t="str">
        <f>IFERROR(VLOOKUP($A126,'Project Reference'!$B$2:$I$41,8), " ")</f>
        <v xml:space="preserve"> </v>
      </c>
      <c r="S126" s="8" t="str">
        <f>IFERROR(VLOOKUP($A126,'Project Reference'!$B$2:$J$41,9), " ")</f>
        <v xml:space="preserve"> </v>
      </c>
      <c r="T126" s="8" t="str">
        <f>IFERROR(VLOOKUP($A126,'Project Reference'!$B$2:$K$41,10), " ")</f>
        <v xml:space="preserve"> </v>
      </c>
      <c r="U126" s="8" t="str">
        <f>IFERROR(VLOOKUP($A126,'Project Reference'!$B$2:$L$41,11), " ")</f>
        <v xml:space="preserve"> </v>
      </c>
      <c r="V126" s="8" t="str">
        <f>IFERROR(VLOOKUP($A126,'Project Reference'!$B$2:$M$41,12), " ")</f>
        <v xml:space="preserve"> </v>
      </c>
      <c r="W126" s="8" t="str">
        <f>IFERROR(VLOOKUP($A126,'Project Reference'!$B$2:$N$41,13), " ")</f>
        <v xml:space="preserve"> </v>
      </c>
      <c r="X126" s="8" t="str">
        <f>IFERROR(VLOOKUP($A126,'Project Reference'!$B$2:$O$41,14), " ")</f>
        <v xml:space="preserve"> </v>
      </c>
      <c r="Y126" s="8" t="str">
        <f>IFERROR(VLOOKUP($A126,'Project Reference'!$B$2:$P$41,15), " ")</f>
        <v xml:space="preserve"> </v>
      </c>
      <c r="Z126" s="9" t="str">
        <f>IFERROR(VLOOKUP($A126,'Project Reference'!$B$2:$Q$41,16), " ")</f>
        <v xml:space="preserve"> </v>
      </c>
    </row>
    <row r="127" spans="1:26" s="1" customFormat="1" x14ac:dyDescent="0.45">
      <c r="A127" s="70"/>
      <c r="B127" s="70" t="str">
        <f>IFERROR(VLOOKUP($A127,'Project Reference'!$S$2:$T$41,2),"Enter Project Number")</f>
        <v>Enter Project Number</v>
      </c>
      <c r="C127" s="54"/>
      <c r="D127" s="53"/>
      <c r="E127" s="8"/>
      <c r="F127" s="8"/>
      <c r="G127" s="8"/>
      <c r="H127" s="8"/>
      <c r="I127" s="8"/>
      <c r="J127" s="9"/>
      <c r="K127" s="23"/>
      <c r="L127" s="47" t="str">
        <f>IFERROR(VLOOKUP($A127,'Project Reference'!$B$2:$C$41,2), " ")</f>
        <v xml:space="preserve"> </v>
      </c>
      <c r="M127" s="8" t="str">
        <f>IFERROR(VLOOKUP($A127,'Project Reference'!$B$2:$D$41,3), " ")</f>
        <v xml:space="preserve"> </v>
      </c>
      <c r="N127" s="54" t="str">
        <f>IFERROR(VLOOKUP($A127,'Project Reference'!$B$2:$E$41,4), " ")</f>
        <v xml:space="preserve"> </v>
      </c>
      <c r="O127" s="8" t="str">
        <f>IFERROR(VLOOKUP($A127,'Project Reference'!$B$2:$F$41,5), " ")</f>
        <v xml:space="preserve"> </v>
      </c>
      <c r="P127" s="8" t="str">
        <f>IFERROR(VLOOKUP($A127,'Project Reference'!$B$2:$G$41,6), " ")</f>
        <v xml:space="preserve"> </v>
      </c>
      <c r="Q127" s="8" t="str">
        <f>IFERROR(VLOOKUP($A127,'Project Reference'!$B$2:$H$41,7), " ")</f>
        <v xml:space="preserve"> </v>
      </c>
      <c r="R127" s="8" t="str">
        <f>IFERROR(VLOOKUP($A127,'Project Reference'!$B$2:$I$41,8), " ")</f>
        <v xml:space="preserve"> </v>
      </c>
      <c r="S127" s="8" t="str">
        <f>IFERROR(VLOOKUP($A127,'Project Reference'!$B$2:$J$41,9), " ")</f>
        <v xml:space="preserve"> </v>
      </c>
      <c r="T127" s="8" t="str">
        <f>IFERROR(VLOOKUP($A127,'Project Reference'!$B$2:$K$41,10), " ")</f>
        <v xml:space="preserve"> </v>
      </c>
      <c r="U127" s="8" t="str">
        <f>IFERROR(VLOOKUP($A127,'Project Reference'!$B$2:$L$41,11), " ")</f>
        <v xml:space="preserve"> </v>
      </c>
      <c r="V127" s="8" t="str">
        <f>IFERROR(VLOOKUP($A127,'Project Reference'!$B$2:$M$41,12), " ")</f>
        <v xml:space="preserve"> </v>
      </c>
      <c r="W127" s="8" t="str">
        <f>IFERROR(VLOOKUP($A127,'Project Reference'!$B$2:$N$41,13), " ")</f>
        <v xml:space="preserve"> </v>
      </c>
      <c r="X127" s="8" t="str">
        <f>IFERROR(VLOOKUP($A127,'Project Reference'!$B$2:$O$41,14), " ")</f>
        <v xml:space="preserve"> </v>
      </c>
      <c r="Y127" s="8" t="str">
        <f>IFERROR(VLOOKUP($A127,'Project Reference'!$B$2:$P$41,15), " ")</f>
        <v xml:space="preserve"> </v>
      </c>
      <c r="Z127" s="9" t="str">
        <f>IFERROR(VLOOKUP($A127,'Project Reference'!$B$2:$Q$41,16), " ")</f>
        <v xml:space="preserve"> </v>
      </c>
    </row>
    <row r="128" spans="1:26" s="1" customFormat="1" x14ac:dyDescent="0.45">
      <c r="A128" s="70"/>
      <c r="B128" s="70" t="str">
        <f>IFERROR(VLOOKUP($A128,'Project Reference'!$S$2:$T$41,2),"Enter Project Number")</f>
        <v>Enter Project Number</v>
      </c>
      <c r="C128" s="54"/>
      <c r="D128" s="53"/>
      <c r="E128" s="8"/>
      <c r="F128" s="8"/>
      <c r="G128" s="8"/>
      <c r="H128" s="8"/>
      <c r="I128" s="8"/>
      <c r="J128" s="9"/>
      <c r="K128" s="23"/>
      <c r="L128" s="47" t="str">
        <f>IFERROR(VLOOKUP($A128,'Project Reference'!$B$2:$C$41,2), " ")</f>
        <v xml:space="preserve"> </v>
      </c>
      <c r="M128" s="8" t="str">
        <f>IFERROR(VLOOKUP($A128,'Project Reference'!$B$2:$D$41,3), " ")</f>
        <v xml:space="preserve"> </v>
      </c>
      <c r="N128" s="54" t="str">
        <f>IFERROR(VLOOKUP($A128,'Project Reference'!$B$2:$E$41,4), " ")</f>
        <v xml:space="preserve"> </v>
      </c>
      <c r="O128" s="8" t="str">
        <f>IFERROR(VLOOKUP($A128,'Project Reference'!$B$2:$F$41,5), " ")</f>
        <v xml:space="preserve"> </v>
      </c>
      <c r="P128" s="8" t="str">
        <f>IFERROR(VLOOKUP($A128,'Project Reference'!$B$2:$G$41,6), " ")</f>
        <v xml:space="preserve"> </v>
      </c>
      <c r="Q128" s="8" t="str">
        <f>IFERROR(VLOOKUP($A128,'Project Reference'!$B$2:$H$41,7), " ")</f>
        <v xml:space="preserve"> </v>
      </c>
      <c r="R128" s="8" t="str">
        <f>IFERROR(VLOOKUP($A128,'Project Reference'!$B$2:$I$41,8), " ")</f>
        <v xml:space="preserve"> </v>
      </c>
      <c r="S128" s="8" t="str">
        <f>IFERROR(VLOOKUP($A128,'Project Reference'!$B$2:$J$41,9), " ")</f>
        <v xml:space="preserve"> </v>
      </c>
      <c r="T128" s="8" t="str">
        <f>IFERROR(VLOOKUP($A128,'Project Reference'!$B$2:$K$41,10), " ")</f>
        <v xml:space="preserve"> </v>
      </c>
      <c r="U128" s="8" t="str">
        <f>IFERROR(VLOOKUP($A128,'Project Reference'!$B$2:$L$41,11), " ")</f>
        <v xml:space="preserve"> </v>
      </c>
      <c r="V128" s="8" t="str">
        <f>IFERROR(VLOOKUP($A128,'Project Reference'!$B$2:$M$41,12), " ")</f>
        <v xml:space="preserve"> </v>
      </c>
      <c r="W128" s="8" t="str">
        <f>IFERROR(VLOOKUP($A128,'Project Reference'!$B$2:$N$41,13), " ")</f>
        <v xml:space="preserve"> </v>
      </c>
      <c r="X128" s="8" t="str">
        <f>IFERROR(VLOOKUP($A128,'Project Reference'!$B$2:$O$41,14), " ")</f>
        <v xml:space="preserve"> </v>
      </c>
      <c r="Y128" s="8" t="str">
        <f>IFERROR(VLOOKUP($A128,'Project Reference'!$B$2:$P$41,15), " ")</f>
        <v xml:space="preserve"> </v>
      </c>
      <c r="Z128" s="9" t="str">
        <f>IFERROR(VLOOKUP($A128,'Project Reference'!$B$2:$Q$41,16), " ")</f>
        <v xml:space="preserve"> </v>
      </c>
    </row>
    <row r="129" spans="1:26" s="1" customFormat="1" x14ac:dyDescent="0.45">
      <c r="A129" s="70"/>
      <c r="B129" s="70" t="str">
        <f>IFERROR(VLOOKUP($A129,'Project Reference'!$S$2:$T$41,2),"Enter Project Number")</f>
        <v>Enter Project Number</v>
      </c>
      <c r="C129" s="54"/>
      <c r="D129" s="53"/>
      <c r="E129" s="8"/>
      <c r="F129" s="8"/>
      <c r="G129" s="8"/>
      <c r="H129" s="8"/>
      <c r="I129" s="8"/>
      <c r="J129" s="9"/>
      <c r="K129" s="23"/>
      <c r="L129" s="47" t="str">
        <f>IFERROR(VLOOKUP($A129,'Project Reference'!$B$2:$C$41,2), " ")</f>
        <v xml:space="preserve"> </v>
      </c>
      <c r="M129" s="8" t="str">
        <f>IFERROR(VLOOKUP($A129,'Project Reference'!$B$2:$D$41,3), " ")</f>
        <v xml:space="preserve"> </v>
      </c>
      <c r="N129" s="54" t="str">
        <f>IFERROR(VLOOKUP($A129,'Project Reference'!$B$2:$E$41,4), " ")</f>
        <v xml:space="preserve"> </v>
      </c>
      <c r="O129" s="8" t="str">
        <f>IFERROR(VLOOKUP($A129,'Project Reference'!$B$2:$F$41,5), " ")</f>
        <v xml:space="preserve"> </v>
      </c>
      <c r="P129" s="8" t="str">
        <f>IFERROR(VLOOKUP($A129,'Project Reference'!$B$2:$G$41,6), " ")</f>
        <v xml:space="preserve"> </v>
      </c>
      <c r="Q129" s="8" t="str">
        <f>IFERROR(VLOOKUP($A129,'Project Reference'!$B$2:$H$41,7), " ")</f>
        <v xml:space="preserve"> </v>
      </c>
      <c r="R129" s="8" t="str">
        <f>IFERROR(VLOOKUP($A129,'Project Reference'!$B$2:$I$41,8), " ")</f>
        <v xml:space="preserve"> </v>
      </c>
      <c r="S129" s="8" t="str">
        <f>IFERROR(VLOOKUP($A129,'Project Reference'!$B$2:$J$41,9), " ")</f>
        <v xml:space="preserve"> </v>
      </c>
      <c r="T129" s="8" t="str">
        <f>IFERROR(VLOOKUP($A129,'Project Reference'!$B$2:$K$41,10), " ")</f>
        <v xml:space="preserve"> </v>
      </c>
      <c r="U129" s="8" t="str">
        <f>IFERROR(VLOOKUP($A129,'Project Reference'!$B$2:$L$41,11), " ")</f>
        <v xml:space="preserve"> </v>
      </c>
      <c r="V129" s="8" t="str">
        <f>IFERROR(VLOOKUP($A129,'Project Reference'!$B$2:$M$41,12), " ")</f>
        <v xml:space="preserve"> </v>
      </c>
      <c r="W129" s="8" t="str">
        <f>IFERROR(VLOOKUP($A129,'Project Reference'!$B$2:$N$41,13), " ")</f>
        <v xml:space="preserve"> </v>
      </c>
      <c r="X129" s="8" t="str">
        <f>IFERROR(VLOOKUP($A129,'Project Reference'!$B$2:$O$41,14), " ")</f>
        <v xml:space="preserve"> </v>
      </c>
      <c r="Y129" s="8" t="str">
        <f>IFERROR(VLOOKUP($A129,'Project Reference'!$B$2:$P$41,15), " ")</f>
        <v xml:space="preserve"> </v>
      </c>
      <c r="Z129" s="9" t="str">
        <f>IFERROR(VLOOKUP($A129,'Project Reference'!$B$2:$Q$41,16), " ")</f>
        <v xml:space="preserve"> </v>
      </c>
    </row>
    <row r="130" spans="1:26" s="1" customFormat="1" x14ac:dyDescent="0.45">
      <c r="A130" s="70"/>
      <c r="B130" s="70" t="str">
        <f>IFERROR(VLOOKUP($A130,'Project Reference'!$S$2:$T$41,2),"Enter Project Number")</f>
        <v>Enter Project Number</v>
      </c>
      <c r="C130" s="54"/>
      <c r="D130" s="53"/>
      <c r="E130" s="8"/>
      <c r="F130" s="8"/>
      <c r="G130" s="8"/>
      <c r="H130" s="8"/>
      <c r="I130" s="8"/>
      <c r="J130" s="9"/>
      <c r="K130" s="23"/>
      <c r="L130" s="47" t="str">
        <f>IFERROR(VLOOKUP($A130,'Project Reference'!$B$2:$C$41,2), " ")</f>
        <v xml:space="preserve"> </v>
      </c>
      <c r="M130" s="8" t="str">
        <f>IFERROR(VLOOKUP($A130,'Project Reference'!$B$2:$D$41,3), " ")</f>
        <v xml:space="preserve"> </v>
      </c>
      <c r="N130" s="54" t="str">
        <f>IFERROR(VLOOKUP($A130,'Project Reference'!$B$2:$E$41,4), " ")</f>
        <v xml:space="preserve"> </v>
      </c>
      <c r="O130" s="8" t="str">
        <f>IFERROR(VLOOKUP($A130,'Project Reference'!$B$2:$F$41,5), " ")</f>
        <v xml:space="preserve"> </v>
      </c>
      <c r="P130" s="8" t="str">
        <f>IFERROR(VLOOKUP($A130,'Project Reference'!$B$2:$G$41,6), " ")</f>
        <v xml:space="preserve"> </v>
      </c>
      <c r="Q130" s="8" t="str">
        <f>IFERROR(VLOOKUP($A130,'Project Reference'!$B$2:$H$41,7), " ")</f>
        <v xml:space="preserve"> </v>
      </c>
      <c r="R130" s="8" t="str">
        <f>IFERROR(VLOOKUP($A130,'Project Reference'!$B$2:$I$41,8), " ")</f>
        <v xml:space="preserve"> </v>
      </c>
      <c r="S130" s="8" t="str">
        <f>IFERROR(VLOOKUP($A130,'Project Reference'!$B$2:$J$41,9), " ")</f>
        <v xml:space="preserve"> </v>
      </c>
      <c r="T130" s="8" t="str">
        <f>IFERROR(VLOOKUP($A130,'Project Reference'!$B$2:$K$41,10), " ")</f>
        <v xml:space="preserve"> </v>
      </c>
      <c r="U130" s="8" t="str">
        <f>IFERROR(VLOOKUP($A130,'Project Reference'!$B$2:$L$41,11), " ")</f>
        <v xml:space="preserve"> </v>
      </c>
      <c r="V130" s="8" t="str">
        <f>IFERROR(VLOOKUP($A130,'Project Reference'!$B$2:$M$41,12), " ")</f>
        <v xml:space="preserve"> </v>
      </c>
      <c r="W130" s="8" t="str">
        <f>IFERROR(VLOOKUP($A130,'Project Reference'!$B$2:$N$41,13), " ")</f>
        <v xml:space="preserve"> </v>
      </c>
      <c r="X130" s="8" t="str">
        <f>IFERROR(VLOOKUP($A130,'Project Reference'!$B$2:$O$41,14), " ")</f>
        <v xml:space="preserve"> </v>
      </c>
      <c r="Y130" s="8" t="str">
        <f>IFERROR(VLOOKUP($A130,'Project Reference'!$B$2:$P$41,15), " ")</f>
        <v xml:space="preserve"> </v>
      </c>
      <c r="Z130" s="9" t="str">
        <f>IFERROR(VLOOKUP($A130,'Project Reference'!$B$2:$Q$41,16), " ")</f>
        <v xml:space="preserve"> </v>
      </c>
    </row>
    <row r="131" spans="1:26" s="1" customFormat="1" x14ac:dyDescent="0.45">
      <c r="A131" s="70"/>
      <c r="B131" s="70" t="str">
        <f>IFERROR(VLOOKUP($A131,'Project Reference'!$S$2:$T$41,2),"Enter Project Number")</f>
        <v>Enter Project Number</v>
      </c>
      <c r="C131" s="54"/>
      <c r="D131" s="53"/>
      <c r="E131" s="8"/>
      <c r="F131" s="8"/>
      <c r="G131" s="8"/>
      <c r="H131" s="8"/>
      <c r="I131" s="8"/>
      <c r="J131" s="9"/>
      <c r="K131" s="23"/>
      <c r="L131" s="47" t="str">
        <f>IFERROR(VLOOKUP($A131,'Project Reference'!$B$2:$C$41,2), " ")</f>
        <v xml:space="preserve"> </v>
      </c>
      <c r="M131" s="8" t="str">
        <f>IFERROR(VLOOKUP($A131,'Project Reference'!$B$2:$D$41,3), " ")</f>
        <v xml:space="preserve"> </v>
      </c>
      <c r="N131" s="54" t="str">
        <f>IFERROR(VLOOKUP($A131,'Project Reference'!$B$2:$E$41,4), " ")</f>
        <v xml:space="preserve"> </v>
      </c>
      <c r="O131" s="8" t="str">
        <f>IFERROR(VLOOKUP($A131,'Project Reference'!$B$2:$F$41,5), " ")</f>
        <v xml:space="preserve"> </v>
      </c>
      <c r="P131" s="8" t="str">
        <f>IFERROR(VLOOKUP($A131,'Project Reference'!$B$2:$G$41,6), " ")</f>
        <v xml:space="preserve"> </v>
      </c>
      <c r="Q131" s="8" t="str">
        <f>IFERROR(VLOOKUP($A131,'Project Reference'!$B$2:$H$41,7), " ")</f>
        <v xml:space="preserve"> </v>
      </c>
      <c r="R131" s="8" t="str">
        <f>IFERROR(VLOOKUP($A131,'Project Reference'!$B$2:$I$41,8), " ")</f>
        <v xml:space="preserve"> </v>
      </c>
      <c r="S131" s="8" t="str">
        <f>IFERROR(VLOOKUP($A131,'Project Reference'!$B$2:$J$41,9), " ")</f>
        <v xml:space="preserve"> </v>
      </c>
      <c r="T131" s="8" t="str">
        <f>IFERROR(VLOOKUP($A131,'Project Reference'!$B$2:$K$41,10), " ")</f>
        <v xml:space="preserve"> </v>
      </c>
      <c r="U131" s="8" t="str">
        <f>IFERROR(VLOOKUP($A131,'Project Reference'!$B$2:$L$41,11), " ")</f>
        <v xml:space="preserve"> </v>
      </c>
      <c r="V131" s="8" t="str">
        <f>IFERROR(VLOOKUP($A131,'Project Reference'!$B$2:$M$41,12), " ")</f>
        <v xml:space="preserve"> </v>
      </c>
      <c r="W131" s="8" t="str">
        <f>IFERROR(VLOOKUP($A131,'Project Reference'!$B$2:$N$41,13), " ")</f>
        <v xml:space="preserve"> </v>
      </c>
      <c r="X131" s="8" t="str">
        <f>IFERROR(VLOOKUP($A131,'Project Reference'!$B$2:$O$41,14), " ")</f>
        <v xml:space="preserve"> </v>
      </c>
      <c r="Y131" s="8" t="str">
        <f>IFERROR(VLOOKUP($A131,'Project Reference'!$B$2:$P$41,15), " ")</f>
        <v xml:space="preserve"> </v>
      </c>
      <c r="Z131" s="9" t="str">
        <f>IFERROR(VLOOKUP($A131,'Project Reference'!$B$2:$Q$41,16), " ")</f>
        <v xml:space="preserve"> </v>
      </c>
    </row>
    <row r="132" spans="1:26" s="1" customFormat="1" x14ac:dyDescent="0.45">
      <c r="A132" s="70"/>
      <c r="B132" s="70" t="str">
        <f>IFERROR(VLOOKUP($A132,'Project Reference'!$S$2:$T$41,2),"Enter Project Number")</f>
        <v>Enter Project Number</v>
      </c>
      <c r="C132" s="54"/>
      <c r="D132" s="53"/>
      <c r="E132" s="8"/>
      <c r="F132" s="8"/>
      <c r="G132" s="8"/>
      <c r="H132" s="8"/>
      <c r="I132" s="8"/>
      <c r="J132" s="9"/>
      <c r="K132" s="23"/>
      <c r="L132" s="47" t="str">
        <f>IFERROR(VLOOKUP($A132,'Project Reference'!$B$2:$C$41,2), " ")</f>
        <v xml:space="preserve"> </v>
      </c>
      <c r="M132" s="8" t="str">
        <f>IFERROR(VLOOKUP($A132,'Project Reference'!$B$2:$D$41,3), " ")</f>
        <v xml:space="preserve"> </v>
      </c>
      <c r="N132" s="54" t="str">
        <f>IFERROR(VLOOKUP($A132,'Project Reference'!$B$2:$E$41,4), " ")</f>
        <v xml:space="preserve"> </v>
      </c>
      <c r="O132" s="8" t="str">
        <f>IFERROR(VLOOKUP($A132,'Project Reference'!$B$2:$F$41,5), " ")</f>
        <v xml:space="preserve"> </v>
      </c>
      <c r="P132" s="8" t="str">
        <f>IFERROR(VLOOKUP($A132,'Project Reference'!$B$2:$G$41,6), " ")</f>
        <v xml:space="preserve"> </v>
      </c>
      <c r="Q132" s="8" t="str">
        <f>IFERROR(VLOOKUP($A132,'Project Reference'!$B$2:$H$41,7), " ")</f>
        <v xml:space="preserve"> </v>
      </c>
      <c r="R132" s="8" t="str">
        <f>IFERROR(VLOOKUP($A132,'Project Reference'!$B$2:$I$41,8), " ")</f>
        <v xml:space="preserve"> </v>
      </c>
      <c r="S132" s="8" t="str">
        <f>IFERROR(VLOOKUP($A132,'Project Reference'!$B$2:$J$41,9), " ")</f>
        <v xml:space="preserve"> </v>
      </c>
      <c r="T132" s="8" t="str">
        <f>IFERROR(VLOOKUP($A132,'Project Reference'!$B$2:$K$41,10), " ")</f>
        <v xml:space="preserve"> </v>
      </c>
      <c r="U132" s="8" t="str">
        <f>IFERROR(VLOOKUP($A132,'Project Reference'!$B$2:$L$41,11), " ")</f>
        <v xml:space="preserve"> </v>
      </c>
      <c r="V132" s="8" t="str">
        <f>IFERROR(VLOOKUP($A132,'Project Reference'!$B$2:$M$41,12), " ")</f>
        <v xml:space="preserve"> </v>
      </c>
      <c r="W132" s="8" t="str">
        <f>IFERROR(VLOOKUP($A132,'Project Reference'!$B$2:$N$41,13), " ")</f>
        <v xml:space="preserve"> </v>
      </c>
      <c r="X132" s="8" t="str">
        <f>IFERROR(VLOOKUP($A132,'Project Reference'!$B$2:$O$41,14), " ")</f>
        <v xml:space="preserve"> </v>
      </c>
      <c r="Y132" s="8" t="str">
        <f>IFERROR(VLOOKUP($A132,'Project Reference'!$B$2:$P$41,15), " ")</f>
        <v xml:space="preserve"> </v>
      </c>
      <c r="Z132" s="9" t="str">
        <f>IFERROR(VLOOKUP($A132,'Project Reference'!$B$2:$Q$41,16), " ")</f>
        <v xml:space="preserve"> </v>
      </c>
    </row>
    <row r="133" spans="1:26" s="1" customFormat="1" x14ac:dyDescent="0.45">
      <c r="A133" s="70"/>
      <c r="B133" s="70" t="str">
        <f>IFERROR(VLOOKUP($A133,'Project Reference'!$S$2:$T$41,2),"Enter Project Number")</f>
        <v>Enter Project Number</v>
      </c>
      <c r="C133" s="54"/>
      <c r="D133" s="53"/>
      <c r="E133" s="8"/>
      <c r="F133" s="8"/>
      <c r="G133" s="8"/>
      <c r="H133" s="8"/>
      <c r="I133" s="8"/>
      <c r="J133" s="9"/>
      <c r="K133" s="23"/>
      <c r="L133" s="47" t="str">
        <f>IFERROR(VLOOKUP($A133,'Project Reference'!$B$2:$C$41,2), " ")</f>
        <v xml:space="preserve"> </v>
      </c>
      <c r="M133" s="8" t="str">
        <f>IFERROR(VLOOKUP($A133,'Project Reference'!$B$2:$D$41,3), " ")</f>
        <v xml:space="preserve"> </v>
      </c>
      <c r="N133" s="54" t="str">
        <f>IFERROR(VLOOKUP($A133,'Project Reference'!$B$2:$E$41,4), " ")</f>
        <v xml:space="preserve"> </v>
      </c>
      <c r="O133" s="8" t="str">
        <f>IFERROR(VLOOKUP($A133,'Project Reference'!$B$2:$F$41,5), " ")</f>
        <v xml:space="preserve"> </v>
      </c>
      <c r="P133" s="8" t="str">
        <f>IFERROR(VLOOKUP($A133,'Project Reference'!$B$2:$G$41,6), " ")</f>
        <v xml:space="preserve"> </v>
      </c>
      <c r="Q133" s="8" t="str">
        <f>IFERROR(VLOOKUP($A133,'Project Reference'!$B$2:$H$41,7), " ")</f>
        <v xml:space="preserve"> </v>
      </c>
      <c r="R133" s="8" t="str">
        <f>IFERROR(VLOOKUP($A133,'Project Reference'!$B$2:$I$41,8), " ")</f>
        <v xml:space="preserve"> </v>
      </c>
      <c r="S133" s="8" t="str">
        <f>IFERROR(VLOOKUP($A133,'Project Reference'!$B$2:$J$41,9), " ")</f>
        <v xml:space="preserve"> </v>
      </c>
      <c r="T133" s="8" t="str">
        <f>IFERROR(VLOOKUP($A133,'Project Reference'!$B$2:$K$41,10), " ")</f>
        <v xml:space="preserve"> </v>
      </c>
      <c r="U133" s="8" t="str">
        <f>IFERROR(VLOOKUP($A133,'Project Reference'!$B$2:$L$41,11), " ")</f>
        <v xml:space="preserve"> </v>
      </c>
      <c r="V133" s="8" t="str">
        <f>IFERROR(VLOOKUP($A133,'Project Reference'!$B$2:$M$41,12), " ")</f>
        <v xml:space="preserve"> </v>
      </c>
      <c r="W133" s="8" t="str">
        <f>IFERROR(VLOOKUP($A133,'Project Reference'!$B$2:$N$41,13), " ")</f>
        <v xml:space="preserve"> </v>
      </c>
      <c r="X133" s="8" t="str">
        <f>IFERROR(VLOOKUP($A133,'Project Reference'!$B$2:$O$41,14), " ")</f>
        <v xml:space="preserve"> </v>
      </c>
      <c r="Y133" s="8" t="str">
        <f>IFERROR(VLOOKUP($A133,'Project Reference'!$B$2:$P$41,15), " ")</f>
        <v xml:space="preserve"> </v>
      </c>
      <c r="Z133" s="9" t="str">
        <f>IFERROR(VLOOKUP($A133,'Project Reference'!$B$2:$Q$41,16), " ")</f>
        <v xml:space="preserve"> </v>
      </c>
    </row>
    <row r="134" spans="1:26" s="1" customFormat="1" x14ac:dyDescent="0.45">
      <c r="A134" s="70"/>
      <c r="B134" s="70" t="str">
        <f>IFERROR(VLOOKUP($A134,'Project Reference'!$S$2:$T$41,2),"Enter Project Number")</f>
        <v>Enter Project Number</v>
      </c>
      <c r="C134" s="54"/>
      <c r="D134" s="53"/>
      <c r="E134" s="8"/>
      <c r="F134" s="8"/>
      <c r="G134" s="8"/>
      <c r="H134" s="8"/>
      <c r="I134" s="8"/>
      <c r="J134" s="9"/>
      <c r="K134" s="23"/>
      <c r="L134" s="47" t="str">
        <f>IFERROR(VLOOKUP($A134,'Project Reference'!$B$2:$C$41,2), " ")</f>
        <v xml:space="preserve"> </v>
      </c>
      <c r="M134" s="8" t="str">
        <f>IFERROR(VLOOKUP($A134,'Project Reference'!$B$2:$D$41,3), " ")</f>
        <v xml:space="preserve"> </v>
      </c>
      <c r="N134" s="54" t="str">
        <f>IFERROR(VLOOKUP($A134,'Project Reference'!$B$2:$E$41,4), " ")</f>
        <v xml:space="preserve"> </v>
      </c>
      <c r="O134" s="8" t="str">
        <f>IFERROR(VLOOKUP($A134,'Project Reference'!$B$2:$F$41,5), " ")</f>
        <v xml:space="preserve"> </v>
      </c>
      <c r="P134" s="8" t="str">
        <f>IFERROR(VLOOKUP($A134,'Project Reference'!$B$2:$G$41,6), " ")</f>
        <v xml:space="preserve"> </v>
      </c>
      <c r="Q134" s="8" t="str">
        <f>IFERROR(VLOOKUP($A134,'Project Reference'!$B$2:$H$41,7), " ")</f>
        <v xml:space="preserve"> </v>
      </c>
      <c r="R134" s="8" t="str">
        <f>IFERROR(VLOOKUP($A134,'Project Reference'!$B$2:$I$41,8), " ")</f>
        <v xml:space="preserve"> </v>
      </c>
      <c r="S134" s="8" t="str">
        <f>IFERROR(VLOOKUP($A134,'Project Reference'!$B$2:$J$41,9), " ")</f>
        <v xml:space="preserve"> </v>
      </c>
      <c r="T134" s="8" t="str">
        <f>IFERROR(VLOOKUP($A134,'Project Reference'!$B$2:$K$41,10), " ")</f>
        <v xml:space="preserve"> </v>
      </c>
      <c r="U134" s="8" t="str">
        <f>IFERROR(VLOOKUP($A134,'Project Reference'!$B$2:$L$41,11), " ")</f>
        <v xml:space="preserve"> </v>
      </c>
      <c r="V134" s="8" t="str">
        <f>IFERROR(VLOOKUP($A134,'Project Reference'!$B$2:$M$41,12), " ")</f>
        <v xml:space="preserve"> </v>
      </c>
      <c r="W134" s="8" t="str">
        <f>IFERROR(VLOOKUP($A134,'Project Reference'!$B$2:$N$41,13), " ")</f>
        <v xml:space="preserve"> </v>
      </c>
      <c r="X134" s="8" t="str">
        <f>IFERROR(VLOOKUP($A134,'Project Reference'!$B$2:$O$41,14), " ")</f>
        <v xml:space="preserve"> </v>
      </c>
      <c r="Y134" s="8" t="str">
        <f>IFERROR(VLOOKUP($A134,'Project Reference'!$B$2:$P$41,15), " ")</f>
        <v xml:space="preserve"> </v>
      </c>
      <c r="Z134" s="9" t="str">
        <f>IFERROR(VLOOKUP($A134,'Project Reference'!$B$2:$Q$41,16), " ")</f>
        <v xml:space="preserve"> </v>
      </c>
    </row>
    <row r="135" spans="1:26" s="1" customFormat="1" x14ac:dyDescent="0.45">
      <c r="A135" s="70"/>
      <c r="B135" s="70" t="str">
        <f>IFERROR(VLOOKUP($A135,'Project Reference'!$S$2:$T$41,2),"Enter Project Number")</f>
        <v>Enter Project Number</v>
      </c>
      <c r="C135" s="54"/>
      <c r="D135" s="53"/>
      <c r="E135" s="8"/>
      <c r="F135" s="8"/>
      <c r="G135" s="8"/>
      <c r="H135" s="8"/>
      <c r="I135" s="8"/>
      <c r="J135" s="9"/>
      <c r="K135" s="23"/>
      <c r="L135" s="47" t="str">
        <f>IFERROR(VLOOKUP($A135,'Project Reference'!$B$2:$C$41,2), " ")</f>
        <v xml:space="preserve"> </v>
      </c>
      <c r="M135" s="8" t="str">
        <f>IFERROR(VLOOKUP($A135,'Project Reference'!$B$2:$D$41,3), " ")</f>
        <v xml:space="preserve"> </v>
      </c>
      <c r="N135" s="54" t="str">
        <f>IFERROR(VLOOKUP($A135,'Project Reference'!$B$2:$E$41,4), " ")</f>
        <v xml:space="preserve"> </v>
      </c>
      <c r="O135" s="8" t="str">
        <f>IFERROR(VLOOKUP($A135,'Project Reference'!$B$2:$F$41,5), " ")</f>
        <v xml:space="preserve"> </v>
      </c>
      <c r="P135" s="8" t="str">
        <f>IFERROR(VLOOKUP($A135,'Project Reference'!$B$2:$G$41,6), " ")</f>
        <v xml:space="preserve"> </v>
      </c>
      <c r="Q135" s="8" t="str">
        <f>IFERROR(VLOOKUP($A135,'Project Reference'!$B$2:$H$41,7), " ")</f>
        <v xml:space="preserve"> </v>
      </c>
      <c r="R135" s="8" t="str">
        <f>IFERROR(VLOOKUP($A135,'Project Reference'!$B$2:$I$41,8), " ")</f>
        <v xml:space="preserve"> </v>
      </c>
      <c r="S135" s="8" t="str">
        <f>IFERROR(VLOOKUP($A135,'Project Reference'!$B$2:$J$41,9), " ")</f>
        <v xml:space="preserve"> </v>
      </c>
      <c r="T135" s="8" t="str">
        <f>IFERROR(VLOOKUP($A135,'Project Reference'!$B$2:$K$41,10), " ")</f>
        <v xml:space="preserve"> </v>
      </c>
      <c r="U135" s="8" t="str">
        <f>IFERROR(VLOOKUP($A135,'Project Reference'!$B$2:$L$41,11), " ")</f>
        <v xml:space="preserve"> </v>
      </c>
      <c r="V135" s="8" t="str">
        <f>IFERROR(VLOOKUP($A135,'Project Reference'!$B$2:$M$41,12), " ")</f>
        <v xml:space="preserve"> </v>
      </c>
      <c r="W135" s="8" t="str">
        <f>IFERROR(VLOOKUP($A135,'Project Reference'!$B$2:$N$41,13), " ")</f>
        <v xml:space="preserve"> </v>
      </c>
      <c r="X135" s="8" t="str">
        <f>IFERROR(VLOOKUP($A135,'Project Reference'!$B$2:$O$41,14), " ")</f>
        <v xml:space="preserve"> </v>
      </c>
      <c r="Y135" s="8" t="str">
        <f>IFERROR(VLOOKUP($A135,'Project Reference'!$B$2:$P$41,15), " ")</f>
        <v xml:space="preserve"> </v>
      </c>
      <c r="Z135" s="9" t="str">
        <f>IFERROR(VLOOKUP($A135,'Project Reference'!$B$2:$Q$41,16), " ")</f>
        <v xml:space="preserve"> </v>
      </c>
    </row>
    <row r="136" spans="1:26" s="1" customFormat="1" x14ac:dyDescent="0.45">
      <c r="A136" s="70"/>
      <c r="B136" s="70" t="str">
        <f>IFERROR(VLOOKUP($A136,'Project Reference'!$S$2:$T$41,2),"Enter Project Number")</f>
        <v>Enter Project Number</v>
      </c>
      <c r="C136" s="54"/>
      <c r="D136" s="53"/>
      <c r="E136" s="8"/>
      <c r="F136" s="8"/>
      <c r="G136" s="8"/>
      <c r="H136" s="8"/>
      <c r="I136" s="8"/>
      <c r="J136" s="9"/>
      <c r="K136" s="23"/>
      <c r="L136" s="47" t="str">
        <f>IFERROR(VLOOKUP($A136,'Project Reference'!$B$2:$C$41,2), " ")</f>
        <v xml:space="preserve"> </v>
      </c>
      <c r="M136" s="8" t="str">
        <f>IFERROR(VLOOKUP($A136,'Project Reference'!$B$2:$D$41,3), " ")</f>
        <v xml:space="preserve"> </v>
      </c>
      <c r="N136" s="54" t="str">
        <f>IFERROR(VLOOKUP($A136,'Project Reference'!$B$2:$E$41,4), " ")</f>
        <v xml:space="preserve"> </v>
      </c>
      <c r="O136" s="8" t="str">
        <f>IFERROR(VLOOKUP($A136,'Project Reference'!$B$2:$F$41,5), " ")</f>
        <v xml:space="preserve"> </v>
      </c>
      <c r="P136" s="8" t="str">
        <f>IFERROR(VLOOKUP($A136,'Project Reference'!$B$2:$G$41,6), " ")</f>
        <v xml:space="preserve"> </v>
      </c>
      <c r="Q136" s="8" t="str">
        <f>IFERROR(VLOOKUP($A136,'Project Reference'!$B$2:$H$41,7), " ")</f>
        <v xml:space="preserve"> </v>
      </c>
      <c r="R136" s="8" t="str">
        <f>IFERROR(VLOOKUP($A136,'Project Reference'!$B$2:$I$41,8), " ")</f>
        <v xml:space="preserve"> </v>
      </c>
      <c r="S136" s="8" t="str">
        <f>IFERROR(VLOOKUP($A136,'Project Reference'!$B$2:$J$41,9), " ")</f>
        <v xml:space="preserve"> </v>
      </c>
      <c r="T136" s="8" t="str">
        <f>IFERROR(VLOOKUP($A136,'Project Reference'!$B$2:$K$41,10), " ")</f>
        <v xml:space="preserve"> </v>
      </c>
      <c r="U136" s="8" t="str">
        <f>IFERROR(VLOOKUP($A136,'Project Reference'!$B$2:$L$41,11), " ")</f>
        <v xml:space="preserve"> </v>
      </c>
      <c r="V136" s="8" t="str">
        <f>IFERROR(VLOOKUP($A136,'Project Reference'!$B$2:$M$41,12), " ")</f>
        <v xml:space="preserve"> </v>
      </c>
      <c r="W136" s="8" t="str">
        <f>IFERROR(VLOOKUP($A136,'Project Reference'!$B$2:$N$41,13), " ")</f>
        <v xml:space="preserve"> </v>
      </c>
      <c r="X136" s="8" t="str">
        <f>IFERROR(VLOOKUP($A136,'Project Reference'!$B$2:$O$41,14), " ")</f>
        <v xml:space="preserve"> </v>
      </c>
      <c r="Y136" s="8" t="str">
        <f>IFERROR(VLOOKUP($A136,'Project Reference'!$B$2:$P$41,15), " ")</f>
        <v xml:space="preserve"> </v>
      </c>
      <c r="Z136" s="9" t="str">
        <f>IFERROR(VLOOKUP($A136,'Project Reference'!$B$2:$Q$41,16), " ")</f>
        <v xml:space="preserve"> </v>
      </c>
    </row>
    <row r="137" spans="1:26" s="1" customFormat="1" x14ac:dyDescent="0.45">
      <c r="A137" s="70"/>
      <c r="B137" s="70" t="str">
        <f>IFERROR(VLOOKUP($A137,'Project Reference'!$S$2:$T$41,2),"Enter Project Number")</f>
        <v>Enter Project Number</v>
      </c>
      <c r="C137" s="54"/>
      <c r="D137" s="53"/>
      <c r="E137" s="8"/>
      <c r="F137" s="8"/>
      <c r="G137" s="8"/>
      <c r="H137" s="8"/>
      <c r="I137" s="8"/>
      <c r="J137" s="9"/>
      <c r="K137" s="23"/>
      <c r="L137" s="47" t="str">
        <f>IFERROR(VLOOKUP($A137,'Project Reference'!$B$2:$C$41,2), " ")</f>
        <v xml:space="preserve"> </v>
      </c>
      <c r="M137" s="8" t="str">
        <f>IFERROR(VLOOKUP($A137,'Project Reference'!$B$2:$D$41,3), " ")</f>
        <v xml:space="preserve"> </v>
      </c>
      <c r="N137" s="54" t="str">
        <f>IFERROR(VLOOKUP($A137,'Project Reference'!$B$2:$E$41,4), " ")</f>
        <v xml:space="preserve"> </v>
      </c>
      <c r="O137" s="8" t="str">
        <f>IFERROR(VLOOKUP($A137,'Project Reference'!$B$2:$F$41,5), " ")</f>
        <v xml:space="preserve"> </v>
      </c>
      <c r="P137" s="8" t="str">
        <f>IFERROR(VLOOKUP($A137,'Project Reference'!$B$2:$G$41,6), " ")</f>
        <v xml:space="preserve"> </v>
      </c>
      <c r="Q137" s="8" t="str">
        <f>IFERROR(VLOOKUP($A137,'Project Reference'!$B$2:$H$41,7), " ")</f>
        <v xml:space="preserve"> </v>
      </c>
      <c r="R137" s="8" t="str">
        <f>IFERROR(VLOOKUP($A137,'Project Reference'!$B$2:$I$41,8), " ")</f>
        <v xml:space="preserve"> </v>
      </c>
      <c r="S137" s="8" t="str">
        <f>IFERROR(VLOOKUP($A137,'Project Reference'!$B$2:$J$41,9), " ")</f>
        <v xml:space="preserve"> </v>
      </c>
      <c r="T137" s="8" t="str">
        <f>IFERROR(VLOOKUP($A137,'Project Reference'!$B$2:$K$41,10), " ")</f>
        <v xml:space="preserve"> </v>
      </c>
      <c r="U137" s="8" t="str">
        <f>IFERROR(VLOOKUP($A137,'Project Reference'!$B$2:$L$41,11), " ")</f>
        <v xml:space="preserve"> </v>
      </c>
      <c r="V137" s="8" t="str">
        <f>IFERROR(VLOOKUP($A137,'Project Reference'!$B$2:$M$41,12), " ")</f>
        <v xml:space="preserve"> </v>
      </c>
      <c r="W137" s="8" t="str">
        <f>IFERROR(VLOOKUP($A137,'Project Reference'!$B$2:$N$41,13), " ")</f>
        <v xml:space="preserve"> </v>
      </c>
      <c r="X137" s="8" t="str">
        <f>IFERROR(VLOOKUP($A137,'Project Reference'!$B$2:$O$41,14), " ")</f>
        <v xml:space="preserve"> </v>
      </c>
      <c r="Y137" s="8" t="str">
        <f>IFERROR(VLOOKUP($A137,'Project Reference'!$B$2:$P$41,15), " ")</f>
        <v xml:space="preserve"> </v>
      </c>
      <c r="Z137" s="9" t="str">
        <f>IFERROR(VLOOKUP($A137,'Project Reference'!$B$2:$Q$41,16), " ")</f>
        <v xml:space="preserve"> </v>
      </c>
    </row>
    <row r="138" spans="1:26" s="1" customFormat="1" x14ac:dyDescent="0.45">
      <c r="A138" s="70"/>
      <c r="B138" s="70" t="str">
        <f>IFERROR(VLOOKUP($A138,'Project Reference'!$S$2:$T$41,2),"Enter Project Number")</f>
        <v>Enter Project Number</v>
      </c>
      <c r="C138" s="54"/>
      <c r="D138" s="53"/>
      <c r="E138" s="8"/>
      <c r="F138" s="8"/>
      <c r="G138" s="8"/>
      <c r="H138" s="8"/>
      <c r="I138" s="8"/>
      <c r="J138" s="9"/>
      <c r="K138" s="23"/>
      <c r="L138" s="47" t="str">
        <f>IFERROR(VLOOKUP($A138,'Project Reference'!$B$2:$C$41,2), " ")</f>
        <v xml:space="preserve"> </v>
      </c>
      <c r="M138" s="8" t="str">
        <f>IFERROR(VLOOKUP($A138,'Project Reference'!$B$2:$D$41,3), " ")</f>
        <v xml:space="preserve"> </v>
      </c>
      <c r="N138" s="54" t="str">
        <f>IFERROR(VLOOKUP($A138,'Project Reference'!$B$2:$E$41,4), " ")</f>
        <v xml:space="preserve"> </v>
      </c>
      <c r="O138" s="8" t="str">
        <f>IFERROR(VLOOKUP($A138,'Project Reference'!$B$2:$F$41,5), " ")</f>
        <v xml:space="preserve"> </v>
      </c>
      <c r="P138" s="8" t="str">
        <f>IFERROR(VLOOKUP($A138,'Project Reference'!$B$2:$G$41,6), " ")</f>
        <v xml:space="preserve"> </v>
      </c>
      <c r="Q138" s="8" t="str">
        <f>IFERROR(VLOOKUP($A138,'Project Reference'!$B$2:$H$41,7), " ")</f>
        <v xml:space="preserve"> </v>
      </c>
      <c r="R138" s="8" t="str">
        <f>IFERROR(VLOOKUP($A138,'Project Reference'!$B$2:$I$41,8), " ")</f>
        <v xml:space="preserve"> </v>
      </c>
      <c r="S138" s="8" t="str">
        <f>IFERROR(VLOOKUP($A138,'Project Reference'!$B$2:$J$41,9), " ")</f>
        <v xml:space="preserve"> </v>
      </c>
      <c r="T138" s="8" t="str">
        <f>IFERROR(VLOOKUP($A138,'Project Reference'!$B$2:$K$41,10), " ")</f>
        <v xml:space="preserve"> </v>
      </c>
      <c r="U138" s="8" t="str">
        <f>IFERROR(VLOOKUP($A138,'Project Reference'!$B$2:$L$41,11), " ")</f>
        <v xml:space="preserve"> </v>
      </c>
      <c r="V138" s="8" t="str">
        <f>IFERROR(VLOOKUP($A138,'Project Reference'!$B$2:$M$41,12), " ")</f>
        <v xml:space="preserve"> </v>
      </c>
      <c r="W138" s="8" t="str">
        <f>IFERROR(VLOOKUP($A138,'Project Reference'!$B$2:$N$41,13), " ")</f>
        <v xml:space="preserve"> </v>
      </c>
      <c r="X138" s="8" t="str">
        <f>IFERROR(VLOOKUP($A138,'Project Reference'!$B$2:$O$41,14), " ")</f>
        <v xml:space="preserve"> </v>
      </c>
      <c r="Y138" s="8" t="str">
        <f>IFERROR(VLOOKUP($A138,'Project Reference'!$B$2:$P$41,15), " ")</f>
        <v xml:space="preserve"> </v>
      </c>
      <c r="Z138" s="9" t="str">
        <f>IFERROR(VLOOKUP($A138,'Project Reference'!$B$2:$Q$41,16), " ")</f>
        <v xml:space="preserve"> </v>
      </c>
    </row>
    <row r="139" spans="1:26" s="1" customFormat="1" x14ac:dyDescent="0.45">
      <c r="A139" s="70"/>
      <c r="B139" s="70" t="str">
        <f>IFERROR(VLOOKUP($A139,'Project Reference'!$S$2:$T$41,2),"Enter Project Number")</f>
        <v>Enter Project Number</v>
      </c>
      <c r="C139" s="54"/>
      <c r="D139" s="53"/>
      <c r="E139" s="8"/>
      <c r="F139" s="8"/>
      <c r="G139" s="8"/>
      <c r="H139" s="8"/>
      <c r="I139" s="8"/>
      <c r="J139" s="9"/>
      <c r="K139" s="23"/>
      <c r="L139" s="47" t="str">
        <f>IFERROR(VLOOKUP($A139,'Project Reference'!$B$2:$C$41,2), " ")</f>
        <v xml:space="preserve"> </v>
      </c>
      <c r="M139" s="8" t="str">
        <f>IFERROR(VLOOKUP($A139,'Project Reference'!$B$2:$D$41,3), " ")</f>
        <v xml:space="preserve"> </v>
      </c>
      <c r="N139" s="54" t="str">
        <f>IFERROR(VLOOKUP($A139,'Project Reference'!$B$2:$E$41,4), " ")</f>
        <v xml:space="preserve"> </v>
      </c>
      <c r="O139" s="8" t="str">
        <f>IFERROR(VLOOKUP($A139,'Project Reference'!$B$2:$F$41,5), " ")</f>
        <v xml:space="preserve"> </v>
      </c>
      <c r="P139" s="8" t="str">
        <f>IFERROR(VLOOKUP($A139,'Project Reference'!$B$2:$G$41,6), " ")</f>
        <v xml:space="preserve"> </v>
      </c>
      <c r="Q139" s="8" t="str">
        <f>IFERROR(VLOOKUP($A139,'Project Reference'!$B$2:$H$41,7), " ")</f>
        <v xml:space="preserve"> </v>
      </c>
      <c r="R139" s="8" t="str">
        <f>IFERROR(VLOOKUP($A139,'Project Reference'!$B$2:$I$41,8), " ")</f>
        <v xml:space="preserve"> </v>
      </c>
      <c r="S139" s="8" t="str">
        <f>IFERROR(VLOOKUP($A139,'Project Reference'!$B$2:$J$41,9), " ")</f>
        <v xml:space="preserve"> </v>
      </c>
      <c r="T139" s="8" t="str">
        <f>IFERROR(VLOOKUP($A139,'Project Reference'!$B$2:$K$41,10), " ")</f>
        <v xml:space="preserve"> </v>
      </c>
      <c r="U139" s="8" t="str">
        <f>IFERROR(VLOOKUP($A139,'Project Reference'!$B$2:$L$41,11), " ")</f>
        <v xml:space="preserve"> </v>
      </c>
      <c r="V139" s="8" t="str">
        <f>IFERROR(VLOOKUP($A139,'Project Reference'!$B$2:$M$41,12), " ")</f>
        <v xml:space="preserve"> </v>
      </c>
      <c r="W139" s="8" t="str">
        <f>IFERROR(VLOOKUP($A139,'Project Reference'!$B$2:$N$41,13), " ")</f>
        <v xml:space="preserve"> </v>
      </c>
      <c r="X139" s="8" t="str">
        <f>IFERROR(VLOOKUP($A139,'Project Reference'!$B$2:$O$41,14), " ")</f>
        <v xml:space="preserve"> </v>
      </c>
      <c r="Y139" s="8" t="str">
        <f>IFERROR(VLOOKUP($A139,'Project Reference'!$B$2:$P$41,15), " ")</f>
        <v xml:space="preserve"> </v>
      </c>
      <c r="Z139" s="9" t="str">
        <f>IFERROR(VLOOKUP($A139,'Project Reference'!$B$2:$Q$41,16), " ")</f>
        <v xml:space="preserve"> </v>
      </c>
    </row>
    <row r="140" spans="1:26" s="1" customFormat="1" x14ac:dyDescent="0.45">
      <c r="A140" s="70"/>
      <c r="B140" s="70" t="str">
        <f>IFERROR(VLOOKUP($A140,'Project Reference'!$S$2:$T$41,2),"Enter Project Number")</f>
        <v>Enter Project Number</v>
      </c>
      <c r="C140" s="54"/>
      <c r="D140" s="53"/>
      <c r="E140" s="8"/>
      <c r="F140" s="8"/>
      <c r="G140" s="8"/>
      <c r="H140" s="8"/>
      <c r="I140" s="8"/>
      <c r="J140" s="9"/>
      <c r="K140" s="23"/>
      <c r="L140" s="47" t="str">
        <f>IFERROR(VLOOKUP($A140,'Project Reference'!$B$2:$C$41,2), " ")</f>
        <v xml:space="preserve"> </v>
      </c>
      <c r="M140" s="8" t="str">
        <f>IFERROR(VLOOKUP($A140,'Project Reference'!$B$2:$D$41,3), " ")</f>
        <v xml:space="preserve"> </v>
      </c>
      <c r="N140" s="54" t="str">
        <f>IFERROR(VLOOKUP($A140,'Project Reference'!$B$2:$E$41,4), " ")</f>
        <v xml:space="preserve"> </v>
      </c>
      <c r="O140" s="8" t="str">
        <f>IFERROR(VLOOKUP($A140,'Project Reference'!$B$2:$F$41,5), " ")</f>
        <v xml:space="preserve"> </v>
      </c>
      <c r="P140" s="8" t="str">
        <f>IFERROR(VLOOKUP($A140,'Project Reference'!$B$2:$G$41,6), " ")</f>
        <v xml:space="preserve"> </v>
      </c>
      <c r="Q140" s="8" t="str">
        <f>IFERROR(VLOOKUP($A140,'Project Reference'!$B$2:$H$41,7), " ")</f>
        <v xml:space="preserve"> </v>
      </c>
      <c r="R140" s="8" t="str">
        <f>IFERROR(VLOOKUP($A140,'Project Reference'!$B$2:$I$41,8), " ")</f>
        <v xml:space="preserve"> </v>
      </c>
      <c r="S140" s="8" t="str">
        <f>IFERROR(VLOOKUP($A140,'Project Reference'!$B$2:$J$41,9), " ")</f>
        <v xml:space="preserve"> </v>
      </c>
      <c r="T140" s="8" t="str">
        <f>IFERROR(VLOOKUP($A140,'Project Reference'!$B$2:$K$41,10), " ")</f>
        <v xml:space="preserve"> </v>
      </c>
      <c r="U140" s="8" t="str">
        <f>IFERROR(VLOOKUP($A140,'Project Reference'!$B$2:$L$41,11), " ")</f>
        <v xml:space="preserve"> </v>
      </c>
      <c r="V140" s="8" t="str">
        <f>IFERROR(VLOOKUP($A140,'Project Reference'!$B$2:$M$41,12), " ")</f>
        <v xml:space="preserve"> </v>
      </c>
      <c r="W140" s="8" t="str">
        <f>IFERROR(VLOOKUP($A140,'Project Reference'!$B$2:$N$41,13), " ")</f>
        <v xml:space="preserve"> </v>
      </c>
      <c r="X140" s="8" t="str">
        <f>IFERROR(VLOOKUP($A140,'Project Reference'!$B$2:$O$41,14), " ")</f>
        <v xml:space="preserve"> </v>
      </c>
      <c r="Y140" s="8" t="str">
        <f>IFERROR(VLOOKUP($A140,'Project Reference'!$B$2:$P$41,15), " ")</f>
        <v xml:space="preserve"> </v>
      </c>
      <c r="Z140" s="9" t="str">
        <f>IFERROR(VLOOKUP($A140,'Project Reference'!$B$2:$Q$41,16), " ")</f>
        <v xml:space="preserve"> </v>
      </c>
    </row>
    <row r="141" spans="1:26" s="1" customFormat="1" x14ac:dyDescent="0.45">
      <c r="A141" s="70"/>
      <c r="B141" s="70" t="str">
        <f>IFERROR(VLOOKUP($A141,'Project Reference'!$S$2:$T$41,2),"Enter Project Number")</f>
        <v>Enter Project Number</v>
      </c>
      <c r="C141" s="54"/>
      <c r="D141" s="53"/>
      <c r="E141" s="8"/>
      <c r="F141" s="8"/>
      <c r="G141" s="8"/>
      <c r="H141" s="8"/>
      <c r="I141" s="8"/>
      <c r="J141" s="9"/>
      <c r="K141" s="23"/>
      <c r="L141" s="47" t="str">
        <f>IFERROR(VLOOKUP($A141,'Project Reference'!$B$2:$C$41,2), " ")</f>
        <v xml:space="preserve"> </v>
      </c>
      <c r="M141" s="8" t="str">
        <f>IFERROR(VLOOKUP($A141,'Project Reference'!$B$2:$D$41,3), " ")</f>
        <v xml:space="preserve"> </v>
      </c>
      <c r="N141" s="54" t="str">
        <f>IFERROR(VLOOKUP($A141,'Project Reference'!$B$2:$E$41,4), " ")</f>
        <v xml:space="preserve"> </v>
      </c>
      <c r="O141" s="8" t="str">
        <f>IFERROR(VLOOKUP($A141,'Project Reference'!$B$2:$F$41,5), " ")</f>
        <v xml:space="preserve"> </v>
      </c>
      <c r="P141" s="8" t="str">
        <f>IFERROR(VLOOKUP($A141,'Project Reference'!$B$2:$G$41,6), " ")</f>
        <v xml:space="preserve"> </v>
      </c>
      <c r="Q141" s="8" t="str">
        <f>IFERROR(VLOOKUP($A141,'Project Reference'!$B$2:$H$41,7), " ")</f>
        <v xml:space="preserve"> </v>
      </c>
      <c r="R141" s="8" t="str">
        <f>IFERROR(VLOOKUP($A141,'Project Reference'!$B$2:$I$41,8), " ")</f>
        <v xml:space="preserve"> </v>
      </c>
      <c r="S141" s="8" t="str">
        <f>IFERROR(VLOOKUP($A141,'Project Reference'!$B$2:$J$41,9), " ")</f>
        <v xml:space="preserve"> </v>
      </c>
      <c r="T141" s="8" t="str">
        <f>IFERROR(VLOOKUP($A141,'Project Reference'!$B$2:$K$41,10), " ")</f>
        <v xml:space="preserve"> </v>
      </c>
      <c r="U141" s="8" t="str">
        <f>IFERROR(VLOOKUP($A141,'Project Reference'!$B$2:$L$41,11), " ")</f>
        <v xml:space="preserve"> </v>
      </c>
      <c r="V141" s="8" t="str">
        <f>IFERROR(VLOOKUP($A141,'Project Reference'!$B$2:$M$41,12), " ")</f>
        <v xml:space="preserve"> </v>
      </c>
      <c r="W141" s="8" t="str">
        <f>IFERROR(VLOOKUP($A141,'Project Reference'!$B$2:$N$41,13), " ")</f>
        <v xml:space="preserve"> </v>
      </c>
      <c r="X141" s="8" t="str">
        <f>IFERROR(VLOOKUP($A141,'Project Reference'!$B$2:$O$41,14), " ")</f>
        <v xml:space="preserve"> </v>
      </c>
      <c r="Y141" s="8" t="str">
        <f>IFERROR(VLOOKUP($A141,'Project Reference'!$B$2:$P$41,15), " ")</f>
        <v xml:space="preserve"> </v>
      </c>
      <c r="Z141" s="9" t="str">
        <f>IFERROR(VLOOKUP($A141,'Project Reference'!$B$2:$Q$41,16), " ")</f>
        <v xml:space="preserve"> </v>
      </c>
    </row>
    <row r="142" spans="1:26" s="1" customFormat="1" x14ac:dyDescent="0.45">
      <c r="A142" s="70"/>
      <c r="B142" s="70" t="str">
        <f>IFERROR(VLOOKUP($A142,'Project Reference'!$S$2:$T$41,2),"Enter Project Number")</f>
        <v>Enter Project Number</v>
      </c>
      <c r="C142" s="54"/>
      <c r="D142" s="53"/>
      <c r="E142" s="8"/>
      <c r="F142" s="8"/>
      <c r="G142" s="8"/>
      <c r="H142" s="8"/>
      <c r="I142" s="8"/>
      <c r="J142" s="9"/>
      <c r="K142" s="23"/>
      <c r="L142" s="47" t="str">
        <f>IFERROR(VLOOKUP($A142,'Project Reference'!$B$2:$C$41,2), " ")</f>
        <v xml:space="preserve"> </v>
      </c>
      <c r="M142" s="8" t="str">
        <f>IFERROR(VLOOKUP($A142,'Project Reference'!$B$2:$D$41,3), " ")</f>
        <v xml:space="preserve"> </v>
      </c>
      <c r="N142" s="54" t="str">
        <f>IFERROR(VLOOKUP($A142,'Project Reference'!$B$2:$E$41,4), " ")</f>
        <v xml:space="preserve"> </v>
      </c>
      <c r="O142" s="8" t="str">
        <f>IFERROR(VLOOKUP($A142,'Project Reference'!$B$2:$F$41,5), " ")</f>
        <v xml:space="preserve"> </v>
      </c>
      <c r="P142" s="8" t="str">
        <f>IFERROR(VLOOKUP($A142,'Project Reference'!$B$2:$G$41,6), " ")</f>
        <v xml:space="preserve"> </v>
      </c>
      <c r="Q142" s="8" t="str">
        <f>IFERROR(VLOOKUP($A142,'Project Reference'!$B$2:$H$41,7), " ")</f>
        <v xml:space="preserve"> </v>
      </c>
      <c r="R142" s="8" t="str">
        <f>IFERROR(VLOOKUP($A142,'Project Reference'!$B$2:$I$41,8), " ")</f>
        <v xml:space="preserve"> </v>
      </c>
      <c r="S142" s="8" t="str">
        <f>IFERROR(VLOOKUP($A142,'Project Reference'!$B$2:$J$41,9), " ")</f>
        <v xml:space="preserve"> </v>
      </c>
      <c r="T142" s="8" t="str">
        <f>IFERROR(VLOOKUP($A142,'Project Reference'!$B$2:$K$41,10), " ")</f>
        <v xml:space="preserve"> </v>
      </c>
      <c r="U142" s="8" t="str">
        <f>IFERROR(VLOOKUP($A142,'Project Reference'!$B$2:$L$41,11), " ")</f>
        <v xml:space="preserve"> </v>
      </c>
      <c r="V142" s="8" t="str">
        <f>IFERROR(VLOOKUP($A142,'Project Reference'!$B$2:$M$41,12), " ")</f>
        <v xml:space="preserve"> </v>
      </c>
      <c r="W142" s="8" t="str">
        <f>IFERROR(VLOOKUP($A142,'Project Reference'!$B$2:$N$41,13), " ")</f>
        <v xml:space="preserve"> </v>
      </c>
      <c r="X142" s="8" t="str">
        <f>IFERROR(VLOOKUP($A142,'Project Reference'!$B$2:$O$41,14), " ")</f>
        <v xml:space="preserve"> </v>
      </c>
      <c r="Y142" s="8" t="str">
        <f>IFERROR(VLOOKUP($A142,'Project Reference'!$B$2:$P$41,15), " ")</f>
        <v xml:space="preserve"> </v>
      </c>
      <c r="Z142" s="9" t="str">
        <f>IFERROR(VLOOKUP($A142,'Project Reference'!$B$2:$Q$41,16), " ")</f>
        <v xml:space="preserve"> </v>
      </c>
    </row>
    <row r="143" spans="1:26" s="1" customFormat="1" x14ac:dyDescent="0.45">
      <c r="A143" s="70"/>
      <c r="B143" s="70" t="str">
        <f>IFERROR(VLOOKUP($A143,'Project Reference'!$S$2:$T$41,2),"Enter Project Number")</f>
        <v>Enter Project Number</v>
      </c>
      <c r="C143" s="54"/>
      <c r="D143" s="53"/>
      <c r="E143" s="8"/>
      <c r="F143" s="8"/>
      <c r="G143" s="8"/>
      <c r="H143" s="8"/>
      <c r="I143" s="8"/>
      <c r="J143" s="9"/>
      <c r="K143" s="23"/>
      <c r="L143" s="47" t="str">
        <f>IFERROR(VLOOKUP($A143,'Project Reference'!$B$2:$C$41,2), " ")</f>
        <v xml:space="preserve"> </v>
      </c>
      <c r="M143" s="8" t="str">
        <f>IFERROR(VLOOKUP($A143,'Project Reference'!$B$2:$D$41,3), " ")</f>
        <v xml:space="preserve"> </v>
      </c>
      <c r="N143" s="54" t="str">
        <f>IFERROR(VLOOKUP($A143,'Project Reference'!$B$2:$E$41,4), " ")</f>
        <v xml:space="preserve"> </v>
      </c>
      <c r="O143" s="8" t="str">
        <f>IFERROR(VLOOKUP($A143,'Project Reference'!$B$2:$F$41,5), " ")</f>
        <v xml:space="preserve"> </v>
      </c>
      <c r="P143" s="8" t="str">
        <f>IFERROR(VLOOKUP($A143,'Project Reference'!$B$2:$G$41,6), " ")</f>
        <v xml:space="preserve"> </v>
      </c>
      <c r="Q143" s="8" t="str">
        <f>IFERROR(VLOOKUP($A143,'Project Reference'!$B$2:$H$41,7), " ")</f>
        <v xml:space="preserve"> </v>
      </c>
      <c r="R143" s="8" t="str">
        <f>IFERROR(VLOOKUP($A143,'Project Reference'!$B$2:$I$41,8), " ")</f>
        <v xml:space="preserve"> </v>
      </c>
      <c r="S143" s="8" t="str">
        <f>IFERROR(VLOOKUP($A143,'Project Reference'!$B$2:$J$41,9), " ")</f>
        <v xml:space="preserve"> </v>
      </c>
      <c r="T143" s="8" t="str">
        <f>IFERROR(VLOOKUP($A143,'Project Reference'!$B$2:$K$41,10), " ")</f>
        <v xml:space="preserve"> </v>
      </c>
      <c r="U143" s="8" t="str">
        <f>IFERROR(VLOOKUP($A143,'Project Reference'!$B$2:$L$41,11), " ")</f>
        <v xml:space="preserve"> </v>
      </c>
      <c r="V143" s="8" t="str">
        <f>IFERROR(VLOOKUP($A143,'Project Reference'!$B$2:$M$41,12), " ")</f>
        <v xml:space="preserve"> </v>
      </c>
      <c r="W143" s="8" t="str">
        <f>IFERROR(VLOOKUP($A143,'Project Reference'!$B$2:$N$41,13), " ")</f>
        <v xml:space="preserve"> </v>
      </c>
      <c r="X143" s="8" t="str">
        <f>IFERROR(VLOOKUP($A143,'Project Reference'!$B$2:$O$41,14), " ")</f>
        <v xml:space="preserve"> </v>
      </c>
      <c r="Y143" s="8" t="str">
        <f>IFERROR(VLOOKUP($A143,'Project Reference'!$B$2:$P$41,15), " ")</f>
        <v xml:space="preserve"> </v>
      </c>
      <c r="Z143" s="9" t="str">
        <f>IFERROR(VLOOKUP($A143,'Project Reference'!$B$2:$Q$41,16), " ")</f>
        <v xml:space="preserve"> </v>
      </c>
    </row>
    <row r="144" spans="1:26" s="1" customFormat="1" x14ac:dyDescent="0.45">
      <c r="A144" s="70"/>
      <c r="B144" s="70" t="str">
        <f>IFERROR(VLOOKUP($A144,'Project Reference'!$S$2:$T$41,2),"Enter Project Number")</f>
        <v>Enter Project Number</v>
      </c>
      <c r="C144" s="54"/>
      <c r="D144" s="53"/>
      <c r="E144" s="8"/>
      <c r="F144" s="8"/>
      <c r="G144" s="8"/>
      <c r="H144" s="8"/>
      <c r="I144" s="8"/>
      <c r="J144" s="9"/>
      <c r="K144" s="23"/>
      <c r="L144" s="47" t="str">
        <f>IFERROR(VLOOKUP($A144,'Project Reference'!$B$2:$C$41,2), " ")</f>
        <v xml:space="preserve"> </v>
      </c>
      <c r="M144" s="8" t="str">
        <f>IFERROR(VLOOKUP($A144,'Project Reference'!$B$2:$D$41,3), " ")</f>
        <v xml:space="preserve"> </v>
      </c>
      <c r="N144" s="54" t="str">
        <f>IFERROR(VLOOKUP($A144,'Project Reference'!$B$2:$E$41,4), " ")</f>
        <v xml:space="preserve"> </v>
      </c>
      <c r="O144" s="8" t="str">
        <f>IFERROR(VLOOKUP($A144,'Project Reference'!$B$2:$F$41,5), " ")</f>
        <v xml:space="preserve"> </v>
      </c>
      <c r="P144" s="8" t="str">
        <f>IFERROR(VLOOKUP($A144,'Project Reference'!$B$2:$G$41,6), " ")</f>
        <v xml:space="preserve"> </v>
      </c>
      <c r="Q144" s="8" t="str">
        <f>IFERROR(VLOOKUP($A144,'Project Reference'!$B$2:$H$41,7), " ")</f>
        <v xml:space="preserve"> </v>
      </c>
      <c r="R144" s="8" t="str">
        <f>IFERROR(VLOOKUP($A144,'Project Reference'!$B$2:$I$41,8), " ")</f>
        <v xml:space="preserve"> </v>
      </c>
      <c r="S144" s="8" t="str">
        <f>IFERROR(VLOOKUP($A144,'Project Reference'!$B$2:$J$41,9), " ")</f>
        <v xml:space="preserve"> </v>
      </c>
      <c r="T144" s="8" t="str">
        <f>IFERROR(VLOOKUP($A144,'Project Reference'!$B$2:$K$41,10), " ")</f>
        <v xml:space="preserve"> </v>
      </c>
      <c r="U144" s="8" t="str">
        <f>IFERROR(VLOOKUP($A144,'Project Reference'!$B$2:$L$41,11), " ")</f>
        <v xml:space="preserve"> </v>
      </c>
      <c r="V144" s="8" t="str">
        <f>IFERROR(VLOOKUP($A144,'Project Reference'!$B$2:$M$41,12), " ")</f>
        <v xml:space="preserve"> </v>
      </c>
      <c r="W144" s="8" t="str">
        <f>IFERROR(VLOOKUP($A144,'Project Reference'!$B$2:$N$41,13), " ")</f>
        <v xml:space="preserve"> </v>
      </c>
      <c r="X144" s="8" t="str">
        <f>IFERROR(VLOOKUP($A144,'Project Reference'!$B$2:$O$41,14), " ")</f>
        <v xml:space="preserve"> </v>
      </c>
      <c r="Y144" s="8" t="str">
        <f>IFERROR(VLOOKUP($A144,'Project Reference'!$B$2:$P$41,15), " ")</f>
        <v xml:space="preserve"> </v>
      </c>
      <c r="Z144" s="9" t="str">
        <f>IFERROR(VLOOKUP($A144,'Project Reference'!$B$2:$Q$41,16), " ")</f>
        <v xml:space="preserve"> </v>
      </c>
    </row>
    <row r="145" spans="1:26" s="1" customFormat="1" x14ac:dyDescent="0.45">
      <c r="A145" s="70"/>
      <c r="B145" s="70" t="str">
        <f>IFERROR(VLOOKUP($A145,'Project Reference'!$S$2:$T$41,2),"Enter Project Number")</f>
        <v>Enter Project Number</v>
      </c>
      <c r="C145" s="54"/>
      <c r="D145" s="53"/>
      <c r="E145" s="8"/>
      <c r="F145" s="8"/>
      <c r="G145" s="8"/>
      <c r="H145" s="8"/>
      <c r="I145" s="8"/>
      <c r="J145" s="9"/>
      <c r="K145" s="23"/>
      <c r="L145" s="47" t="str">
        <f>IFERROR(VLOOKUP($A145,'Project Reference'!$B$2:$C$41,2), " ")</f>
        <v xml:space="preserve"> </v>
      </c>
      <c r="M145" s="8" t="str">
        <f>IFERROR(VLOOKUP($A145,'Project Reference'!$B$2:$D$41,3), " ")</f>
        <v xml:space="preserve"> </v>
      </c>
      <c r="N145" s="54" t="str">
        <f>IFERROR(VLOOKUP($A145,'Project Reference'!$B$2:$E$41,4), " ")</f>
        <v xml:space="preserve"> </v>
      </c>
      <c r="O145" s="8" t="str">
        <f>IFERROR(VLOOKUP($A145,'Project Reference'!$B$2:$F$41,5), " ")</f>
        <v xml:space="preserve"> </v>
      </c>
      <c r="P145" s="8" t="str">
        <f>IFERROR(VLOOKUP($A145,'Project Reference'!$B$2:$G$41,6), " ")</f>
        <v xml:space="preserve"> </v>
      </c>
      <c r="Q145" s="8" t="str">
        <f>IFERROR(VLOOKUP($A145,'Project Reference'!$B$2:$H$41,7), " ")</f>
        <v xml:space="preserve"> </v>
      </c>
      <c r="R145" s="8" t="str">
        <f>IFERROR(VLOOKUP($A145,'Project Reference'!$B$2:$I$41,8), " ")</f>
        <v xml:space="preserve"> </v>
      </c>
      <c r="S145" s="8" t="str">
        <f>IFERROR(VLOOKUP($A145,'Project Reference'!$B$2:$J$41,9), " ")</f>
        <v xml:space="preserve"> </v>
      </c>
      <c r="T145" s="8" t="str">
        <f>IFERROR(VLOOKUP($A145,'Project Reference'!$B$2:$K$41,10), " ")</f>
        <v xml:space="preserve"> </v>
      </c>
      <c r="U145" s="8" t="str">
        <f>IFERROR(VLOOKUP($A145,'Project Reference'!$B$2:$L$41,11), " ")</f>
        <v xml:space="preserve"> </v>
      </c>
      <c r="V145" s="8" t="str">
        <f>IFERROR(VLOOKUP($A145,'Project Reference'!$B$2:$M$41,12), " ")</f>
        <v xml:space="preserve"> </v>
      </c>
      <c r="W145" s="8" t="str">
        <f>IFERROR(VLOOKUP($A145,'Project Reference'!$B$2:$N$41,13), " ")</f>
        <v xml:space="preserve"> </v>
      </c>
      <c r="X145" s="8" t="str">
        <f>IFERROR(VLOOKUP($A145,'Project Reference'!$B$2:$O$41,14), " ")</f>
        <v xml:space="preserve"> </v>
      </c>
      <c r="Y145" s="8" t="str">
        <f>IFERROR(VLOOKUP($A145,'Project Reference'!$B$2:$P$41,15), " ")</f>
        <v xml:space="preserve"> </v>
      </c>
      <c r="Z145" s="9" t="str">
        <f>IFERROR(VLOOKUP($A145,'Project Reference'!$B$2:$Q$41,16), " ")</f>
        <v xml:space="preserve"> </v>
      </c>
    </row>
    <row r="146" spans="1:26" s="1" customFormat="1" x14ac:dyDescent="0.45">
      <c r="A146" s="70"/>
      <c r="B146" s="70" t="str">
        <f>IFERROR(VLOOKUP($A146,'Project Reference'!$S$2:$T$41,2),"Enter Project Number")</f>
        <v>Enter Project Number</v>
      </c>
      <c r="C146" s="54"/>
      <c r="D146" s="53"/>
      <c r="E146" s="8"/>
      <c r="F146" s="8"/>
      <c r="G146" s="8"/>
      <c r="H146" s="8"/>
      <c r="I146" s="8"/>
      <c r="J146" s="9"/>
      <c r="K146" s="23"/>
      <c r="L146" s="47" t="str">
        <f>IFERROR(VLOOKUP($A146,'Project Reference'!$B$2:$C$41,2), " ")</f>
        <v xml:space="preserve"> </v>
      </c>
      <c r="M146" s="8" t="str">
        <f>IFERROR(VLOOKUP($A146,'Project Reference'!$B$2:$D$41,3), " ")</f>
        <v xml:space="preserve"> </v>
      </c>
      <c r="N146" s="54" t="str">
        <f>IFERROR(VLOOKUP($A146,'Project Reference'!$B$2:$E$41,4), " ")</f>
        <v xml:space="preserve"> </v>
      </c>
      <c r="O146" s="8" t="str">
        <f>IFERROR(VLOOKUP($A146,'Project Reference'!$B$2:$F$41,5), " ")</f>
        <v xml:space="preserve"> </v>
      </c>
      <c r="P146" s="8" t="str">
        <f>IFERROR(VLOOKUP($A146,'Project Reference'!$B$2:$G$41,6), " ")</f>
        <v xml:space="preserve"> </v>
      </c>
      <c r="Q146" s="8" t="str">
        <f>IFERROR(VLOOKUP($A146,'Project Reference'!$B$2:$H$41,7), " ")</f>
        <v xml:space="preserve"> </v>
      </c>
      <c r="R146" s="8" t="str">
        <f>IFERROR(VLOOKUP($A146,'Project Reference'!$B$2:$I$41,8), " ")</f>
        <v xml:space="preserve"> </v>
      </c>
      <c r="S146" s="8" t="str">
        <f>IFERROR(VLOOKUP($A146,'Project Reference'!$B$2:$J$41,9), " ")</f>
        <v xml:space="preserve"> </v>
      </c>
      <c r="T146" s="8" t="str">
        <f>IFERROR(VLOOKUP($A146,'Project Reference'!$B$2:$K$41,10), " ")</f>
        <v xml:space="preserve"> </v>
      </c>
      <c r="U146" s="8" t="str">
        <f>IFERROR(VLOOKUP($A146,'Project Reference'!$B$2:$L$41,11), " ")</f>
        <v xml:space="preserve"> </v>
      </c>
      <c r="V146" s="8" t="str">
        <f>IFERROR(VLOOKUP($A146,'Project Reference'!$B$2:$M$41,12), " ")</f>
        <v xml:space="preserve"> </v>
      </c>
      <c r="W146" s="8" t="str">
        <f>IFERROR(VLOOKUP($A146,'Project Reference'!$B$2:$N$41,13), " ")</f>
        <v xml:space="preserve"> </v>
      </c>
      <c r="X146" s="8" t="str">
        <f>IFERROR(VLOOKUP($A146,'Project Reference'!$B$2:$O$41,14), " ")</f>
        <v xml:space="preserve"> </v>
      </c>
      <c r="Y146" s="8" t="str">
        <f>IFERROR(VLOOKUP($A146,'Project Reference'!$B$2:$P$41,15), " ")</f>
        <v xml:space="preserve"> </v>
      </c>
      <c r="Z146" s="9" t="str">
        <f>IFERROR(VLOOKUP($A146,'Project Reference'!$B$2:$Q$41,16), " ")</f>
        <v xml:space="preserve"> </v>
      </c>
    </row>
    <row r="147" spans="1:26" s="1" customFormat="1" x14ac:dyDescent="0.45">
      <c r="A147" s="70"/>
      <c r="B147" s="70" t="str">
        <f>IFERROR(VLOOKUP($A147,'Project Reference'!$S$2:$T$41,2),"Enter Project Number")</f>
        <v>Enter Project Number</v>
      </c>
      <c r="C147" s="54"/>
      <c r="D147" s="53"/>
      <c r="E147" s="8"/>
      <c r="F147" s="8"/>
      <c r="G147" s="8"/>
      <c r="H147" s="8"/>
      <c r="I147" s="8"/>
      <c r="J147" s="9"/>
      <c r="K147" s="23"/>
      <c r="L147" s="47" t="str">
        <f>IFERROR(VLOOKUP($A147,'Project Reference'!$B$2:$C$41,2), " ")</f>
        <v xml:space="preserve"> </v>
      </c>
      <c r="M147" s="8" t="str">
        <f>IFERROR(VLOOKUP($A147,'Project Reference'!$B$2:$D$41,3), " ")</f>
        <v xml:space="preserve"> </v>
      </c>
      <c r="N147" s="54" t="str">
        <f>IFERROR(VLOOKUP($A147,'Project Reference'!$B$2:$E$41,4), " ")</f>
        <v xml:space="preserve"> </v>
      </c>
      <c r="O147" s="8" t="str">
        <f>IFERROR(VLOOKUP($A147,'Project Reference'!$B$2:$F$41,5), " ")</f>
        <v xml:space="preserve"> </v>
      </c>
      <c r="P147" s="8" t="str">
        <f>IFERROR(VLOOKUP($A147,'Project Reference'!$B$2:$G$41,6), " ")</f>
        <v xml:space="preserve"> </v>
      </c>
      <c r="Q147" s="8" t="str">
        <f>IFERROR(VLOOKUP($A147,'Project Reference'!$B$2:$H$41,7), " ")</f>
        <v xml:space="preserve"> </v>
      </c>
      <c r="R147" s="8" t="str">
        <f>IFERROR(VLOOKUP($A147,'Project Reference'!$B$2:$I$41,8), " ")</f>
        <v xml:space="preserve"> </v>
      </c>
      <c r="S147" s="8" t="str">
        <f>IFERROR(VLOOKUP($A147,'Project Reference'!$B$2:$J$41,9), " ")</f>
        <v xml:space="preserve"> </v>
      </c>
      <c r="T147" s="8" t="str">
        <f>IFERROR(VLOOKUP($A147,'Project Reference'!$B$2:$K$41,10), " ")</f>
        <v xml:space="preserve"> </v>
      </c>
      <c r="U147" s="8" t="str">
        <f>IFERROR(VLOOKUP($A147,'Project Reference'!$B$2:$L$41,11), " ")</f>
        <v xml:space="preserve"> </v>
      </c>
      <c r="V147" s="8" t="str">
        <f>IFERROR(VLOOKUP($A147,'Project Reference'!$B$2:$M$41,12), " ")</f>
        <v xml:space="preserve"> </v>
      </c>
      <c r="W147" s="8" t="str">
        <f>IFERROR(VLOOKUP($A147,'Project Reference'!$B$2:$N$41,13), " ")</f>
        <v xml:space="preserve"> </v>
      </c>
      <c r="X147" s="8" t="str">
        <f>IFERROR(VLOOKUP($A147,'Project Reference'!$B$2:$O$41,14), " ")</f>
        <v xml:space="preserve"> </v>
      </c>
      <c r="Y147" s="8" t="str">
        <f>IFERROR(VLOOKUP($A147,'Project Reference'!$B$2:$P$41,15), " ")</f>
        <v xml:space="preserve"> </v>
      </c>
      <c r="Z147" s="9" t="str">
        <f>IFERROR(VLOOKUP($A147,'Project Reference'!$B$2:$Q$41,16), " ")</f>
        <v xml:space="preserve"> </v>
      </c>
    </row>
    <row r="148" spans="1:26" s="1" customFormat="1" x14ac:dyDescent="0.45">
      <c r="A148" s="70"/>
      <c r="B148" s="70" t="str">
        <f>IFERROR(VLOOKUP($A148,'Project Reference'!$S$2:$T$41,2),"Enter Project Number")</f>
        <v>Enter Project Number</v>
      </c>
      <c r="C148" s="54"/>
      <c r="D148" s="53"/>
      <c r="E148" s="8"/>
      <c r="F148" s="8"/>
      <c r="G148" s="8"/>
      <c r="H148" s="8"/>
      <c r="I148" s="8"/>
      <c r="J148" s="9"/>
      <c r="K148" s="23"/>
      <c r="L148" s="47" t="str">
        <f>IFERROR(VLOOKUP($A148,'Project Reference'!$B$2:$C$41,2), " ")</f>
        <v xml:space="preserve"> </v>
      </c>
      <c r="M148" s="8" t="str">
        <f>IFERROR(VLOOKUP($A148,'Project Reference'!$B$2:$D$41,3), " ")</f>
        <v xml:space="preserve"> </v>
      </c>
      <c r="N148" s="54" t="str">
        <f>IFERROR(VLOOKUP($A148,'Project Reference'!$B$2:$E$41,4), " ")</f>
        <v xml:space="preserve"> </v>
      </c>
      <c r="O148" s="8" t="str">
        <f>IFERROR(VLOOKUP($A148,'Project Reference'!$B$2:$F$41,5), " ")</f>
        <v xml:space="preserve"> </v>
      </c>
      <c r="P148" s="8" t="str">
        <f>IFERROR(VLOOKUP($A148,'Project Reference'!$B$2:$G$41,6), " ")</f>
        <v xml:space="preserve"> </v>
      </c>
      <c r="Q148" s="8" t="str">
        <f>IFERROR(VLOOKUP($A148,'Project Reference'!$B$2:$H$41,7), " ")</f>
        <v xml:space="preserve"> </v>
      </c>
      <c r="R148" s="8" t="str">
        <f>IFERROR(VLOOKUP($A148,'Project Reference'!$B$2:$I$41,8), " ")</f>
        <v xml:space="preserve"> </v>
      </c>
      <c r="S148" s="8" t="str">
        <f>IFERROR(VLOOKUP($A148,'Project Reference'!$B$2:$J$41,9), " ")</f>
        <v xml:space="preserve"> </v>
      </c>
      <c r="T148" s="8" t="str">
        <f>IFERROR(VLOOKUP($A148,'Project Reference'!$B$2:$K$41,10), " ")</f>
        <v xml:space="preserve"> </v>
      </c>
      <c r="U148" s="8" t="str">
        <f>IFERROR(VLOOKUP($A148,'Project Reference'!$B$2:$L$41,11), " ")</f>
        <v xml:space="preserve"> </v>
      </c>
      <c r="V148" s="8" t="str">
        <f>IFERROR(VLOOKUP($A148,'Project Reference'!$B$2:$M$41,12), " ")</f>
        <v xml:space="preserve"> </v>
      </c>
      <c r="W148" s="8" t="str">
        <f>IFERROR(VLOOKUP($A148,'Project Reference'!$B$2:$N$41,13), " ")</f>
        <v xml:space="preserve"> </v>
      </c>
      <c r="X148" s="8" t="str">
        <f>IFERROR(VLOOKUP($A148,'Project Reference'!$B$2:$O$41,14), " ")</f>
        <v xml:space="preserve"> </v>
      </c>
      <c r="Y148" s="8" t="str">
        <f>IFERROR(VLOOKUP($A148,'Project Reference'!$B$2:$P$41,15), " ")</f>
        <v xml:space="preserve"> </v>
      </c>
      <c r="Z148" s="9" t="str">
        <f>IFERROR(VLOOKUP($A148,'Project Reference'!$B$2:$Q$41,16), " ")</f>
        <v xml:space="preserve"> </v>
      </c>
    </row>
    <row r="149" spans="1:26" s="1" customFormat="1" x14ac:dyDescent="0.45">
      <c r="A149" s="70"/>
      <c r="B149" s="70" t="str">
        <f>IFERROR(VLOOKUP($A149,'Project Reference'!$S$2:$T$41,2),"Enter Project Number")</f>
        <v>Enter Project Number</v>
      </c>
      <c r="C149" s="54"/>
      <c r="D149" s="53"/>
      <c r="E149" s="8"/>
      <c r="F149" s="8"/>
      <c r="G149" s="8"/>
      <c r="H149" s="8"/>
      <c r="I149" s="8"/>
      <c r="J149" s="9"/>
      <c r="K149" s="23"/>
      <c r="L149" s="47" t="str">
        <f>IFERROR(VLOOKUP($A149,'Project Reference'!$B$2:$C$41,2), " ")</f>
        <v xml:space="preserve"> </v>
      </c>
      <c r="M149" s="8" t="str">
        <f>IFERROR(VLOOKUP($A149,'Project Reference'!$B$2:$D$41,3), " ")</f>
        <v xml:space="preserve"> </v>
      </c>
      <c r="N149" s="54" t="str">
        <f>IFERROR(VLOOKUP($A149,'Project Reference'!$B$2:$E$41,4), " ")</f>
        <v xml:space="preserve"> </v>
      </c>
      <c r="O149" s="8" t="str">
        <f>IFERROR(VLOOKUP($A149,'Project Reference'!$B$2:$F$41,5), " ")</f>
        <v xml:space="preserve"> </v>
      </c>
      <c r="P149" s="8" t="str">
        <f>IFERROR(VLOOKUP($A149,'Project Reference'!$B$2:$G$41,6), " ")</f>
        <v xml:space="preserve"> </v>
      </c>
      <c r="Q149" s="8" t="str">
        <f>IFERROR(VLOOKUP($A149,'Project Reference'!$B$2:$H$41,7), " ")</f>
        <v xml:space="preserve"> </v>
      </c>
      <c r="R149" s="8" t="str">
        <f>IFERROR(VLOOKUP($A149,'Project Reference'!$B$2:$I$41,8), " ")</f>
        <v xml:space="preserve"> </v>
      </c>
      <c r="S149" s="8" t="str">
        <f>IFERROR(VLOOKUP($A149,'Project Reference'!$B$2:$J$41,9), " ")</f>
        <v xml:space="preserve"> </v>
      </c>
      <c r="T149" s="8" t="str">
        <f>IFERROR(VLOOKUP($A149,'Project Reference'!$B$2:$K$41,10), " ")</f>
        <v xml:space="preserve"> </v>
      </c>
      <c r="U149" s="8" t="str">
        <f>IFERROR(VLOOKUP($A149,'Project Reference'!$B$2:$L$41,11), " ")</f>
        <v xml:space="preserve"> </v>
      </c>
      <c r="V149" s="8" t="str">
        <f>IFERROR(VLOOKUP($A149,'Project Reference'!$B$2:$M$41,12), " ")</f>
        <v xml:space="preserve"> </v>
      </c>
      <c r="W149" s="8" t="str">
        <f>IFERROR(VLOOKUP($A149,'Project Reference'!$B$2:$N$41,13), " ")</f>
        <v xml:space="preserve"> </v>
      </c>
      <c r="X149" s="8" t="str">
        <f>IFERROR(VLOOKUP($A149,'Project Reference'!$B$2:$O$41,14), " ")</f>
        <v xml:space="preserve"> </v>
      </c>
      <c r="Y149" s="8" t="str">
        <f>IFERROR(VLOOKUP($A149,'Project Reference'!$B$2:$P$41,15), " ")</f>
        <v xml:space="preserve"> </v>
      </c>
      <c r="Z149" s="9" t="str">
        <f>IFERROR(VLOOKUP($A149,'Project Reference'!$B$2:$Q$41,16), " ")</f>
        <v xml:space="preserve"> </v>
      </c>
    </row>
    <row r="150" spans="1:26" s="1" customFormat="1" x14ac:dyDescent="0.45">
      <c r="A150" s="70"/>
      <c r="B150" s="70" t="str">
        <f>IFERROR(VLOOKUP($A150,'Project Reference'!$S$2:$T$41,2),"Enter Project Number")</f>
        <v>Enter Project Number</v>
      </c>
      <c r="C150" s="54"/>
      <c r="D150" s="53"/>
      <c r="E150" s="8"/>
      <c r="F150" s="8"/>
      <c r="G150" s="8"/>
      <c r="H150" s="8"/>
      <c r="I150" s="8"/>
      <c r="J150" s="9"/>
      <c r="K150" s="23"/>
      <c r="L150" s="47" t="str">
        <f>IFERROR(VLOOKUP($A150,'Project Reference'!$B$2:$C$41,2), " ")</f>
        <v xml:space="preserve"> </v>
      </c>
      <c r="M150" s="8" t="str">
        <f>IFERROR(VLOOKUP($A150,'Project Reference'!$B$2:$D$41,3), " ")</f>
        <v xml:space="preserve"> </v>
      </c>
      <c r="N150" s="54" t="str">
        <f>IFERROR(VLOOKUP($A150,'Project Reference'!$B$2:$E$41,4), " ")</f>
        <v xml:space="preserve"> </v>
      </c>
      <c r="O150" s="8" t="str">
        <f>IFERROR(VLOOKUP($A150,'Project Reference'!$B$2:$F$41,5), " ")</f>
        <v xml:space="preserve"> </v>
      </c>
      <c r="P150" s="8" t="str">
        <f>IFERROR(VLOOKUP($A150,'Project Reference'!$B$2:$G$41,6), " ")</f>
        <v xml:space="preserve"> </v>
      </c>
      <c r="Q150" s="8" t="str">
        <f>IFERROR(VLOOKUP($A150,'Project Reference'!$B$2:$H$41,7), " ")</f>
        <v xml:space="preserve"> </v>
      </c>
      <c r="R150" s="8" t="str">
        <f>IFERROR(VLOOKUP($A150,'Project Reference'!$B$2:$I$41,8), " ")</f>
        <v xml:space="preserve"> </v>
      </c>
      <c r="S150" s="8" t="str">
        <f>IFERROR(VLOOKUP($A150,'Project Reference'!$B$2:$J$41,9), " ")</f>
        <v xml:space="preserve"> </v>
      </c>
      <c r="T150" s="8" t="str">
        <f>IFERROR(VLOOKUP($A150,'Project Reference'!$B$2:$K$41,10), " ")</f>
        <v xml:space="preserve"> </v>
      </c>
      <c r="U150" s="8" t="str">
        <f>IFERROR(VLOOKUP($A150,'Project Reference'!$B$2:$L$41,11), " ")</f>
        <v xml:space="preserve"> </v>
      </c>
      <c r="V150" s="8" t="str">
        <f>IFERROR(VLOOKUP($A150,'Project Reference'!$B$2:$M$41,12), " ")</f>
        <v xml:space="preserve"> </v>
      </c>
      <c r="W150" s="8" t="str">
        <f>IFERROR(VLOOKUP($A150,'Project Reference'!$B$2:$N$41,13), " ")</f>
        <v xml:space="preserve"> </v>
      </c>
      <c r="X150" s="8" t="str">
        <f>IFERROR(VLOOKUP($A150,'Project Reference'!$B$2:$O$41,14), " ")</f>
        <v xml:space="preserve"> </v>
      </c>
      <c r="Y150" s="8" t="str">
        <f>IFERROR(VLOOKUP($A150,'Project Reference'!$B$2:$P$41,15), " ")</f>
        <v xml:space="preserve"> </v>
      </c>
      <c r="Z150" s="9" t="str">
        <f>IFERROR(VLOOKUP($A150,'Project Reference'!$B$2:$Q$41,16), " ")</f>
        <v xml:space="preserve"> </v>
      </c>
    </row>
    <row r="151" spans="1:26" s="1" customFormat="1" x14ac:dyDescent="0.45">
      <c r="A151" s="70"/>
      <c r="B151" s="70" t="str">
        <f>IFERROR(VLOOKUP($A151,'Project Reference'!$S$2:$T$41,2),"Enter Project Number")</f>
        <v>Enter Project Number</v>
      </c>
      <c r="C151" s="54"/>
      <c r="D151" s="53"/>
      <c r="E151" s="8"/>
      <c r="F151" s="8"/>
      <c r="G151" s="8"/>
      <c r="H151" s="8"/>
      <c r="I151" s="8"/>
      <c r="J151" s="9"/>
      <c r="K151" s="23"/>
      <c r="L151" s="47" t="str">
        <f>IFERROR(VLOOKUP($A151,'Project Reference'!$B$2:$C$41,2), " ")</f>
        <v xml:space="preserve"> </v>
      </c>
      <c r="M151" s="8" t="str">
        <f>IFERROR(VLOOKUP($A151,'Project Reference'!$B$2:$D$41,3), " ")</f>
        <v xml:space="preserve"> </v>
      </c>
      <c r="N151" s="54" t="str">
        <f>IFERROR(VLOOKUP($A151,'Project Reference'!$B$2:$E$41,4), " ")</f>
        <v xml:space="preserve"> </v>
      </c>
      <c r="O151" s="8" t="str">
        <f>IFERROR(VLOOKUP($A151,'Project Reference'!$B$2:$F$41,5), " ")</f>
        <v xml:space="preserve"> </v>
      </c>
      <c r="P151" s="8" t="str">
        <f>IFERROR(VLOOKUP($A151,'Project Reference'!$B$2:$G$41,6), " ")</f>
        <v xml:space="preserve"> </v>
      </c>
      <c r="Q151" s="8" t="str">
        <f>IFERROR(VLOOKUP($A151,'Project Reference'!$B$2:$H$41,7), " ")</f>
        <v xml:space="preserve"> </v>
      </c>
      <c r="R151" s="8" t="str">
        <f>IFERROR(VLOOKUP($A151,'Project Reference'!$B$2:$I$41,8), " ")</f>
        <v xml:space="preserve"> </v>
      </c>
      <c r="S151" s="8" t="str">
        <f>IFERROR(VLOOKUP($A151,'Project Reference'!$B$2:$J$41,9), " ")</f>
        <v xml:space="preserve"> </v>
      </c>
      <c r="T151" s="8" t="str">
        <f>IFERROR(VLOOKUP($A151,'Project Reference'!$B$2:$K$41,10), " ")</f>
        <v xml:space="preserve"> </v>
      </c>
      <c r="U151" s="8" t="str">
        <f>IFERROR(VLOOKUP($A151,'Project Reference'!$B$2:$L$41,11), " ")</f>
        <v xml:space="preserve"> </v>
      </c>
      <c r="V151" s="8" t="str">
        <f>IFERROR(VLOOKUP($A151,'Project Reference'!$B$2:$M$41,12), " ")</f>
        <v xml:space="preserve"> </v>
      </c>
      <c r="W151" s="8" t="str">
        <f>IFERROR(VLOOKUP($A151,'Project Reference'!$B$2:$N$41,13), " ")</f>
        <v xml:space="preserve"> </v>
      </c>
      <c r="X151" s="8" t="str">
        <f>IFERROR(VLOOKUP($A151,'Project Reference'!$B$2:$O$41,14), " ")</f>
        <v xml:space="preserve"> </v>
      </c>
      <c r="Y151" s="8" t="str">
        <f>IFERROR(VLOOKUP($A151,'Project Reference'!$B$2:$P$41,15), " ")</f>
        <v xml:space="preserve"> </v>
      </c>
      <c r="Z151" s="9" t="str">
        <f>IFERROR(VLOOKUP($A151,'Project Reference'!$B$2:$Q$41,16), " ")</f>
        <v xml:space="preserve"> </v>
      </c>
    </row>
    <row r="152" spans="1:26" s="1" customFormat="1" x14ac:dyDescent="0.45">
      <c r="A152" s="70"/>
      <c r="B152" s="70" t="str">
        <f>IFERROR(VLOOKUP($A152,'Project Reference'!$S$2:$T$41,2),"Enter Project Number")</f>
        <v>Enter Project Number</v>
      </c>
      <c r="C152" s="54"/>
      <c r="D152" s="53"/>
      <c r="E152" s="8"/>
      <c r="F152" s="8"/>
      <c r="G152" s="8"/>
      <c r="H152" s="8"/>
      <c r="I152" s="8"/>
      <c r="J152" s="9"/>
      <c r="K152" s="23"/>
      <c r="L152" s="47" t="str">
        <f>IFERROR(VLOOKUP($A152,'Project Reference'!$B$2:$C$41,2), " ")</f>
        <v xml:space="preserve"> </v>
      </c>
      <c r="M152" s="8" t="str">
        <f>IFERROR(VLOOKUP($A152,'Project Reference'!$B$2:$D$41,3), " ")</f>
        <v xml:space="preserve"> </v>
      </c>
      <c r="N152" s="54" t="str">
        <f>IFERROR(VLOOKUP($A152,'Project Reference'!$B$2:$E$41,4), " ")</f>
        <v xml:space="preserve"> </v>
      </c>
      <c r="O152" s="8" t="str">
        <f>IFERROR(VLOOKUP($A152,'Project Reference'!$B$2:$F$41,5), " ")</f>
        <v xml:space="preserve"> </v>
      </c>
      <c r="P152" s="8" t="str">
        <f>IFERROR(VLOOKUP($A152,'Project Reference'!$B$2:$G$41,6), " ")</f>
        <v xml:space="preserve"> </v>
      </c>
      <c r="Q152" s="8" t="str">
        <f>IFERROR(VLOOKUP($A152,'Project Reference'!$B$2:$H$41,7), " ")</f>
        <v xml:space="preserve"> </v>
      </c>
      <c r="R152" s="8" t="str">
        <f>IFERROR(VLOOKUP($A152,'Project Reference'!$B$2:$I$41,8), " ")</f>
        <v xml:space="preserve"> </v>
      </c>
      <c r="S152" s="8" t="str">
        <f>IFERROR(VLOOKUP($A152,'Project Reference'!$B$2:$J$41,9), " ")</f>
        <v xml:space="preserve"> </v>
      </c>
      <c r="T152" s="8" t="str">
        <f>IFERROR(VLOOKUP($A152,'Project Reference'!$B$2:$K$41,10), " ")</f>
        <v xml:space="preserve"> </v>
      </c>
      <c r="U152" s="8" t="str">
        <f>IFERROR(VLOOKUP($A152,'Project Reference'!$B$2:$L$41,11), " ")</f>
        <v xml:space="preserve"> </v>
      </c>
      <c r="V152" s="8" t="str">
        <f>IFERROR(VLOOKUP($A152,'Project Reference'!$B$2:$M$41,12), " ")</f>
        <v xml:space="preserve"> </v>
      </c>
      <c r="W152" s="8" t="str">
        <f>IFERROR(VLOOKUP($A152,'Project Reference'!$B$2:$N$41,13), " ")</f>
        <v xml:space="preserve"> </v>
      </c>
      <c r="X152" s="8" t="str">
        <f>IFERROR(VLOOKUP($A152,'Project Reference'!$B$2:$O$41,14), " ")</f>
        <v xml:space="preserve"> </v>
      </c>
      <c r="Y152" s="8" t="str">
        <f>IFERROR(VLOOKUP($A152,'Project Reference'!$B$2:$P$41,15), " ")</f>
        <v xml:space="preserve"> </v>
      </c>
      <c r="Z152" s="9" t="str">
        <f>IFERROR(VLOOKUP($A152,'Project Reference'!$B$2:$Q$41,16), " ")</f>
        <v xml:space="preserve"> </v>
      </c>
    </row>
    <row r="153" spans="1:26" s="1" customFormat="1" x14ac:dyDescent="0.45">
      <c r="A153" s="70"/>
      <c r="B153" s="70" t="str">
        <f>IFERROR(VLOOKUP($A153,'Project Reference'!$S$2:$T$41,2),"Enter Project Number")</f>
        <v>Enter Project Number</v>
      </c>
      <c r="C153" s="54"/>
      <c r="D153" s="53"/>
      <c r="E153" s="8"/>
      <c r="F153" s="8"/>
      <c r="G153" s="8"/>
      <c r="H153" s="8"/>
      <c r="I153" s="8"/>
      <c r="J153" s="9"/>
      <c r="K153" s="23"/>
      <c r="L153" s="47" t="str">
        <f>IFERROR(VLOOKUP($A153,'Project Reference'!$B$2:$C$41,2), " ")</f>
        <v xml:space="preserve"> </v>
      </c>
      <c r="M153" s="8" t="str">
        <f>IFERROR(VLOOKUP($A153,'Project Reference'!$B$2:$D$41,3), " ")</f>
        <v xml:space="preserve"> </v>
      </c>
      <c r="N153" s="54" t="str">
        <f>IFERROR(VLOOKUP($A153,'Project Reference'!$B$2:$E$41,4), " ")</f>
        <v xml:space="preserve"> </v>
      </c>
      <c r="O153" s="8" t="str">
        <f>IFERROR(VLOOKUP($A153,'Project Reference'!$B$2:$F$41,5), " ")</f>
        <v xml:space="preserve"> </v>
      </c>
      <c r="P153" s="8" t="str">
        <f>IFERROR(VLOOKUP($A153,'Project Reference'!$B$2:$G$41,6), " ")</f>
        <v xml:space="preserve"> </v>
      </c>
      <c r="Q153" s="8" t="str">
        <f>IFERROR(VLOOKUP($A153,'Project Reference'!$B$2:$H$41,7), " ")</f>
        <v xml:space="preserve"> </v>
      </c>
      <c r="R153" s="8" t="str">
        <f>IFERROR(VLOOKUP($A153,'Project Reference'!$B$2:$I$41,8), " ")</f>
        <v xml:space="preserve"> </v>
      </c>
      <c r="S153" s="8" t="str">
        <f>IFERROR(VLOOKUP($A153,'Project Reference'!$B$2:$J$41,9), " ")</f>
        <v xml:space="preserve"> </v>
      </c>
      <c r="T153" s="8" t="str">
        <f>IFERROR(VLOOKUP($A153,'Project Reference'!$B$2:$K$41,10), " ")</f>
        <v xml:space="preserve"> </v>
      </c>
      <c r="U153" s="8" t="str">
        <f>IFERROR(VLOOKUP($A153,'Project Reference'!$B$2:$L$41,11), " ")</f>
        <v xml:space="preserve"> </v>
      </c>
      <c r="V153" s="8" t="str">
        <f>IFERROR(VLOOKUP($A153,'Project Reference'!$B$2:$M$41,12), " ")</f>
        <v xml:space="preserve"> </v>
      </c>
      <c r="W153" s="8" t="str">
        <f>IFERROR(VLOOKUP($A153,'Project Reference'!$B$2:$N$41,13), " ")</f>
        <v xml:space="preserve"> </v>
      </c>
      <c r="X153" s="8" t="str">
        <f>IFERROR(VLOOKUP($A153,'Project Reference'!$B$2:$O$41,14), " ")</f>
        <v xml:space="preserve"> </v>
      </c>
      <c r="Y153" s="8" t="str">
        <f>IFERROR(VLOOKUP($A153,'Project Reference'!$B$2:$P$41,15), " ")</f>
        <v xml:space="preserve"> </v>
      </c>
      <c r="Z153" s="9" t="str">
        <f>IFERROR(VLOOKUP($A153,'Project Reference'!$B$2:$Q$41,16), " ")</f>
        <v xml:space="preserve"> </v>
      </c>
    </row>
    <row r="154" spans="1:26" s="1" customFormat="1" x14ac:dyDescent="0.45">
      <c r="A154" s="70"/>
      <c r="B154" s="70" t="str">
        <f>IFERROR(VLOOKUP($A154,'Project Reference'!$S$2:$T$41,2),"Enter Project Number")</f>
        <v>Enter Project Number</v>
      </c>
      <c r="C154" s="54"/>
      <c r="D154" s="53"/>
      <c r="E154" s="8"/>
      <c r="F154" s="8"/>
      <c r="G154" s="8"/>
      <c r="H154" s="8"/>
      <c r="I154" s="8"/>
      <c r="J154" s="9"/>
      <c r="K154" s="23"/>
      <c r="L154" s="47" t="str">
        <f>IFERROR(VLOOKUP($A154,'Project Reference'!$B$2:$C$41,2), " ")</f>
        <v xml:space="preserve"> </v>
      </c>
      <c r="M154" s="8" t="str">
        <f>IFERROR(VLOOKUP($A154,'Project Reference'!$B$2:$D$41,3), " ")</f>
        <v xml:space="preserve"> </v>
      </c>
      <c r="N154" s="54" t="str">
        <f>IFERROR(VLOOKUP($A154,'Project Reference'!$B$2:$E$41,4), " ")</f>
        <v xml:space="preserve"> </v>
      </c>
      <c r="O154" s="8" t="str">
        <f>IFERROR(VLOOKUP($A154,'Project Reference'!$B$2:$F$41,5), " ")</f>
        <v xml:space="preserve"> </v>
      </c>
      <c r="P154" s="8" t="str">
        <f>IFERROR(VLOOKUP($A154,'Project Reference'!$B$2:$G$41,6), " ")</f>
        <v xml:space="preserve"> </v>
      </c>
      <c r="Q154" s="8" t="str">
        <f>IFERROR(VLOOKUP($A154,'Project Reference'!$B$2:$H$41,7), " ")</f>
        <v xml:space="preserve"> </v>
      </c>
      <c r="R154" s="8" t="str">
        <f>IFERROR(VLOOKUP($A154,'Project Reference'!$B$2:$I$41,8), " ")</f>
        <v xml:space="preserve"> </v>
      </c>
      <c r="S154" s="8" t="str">
        <f>IFERROR(VLOOKUP($A154,'Project Reference'!$B$2:$J$41,9), " ")</f>
        <v xml:space="preserve"> </v>
      </c>
      <c r="T154" s="8" t="str">
        <f>IFERROR(VLOOKUP($A154,'Project Reference'!$B$2:$K$41,10), " ")</f>
        <v xml:space="preserve"> </v>
      </c>
      <c r="U154" s="8" t="str">
        <f>IFERROR(VLOOKUP($A154,'Project Reference'!$B$2:$L$41,11), " ")</f>
        <v xml:space="preserve"> </v>
      </c>
      <c r="V154" s="8" t="str">
        <f>IFERROR(VLOOKUP($A154,'Project Reference'!$B$2:$M$41,12), " ")</f>
        <v xml:space="preserve"> </v>
      </c>
      <c r="W154" s="8" t="str">
        <f>IFERROR(VLOOKUP($A154,'Project Reference'!$B$2:$N$41,13), " ")</f>
        <v xml:space="preserve"> </v>
      </c>
      <c r="X154" s="8" t="str">
        <f>IFERROR(VLOOKUP($A154,'Project Reference'!$B$2:$O$41,14), " ")</f>
        <v xml:space="preserve"> </v>
      </c>
      <c r="Y154" s="8" t="str">
        <f>IFERROR(VLOOKUP($A154,'Project Reference'!$B$2:$P$41,15), " ")</f>
        <v xml:space="preserve"> </v>
      </c>
      <c r="Z154" s="9" t="str">
        <f>IFERROR(VLOOKUP($A154,'Project Reference'!$B$2:$Q$41,16), " ")</f>
        <v xml:space="preserve"> </v>
      </c>
    </row>
    <row r="155" spans="1:26" s="1" customFormat="1" x14ac:dyDescent="0.45">
      <c r="A155" s="70"/>
      <c r="B155" s="70" t="str">
        <f>IFERROR(VLOOKUP($A155,'Project Reference'!$S$2:$T$41,2),"Enter Project Number")</f>
        <v>Enter Project Number</v>
      </c>
      <c r="C155" s="54"/>
      <c r="D155" s="53"/>
      <c r="E155" s="8"/>
      <c r="F155" s="8"/>
      <c r="G155" s="8"/>
      <c r="H155" s="8"/>
      <c r="I155" s="8"/>
      <c r="J155" s="9"/>
      <c r="K155" s="23"/>
      <c r="L155" s="47" t="str">
        <f>IFERROR(VLOOKUP($A155,'Project Reference'!$B$2:$C$41,2), " ")</f>
        <v xml:space="preserve"> </v>
      </c>
      <c r="M155" s="8" t="str">
        <f>IFERROR(VLOOKUP($A155,'Project Reference'!$B$2:$D$41,3), " ")</f>
        <v xml:space="preserve"> </v>
      </c>
      <c r="N155" s="54" t="str">
        <f>IFERROR(VLOOKUP($A155,'Project Reference'!$B$2:$E$41,4), " ")</f>
        <v xml:space="preserve"> </v>
      </c>
      <c r="O155" s="8" t="str">
        <f>IFERROR(VLOOKUP($A155,'Project Reference'!$B$2:$F$41,5), " ")</f>
        <v xml:space="preserve"> </v>
      </c>
      <c r="P155" s="8" t="str">
        <f>IFERROR(VLOOKUP($A155,'Project Reference'!$B$2:$G$41,6), " ")</f>
        <v xml:space="preserve"> </v>
      </c>
      <c r="Q155" s="8" t="str">
        <f>IFERROR(VLOOKUP($A155,'Project Reference'!$B$2:$H$41,7), " ")</f>
        <v xml:space="preserve"> </v>
      </c>
      <c r="R155" s="8" t="str">
        <f>IFERROR(VLOOKUP($A155,'Project Reference'!$B$2:$I$41,8), " ")</f>
        <v xml:space="preserve"> </v>
      </c>
      <c r="S155" s="8" t="str">
        <f>IFERROR(VLOOKUP($A155,'Project Reference'!$B$2:$J$41,9), " ")</f>
        <v xml:space="preserve"> </v>
      </c>
      <c r="T155" s="8" t="str">
        <f>IFERROR(VLOOKUP($A155,'Project Reference'!$B$2:$K$41,10), " ")</f>
        <v xml:space="preserve"> </v>
      </c>
      <c r="U155" s="8" t="str">
        <f>IFERROR(VLOOKUP($A155,'Project Reference'!$B$2:$L$41,11), " ")</f>
        <v xml:space="preserve"> </v>
      </c>
      <c r="V155" s="8" t="str">
        <f>IFERROR(VLOOKUP($A155,'Project Reference'!$B$2:$M$41,12), " ")</f>
        <v xml:space="preserve"> </v>
      </c>
      <c r="W155" s="8" t="str">
        <f>IFERROR(VLOOKUP($A155,'Project Reference'!$B$2:$N$41,13), " ")</f>
        <v xml:space="preserve"> </v>
      </c>
      <c r="X155" s="8" t="str">
        <f>IFERROR(VLOOKUP($A155,'Project Reference'!$B$2:$O$41,14), " ")</f>
        <v xml:space="preserve"> </v>
      </c>
      <c r="Y155" s="8" t="str">
        <f>IFERROR(VLOOKUP($A155,'Project Reference'!$B$2:$P$41,15), " ")</f>
        <v xml:space="preserve"> </v>
      </c>
      <c r="Z155" s="9" t="str">
        <f>IFERROR(VLOOKUP($A155,'Project Reference'!$B$2:$Q$41,16), " ")</f>
        <v xml:space="preserve"> </v>
      </c>
    </row>
    <row r="156" spans="1:26" s="1" customFormat="1" x14ac:dyDescent="0.45">
      <c r="A156" s="70"/>
      <c r="B156" s="70" t="str">
        <f>IFERROR(VLOOKUP($A156,'Project Reference'!$S$2:$T$41,2),"Enter Project Number")</f>
        <v>Enter Project Number</v>
      </c>
      <c r="C156" s="54"/>
      <c r="D156" s="53"/>
      <c r="E156" s="8"/>
      <c r="F156" s="8"/>
      <c r="G156" s="8"/>
      <c r="H156" s="8"/>
      <c r="I156" s="8"/>
      <c r="J156" s="9"/>
      <c r="K156" s="23"/>
      <c r="L156" s="47" t="str">
        <f>IFERROR(VLOOKUP($A156,'Project Reference'!$B$2:$C$41,2), " ")</f>
        <v xml:space="preserve"> </v>
      </c>
      <c r="M156" s="8" t="str">
        <f>IFERROR(VLOOKUP($A156,'Project Reference'!$B$2:$D$41,3), " ")</f>
        <v xml:space="preserve"> </v>
      </c>
      <c r="N156" s="54" t="str">
        <f>IFERROR(VLOOKUP($A156,'Project Reference'!$B$2:$E$41,4), " ")</f>
        <v xml:space="preserve"> </v>
      </c>
      <c r="O156" s="8" t="str">
        <f>IFERROR(VLOOKUP($A156,'Project Reference'!$B$2:$F$41,5), " ")</f>
        <v xml:space="preserve"> </v>
      </c>
      <c r="P156" s="8" t="str">
        <f>IFERROR(VLOOKUP($A156,'Project Reference'!$B$2:$G$41,6), " ")</f>
        <v xml:space="preserve"> </v>
      </c>
      <c r="Q156" s="8" t="str">
        <f>IFERROR(VLOOKUP($A156,'Project Reference'!$B$2:$H$41,7), " ")</f>
        <v xml:space="preserve"> </v>
      </c>
      <c r="R156" s="8" t="str">
        <f>IFERROR(VLOOKUP($A156,'Project Reference'!$B$2:$I$41,8), " ")</f>
        <v xml:space="preserve"> </v>
      </c>
      <c r="S156" s="8" t="str">
        <f>IFERROR(VLOOKUP($A156,'Project Reference'!$B$2:$J$41,9), " ")</f>
        <v xml:space="preserve"> </v>
      </c>
      <c r="T156" s="8" t="str">
        <f>IFERROR(VLOOKUP($A156,'Project Reference'!$B$2:$K$41,10), " ")</f>
        <v xml:space="preserve"> </v>
      </c>
      <c r="U156" s="8" t="str">
        <f>IFERROR(VLOOKUP($A156,'Project Reference'!$B$2:$L$41,11), " ")</f>
        <v xml:space="preserve"> </v>
      </c>
      <c r="V156" s="8" t="str">
        <f>IFERROR(VLOOKUP($A156,'Project Reference'!$B$2:$M$41,12), " ")</f>
        <v xml:space="preserve"> </v>
      </c>
      <c r="W156" s="8" t="str">
        <f>IFERROR(VLOOKUP($A156,'Project Reference'!$B$2:$N$41,13), " ")</f>
        <v xml:space="preserve"> </v>
      </c>
      <c r="X156" s="8" t="str">
        <f>IFERROR(VLOOKUP($A156,'Project Reference'!$B$2:$O$41,14), " ")</f>
        <v xml:space="preserve"> </v>
      </c>
      <c r="Y156" s="8" t="str">
        <f>IFERROR(VLOOKUP($A156,'Project Reference'!$B$2:$P$41,15), " ")</f>
        <v xml:space="preserve"> </v>
      </c>
      <c r="Z156" s="9" t="str">
        <f>IFERROR(VLOOKUP($A156,'Project Reference'!$B$2:$Q$41,16), " ")</f>
        <v xml:space="preserve"> </v>
      </c>
    </row>
    <row r="157" spans="1:26" s="1" customFormat="1" x14ac:dyDescent="0.45">
      <c r="A157" s="70"/>
      <c r="B157" s="70" t="str">
        <f>IFERROR(VLOOKUP($A157,'Project Reference'!$S$2:$T$41,2),"Enter Project Number")</f>
        <v>Enter Project Number</v>
      </c>
      <c r="C157" s="54"/>
      <c r="D157" s="53"/>
      <c r="E157" s="8"/>
      <c r="F157" s="8"/>
      <c r="G157" s="8"/>
      <c r="H157" s="8"/>
      <c r="I157" s="8"/>
      <c r="J157" s="9"/>
      <c r="K157" s="23"/>
      <c r="L157" s="47" t="str">
        <f>IFERROR(VLOOKUP($A157,'Project Reference'!$B$2:$C$41,2), " ")</f>
        <v xml:space="preserve"> </v>
      </c>
      <c r="M157" s="8" t="str">
        <f>IFERROR(VLOOKUP($A157,'Project Reference'!$B$2:$D$41,3), " ")</f>
        <v xml:space="preserve"> </v>
      </c>
      <c r="N157" s="54" t="str">
        <f>IFERROR(VLOOKUP($A157,'Project Reference'!$B$2:$E$41,4), " ")</f>
        <v xml:space="preserve"> </v>
      </c>
      <c r="O157" s="8" t="str">
        <f>IFERROR(VLOOKUP($A157,'Project Reference'!$B$2:$F$41,5), " ")</f>
        <v xml:space="preserve"> </v>
      </c>
      <c r="P157" s="8" t="str">
        <f>IFERROR(VLOOKUP($A157,'Project Reference'!$B$2:$G$41,6), " ")</f>
        <v xml:space="preserve"> </v>
      </c>
      <c r="Q157" s="8" t="str">
        <f>IFERROR(VLOOKUP($A157,'Project Reference'!$B$2:$H$41,7), " ")</f>
        <v xml:space="preserve"> </v>
      </c>
      <c r="R157" s="8" t="str">
        <f>IFERROR(VLOOKUP($A157,'Project Reference'!$B$2:$I$41,8), " ")</f>
        <v xml:space="preserve"> </v>
      </c>
      <c r="S157" s="8" t="str">
        <f>IFERROR(VLOOKUP($A157,'Project Reference'!$B$2:$J$41,9), " ")</f>
        <v xml:space="preserve"> </v>
      </c>
      <c r="T157" s="8" t="str">
        <f>IFERROR(VLOOKUP($A157,'Project Reference'!$B$2:$K$41,10), " ")</f>
        <v xml:space="preserve"> </v>
      </c>
      <c r="U157" s="8" t="str">
        <f>IFERROR(VLOOKUP($A157,'Project Reference'!$B$2:$L$41,11), " ")</f>
        <v xml:space="preserve"> </v>
      </c>
      <c r="V157" s="8" t="str">
        <f>IFERROR(VLOOKUP($A157,'Project Reference'!$B$2:$M$41,12), " ")</f>
        <v xml:space="preserve"> </v>
      </c>
      <c r="W157" s="8" t="str">
        <f>IFERROR(VLOOKUP($A157,'Project Reference'!$B$2:$N$41,13), " ")</f>
        <v xml:space="preserve"> </v>
      </c>
      <c r="X157" s="8" t="str">
        <f>IFERROR(VLOOKUP($A157,'Project Reference'!$B$2:$O$41,14), " ")</f>
        <v xml:space="preserve"> </v>
      </c>
      <c r="Y157" s="8" t="str">
        <f>IFERROR(VLOOKUP($A157,'Project Reference'!$B$2:$P$41,15), " ")</f>
        <v xml:space="preserve"> </v>
      </c>
      <c r="Z157" s="9" t="str">
        <f>IFERROR(VLOOKUP($A157,'Project Reference'!$B$2:$Q$41,16), " ")</f>
        <v xml:space="preserve"> </v>
      </c>
    </row>
    <row r="158" spans="1:26" s="1" customFormat="1" x14ac:dyDescent="0.45">
      <c r="A158" s="70"/>
      <c r="B158" s="70" t="str">
        <f>IFERROR(VLOOKUP($A158,'Project Reference'!$S$2:$T$41,2),"Enter Project Number")</f>
        <v>Enter Project Number</v>
      </c>
      <c r="C158" s="54"/>
      <c r="D158" s="53"/>
      <c r="E158" s="8"/>
      <c r="F158" s="8"/>
      <c r="G158" s="8"/>
      <c r="H158" s="8"/>
      <c r="I158" s="8"/>
      <c r="J158" s="9"/>
      <c r="K158" s="23"/>
      <c r="L158" s="47" t="str">
        <f>IFERROR(VLOOKUP($A158,'Project Reference'!$B$2:$C$41,2), " ")</f>
        <v xml:space="preserve"> </v>
      </c>
      <c r="M158" s="8" t="str">
        <f>IFERROR(VLOOKUP($A158,'Project Reference'!$B$2:$D$41,3), " ")</f>
        <v xml:space="preserve"> </v>
      </c>
      <c r="N158" s="54" t="str">
        <f>IFERROR(VLOOKUP($A158,'Project Reference'!$B$2:$E$41,4), " ")</f>
        <v xml:space="preserve"> </v>
      </c>
      <c r="O158" s="8" t="str">
        <f>IFERROR(VLOOKUP($A158,'Project Reference'!$B$2:$F$41,5), " ")</f>
        <v xml:space="preserve"> </v>
      </c>
      <c r="P158" s="8" t="str">
        <f>IFERROR(VLOOKUP($A158,'Project Reference'!$B$2:$G$41,6), " ")</f>
        <v xml:space="preserve"> </v>
      </c>
      <c r="Q158" s="8" t="str">
        <f>IFERROR(VLOOKUP($A158,'Project Reference'!$B$2:$H$41,7), " ")</f>
        <v xml:space="preserve"> </v>
      </c>
      <c r="R158" s="8" t="str">
        <f>IFERROR(VLOOKUP($A158,'Project Reference'!$B$2:$I$41,8), " ")</f>
        <v xml:space="preserve"> </v>
      </c>
      <c r="S158" s="8" t="str">
        <f>IFERROR(VLOOKUP($A158,'Project Reference'!$B$2:$J$41,9), " ")</f>
        <v xml:space="preserve"> </v>
      </c>
      <c r="T158" s="8" t="str">
        <f>IFERROR(VLOOKUP($A158,'Project Reference'!$B$2:$K$41,10), " ")</f>
        <v xml:space="preserve"> </v>
      </c>
      <c r="U158" s="8" t="str">
        <f>IFERROR(VLOOKUP($A158,'Project Reference'!$B$2:$L$41,11), " ")</f>
        <v xml:space="preserve"> </v>
      </c>
      <c r="V158" s="8" t="str">
        <f>IFERROR(VLOOKUP($A158,'Project Reference'!$B$2:$M$41,12), " ")</f>
        <v xml:space="preserve"> </v>
      </c>
      <c r="W158" s="8" t="str">
        <f>IFERROR(VLOOKUP($A158,'Project Reference'!$B$2:$N$41,13), " ")</f>
        <v xml:space="preserve"> </v>
      </c>
      <c r="X158" s="8" t="str">
        <f>IFERROR(VLOOKUP($A158,'Project Reference'!$B$2:$O$41,14), " ")</f>
        <v xml:space="preserve"> </v>
      </c>
      <c r="Y158" s="8" t="str">
        <f>IFERROR(VLOOKUP($A158,'Project Reference'!$B$2:$P$41,15), " ")</f>
        <v xml:space="preserve"> </v>
      </c>
      <c r="Z158" s="9" t="str">
        <f>IFERROR(VLOOKUP($A158,'Project Reference'!$B$2:$Q$41,16), " ")</f>
        <v xml:space="preserve"> </v>
      </c>
    </row>
    <row r="159" spans="1:26" s="1" customFormat="1" x14ac:dyDescent="0.45">
      <c r="A159" s="70"/>
      <c r="B159" s="70" t="str">
        <f>IFERROR(VLOOKUP($A159,'Project Reference'!$S$2:$T$41,2),"Enter Project Number")</f>
        <v>Enter Project Number</v>
      </c>
      <c r="C159" s="54"/>
      <c r="D159" s="53"/>
      <c r="E159" s="8"/>
      <c r="F159" s="8"/>
      <c r="G159" s="8"/>
      <c r="H159" s="8"/>
      <c r="I159" s="8"/>
      <c r="J159" s="9"/>
      <c r="K159" s="23"/>
      <c r="L159" s="47" t="str">
        <f>IFERROR(VLOOKUP($A159,'Project Reference'!$B$2:$C$41,2), " ")</f>
        <v xml:space="preserve"> </v>
      </c>
      <c r="M159" s="8" t="str">
        <f>IFERROR(VLOOKUP($A159,'Project Reference'!$B$2:$D$41,3), " ")</f>
        <v xml:space="preserve"> </v>
      </c>
      <c r="N159" s="54" t="str">
        <f>IFERROR(VLOOKUP($A159,'Project Reference'!$B$2:$E$41,4), " ")</f>
        <v xml:space="preserve"> </v>
      </c>
      <c r="O159" s="8" t="str">
        <f>IFERROR(VLOOKUP($A159,'Project Reference'!$B$2:$F$41,5), " ")</f>
        <v xml:space="preserve"> </v>
      </c>
      <c r="P159" s="8" t="str">
        <f>IFERROR(VLOOKUP($A159,'Project Reference'!$B$2:$G$41,6), " ")</f>
        <v xml:space="preserve"> </v>
      </c>
      <c r="Q159" s="8" t="str">
        <f>IFERROR(VLOOKUP($A159,'Project Reference'!$B$2:$H$41,7), " ")</f>
        <v xml:space="preserve"> </v>
      </c>
      <c r="R159" s="8" t="str">
        <f>IFERROR(VLOOKUP($A159,'Project Reference'!$B$2:$I$41,8), " ")</f>
        <v xml:space="preserve"> </v>
      </c>
      <c r="S159" s="8" t="str">
        <f>IFERROR(VLOOKUP($A159,'Project Reference'!$B$2:$J$41,9), " ")</f>
        <v xml:space="preserve"> </v>
      </c>
      <c r="T159" s="8" t="str">
        <f>IFERROR(VLOOKUP($A159,'Project Reference'!$B$2:$K$41,10), " ")</f>
        <v xml:space="preserve"> </v>
      </c>
      <c r="U159" s="8" t="str">
        <f>IFERROR(VLOOKUP($A159,'Project Reference'!$B$2:$L$41,11), " ")</f>
        <v xml:space="preserve"> </v>
      </c>
      <c r="V159" s="8" t="str">
        <f>IFERROR(VLOOKUP($A159,'Project Reference'!$B$2:$M$41,12), " ")</f>
        <v xml:space="preserve"> </v>
      </c>
      <c r="W159" s="8" t="str">
        <f>IFERROR(VLOOKUP($A159,'Project Reference'!$B$2:$N$41,13), " ")</f>
        <v xml:space="preserve"> </v>
      </c>
      <c r="X159" s="8" t="str">
        <f>IFERROR(VLOOKUP($A159,'Project Reference'!$B$2:$O$41,14), " ")</f>
        <v xml:space="preserve"> </v>
      </c>
      <c r="Y159" s="8" t="str">
        <f>IFERROR(VLOOKUP($A159,'Project Reference'!$B$2:$P$41,15), " ")</f>
        <v xml:space="preserve"> </v>
      </c>
      <c r="Z159" s="9" t="str">
        <f>IFERROR(VLOOKUP($A159,'Project Reference'!$B$2:$Q$41,16), " ")</f>
        <v xml:space="preserve"> </v>
      </c>
    </row>
    <row r="160" spans="1:26" s="1" customFormat="1" x14ac:dyDescent="0.45">
      <c r="A160" s="70"/>
      <c r="B160" s="70" t="str">
        <f>IFERROR(VLOOKUP($A160,'Project Reference'!$S$2:$T$41,2),"Enter Project Number")</f>
        <v>Enter Project Number</v>
      </c>
      <c r="C160" s="54"/>
      <c r="D160" s="53"/>
      <c r="E160" s="8"/>
      <c r="F160" s="8"/>
      <c r="G160" s="8"/>
      <c r="H160" s="8"/>
      <c r="I160" s="8"/>
      <c r="J160" s="9"/>
      <c r="K160" s="23"/>
      <c r="L160" s="47" t="str">
        <f>IFERROR(VLOOKUP($A160,'Project Reference'!$B$2:$C$41,2), " ")</f>
        <v xml:space="preserve"> </v>
      </c>
      <c r="M160" s="8" t="str">
        <f>IFERROR(VLOOKUP($A160,'Project Reference'!$B$2:$D$41,3), " ")</f>
        <v xml:space="preserve"> </v>
      </c>
      <c r="N160" s="54" t="str">
        <f>IFERROR(VLOOKUP($A160,'Project Reference'!$B$2:$E$41,4), " ")</f>
        <v xml:space="preserve"> </v>
      </c>
      <c r="O160" s="8" t="str">
        <f>IFERROR(VLOOKUP($A160,'Project Reference'!$B$2:$F$41,5), " ")</f>
        <v xml:space="preserve"> </v>
      </c>
      <c r="P160" s="8" t="str">
        <f>IFERROR(VLOOKUP($A160,'Project Reference'!$B$2:$G$41,6), " ")</f>
        <v xml:space="preserve"> </v>
      </c>
      <c r="Q160" s="8" t="str">
        <f>IFERROR(VLOOKUP($A160,'Project Reference'!$B$2:$H$41,7), " ")</f>
        <v xml:space="preserve"> </v>
      </c>
      <c r="R160" s="8" t="str">
        <f>IFERROR(VLOOKUP($A160,'Project Reference'!$B$2:$I$41,8), " ")</f>
        <v xml:space="preserve"> </v>
      </c>
      <c r="S160" s="8" t="str">
        <f>IFERROR(VLOOKUP($A160,'Project Reference'!$B$2:$J$41,9), " ")</f>
        <v xml:space="preserve"> </v>
      </c>
      <c r="T160" s="8" t="str">
        <f>IFERROR(VLOOKUP($A160,'Project Reference'!$B$2:$K$41,10), " ")</f>
        <v xml:space="preserve"> </v>
      </c>
      <c r="U160" s="8" t="str">
        <f>IFERROR(VLOOKUP($A160,'Project Reference'!$B$2:$L$41,11), " ")</f>
        <v xml:space="preserve"> </v>
      </c>
      <c r="V160" s="8" t="str">
        <f>IFERROR(VLOOKUP($A160,'Project Reference'!$B$2:$M$41,12), " ")</f>
        <v xml:space="preserve"> </v>
      </c>
      <c r="W160" s="8" t="str">
        <f>IFERROR(VLOOKUP($A160,'Project Reference'!$B$2:$N$41,13), " ")</f>
        <v xml:space="preserve"> </v>
      </c>
      <c r="X160" s="8" t="str">
        <f>IFERROR(VLOOKUP($A160,'Project Reference'!$B$2:$O$41,14), " ")</f>
        <v xml:space="preserve"> </v>
      </c>
      <c r="Y160" s="8" t="str">
        <f>IFERROR(VLOOKUP($A160,'Project Reference'!$B$2:$P$41,15), " ")</f>
        <v xml:space="preserve"> </v>
      </c>
      <c r="Z160" s="9" t="str">
        <f>IFERROR(VLOOKUP($A160,'Project Reference'!$B$2:$Q$41,16), " ")</f>
        <v xml:space="preserve"> </v>
      </c>
    </row>
    <row r="161" spans="1:26" s="1" customFormat="1" x14ac:dyDescent="0.45">
      <c r="A161" s="70"/>
      <c r="B161" s="70" t="str">
        <f>IFERROR(VLOOKUP($A161,'Project Reference'!$S$2:$T$41,2),"Enter Project Number")</f>
        <v>Enter Project Number</v>
      </c>
      <c r="C161" s="54"/>
      <c r="D161" s="53"/>
      <c r="E161" s="8"/>
      <c r="F161" s="8"/>
      <c r="G161" s="8"/>
      <c r="H161" s="8"/>
      <c r="I161" s="8"/>
      <c r="J161" s="9"/>
      <c r="K161" s="23"/>
      <c r="L161" s="47" t="str">
        <f>IFERROR(VLOOKUP($A161,'Project Reference'!$B$2:$C$41,2), " ")</f>
        <v xml:space="preserve"> </v>
      </c>
      <c r="M161" s="8" t="str">
        <f>IFERROR(VLOOKUP($A161,'Project Reference'!$B$2:$D$41,3), " ")</f>
        <v xml:space="preserve"> </v>
      </c>
      <c r="N161" s="54" t="str">
        <f>IFERROR(VLOOKUP($A161,'Project Reference'!$B$2:$E$41,4), " ")</f>
        <v xml:space="preserve"> </v>
      </c>
      <c r="O161" s="8" t="str">
        <f>IFERROR(VLOOKUP($A161,'Project Reference'!$B$2:$F$41,5), " ")</f>
        <v xml:space="preserve"> </v>
      </c>
      <c r="P161" s="8" t="str">
        <f>IFERROR(VLOOKUP($A161,'Project Reference'!$B$2:$G$41,6), " ")</f>
        <v xml:space="preserve"> </v>
      </c>
      <c r="Q161" s="8" t="str">
        <f>IFERROR(VLOOKUP($A161,'Project Reference'!$B$2:$H$41,7), " ")</f>
        <v xml:space="preserve"> </v>
      </c>
      <c r="R161" s="8" t="str">
        <f>IFERROR(VLOOKUP($A161,'Project Reference'!$B$2:$I$41,8), " ")</f>
        <v xml:space="preserve"> </v>
      </c>
      <c r="S161" s="8" t="str">
        <f>IFERROR(VLOOKUP($A161,'Project Reference'!$B$2:$J$41,9), " ")</f>
        <v xml:space="preserve"> </v>
      </c>
      <c r="T161" s="8" t="str">
        <f>IFERROR(VLOOKUP($A161,'Project Reference'!$B$2:$K$41,10), " ")</f>
        <v xml:space="preserve"> </v>
      </c>
      <c r="U161" s="8" t="str">
        <f>IFERROR(VLOOKUP($A161,'Project Reference'!$B$2:$L$41,11), " ")</f>
        <v xml:space="preserve"> </v>
      </c>
      <c r="V161" s="8" t="str">
        <f>IFERROR(VLOOKUP($A161,'Project Reference'!$B$2:$M$41,12), " ")</f>
        <v xml:space="preserve"> </v>
      </c>
      <c r="W161" s="8" t="str">
        <f>IFERROR(VLOOKUP($A161,'Project Reference'!$B$2:$N$41,13), " ")</f>
        <v xml:space="preserve"> </v>
      </c>
      <c r="X161" s="8" t="str">
        <f>IFERROR(VLOOKUP($A161,'Project Reference'!$B$2:$O$41,14), " ")</f>
        <v xml:space="preserve"> </v>
      </c>
      <c r="Y161" s="8" t="str">
        <f>IFERROR(VLOOKUP($A161,'Project Reference'!$B$2:$P$41,15), " ")</f>
        <v xml:space="preserve"> </v>
      </c>
      <c r="Z161" s="9" t="str">
        <f>IFERROR(VLOOKUP($A161,'Project Reference'!$B$2:$Q$41,16), " ")</f>
        <v xml:space="preserve"> </v>
      </c>
    </row>
    <row r="162" spans="1:26" s="1" customFormat="1" x14ac:dyDescent="0.45">
      <c r="A162" s="70"/>
      <c r="B162" s="70" t="str">
        <f>IFERROR(VLOOKUP($A162,'Project Reference'!$S$2:$T$41,2),"Enter Project Number")</f>
        <v>Enter Project Number</v>
      </c>
      <c r="C162" s="54"/>
      <c r="D162" s="53"/>
      <c r="E162" s="8"/>
      <c r="F162" s="8"/>
      <c r="G162" s="8"/>
      <c r="H162" s="8"/>
      <c r="I162" s="8"/>
      <c r="J162" s="9"/>
      <c r="K162" s="23"/>
      <c r="L162" s="47" t="str">
        <f>IFERROR(VLOOKUP($A162,'Project Reference'!$B$2:$C$41,2), " ")</f>
        <v xml:space="preserve"> </v>
      </c>
      <c r="M162" s="8" t="str">
        <f>IFERROR(VLOOKUP($A162,'Project Reference'!$B$2:$D$41,3), " ")</f>
        <v xml:space="preserve"> </v>
      </c>
      <c r="N162" s="54" t="str">
        <f>IFERROR(VLOOKUP($A162,'Project Reference'!$B$2:$E$41,4), " ")</f>
        <v xml:space="preserve"> </v>
      </c>
      <c r="O162" s="8" t="str">
        <f>IFERROR(VLOOKUP($A162,'Project Reference'!$B$2:$F$41,5), " ")</f>
        <v xml:space="preserve"> </v>
      </c>
      <c r="P162" s="8" t="str">
        <f>IFERROR(VLOOKUP($A162,'Project Reference'!$B$2:$G$41,6), " ")</f>
        <v xml:space="preserve"> </v>
      </c>
      <c r="Q162" s="8" t="str">
        <f>IFERROR(VLOOKUP($A162,'Project Reference'!$B$2:$H$41,7), " ")</f>
        <v xml:space="preserve"> </v>
      </c>
      <c r="R162" s="8" t="str">
        <f>IFERROR(VLOOKUP($A162,'Project Reference'!$B$2:$I$41,8), " ")</f>
        <v xml:space="preserve"> </v>
      </c>
      <c r="S162" s="8" t="str">
        <f>IFERROR(VLOOKUP($A162,'Project Reference'!$B$2:$J$41,9), " ")</f>
        <v xml:space="preserve"> </v>
      </c>
      <c r="T162" s="8" t="str">
        <f>IFERROR(VLOOKUP($A162,'Project Reference'!$B$2:$K$41,10), " ")</f>
        <v xml:space="preserve"> </v>
      </c>
      <c r="U162" s="8" t="str">
        <f>IFERROR(VLOOKUP($A162,'Project Reference'!$B$2:$L$41,11), " ")</f>
        <v xml:space="preserve"> </v>
      </c>
      <c r="V162" s="8" t="str">
        <f>IFERROR(VLOOKUP($A162,'Project Reference'!$B$2:$M$41,12), " ")</f>
        <v xml:space="preserve"> </v>
      </c>
      <c r="W162" s="8" t="str">
        <f>IFERROR(VLOOKUP($A162,'Project Reference'!$B$2:$N$41,13), " ")</f>
        <v xml:space="preserve"> </v>
      </c>
      <c r="X162" s="8" t="str">
        <f>IFERROR(VLOOKUP($A162,'Project Reference'!$B$2:$O$41,14), " ")</f>
        <v xml:space="preserve"> </v>
      </c>
      <c r="Y162" s="8" t="str">
        <f>IFERROR(VLOOKUP($A162,'Project Reference'!$B$2:$P$41,15), " ")</f>
        <v xml:space="preserve"> </v>
      </c>
      <c r="Z162" s="9" t="str">
        <f>IFERROR(VLOOKUP($A162,'Project Reference'!$B$2:$Q$41,16), " ")</f>
        <v xml:space="preserve"> </v>
      </c>
    </row>
    <row r="163" spans="1:26" s="1" customFormat="1" x14ac:dyDescent="0.45">
      <c r="A163" s="70"/>
      <c r="B163" s="70" t="str">
        <f>IFERROR(VLOOKUP($A163,'Project Reference'!$S$2:$T$41,2),"Enter Project Number")</f>
        <v>Enter Project Number</v>
      </c>
      <c r="C163" s="54"/>
      <c r="D163" s="53"/>
      <c r="E163" s="8"/>
      <c r="F163" s="8"/>
      <c r="G163" s="8"/>
      <c r="H163" s="8"/>
      <c r="I163" s="8"/>
      <c r="J163" s="9"/>
      <c r="K163" s="23"/>
      <c r="L163" s="47" t="str">
        <f>IFERROR(VLOOKUP($A163,'Project Reference'!$B$2:$C$41,2), " ")</f>
        <v xml:space="preserve"> </v>
      </c>
      <c r="M163" s="8" t="str">
        <f>IFERROR(VLOOKUP($A163,'Project Reference'!$B$2:$D$41,3), " ")</f>
        <v xml:space="preserve"> </v>
      </c>
      <c r="N163" s="54" t="str">
        <f>IFERROR(VLOOKUP($A163,'Project Reference'!$B$2:$E$41,4), " ")</f>
        <v xml:space="preserve"> </v>
      </c>
      <c r="O163" s="8" t="str">
        <f>IFERROR(VLOOKUP($A163,'Project Reference'!$B$2:$F$41,5), " ")</f>
        <v xml:space="preserve"> </v>
      </c>
      <c r="P163" s="8" t="str">
        <f>IFERROR(VLOOKUP($A163,'Project Reference'!$B$2:$G$41,6), " ")</f>
        <v xml:space="preserve"> </v>
      </c>
      <c r="Q163" s="8" t="str">
        <f>IFERROR(VLOOKUP($A163,'Project Reference'!$B$2:$H$41,7), " ")</f>
        <v xml:space="preserve"> </v>
      </c>
      <c r="R163" s="8" t="str">
        <f>IFERROR(VLOOKUP($A163,'Project Reference'!$B$2:$I$41,8), " ")</f>
        <v xml:space="preserve"> </v>
      </c>
      <c r="S163" s="8" t="str">
        <f>IFERROR(VLOOKUP($A163,'Project Reference'!$B$2:$J$41,9), " ")</f>
        <v xml:space="preserve"> </v>
      </c>
      <c r="T163" s="8" t="str">
        <f>IFERROR(VLOOKUP($A163,'Project Reference'!$B$2:$K$41,10), " ")</f>
        <v xml:space="preserve"> </v>
      </c>
      <c r="U163" s="8" t="str">
        <f>IFERROR(VLOOKUP($A163,'Project Reference'!$B$2:$L$41,11), " ")</f>
        <v xml:space="preserve"> </v>
      </c>
      <c r="V163" s="8" t="str">
        <f>IFERROR(VLOOKUP($A163,'Project Reference'!$B$2:$M$41,12), " ")</f>
        <v xml:space="preserve"> </v>
      </c>
      <c r="W163" s="8" t="str">
        <f>IFERROR(VLOOKUP($A163,'Project Reference'!$B$2:$N$41,13), " ")</f>
        <v xml:space="preserve"> </v>
      </c>
      <c r="X163" s="8" t="str">
        <f>IFERROR(VLOOKUP($A163,'Project Reference'!$B$2:$O$41,14), " ")</f>
        <v xml:space="preserve"> </v>
      </c>
      <c r="Y163" s="8" t="str">
        <f>IFERROR(VLOOKUP($A163,'Project Reference'!$B$2:$P$41,15), " ")</f>
        <v xml:space="preserve"> </v>
      </c>
      <c r="Z163" s="9" t="str">
        <f>IFERROR(VLOOKUP($A163,'Project Reference'!$B$2:$Q$41,16), " ")</f>
        <v xml:space="preserve"> </v>
      </c>
    </row>
    <row r="164" spans="1:26" s="1" customFormat="1" x14ac:dyDescent="0.45">
      <c r="A164" s="70"/>
      <c r="B164" s="70" t="str">
        <f>IFERROR(VLOOKUP($A164,'Project Reference'!$S$2:$T$41,2),"Enter Project Number")</f>
        <v>Enter Project Number</v>
      </c>
      <c r="C164" s="54"/>
      <c r="D164" s="53"/>
      <c r="E164" s="8"/>
      <c r="F164" s="8"/>
      <c r="G164" s="8"/>
      <c r="H164" s="8"/>
      <c r="I164" s="8"/>
      <c r="J164" s="9"/>
      <c r="K164" s="23"/>
      <c r="L164" s="47" t="str">
        <f>IFERROR(VLOOKUP($A164,'Project Reference'!$B$2:$C$41,2), " ")</f>
        <v xml:space="preserve"> </v>
      </c>
      <c r="M164" s="8" t="str">
        <f>IFERROR(VLOOKUP($A164,'Project Reference'!$B$2:$D$41,3), " ")</f>
        <v xml:space="preserve"> </v>
      </c>
      <c r="N164" s="54" t="str">
        <f>IFERROR(VLOOKUP($A164,'Project Reference'!$B$2:$E$41,4), " ")</f>
        <v xml:space="preserve"> </v>
      </c>
      <c r="O164" s="8" t="str">
        <f>IFERROR(VLOOKUP($A164,'Project Reference'!$B$2:$F$41,5), " ")</f>
        <v xml:space="preserve"> </v>
      </c>
      <c r="P164" s="8" t="str">
        <f>IFERROR(VLOOKUP($A164,'Project Reference'!$B$2:$G$41,6), " ")</f>
        <v xml:space="preserve"> </v>
      </c>
      <c r="Q164" s="8" t="str">
        <f>IFERROR(VLOOKUP($A164,'Project Reference'!$B$2:$H$41,7), " ")</f>
        <v xml:space="preserve"> </v>
      </c>
      <c r="R164" s="8" t="str">
        <f>IFERROR(VLOOKUP($A164,'Project Reference'!$B$2:$I$41,8), " ")</f>
        <v xml:space="preserve"> </v>
      </c>
      <c r="S164" s="8" t="str">
        <f>IFERROR(VLOOKUP($A164,'Project Reference'!$B$2:$J$41,9), " ")</f>
        <v xml:space="preserve"> </v>
      </c>
      <c r="T164" s="8" t="str">
        <f>IFERROR(VLOOKUP($A164,'Project Reference'!$B$2:$K$41,10), " ")</f>
        <v xml:space="preserve"> </v>
      </c>
      <c r="U164" s="8" t="str">
        <f>IFERROR(VLOOKUP($A164,'Project Reference'!$B$2:$L$41,11), " ")</f>
        <v xml:space="preserve"> </v>
      </c>
      <c r="V164" s="8" t="str">
        <f>IFERROR(VLOOKUP($A164,'Project Reference'!$B$2:$M$41,12), " ")</f>
        <v xml:space="preserve"> </v>
      </c>
      <c r="W164" s="8" t="str">
        <f>IFERROR(VLOOKUP($A164,'Project Reference'!$B$2:$N$41,13), " ")</f>
        <v xml:space="preserve"> </v>
      </c>
      <c r="X164" s="8" t="str">
        <f>IFERROR(VLOOKUP($A164,'Project Reference'!$B$2:$O$41,14), " ")</f>
        <v xml:space="preserve"> </v>
      </c>
      <c r="Y164" s="8" t="str">
        <f>IFERROR(VLOOKUP($A164,'Project Reference'!$B$2:$P$41,15), " ")</f>
        <v xml:space="preserve"> </v>
      </c>
      <c r="Z164" s="9" t="str">
        <f>IFERROR(VLOOKUP($A164,'Project Reference'!$B$2:$Q$41,16), " ")</f>
        <v xml:space="preserve"> </v>
      </c>
    </row>
    <row r="165" spans="1:26" s="1" customFormat="1" x14ac:dyDescent="0.45">
      <c r="A165" s="70"/>
      <c r="B165" s="70" t="str">
        <f>IFERROR(VLOOKUP($A165,'Project Reference'!$S$2:$T$41,2),"Enter Project Number")</f>
        <v>Enter Project Number</v>
      </c>
      <c r="C165" s="54"/>
      <c r="D165" s="53"/>
      <c r="E165" s="8"/>
      <c r="F165" s="8"/>
      <c r="G165" s="8"/>
      <c r="H165" s="8"/>
      <c r="I165" s="8"/>
      <c r="J165" s="9"/>
      <c r="K165" s="23"/>
      <c r="L165" s="47" t="str">
        <f>IFERROR(VLOOKUP($A165,'Project Reference'!$B$2:$C$41,2), " ")</f>
        <v xml:space="preserve"> </v>
      </c>
      <c r="M165" s="8" t="str">
        <f>IFERROR(VLOOKUP($A165,'Project Reference'!$B$2:$D$41,3), " ")</f>
        <v xml:space="preserve"> </v>
      </c>
      <c r="N165" s="54" t="str">
        <f>IFERROR(VLOOKUP($A165,'Project Reference'!$B$2:$E$41,4), " ")</f>
        <v xml:space="preserve"> </v>
      </c>
      <c r="O165" s="8" t="str">
        <f>IFERROR(VLOOKUP($A165,'Project Reference'!$B$2:$F$41,5), " ")</f>
        <v xml:space="preserve"> </v>
      </c>
      <c r="P165" s="8" t="str">
        <f>IFERROR(VLOOKUP($A165,'Project Reference'!$B$2:$G$41,6), " ")</f>
        <v xml:space="preserve"> </v>
      </c>
      <c r="Q165" s="8" t="str">
        <f>IFERROR(VLOOKUP($A165,'Project Reference'!$B$2:$H$41,7), " ")</f>
        <v xml:space="preserve"> </v>
      </c>
      <c r="R165" s="8" t="str">
        <f>IFERROR(VLOOKUP($A165,'Project Reference'!$B$2:$I$41,8), " ")</f>
        <v xml:space="preserve"> </v>
      </c>
      <c r="S165" s="8" t="str">
        <f>IFERROR(VLOOKUP($A165,'Project Reference'!$B$2:$J$41,9), " ")</f>
        <v xml:space="preserve"> </v>
      </c>
      <c r="T165" s="8" t="str">
        <f>IFERROR(VLOOKUP($A165,'Project Reference'!$B$2:$K$41,10), " ")</f>
        <v xml:space="preserve"> </v>
      </c>
      <c r="U165" s="8" t="str">
        <f>IFERROR(VLOOKUP($A165,'Project Reference'!$B$2:$L$41,11), " ")</f>
        <v xml:space="preserve"> </v>
      </c>
      <c r="V165" s="8" t="str">
        <f>IFERROR(VLOOKUP($A165,'Project Reference'!$B$2:$M$41,12), " ")</f>
        <v xml:space="preserve"> </v>
      </c>
      <c r="W165" s="8" t="str">
        <f>IFERROR(VLOOKUP($A165,'Project Reference'!$B$2:$N$41,13), " ")</f>
        <v xml:space="preserve"> </v>
      </c>
      <c r="X165" s="8" t="str">
        <f>IFERROR(VLOOKUP($A165,'Project Reference'!$B$2:$O$41,14), " ")</f>
        <v xml:space="preserve"> </v>
      </c>
      <c r="Y165" s="8" t="str">
        <f>IFERROR(VLOOKUP($A165,'Project Reference'!$B$2:$P$41,15), " ")</f>
        <v xml:space="preserve"> </v>
      </c>
      <c r="Z165" s="9" t="str">
        <f>IFERROR(VLOOKUP($A165,'Project Reference'!$B$2:$Q$41,16), " ")</f>
        <v xml:space="preserve"> </v>
      </c>
    </row>
    <row r="166" spans="1:26" s="1" customFormat="1" x14ac:dyDescent="0.45">
      <c r="A166" s="70"/>
      <c r="B166" s="70" t="str">
        <f>IFERROR(VLOOKUP($A166,'Project Reference'!$S$2:$T$41,2),"Enter Project Number")</f>
        <v>Enter Project Number</v>
      </c>
      <c r="C166" s="54"/>
      <c r="D166" s="53"/>
      <c r="E166" s="8"/>
      <c r="F166" s="8"/>
      <c r="G166" s="8"/>
      <c r="H166" s="8"/>
      <c r="I166" s="8"/>
      <c r="J166" s="9"/>
      <c r="K166" s="23"/>
      <c r="L166" s="47" t="str">
        <f>IFERROR(VLOOKUP($A166,'Project Reference'!$B$2:$C$41,2), " ")</f>
        <v xml:space="preserve"> </v>
      </c>
      <c r="M166" s="8" t="str">
        <f>IFERROR(VLOOKUP($A166,'Project Reference'!$B$2:$D$41,3), " ")</f>
        <v xml:space="preserve"> </v>
      </c>
      <c r="N166" s="54" t="str">
        <f>IFERROR(VLOOKUP($A166,'Project Reference'!$B$2:$E$41,4), " ")</f>
        <v xml:space="preserve"> </v>
      </c>
      <c r="O166" s="8" t="str">
        <f>IFERROR(VLOOKUP($A166,'Project Reference'!$B$2:$F$41,5), " ")</f>
        <v xml:space="preserve"> </v>
      </c>
      <c r="P166" s="8" t="str">
        <f>IFERROR(VLOOKUP($A166,'Project Reference'!$B$2:$G$41,6), " ")</f>
        <v xml:space="preserve"> </v>
      </c>
      <c r="Q166" s="8" t="str">
        <f>IFERROR(VLOOKUP($A166,'Project Reference'!$B$2:$H$41,7), " ")</f>
        <v xml:space="preserve"> </v>
      </c>
      <c r="R166" s="8" t="str">
        <f>IFERROR(VLOOKUP($A166,'Project Reference'!$B$2:$I$41,8), " ")</f>
        <v xml:space="preserve"> </v>
      </c>
      <c r="S166" s="8" t="str">
        <f>IFERROR(VLOOKUP($A166,'Project Reference'!$B$2:$J$41,9), " ")</f>
        <v xml:space="preserve"> </v>
      </c>
      <c r="T166" s="8" t="str">
        <f>IFERROR(VLOOKUP($A166,'Project Reference'!$B$2:$K$41,10), " ")</f>
        <v xml:space="preserve"> </v>
      </c>
      <c r="U166" s="8" t="str">
        <f>IFERROR(VLOOKUP($A166,'Project Reference'!$B$2:$L$41,11), " ")</f>
        <v xml:space="preserve"> </v>
      </c>
      <c r="V166" s="8" t="str">
        <f>IFERROR(VLOOKUP($A166,'Project Reference'!$B$2:$M$41,12), " ")</f>
        <v xml:space="preserve"> </v>
      </c>
      <c r="W166" s="8" t="str">
        <f>IFERROR(VLOOKUP($A166,'Project Reference'!$B$2:$N$41,13), " ")</f>
        <v xml:space="preserve"> </v>
      </c>
      <c r="X166" s="8" t="str">
        <f>IFERROR(VLOOKUP($A166,'Project Reference'!$B$2:$O$41,14), " ")</f>
        <v xml:space="preserve"> </v>
      </c>
      <c r="Y166" s="8" t="str">
        <f>IFERROR(VLOOKUP($A166,'Project Reference'!$B$2:$P$41,15), " ")</f>
        <v xml:space="preserve"> </v>
      </c>
      <c r="Z166" s="9" t="str">
        <f>IFERROR(VLOOKUP($A166,'Project Reference'!$B$2:$Q$41,16), " ")</f>
        <v xml:space="preserve"> </v>
      </c>
    </row>
    <row r="167" spans="1:26" s="1" customFormat="1" x14ac:dyDescent="0.45">
      <c r="A167" s="70"/>
      <c r="B167" s="70" t="str">
        <f>IFERROR(VLOOKUP($A167,'Project Reference'!$S$2:$T$41,2),"Enter Project Number")</f>
        <v>Enter Project Number</v>
      </c>
      <c r="C167" s="54"/>
      <c r="D167" s="53"/>
      <c r="E167" s="8"/>
      <c r="F167" s="8"/>
      <c r="G167" s="8"/>
      <c r="H167" s="8"/>
      <c r="I167" s="8"/>
      <c r="J167" s="9"/>
      <c r="K167" s="23"/>
      <c r="L167" s="47" t="str">
        <f>IFERROR(VLOOKUP($A167,'Project Reference'!$B$2:$C$41,2), " ")</f>
        <v xml:space="preserve"> </v>
      </c>
      <c r="M167" s="8" t="str">
        <f>IFERROR(VLOOKUP($A167,'Project Reference'!$B$2:$D$41,3), " ")</f>
        <v xml:space="preserve"> </v>
      </c>
      <c r="N167" s="54" t="str">
        <f>IFERROR(VLOOKUP($A167,'Project Reference'!$B$2:$E$41,4), " ")</f>
        <v xml:space="preserve"> </v>
      </c>
      <c r="O167" s="8" t="str">
        <f>IFERROR(VLOOKUP($A167,'Project Reference'!$B$2:$F$41,5), " ")</f>
        <v xml:space="preserve"> </v>
      </c>
      <c r="P167" s="8" t="str">
        <f>IFERROR(VLOOKUP($A167,'Project Reference'!$B$2:$G$41,6), " ")</f>
        <v xml:space="preserve"> </v>
      </c>
      <c r="Q167" s="8" t="str">
        <f>IFERROR(VLOOKUP($A167,'Project Reference'!$B$2:$H$41,7), " ")</f>
        <v xml:space="preserve"> </v>
      </c>
      <c r="R167" s="8" t="str">
        <f>IFERROR(VLOOKUP($A167,'Project Reference'!$B$2:$I$41,8), " ")</f>
        <v xml:space="preserve"> </v>
      </c>
      <c r="S167" s="8" t="str">
        <f>IFERROR(VLOOKUP($A167,'Project Reference'!$B$2:$J$41,9), " ")</f>
        <v xml:space="preserve"> </v>
      </c>
      <c r="T167" s="8" t="str">
        <f>IFERROR(VLOOKUP($A167,'Project Reference'!$B$2:$K$41,10), " ")</f>
        <v xml:space="preserve"> </v>
      </c>
      <c r="U167" s="8" t="str">
        <f>IFERROR(VLOOKUP($A167,'Project Reference'!$B$2:$L$41,11), " ")</f>
        <v xml:space="preserve"> </v>
      </c>
      <c r="V167" s="8" t="str">
        <f>IFERROR(VLOOKUP($A167,'Project Reference'!$B$2:$M$41,12), " ")</f>
        <v xml:space="preserve"> </v>
      </c>
      <c r="W167" s="8" t="str">
        <f>IFERROR(VLOOKUP($A167,'Project Reference'!$B$2:$N$41,13), " ")</f>
        <v xml:space="preserve"> </v>
      </c>
      <c r="X167" s="8" t="str">
        <f>IFERROR(VLOOKUP($A167,'Project Reference'!$B$2:$O$41,14), " ")</f>
        <v xml:space="preserve"> </v>
      </c>
      <c r="Y167" s="8" t="str">
        <f>IFERROR(VLOOKUP($A167,'Project Reference'!$B$2:$P$41,15), " ")</f>
        <v xml:space="preserve"> </v>
      </c>
      <c r="Z167" s="9" t="str">
        <f>IFERROR(VLOOKUP($A167,'Project Reference'!$B$2:$Q$41,16), " ")</f>
        <v xml:space="preserve"> </v>
      </c>
    </row>
    <row r="168" spans="1:26" s="1" customFormat="1" x14ac:dyDescent="0.45">
      <c r="A168" s="70"/>
      <c r="B168" s="70" t="str">
        <f>IFERROR(VLOOKUP($A168,'Project Reference'!$S$2:$T$41,2),"Enter Project Number")</f>
        <v>Enter Project Number</v>
      </c>
      <c r="C168" s="54"/>
      <c r="D168" s="53"/>
      <c r="E168" s="8"/>
      <c r="F168" s="8"/>
      <c r="G168" s="8"/>
      <c r="H168" s="8"/>
      <c r="I168" s="8"/>
      <c r="J168" s="9"/>
      <c r="K168" s="23"/>
      <c r="L168" s="47" t="str">
        <f>IFERROR(VLOOKUP($A168,'Project Reference'!$B$2:$C$41,2), " ")</f>
        <v xml:space="preserve"> </v>
      </c>
      <c r="M168" s="8" t="str">
        <f>IFERROR(VLOOKUP($A168,'Project Reference'!$B$2:$D$41,3), " ")</f>
        <v xml:space="preserve"> </v>
      </c>
      <c r="N168" s="54" t="str">
        <f>IFERROR(VLOOKUP($A168,'Project Reference'!$B$2:$E$41,4), " ")</f>
        <v xml:space="preserve"> </v>
      </c>
      <c r="O168" s="8" t="str">
        <f>IFERROR(VLOOKUP($A168,'Project Reference'!$B$2:$F$41,5), " ")</f>
        <v xml:space="preserve"> </v>
      </c>
      <c r="P168" s="8" t="str">
        <f>IFERROR(VLOOKUP($A168,'Project Reference'!$B$2:$G$41,6), " ")</f>
        <v xml:space="preserve"> </v>
      </c>
      <c r="Q168" s="8" t="str">
        <f>IFERROR(VLOOKUP($A168,'Project Reference'!$B$2:$H$41,7), " ")</f>
        <v xml:space="preserve"> </v>
      </c>
      <c r="R168" s="8" t="str">
        <f>IFERROR(VLOOKUP($A168,'Project Reference'!$B$2:$I$41,8), " ")</f>
        <v xml:space="preserve"> </v>
      </c>
      <c r="S168" s="8" t="str">
        <f>IFERROR(VLOOKUP($A168,'Project Reference'!$B$2:$J$41,9), " ")</f>
        <v xml:space="preserve"> </v>
      </c>
      <c r="T168" s="8" t="str">
        <f>IFERROR(VLOOKUP($A168,'Project Reference'!$B$2:$K$41,10), " ")</f>
        <v xml:space="preserve"> </v>
      </c>
      <c r="U168" s="8" t="str">
        <f>IFERROR(VLOOKUP($A168,'Project Reference'!$B$2:$L$41,11), " ")</f>
        <v xml:space="preserve"> </v>
      </c>
      <c r="V168" s="8" t="str">
        <f>IFERROR(VLOOKUP($A168,'Project Reference'!$B$2:$M$41,12), " ")</f>
        <v xml:space="preserve"> </v>
      </c>
      <c r="W168" s="8" t="str">
        <f>IFERROR(VLOOKUP($A168,'Project Reference'!$B$2:$N$41,13), " ")</f>
        <v xml:space="preserve"> </v>
      </c>
      <c r="X168" s="8" t="str">
        <f>IFERROR(VLOOKUP($A168,'Project Reference'!$B$2:$O$41,14), " ")</f>
        <v xml:space="preserve"> </v>
      </c>
      <c r="Y168" s="8" t="str">
        <f>IFERROR(VLOOKUP($A168,'Project Reference'!$B$2:$P$41,15), " ")</f>
        <v xml:space="preserve"> </v>
      </c>
      <c r="Z168" s="9" t="str">
        <f>IFERROR(VLOOKUP($A168,'Project Reference'!$B$2:$Q$41,16), " ")</f>
        <v xml:space="preserve"> </v>
      </c>
    </row>
    <row r="169" spans="1:26" s="1" customFormat="1" x14ac:dyDescent="0.45">
      <c r="A169" s="70"/>
      <c r="B169" s="70" t="str">
        <f>IFERROR(VLOOKUP($A169,'Project Reference'!$S$2:$T$41,2),"Enter Project Number")</f>
        <v>Enter Project Number</v>
      </c>
      <c r="C169" s="54"/>
      <c r="D169" s="53"/>
      <c r="E169" s="8"/>
      <c r="F169" s="8"/>
      <c r="G169" s="8"/>
      <c r="H169" s="8"/>
      <c r="I169" s="8"/>
      <c r="J169" s="9"/>
      <c r="K169" s="23"/>
      <c r="L169" s="47" t="str">
        <f>IFERROR(VLOOKUP($A169,'Project Reference'!$B$2:$C$41,2), " ")</f>
        <v xml:space="preserve"> </v>
      </c>
      <c r="M169" s="8" t="str">
        <f>IFERROR(VLOOKUP($A169,'Project Reference'!$B$2:$D$41,3), " ")</f>
        <v xml:space="preserve"> </v>
      </c>
      <c r="N169" s="54" t="str">
        <f>IFERROR(VLOOKUP($A169,'Project Reference'!$B$2:$E$41,4), " ")</f>
        <v xml:space="preserve"> </v>
      </c>
      <c r="O169" s="8" t="str">
        <f>IFERROR(VLOOKUP($A169,'Project Reference'!$B$2:$F$41,5), " ")</f>
        <v xml:space="preserve"> </v>
      </c>
      <c r="P169" s="8" t="str">
        <f>IFERROR(VLOOKUP($A169,'Project Reference'!$B$2:$G$41,6), " ")</f>
        <v xml:space="preserve"> </v>
      </c>
      <c r="Q169" s="8" t="str">
        <f>IFERROR(VLOOKUP($A169,'Project Reference'!$B$2:$H$41,7), " ")</f>
        <v xml:space="preserve"> </v>
      </c>
      <c r="R169" s="8" t="str">
        <f>IFERROR(VLOOKUP($A169,'Project Reference'!$B$2:$I$41,8), " ")</f>
        <v xml:space="preserve"> </v>
      </c>
      <c r="S169" s="8" t="str">
        <f>IFERROR(VLOOKUP($A169,'Project Reference'!$B$2:$J$41,9), " ")</f>
        <v xml:space="preserve"> </v>
      </c>
      <c r="T169" s="8" t="str">
        <f>IFERROR(VLOOKUP($A169,'Project Reference'!$B$2:$K$41,10), " ")</f>
        <v xml:space="preserve"> </v>
      </c>
      <c r="U169" s="8" t="str">
        <f>IFERROR(VLOOKUP($A169,'Project Reference'!$B$2:$L$41,11), " ")</f>
        <v xml:space="preserve"> </v>
      </c>
      <c r="V169" s="8" t="str">
        <f>IFERROR(VLOOKUP($A169,'Project Reference'!$B$2:$M$41,12), " ")</f>
        <v xml:space="preserve"> </v>
      </c>
      <c r="W169" s="8" t="str">
        <f>IFERROR(VLOOKUP($A169,'Project Reference'!$B$2:$N$41,13), " ")</f>
        <v xml:space="preserve"> </v>
      </c>
      <c r="X169" s="8" t="str">
        <f>IFERROR(VLOOKUP($A169,'Project Reference'!$B$2:$O$41,14), " ")</f>
        <v xml:space="preserve"> </v>
      </c>
      <c r="Y169" s="8" t="str">
        <f>IFERROR(VLOOKUP($A169,'Project Reference'!$B$2:$P$41,15), " ")</f>
        <v xml:space="preserve"> </v>
      </c>
      <c r="Z169" s="9" t="str">
        <f>IFERROR(VLOOKUP($A169,'Project Reference'!$B$2:$Q$41,16), " ")</f>
        <v xml:space="preserve"> </v>
      </c>
    </row>
    <row r="170" spans="1:26" s="1" customFormat="1" x14ac:dyDescent="0.45">
      <c r="A170" s="70"/>
      <c r="B170" s="70" t="str">
        <f>IFERROR(VLOOKUP($A170,'Project Reference'!$S$2:$T$41,2),"Enter Project Number")</f>
        <v>Enter Project Number</v>
      </c>
      <c r="C170" s="54"/>
      <c r="D170" s="53"/>
      <c r="E170" s="8"/>
      <c r="F170" s="8"/>
      <c r="G170" s="8"/>
      <c r="H170" s="8"/>
      <c r="I170" s="8"/>
      <c r="J170" s="9"/>
      <c r="K170" s="23"/>
      <c r="L170" s="47" t="str">
        <f>IFERROR(VLOOKUP($A170,'Project Reference'!$B$2:$C$41,2), " ")</f>
        <v xml:space="preserve"> </v>
      </c>
      <c r="M170" s="8" t="str">
        <f>IFERROR(VLOOKUP($A170,'Project Reference'!$B$2:$D$41,3), " ")</f>
        <v xml:space="preserve"> </v>
      </c>
      <c r="N170" s="54" t="str">
        <f>IFERROR(VLOOKUP($A170,'Project Reference'!$B$2:$E$41,4), " ")</f>
        <v xml:space="preserve"> </v>
      </c>
      <c r="O170" s="8" t="str">
        <f>IFERROR(VLOOKUP($A170,'Project Reference'!$B$2:$F$41,5), " ")</f>
        <v xml:space="preserve"> </v>
      </c>
      <c r="P170" s="8" t="str">
        <f>IFERROR(VLOOKUP($A170,'Project Reference'!$B$2:$G$41,6), " ")</f>
        <v xml:space="preserve"> </v>
      </c>
      <c r="Q170" s="8" t="str">
        <f>IFERROR(VLOOKUP($A170,'Project Reference'!$B$2:$H$41,7), " ")</f>
        <v xml:space="preserve"> </v>
      </c>
      <c r="R170" s="8" t="str">
        <f>IFERROR(VLOOKUP($A170,'Project Reference'!$B$2:$I$41,8), " ")</f>
        <v xml:space="preserve"> </v>
      </c>
      <c r="S170" s="8" t="str">
        <f>IFERROR(VLOOKUP($A170,'Project Reference'!$B$2:$J$41,9), " ")</f>
        <v xml:space="preserve"> </v>
      </c>
      <c r="T170" s="8" t="str">
        <f>IFERROR(VLOOKUP($A170,'Project Reference'!$B$2:$K$41,10), " ")</f>
        <v xml:space="preserve"> </v>
      </c>
      <c r="U170" s="8" t="str">
        <f>IFERROR(VLOOKUP($A170,'Project Reference'!$B$2:$L$41,11), " ")</f>
        <v xml:space="preserve"> </v>
      </c>
      <c r="V170" s="8" t="str">
        <f>IFERROR(VLOOKUP($A170,'Project Reference'!$B$2:$M$41,12), " ")</f>
        <v xml:space="preserve"> </v>
      </c>
      <c r="W170" s="8" t="str">
        <f>IFERROR(VLOOKUP($A170,'Project Reference'!$B$2:$N$41,13), " ")</f>
        <v xml:space="preserve"> </v>
      </c>
      <c r="X170" s="8" t="str">
        <f>IFERROR(VLOOKUP($A170,'Project Reference'!$B$2:$O$41,14), " ")</f>
        <v xml:space="preserve"> </v>
      </c>
      <c r="Y170" s="8" t="str">
        <f>IFERROR(VLOOKUP($A170,'Project Reference'!$B$2:$P$41,15), " ")</f>
        <v xml:space="preserve"> </v>
      </c>
      <c r="Z170" s="9" t="str">
        <f>IFERROR(VLOOKUP($A170,'Project Reference'!$B$2:$Q$41,16), " ")</f>
        <v xml:space="preserve"> </v>
      </c>
    </row>
    <row r="171" spans="1:26" s="1" customFormat="1" x14ac:dyDescent="0.45">
      <c r="A171" s="70"/>
      <c r="B171" s="70" t="str">
        <f>IFERROR(VLOOKUP($A171,'Project Reference'!$S$2:$T$41,2),"Enter Project Number")</f>
        <v>Enter Project Number</v>
      </c>
      <c r="C171" s="54"/>
      <c r="D171" s="53"/>
      <c r="E171" s="8"/>
      <c r="F171" s="8"/>
      <c r="G171" s="8"/>
      <c r="H171" s="8"/>
      <c r="I171" s="8"/>
      <c r="J171" s="9"/>
      <c r="K171" s="23"/>
      <c r="L171" s="47" t="str">
        <f>IFERROR(VLOOKUP($A171,'Project Reference'!$B$2:$C$41,2), " ")</f>
        <v xml:space="preserve"> </v>
      </c>
      <c r="M171" s="8" t="str">
        <f>IFERROR(VLOOKUP($A171,'Project Reference'!$B$2:$D$41,3), " ")</f>
        <v xml:space="preserve"> </v>
      </c>
      <c r="N171" s="54" t="str">
        <f>IFERROR(VLOOKUP($A171,'Project Reference'!$B$2:$E$41,4), " ")</f>
        <v xml:space="preserve"> </v>
      </c>
      <c r="O171" s="8" t="str">
        <f>IFERROR(VLOOKUP($A171,'Project Reference'!$B$2:$F$41,5), " ")</f>
        <v xml:space="preserve"> </v>
      </c>
      <c r="P171" s="8" t="str">
        <f>IFERROR(VLOOKUP($A171,'Project Reference'!$B$2:$G$41,6), " ")</f>
        <v xml:space="preserve"> </v>
      </c>
      <c r="Q171" s="8" t="str">
        <f>IFERROR(VLOOKUP($A171,'Project Reference'!$B$2:$H$41,7), " ")</f>
        <v xml:space="preserve"> </v>
      </c>
      <c r="R171" s="8" t="str">
        <f>IFERROR(VLOOKUP($A171,'Project Reference'!$B$2:$I$41,8), " ")</f>
        <v xml:space="preserve"> </v>
      </c>
      <c r="S171" s="8" t="str">
        <f>IFERROR(VLOOKUP($A171,'Project Reference'!$B$2:$J$41,9), " ")</f>
        <v xml:space="preserve"> </v>
      </c>
      <c r="T171" s="8" t="str">
        <f>IFERROR(VLOOKUP($A171,'Project Reference'!$B$2:$K$41,10), " ")</f>
        <v xml:space="preserve"> </v>
      </c>
      <c r="U171" s="8" t="str">
        <f>IFERROR(VLOOKUP($A171,'Project Reference'!$B$2:$L$41,11), " ")</f>
        <v xml:space="preserve"> </v>
      </c>
      <c r="V171" s="8" t="str">
        <f>IFERROR(VLOOKUP($A171,'Project Reference'!$B$2:$M$41,12), " ")</f>
        <v xml:space="preserve"> </v>
      </c>
      <c r="W171" s="8" t="str">
        <f>IFERROR(VLOOKUP($A171,'Project Reference'!$B$2:$N$41,13), " ")</f>
        <v xml:space="preserve"> </v>
      </c>
      <c r="X171" s="8" t="str">
        <f>IFERROR(VLOOKUP($A171,'Project Reference'!$B$2:$O$41,14), " ")</f>
        <v xml:space="preserve"> </v>
      </c>
      <c r="Y171" s="8" t="str">
        <f>IFERROR(VLOOKUP($A171,'Project Reference'!$B$2:$P$41,15), " ")</f>
        <v xml:space="preserve"> </v>
      </c>
      <c r="Z171" s="9" t="str">
        <f>IFERROR(VLOOKUP($A171,'Project Reference'!$B$2:$Q$41,16), " ")</f>
        <v xml:space="preserve"> </v>
      </c>
    </row>
    <row r="172" spans="1:26" s="1" customFormat="1" x14ac:dyDescent="0.45">
      <c r="A172" s="70"/>
      <c r="B172" s="70" t="str">
        <f>IFERROR(VLOOKUP($A172,'Project Reference'!$S$2:$T$41,2),"Enter Project Number")</f>
        <v>Enter Project Number</v>
      </c>
      <c r="C172" s="54"/>
      <c r="D172" s="53"/>
      <c r="E172" s="8"/>
      <c r="F172" s="8"/>
      <c r="G172" s="8"/>
      <c r="H172" s="8"/>
      <c r="I172" s="8"/>
      <c r="J172" s="9"/>
      <c r="K172" s="23"/>
      <c r="L172" s="47" t="str">
        <f>IFERROR(VLOOKUP($A172,'Project Reference'!$B$2:$C$41,2), " ")</f>
        <v xml:space="preserve"> </v>
      </c>
      <c r="M172" s="8" t="str">
        <f>IFERROR(VLOOKUP($A172,'Project Reference'!$B$2:$D$41,3), " ")</f>
        <v xml:space="preserve"> </v>
      </c>
      <c r="N172" s="54" t="str">
        <f>IFERROR(VLOOKUP($A172,'Project Reference'!$B$2:$E$41,4), " ")</f>
        <v xml:space="preserve"> </v>
      </c>
      <c r="O172" s="8" t="str">
        <f>IFERROR(VLOOKUP($A172,'Project Reference'!$B$2:$F$41,5), " ")</f>
        <v xml:space="preserve"> </v>
      </c>
      <c r="P172" s="8" t="str">
        <f>IFERROR(VLOOKUP($A172,'Project Reference'!$B$2:$G$41,6), " ")</f>
        <v xml:space="preserve"> </v>
      </c>
      <c r="Q172" s="8" t="str">
        <f>IFERROR(VLOOKUP($A172,'Project Reference'!$B$2:$H$41,7), " ")</f>
        <v xml:space="preserve"> </v>
      </c>
      <c r="R172" s="8" t="str">
        <f>IFERROR(VLOOKUP($A172,'Project Reference'!$B$2:$I$41,8), " ")</f>
        <v xml:space="preserve"> </v>
      </c>
      <c r="S172" s="8" t="str">
        <f>IFERROR(VLOOKUP($A172,'Project Reference'!$B$2:$J$41,9), " ")</f>
        <v xml:space="preserve"> </v>
      </c>
      <c r="T172" s="8" t="str">
        <f>IFERROR(VLOOKUP($A172,'Project Reference'!$B$2:$K$41,10), " ")</f>
        <v xml:space="preserve"> </v>
      </c>
      <c r="U172" s="8" t="str">
        <f>IFERROR(VLOOKUP($A172,'Project Reference'!$B$2:$L$41,11), " ")</f>
        <v xml:space="preserve"> </v>
      </c>
      <c r="V172" s="8" t="str">
        <f>IFERROR(VLOOKUP($A172,'Project Reference'!$B$2:$M$41,12), " ")</f>
        <v xml:space="preserve"> </v>
      </c>
      <c r="W172" s="8" t="str">
        <f>IFERROR(VLOOKUP($A172,'Project Reference'!$B$2:$N$41,13), " ")</f>
        <v xml:space="preserve"> </v>
      </c>
      <c r="X172" s="8" t="str">
        <f>IFERROR(VLOOKUP($A172,'Project Reference'!$B$2:$O$41,14), " ")</f>
        <v xml:space="preserve"> </v>
      </c>
      <c r="Y172" s="8" t="str">
        <f>IFERROR(VLOOKUP($A172,'Project Reference'!$B$2:$P$41,15), " ")</f>
        <v xml:space="preserve"> </v>
      </c>
      <c r="Z172" s="9" t="str">
        <f>IFERROR(VLOOKUP($A172,'Project Reference'!$B$2:$Q$41,16), " ")</f>
        <v xml:space="preserve"> </v>
      </c>
    </row>
    <row r="173" spans="1:26" s="1" customFormat="1" x14ac:dyDescent="0.45">
      <c r="A173" s="70"/>
      <c r="B173" s="70" t="str">
        <f>IFERROR(VLOOKUP($A173,'Project Reference'!$S$2:$T$41,2),"Enter Project Number")</f>
        <v>Enter Project Number</v>
      </c>
      <c r="C173" s="54"/>
      <c r="D173" s="53"/>
      <c r="E173" s="8"/>
      <c r="F173" s="8"/>
      <c r="G173" s="8"/>
      <c r="H173" s="8"/>
      <c r="I173" s="8"/>
      <c r="J173" s="9"/>
      <c r="K173" s="23"/>
      <c r="L173" s="47" t="str">
        <f>IFERROR(VLOOKUP($A173,'Project Reference'!$B$2:$C$41,2), " ")</f>
        <v xml:space="preserve"> </v>
      </c>
      <c r="M173" s="8" t="str">
        <f>IFERROR(VLOOKUP($A173,'Project Reference'!$B$2:$D$41,3), " ")</f>
        <v xml:space="preserve"> </v>
      </c>
      <c r="N173" s="54" t="str">
        <f>IFERROR(VLOOKUP($A173,'Project Reference'!$B$2:$E$41,4), " ")</f>
        <v xml:space="preserve"> </v>
      </c>
      <c r="O173" s="8" t="str">
        <f>IFERROR(VLOOKUP($A173,'Project Reference'!$B$2:$F$41,5), " ")</f>
        <v xml:space="preserve"> </v>
      </c>
      <c r="P173" s="8" t="str">
        <f>IFERROR(VLOOKUP($A173,'Project Reference'!$B$2:$G$41,6), " ")</f>
        <v xml:space="preserve"> </v>
      </c>
      <c r="Q173" s="8" t="str">
        <f>IFERROR(VLOOKUP($A173,'Project Reference'!$B$2:$H$41,7), " ")</f>
        <v xml:space="preserve"> </v>
      </c>
      <c r="R173" s="8" t="str">
        <f>IFERROR(VLOOKUP($A173,'Project Reference'!$B$2:$I$41,8), " ")</f>
        <v xml:space="preserve"> </v>
      </c>
      <c r="S173" s="8" t="str">
        <f>IFERROR(VLOOKUP($A173,'Project Reference'!$B$2:$J$41,9), " ")</f>
        <v xml:space="preserve"> </v>
      </c>
      <c r="T173" s="8" t="str">
        <f>IFERROR(VLOOKUP($A173,'Project Reference'!$B$2:$K$41,10), " ")</f>
        <v xml:space="preserve"> </v>
      </c>
      <c r="U173" s="8" t="str">
        <f>IFERROR(VLOOKUP($A173,'Project Reference'!$B$2:$L$41,11), " ")</f>
        <v xml:space="preserve"> </v>
      </c>
      <c r="V173" s="8" t="str">
        <f>IFERROR(VLOOKUP($A173,'Project Reference'!$B$2:$M$41,12), " ")</f>
        <v xml:space="preserve"> </v>
      </c>
      <c r="W173" s="8" t="str">
        <f>IFERROR(VLOOKUP($A173,'Project Reference'!$B$2:$N$41,13), " ")</f>
        <v xml:space="preserve"> </v>
      </c>
      <c r="X173" s="8" t="str">
        <f>IFERROR(VLOOKUP($A173,'Project Reference'!$B$2:$O$41,14), " ")</f>
        <v xml:space="preserve"> </v>
      </c>
      <c r="Y173" s="8" t="str">
        <f>IFERROR(VLOOKUP($A173,'Project Reference'!$B$2:$P$41,15), " ")</f>
        <v xml:space="preserve"> </v>
      </c>
      <c r="Z173" s="9" t="str">
        <f>IFERROR(VLOOKUP($A173,'Project Reference'!$B$2:$Q$41,16), " ")</f>
        <v xml:space="preserve"> </v>
      </c>
    </row>
    <row r="174" spans="1:26" s="1" customFormat="1" x14ac:dyDescent="0.45">
      <c r="A174" s="70"/>
      <c r="B174" s="70" t="str">
        <f>IFERROR(VLOOKUP($A174,'Project Reference'!$S$2:$T$41,2),"Enter Project Number")</f>
        <v>Enter Project Number</v>
      </c>
      <c r="C174" s="54"/>
      <c r="D174" s="53"/>
      <c r="E174" s="8"/>
      <c r="F174" s="8"/>
      <c r="G174" s="8"/>
      <c r="H174" s="8"/>
      <c r="I174" s="8"/>
      <c r="J174" s="9"/>
      <c r="K174" s="23"/>
      <c r="L174" s="47" t="str">
        <f>IFERROR(VLOOKUP($A174,'Project Reference'!$B$2:$C$41,2), " ")</f>
        <v xml:space="preserve"> </v>
      </c>
      <c r="M174" s="8" t="str">
        <f>IFERROR(VLOOKUP($A174,'Project Reference'!$B$2:$D$41,3), " ")</f>
        <v xml:space="preserve"> </v>
      </c>
      <c r="N174" s="54" t="str">
        <f>IFERROR(VLOOKUP($A174,'Project Reference'!$B$2:$E$41,4), " ")</f>
        <v xml:space="preserve"> </v>
      </c>
      <c r="O174" s="8" t="str">
        <f>IFERROR(VLOOKUP($A174,'Project Reference'!$B$2:$F$41,5), " ")</f>
        <v xml:space="preserve"> </v>
      </c>
      <c r="P174" s="8" t="str">
        <f>IFERROR(VLOOKUP($A174,'Project Reference'!$B$2:$G$41,6), " ")</f>
        <v xml:space="preserve"> </v>
      </c>
      <c r="Q174" s="8" t="str">
        <f>IFERROR(VLOOKUP($A174,'Project Reference'!$B$2:$H$41,7), " ")</f>
        <v xml:space="preserve"> </v>
      </c>
      <c r="R174" s="8" t="str">
        <f>IFERROR(VLOOKUP($A174,'Project Reference'!$B$2:$I$41,8), " ")</f>
        <v xml:space="preserve"> </v>
      </c>
      <c r="S174" s="8" t="str">
        <f>IFERROR(VLOOKUP($A174,'Project Reference'!$B$2:$J$41,9), " ")</f>
        <v xml:space="preserve"> </v>
      </c>
      <c r="T174" s="8" t="str">
        <f>IFERROR(VLOOKUP($A174,'Project Reference'!$B$2:$K$41,10), " ")</f>
        <v xml:space="preserve"> </v>
      </c>
      <c r="U174" s="8" t="str">
        <f>IFERROR(VLOOKUP($A174,'Project Reference'!$B$2:$L$41,11), " ")</f>
        <v xml:space="preserve"> </v>
      </c>
      <c r="V174" s="8" t="str">
        <f>IFERROR(VLOOKUP($A174,'Project Reference'!$B$2:$M$41,12), " ")</f>
        <v xml:space="preserve"> </v>
      </c>
      <c r="W174" s="8" t="str">
        <f>IFERROR(VLOOKUP($A174,'Project Reference'!$B$2:$N$41,13), " ")</f>
        <v xml:space="preserve"> </v>
      </c>
      <c r="X174" s="8" t="str">
        <f>IFERROR(VLOOKUP($A174,'Project Reference'!$B$2:$O$41,14), " ")</f>
        <v xml:space="preserve"> </v>
      </c>
      <c r="Y174" s="8" t="str">
        <f>IFERROR(VLOOKUP($A174,'Project Reference'!$B$2:$P$41,15), " ")</f>
        <v xml:space="preserve"> </v>
      </c>
      <c r="Z174" s="9" t="str">
        <f>IFERROR(VLOOKUP($A174,'Project Reference'!$B$2:$Q$41,16), " ")</f>
        <v xml:space="preserve"> </v>
      </c>
    </row>
    <row r="175" spans="1:26" s="1" customFormat="1" x14ac:dyDescent="0.45">
      <c r="A175" s="70"/>
      <c r="B175" s="70" t="str">
        <f>IFERROR(VLOOKUP($A175,'Project Reference'!$S$2:$T$41,2),"Enter Project Number")</f>
        <v>Enter Project Number</v>
      </c>
      <c r="C175" s="54"/>
      <c r="D175" s="53"/>
      <c r="E175" s="8"/>
      <c r="F175" s="8"/>
      <c r="G175" s="8"/>
      <c r="H175" s="8"/>
      <c r="I175" s="8"/>
      <c r="J175" s="9"/>
      <c r="K175" s="23"/>
      <c r="L175" s="47" t="str">
        <f>IFERROR(VLOOKUP($A175,'Project Reference'!$B$2:$C$41,2), " ")</f>
        <v xml:space="preserve"> </v>
      </c>
      <c r="M175" s="8" t="str">
        <f>IFERROR(VLOOKUP($A175,'Project Reference'!$B$2:$D$41,3), " ")</f>
        <v xml:space="preserve"> </v>
      </c>
      <c r="N175" s="54" t="str">
        <f>IFERROR(VLOOKUP($A175,'Project Reference'!$B$2:$E$41,4), " ")</f>
        <v xml:space="preserve"> </v>
      </c>
      <c r="O175" s="8" t="str">
        <f>IFERROR(VLOOKUP($A175,'Project Reference'!$B$2:$F$41,5), " ")</f>
        <v xml:space="preserve"> </v>
      </c>
      <c r="P175" s="8" t="str">
        <f>IFERROR(VLOOKUP($A175,'Project Reference'!$B$2:$G$41,6), " ")</f>
        <v xml:space="preserve"> </v>
      </c>
      <c r="Q175" s="8" t="str">
        <f>IFERROR(VLOOKUP($A175,'Project Reference'!$B$2:$H$41,7), " ")</f>
        <v xml:space="preserve"> </v>
      </c>
      <c r="R175" s="8" t="str">
        <f>IFERROR(VLOOKUP($A175,'Project Reference'!$B$2:$I$41,8), " ")</f>
        <v xml:space="preserve"> </v>
      </c>
      <c r="S175" s="8" t="str">
        <f>IFERROR(VLOOKUP($A175,'Project Reference'!$B$2:$J$41,9), " ")</f>
        <v xml:space="preserve"> </v>
      </c>
      <c r="T175" s="8" t="str">
        <f>IFERROR(VLOOKUP($A175,'Project Reference'!$B$2:$K$41,10), " ")</f>
        <v xml:space="preserve"> </v>
      </c>
      <c r="U175" s="8" t="str">
        <f>IFERROR(VLOOKUP($A175,'Project Reference'!$B$2:$L$41,11), " ")</f>
        <v xml:space="preserve"> </v>
      </c>
      <c r="V175" s="8" t="str">
        <f>IFERROR(VLOOKUP($A175,'Project Reference'!$B$2:$M$41,12), " ")</f>
        <v xml:space="preserve"> </v>
      </c>
      <c r="W175" s="8" t="str">
        <f>IFERROR(VLOOKUP($A175,'Project Reference'!$B$2:$N$41,13), " ")</f>
        <v xml:space="preserve"> </v>
      </c>
      <c r="X175" s="8" t="str">
        <f>IFERROR(VLOOKUP($A175,'Project Reference'!$B$2:$O$41,14), " ")</f>
        <v xml:space="preserve"> </v>
      </c>
      <c r="Y175" s="8" t="str">
        <f>IFERROR(VLOOKUP($A175,'Project Reference'!$B$2:$P$41,15), " ")</f>
        <v xml:space="preserve"> </v>
      </c>
      <c r="Z175" s="9" t="str">
        <f>IFERROR(VLOOKUP($A175,'Project Reference'!$B$2:$Q$41,16), " ")</f>
        <v xml:space="preserve"> </v>
      </c>
    </row>
    <row r="176" spans="1:26" s="1" customFormat="1" x14ac:dyDescent="0.45">
      <c r="A176" s="70"/>
      <c r="B176" s="70" t="str">
        <f>IFERROR(VLOOKUP($A176,'Project Reference'!$S$2:$T$41,2),"Enter Project Number")</f>
        <v>Enter Project Number</v>
      </c>
      <c r="C176" s="54"/>
      <c r="D176" s="53"/>
      <c r="E176" s="8"/>
      <c r="F176" s="8"/>
      <c r="G176" s="8"/>
      <c r="H176" s="8"/>
      <c r="I176" s="8"/>
      <c r="J176" s="9"/>
      <c r="K176" s="23"/>
      <c r="L176" s="47" t="str">
        <f>IFERROR(VLOOKUP($A176,'Project Reference'!$B$2:$C$41,2), " ")</f>
        <v xml:space="preserve"> </v>
      </c>
      <c r="M176" s="8" t="str">
        <f>IFERROR(VLOOKUP($A176,'Project Reference'!$B$2:$D$41,3), " ")</f>
        <v xml:space="preserve"> </v>
      </c>
      <c r="N176" s="54" t="str">
        <f>IFERROR(VLOOKUP($A176,'Project Reference'!$B$2:$E$41,4), " ")</f>
        <v xml:space="preserve"> </v>
      </c>
      <c r="O176" s="8" t="str">
        <f>IFERROR(VLOOKUP($A176,'Project Reference'!$B$2:$F$41,5), " ")</f>
        <v xml:space="preserve"> </v>
      </c>
      <c r="P176" s="8" t="str">
        <f>IFERROR(VLOOKUP($A176,'Project Reference'!$B$2:$G$41,6), " ")</f>
        <v xml:space="preserve"> </v>
      </c>
      <c r="Q176" s="8" t="str">
        <f>IFERROR(VLOOKUP($A176,'Project Reference'!$B$2:$H$41,7), " ")</f>
        <v xml:space="preserve"> </v>
      </c>
      <c r="R176" s="8" t="str">
        <f>IFERROR(VLOOKUP($A176,'Project Reference'!$B$2:$I$41,8), " ")</f>
        <v xml:space="preserve"> </v>
      </c>
      <c r="S176" s="8" t="str">
        <f>IFERROR(VLOOKUP($A176,'Project Reference'!$B$2:$J$41,9), " ")</f>
        <v xml:space="preserve"> </v>
      </c>
      <c r="T176" s="8" t="str">
        <f>IFERROR(VLOOKUP($A176,'Project Reference'!$B$2:$K$41,10), " ")</f>
        <v xml:space="preserve"> </v>
      </c>
      <c r="U176" s="8" t="str">
        <f>IFERROR(VLOOKUP($A176,'Project Reference'!$B$2:$L$41,11), " ")</f>
        <v xml:space="preserve"> </v>
      </c>
      <c r="V176" s="8" t="str">
        <f>IFERROR(VLOOKUP($A176,'Project Reference'!$B$2:$M$41,12), " ")</f>
        <v xml:space="preserve"> </v>
      </c>
      <c r="W176" s="8" t="str">
        <f>IFERROR(VLOOKUP($A176,'Project Reference'!$B$2:$N$41,13), " ")</f>
        <v xml:space="preserve"> </v>
      </c>
      <c r="X176" s="8" t="str">
        <f>IFERROR(VLOOKUP($A176,'Project Reference'!$B$2:$O$41,14), " ")</f>
        <v xml:space="preserve"> </v>
      </c>
      <c r="Y176" s="8" t="str">
        <f>IFERROR(VLOOKUP($A176,'Project Reference'!$B$2:$P$41,15), " ")</f>
        <v xml:space="preserve"> </v>
      </c>
      <c r="Z176" s="9" t="str">
        <f>IFERROR(VLOOKUP($A176,'Project Reference'!$B$2:$Q$41,16), " ")</f>
        <v xml:space="preserve"> </v>
      </c>
    </row>
    <row r="177" spans="1:26" s="1" customFormat="1" x14ac:dyDescent="0.45">
      <c r="A177" s="70"/>
      <c r="B177" s="70" t="str">
        <f>IFERROR(VLOOKUP($A177,'Project Reference'!$S$2:$T$41,2),"Enter Project Number")</f>
        <v>Enter Project Number</v>
      </c>
      <c r="C177" s="54"/>
      <c r="D177" s="53"/>
      <c r="E177" s="8"/>
      <c r="F177" s="8"/>
      <c r="G177" s="8"/>
      <c r="H177" s="8"/>
      <c r="I177" s="8"/>
      <c r="J177" s="9"/>
      <c r="K177" s="23"/>
      <c r="L177" s="47" t="str">
        <f>IFERROR(VLOOKUP($A177,'Project Reference'!$B$2:$C$41,2), " ")</f>
        <v xml:space="preserve"> </v>
      </c>
      <c r="M177" s="8" t="str">
        <f>IFERROR(VLOOKUP($A177,'Project Reference'!$B$2:$D$41,3), " ")</f>
        <v xml:space="preserve"> </v>
      </c>
      <c r="N177" s="54" t="str">
        <f>IFERROR(VLOOKUP($A177,'Project Reference'!$B$2:$E$41,4), " ")</f>
        <v xml:space="preserve"> </v>
      </c>
      <c r="O177" s="8" t="str">
        <f>IFERROR(VLOOKUP($A177,'Project Reference'!$B$2:$F$41,5), " ")</f>
        <v xml:space="preserve"> </v>
      </c>
      <c r="P177" s="8" t="str">
        <f>IFERROR(VLOOKUP($A177,'Project Reference'!$B$2:$G$41,6), " ")</f>
        <v xml:space="preserve"> </v>
      </c>
      <c r="Q177" s="8" t="str">
        <f>IFERROR(VLOOKUP($A177,'Project Reference'!$B$2:$H$41,7), " ")</f>
        <v xml:space="preserve"> </v>
      </c>
      <c r="R177" s="8" t="str">
        <f>IFERROR(VLOOKUP($A177,'Project Reference'!$B$2:$I$41,8), " ")</f>
        <v xml:space="preserve"> </v>
      </c>
      <c r="S177" s="8" t="str">
        <f>IFERROR(VLOOKUP($A177,'Project Reference'!$B$2:$J$41,9), " ")</f>
        <v xml:space="preserve"> </v>
      </c>
      <c r="T177" s="8" t="str">
        <f>IFERROR(VLOOKUP($A177,'Project Reference'!$B$2:$K$41,10), " ")</f>
        <v xml:space="preserve"> </v>
      </c>
      <c r="U177" s="8" t="str">
        <f>IFERROR(VLOOKUP($A177,'Project Reference'!$B$2:$L$41,11), " ")</f>
        <v xml:space="preserve"> </v>
      </c>
      <c r="V177" s="8" t="str">
        <f>IFERROR(VLOOKUP($A177,'Project Reference'!$B$2:$M$41,12), " ")</f>
        <v xml:space="preserve"> </v>
      </c>
      <c r="W177" s="8" t="str">
        <f>IFERROR(VLOOKUP($A177,'Project Reference'!$B$2:$N$41,13), " ")</f>
        <v xml:space="preserve"> </v>
      </c>
      <c r="X177" s="8" t="str">
        <f>IFERROR(VLOOKUP($A177,'Project Reference'!$B$2:$O$41,14), " ")</f>
        <v xml:space="preserve"> </v>
      </c>
      <c r="Y177" s="8" t="str">
        <f>IFERROR(VLOOKUP($A177,'Project Reference'!$B$2:$P$41,15), " ")</f>
        <v xml:space="preserve"> </v>
      </c>
      <c r="Z177" s="9" t="str">
        <f>IFERROR(VLOOKUP($A177,'Project Reference'!$B$2:$Q$41,16), " ")</f>
        <v xml:space="preserve"> </v>
      </c>
    </row>
    <row r="178" spans="1:26" s="1" customFormat="1" x14ac:dyDescent="0.45">
      <c r="A178" s="70"/>
      <c r="B178" s="70" t="str">
        <f>IFERROR(VLOOKUP($A178,'Project Reference'!$S$2:$T$41,2),"Enter Project Number")</f>
        <v>Enter Project Number</v>
      </c>
      <c r="C178" s="54"/>
      <c r="D178" s="53"/>
      <c r="E178" s="8"/>
      <c r="F178" s="8"/>
      <c r="G178" s="8"/>
      <c r="H178" s="8"/>
      <c r="I178" s="8"/>
      <c r="J178" s="9"/>
      <c r="K178" s="23"/>
      <c r="L178" s="47" t="str">
        <f>IFERROR(VLOOKUP($A178,'Project Reference'!$B$2:$C$41,2), " ")</f>
        <v xml:space="preserve"> </v>
      </c>
      <c r="M178" s="8" t="str">
        <f>IFERROR(VLOOKUP($A178,'Project Reference'!$B$2:$D$41,3), " ")</f>
        <v xml:space="preserve"> </v>
      </c>
      <c r="N178" s="54" t="str">
        <f>IFERROR(VLOOKUP($A178,'Project Reference'!$B$2:$E$41,4), " ")</f>
        <v xml:space="preserve"> </v>
      </c>
      <c r="O178" s="8" t="str">
        <f>IFERROR(VLOOKUP($A178,'Project Reference'!$B$2:$F$41,5), " ")</f>
        <v xml:space="preserve"> </v>
      </c>
      <c r="P178" s="8" t="str">
        <f>IFERROR(VLOOKUP($A178,'Project Reference'!$B$2:$G$41,6), " ")</f>
        <v xml:space="preserve"> </v>
      </c>
      <c r="Q178" s="8" t="str">
        <f>IFERROR(VLOOKUP($A178,'Project Reference'!$B$2:$H$41,7), " ")</f>
        <v xml:space="preserve"> </v>
      </c>
      <c r="R178" s="8" t="str">
        <f>IFERROR(VLOOKUP($A178,'Project Reference'!$B$2:$I$41,8), " ")</f>
        <v xml:space="preserve"> </v>
      </c>
      <c r="S178" s="8" t="str">
        <f>IFERROR(VLOOKUP($A178,'Project Reference'!$B$2:$J$41,9), " ")</f>
        <v xml:space="preserve"> </v>
      </c>
      <c r="T178" s="8" t="str">
        <f>IFERROR(VLOOKUP($A178,'Project Reference'!$B$2:$K$41,10), " ")</f>
        <v xml:space="preserve"> </v>
      </c>
      <c r="U178" s="8" t="str">
        <f>IFERROR(VLOOKUP($A178,'Project Reference'!$B$2:$L$41,11), " ")</f>
        <v xml:space="preserve"> </v>
      </c>
      <c r="V178" s="8" t="str">
        <f>IFERROR(VLOOKUP($A178,'Project Reference'!$B$2:$M$41,12), " ")</f>
        <v xml:space="preserve"> </v>
      </c>
      <c r="W178" s="8" t="str">
        <f>IFERROR(VLOOKUP($A178,'Project Reference'!$B$2:$N$41,13), " ")</f>
        <v xml:space="preserve"> </v>
      </c>
      <c r="X178" s="8" t="str">
        <f>IFERROR(VLOOKUP($A178,'Project Reference'!$B$2:$O$41,14), " ")</f>
        <v xml:space="preserve"> </v>
      </c>
      <c r="Y178" s="8" t="str">
        <f>IFERROR(VLOOKUP($A178,'Project Reference'!$B$2:$P$41,15), " ")</f>
        <v xml:space="preserve"> </v>
      </c>
      <c r="Z178" s="9" t="str">
        <f>IFERROR(VLOOKUP($A178,'Project Reference'!$B$2:$Q$41,16), " ")</f>
        <v xml:space="preserve"> </v>
      </c>
    </row>
    <row r="179" spans="1:26" s="1" customFormat="1" x14ac:dyDescent="0.45">
      <c r="A179" s="70"/>
      <c r="B179" s="70" t="str">
        <f>IFERROR(VLOOKUP($A179,'Project Reference'!$S$2:$T$41,2),"Enter Project Number")</f>
        <v>Enter Project Number</v>
      </c>
      <c r="C179" s="54"/>
      <c r="D179" s="53"/>
      <c r="E179" s="8"/>
      <c r="F179" s="8"/>
      <c r="G179" s="8"/>
      <c r="H179" s="8"/>
      <c r="I179" s="8"/>
      <c r="J179" s="9"/>
      <c r="K179" s="23"/>
      <c r="L179" s="47" t="str">
        <f>IFERROR(VLOOKUP($A179,'Project Reference'!$B$2:$C$41,2), " ")</f>
        <v xml:space="preserve"> </v>
      </c>
      <c r="M179" s="8" t="str">
        <f>IFERROR(VLOOKUP($A179,'Project Reference'!$B$2:$D$41,3), " ")</f>
        <v xml:space="preserve"> </v>
      </c>
      <c r="N179" s="54" t="str">
        <f>IFERROR(VLOOKUP($A179,'Project Reference'!$B$2:$E$41,4), " ")</f>
        <v xml:space="preserve"> </v>
      </c>
      <c r="O179" s="8" t="str">
        <f>IFERROR(VLOOKUP($A179,'Project Reference'!$B$2:$F$41,5), " ")</f>
        <v xml:space="preserve"> </v>
      </c>
      <c r="P179" s="8" t="str">
        <f>IFERROR(VLOOKUP($A179,'Project Reference'!$B$2:$G$41,6), " ")</f>
        <v xml:space="preserve"> </v>
      </c>
      <c r="Q179" s="8" t="str">
        <f>IFERROR(VLOOKUP($A179,'Project Reference'!$B$2:$H$41,7), " ")</f>
        <v xml:space="preserve"> </v>
      </c>
      <c r="R179" s="8" t="str">
        <f>IFERROR(VLOOKUP($A179,'Project Reference'!$B$2:$I$41,8), " ")</f>
        <v xml:space="preserve"> </v>
      </c>
      <c r="S179" s="8" t="str">
        <f>IFERROR(VLOOKUP($A179,'Project Reference'!$B$2:$J$41,9), " ")</f>
        <v xml:space="preserve"> </v>
      </c>
      <c r="T179" s="8" t="str">
        <f>IFERROR(VLOOKUP($A179,'Project Reference'!$B$2:$K$41,10), " ")</f>
        <v xml:space="preserve"> </v>
      </c>
      <c r="U179" s="8" t="str">
        <f>IFERROR(VLOOKUP($A179,'Project Reference'!$B$2:$L$41,11), " ")</f>
        <v xml:space="preserve"> </v>
      </c>
      <c r="V179" s="8" t="str">
        <f>IFERROR(VLOOKUP($A179,'Project Reference'!$B$2:$M$41,12), " ")</f>
        <v xml:space="preserve"> </v>
      </c>
      <c r="W179" s="8" t="str">
        <f>IFERROR(VLOOKUP($A179,'Project Reference'!$B$2:$N$41,13), " ")</f>
        <v xml:space="preserve"> </v>
      </c>
      <c r="X179" s="8" t="str">
        <f>IFERROR(VLOOKUP($A179,'Project Reference'!$B$2:$O$41,14), " ")</f>
        <v xml:space="preserve"> </v>
      </c>
      <c r="Y179" s="8" t="str">
        <f>IFERROR(VLOOKUP($A179,'Project Reference'!$B$2:$P$41,15), " ")</f>
        <v xml:space="preserve"> </v>
      </c>
      <c r="Z179" s="9" t="str">
        <f>IFERROR(VLOOKUP($A179,'Project Reference'!$B$2:$Q$41,16), " ")</f>
        <v xml:space="preserve"> </v>
      </c>
    </row>
    <row r="180" spans="1:26" s="1" customFormat="1" x14ac:dyDescent="0.45">
      <c r="A180" s="70"/>
      <c r="B180" s="70" t="str">
        <f>IFERROR(VLOOKUP($A180,'Project Reference'!$S$2:$T$41,2),"Enter Project Number")</f>
        <v>Enter Project Number</v>
      </c>
      <c r="C180" s="54"/>
      <c r="D180" s="53"/>
      <c r="E180" s="8"/>
      <c r="F180" s="8"/>
      <c r="G180" s="8"/>
      <c r="H180" s="8"/>
      <c r="I180" s="8"/>
      <c r="J180" s="9"/>
      <c r="K180" s="23"/>
      <c r="L180" s="47" t="str">
        <f>IFERROR(VLOOKUP($A180,'Project Reference'!$B$2:$C$41,2), " ")</f>
        <v xml:space="preserve"> </v>
      </c>
      <c r="M180" s="8" t="str">
        <f>IFERROR(VLOOKUP($A180,'Project Reference'!$B$2:$D$41,3), " ")</f>
        <v xml:space="preserve"> </v>
      </c>
      <c r="N180" s="54" t="str">
        <f>IFERROR(VLOOKUP($A180,'Project Reference'!$B$2:$E$41,4), " ")</f>
        <v xml:space="preserve"> </v>
      </c>
      <c r="O180" s="8" t="str">
        <f>IFERROR(VLOOKUP($A180,'Project Reference'!$B$2:$F$41,5), " ")</f>
        <v xml:space="preserve"> </v>
      </c>
      <c r="P180" s="8" t="str">
        <f>IFERROR(VLOOKUP($A180,'Project Reference'!$B$2:$G$41,6), " ")</f>
        <v xml:space="preserve"> </v>
      </c>
      <c r="Q180" s="8" t="str">
        <f>IFERROR(VLOOKUP($A180,'Project Reference'!$B$2:$H$41,7), " ")</f>
        <v xml:space="preserve"> </v>
      </c>
      <c r="R180" s="8" t="str">
        <f>IFERROR(VLOOKUP($A180,'Project Reference'!$B$2:$I$41,8), " ")</f>
        <v xml:space="preserve"> </v>
      </c>
      <c r="S180" s="8" t="str">
        <f>IFERROR(VLOOKUP($A180,'Project Reference'!$B$2:$J$41,9), " ")</f>
        <v xml:space="preserve"> </v>
      </c>
      <c r="T180" s="8" t="str">
        <f>IFERROR(VLOOKUP($A180,'Project Reference'!$B$2:$K$41,10), " ")</f>
        <v xml:space="preserve"> </v>
      </c>
      <c r="U180" s="8" t="str">
        <f>IFERROR(VLOOKUP($A180,'Project Reference'!$B$2:$L$41,11), " ")</f>
        <v xml:space="preserve"> </v>
      </c>
      <c r="V180" s="8" t="str">
        <f>IFERROR(VLOOKUP($A180,'Project Reference'!$B$2:$M$41,12), " ")</f>
        <v xml:space="preserve"> </v>
      </c>
      <c r="W180" s="8" t="str">
        <f>IFERROR(VLOOKUP($A180,'Project Reference'!$B$2:$N$41,13), " ")</f>
        <v xml:space="preserve"> </v>
      </c>
      <c r="X180" s="8" t="str">
        <f>IFERROR(VLOOKUP($A180,'Project Reference'!$B$2:$O$41,14), " ")</f>
        <v xml:space="preserve"> </v>
      </c>
      <c r="Y180" s="8" t="str">
        <f>IFERROR(VLOOKUP($A180,'Project Reference'!$B$2:$P$41,15), " ")</f>
        <v xml:space="preserve"> </v>
      </c>
      <c r="Z180" s="9" t="str">
        <f>IFERROR(VLOOKUP($A180,'Project Reference'!$B$2:$Q$41,16), " ")</f>
        <v xml:space="preserve"> </v>
      </c>
    </row>
    <row r="181" spans="1:26" s="1" customFormat="1" x14ac:dyDescent="0.45">
      <c r="A181" s="70"/>
      <c r="B181" s="70" t="str">
        <f>IFERROR(VLOOKUP($A181,'Project Reference'!$S$2:$T$41,2),"Enter Project Number")</f>
        <v>Enter Project Number</v>
      </c>
      <c r="C181" s="54"/>
      <c r="D181" s="53"/>
      <c r="E181" s="8"/>
      <c r="F181" s="8"/>
      <c r="G181" s="8"/>
      <c r="H181" s="8"/>
      <c r="I181" s="8"/>
      <c r="J181" s="9"/>
      <c r="K181" s="23"/>
      <c r="L181" s="47" t="str">
        <f>IFERROR(VLOOKUP($A181,'Project Reference'!$B$2:$C$41,2), " ")</f>
        <v xml:space="preserve"> </v>
      </c>
      <c r="M181" s="8" t="str">
        <f>IFERROR(VLOOKUP($A181,'Project Reference'!$B$2:$D$41,3), " ")</f>
        <v xml:space="preserve"> </v>
      </c>
      <c r="N181" s="54" t="str">
        <f>IFERROR(VLOOKUP($A181,'Project Reference'!$B$2:$E$41,4), " ")</f>
        <v xml:space="preserve"> </v>
      </c>
      <c r="O181" s="8" t="str">
        <f>IFERROR(VLOOKUP($A181,'Project Reference'!$B$2:$F$41,5), " ")</f>
        <v xml:space="preserve"> </v>
      </c>
      <c r="P181" s="8" t="str">
        <f>IFERROR(VLOOKUP($A181,'Project Reference'!$B$2:$G$41,6), " ")</f>
        <v xml:space="preserve"> </v>
      </c>
      <c r="Q181" s="8" t="str">
        <f>IFERROR(VLOOKUP($A181,'Project Reference'!$B$2:$H$41,7), " ")</f>
        <v xml:space="preserve"> </v>
      </c>
      <c r="R181" s="8" t="str">
        <f>IFERROR(VLOOKUP($A181,'Project Reference'!$B$2:$I$41,8), " ")</f>
        <v xml:space="preserve"> </v>
      </c>
      <c r="S181" s="8" t="str">
        <f>IFERROR(VLOOKUP($A181,'Project Reference'!$B$2:$J$41,9), " ")</f>
        <v xml:space="preserve"> </v>
      </c>
      <c r="T181" s="8" t="str">
        <f>IFERROR(VLOOKUP($A181,'Project Reference'!$B$2:$K$41,10), " ")</f>
        <v xml:space="preserve"> </v>
      </c>
      <c r="U181" s="8" t="str">
        <f>IFERROR(VLOOKUP($A181,'Project Reference'!$B$2:$L$41,11), " ")</f>
        <v xml:space="preserve"> </v>
      </c>
      <c r="V181" s="8" t="str">
        <f>IFERROR(VLOOKUP($A181,'Project Reference'!$B$2:$M$41,12), " ")</f>
        <v xml:space="preserve"> </v>
      </c>
      <c r="W181" s="8" t="str">
        <f>IFERROR(VLOOKUP($A181,'Project Reference'!$B$2:$N$41,13), " ")</f>
        <v xml:space="preserve"> </v>
      </c>
      <c r="X181" s="8" t="str">
        <f>IFERROR(VLOOKUP($A181,'Project Reference'!$B$2:$O$41,14), " ")</f>
        <v xml:space="preserve"> </v>
      </c>
      <c r="Y181" s="8" t="str">
        <f>IFERROR(VLOOKUP($A181,'Project Reference'!$B$2:$P$41,15), " ")</f>
        <v xml:space="preserve"> </v>
      </c>
      <c r="Z181" s="9" t="str">
        <f>IFERROR(VLOOKUP($A181,'Project Reference'!$B$2:$Q$41,16), " ")</f>
        <v xml:space="preserve"> </v>
      </c>
    </row>
    <row r="182" spans="1:26" s="1" customFormat="1" x14ac:dyDescent="0.45">
      <c r="A182" s="70"/>
      <c r="B182" s="70" t="str">
        <f>IFERROR(VLOOKUP($A182,'Project Reference'!$S$2:$T$41,2),"Enter Project Number")</f>
        <v>Enter Project Number</v>
      </c>
      <c r="C182" s="54"/>
      <c r="D182" s="53"/>
      <c r="E182" s="8"/>
      <c r="F182" s="8"/>
      <c r="G182" s="8"/>
      <c r="H182" s="8"/>
      <c r="I182" s="8"/>
      <c r="J182" s="9"/>
      <c r="K182" s="23"/>
      <c r="L182" s="47" t="str">
        <f>IFERROR(VLOOKUP($A182,'Project Reference'!$B$2:$C$41,2), " ")</f>
        <v xml:space="preserve"> </v>
      </c>
      <c r="M182" s="8" t="str">
        <f>IFERROR(VLOOKUP($A182,'Project Reference'!$B$2:$D$41,3), " ")</f>
        <v xml:space="preserve"> </v>
      </c>
      <c r="N182" s="54" t="str">
        <f>IFERROR(VLOOKUP($A182,'Project Reference'!$B$2:$E$41,4), " ")</f>
        <v xml:space="preserve"> </v>
      </c>
      <c r="O182" s="8" t="str">
        <f>IFERROR(VLOOKUP($A182,'Project Reference'!$B$2:$F$41,5), " ")</f>
        <v xml:space="preserve"> </v>
      </c>
      <c r="P182" s="8" t="str">
        <f>IFERROR(VLOOKUP($A182,'Project Reference'!$B$2:$G$41,6), " ")</f>
        <v xml:space="preserve"> </v>
      </c>
      <c r="Q182" s="8" t="str">
        <f>IFERROR(VLOOKUP($A182,'Project Reference'!$B$2:$H$41,7), " ")</f>
        <v xml:space="preserve"> </v>
      </c>
      <c r="R182" s="8" t="str">
        <f>IFERROR(VLOOKUP($A182,'Project Reference'!$B$2:$I$41,8), " ")</f>
        <v xml:space="preserve"> </v>
      </c>
      <c r="S182" s="8" t="str">
        <f>IFERROR(VLOOKUP($A182,'Project Reference'!$B$2:$J$41,9), " ")</f>
        <v xml:space="preserve"> </v>
      </c>
      <c r="T182" s="8" t="str">
        <f>IFERROR(VLOOKUP($A182,'Project Reference'!$B$2:$K$41,10), " ")</f>
        <v xml:space="preserve"> </v>
      </c>
      <c r="U182" s="8" t="str">
        <f>IFERROR(VLOOKUP($A182,'Project Reference'!$B$2:$L$41,11), " ")</f>
        <v xml:space="preserve"> </v>
      </c>
      <c r="V182" s="8" t="str">
        <f>IFERROR(VLOOKUP($A182,'Project Reference'!$B$2:$M$41,12), " ")</f>
        <v xml:space="preserve"> </v>
      </c>
      <c r="W182" s="8" t="str">
        <f>IFERROR(VLOOKUP($A182,'Project Reference'!$B$2:$N$41,13), " ")</f>
        <v xml:space="preserve"> </v>
      </c>
      <c r="X182" s="8" t="str">
        <f>IFERROR(VLOOKUP($A182,'Project Reference'!$B$2:$O$41,14), " ")</f>
        <v xml:space="preserve"> </v>
      </c>
      <c r="Y182" s="8" t="str">
        <f>IFERROR(VLOOKUP($A182,'Project Reference'!$B$2:$P$41,15), " ")</f>
        <v xml:space="preserve"> </v>
      </c>
      <c r="Z182" s="9" t="str">
        <f>IFERROR(VLOOKUP($A182,'Project Reference'!$B$2:$Q$41,16), " ")</f>
        <v xml:space="preserve"> </v>
      </c>
    </row>
    <row r="183" spans="1:26" s="1" customFormat="1" x14ac:dyDescent="0.45">
      <c r="A183" s="70"/>
      <c r="B183" s="70" t="str">
        <f>IFERROR(VLOOKUP($A183,'Project Reference'!$S$2:$T$41,2),"Enter Project Number")</f>
        <v>Enter Project Number</v>
      </c>
      <c r="C183" s="54"/>
      <c r="D183" s="53"/>
      <c r="E183" s="8"/>
      <c r="F183" s="8"/>
      <c r="G183" s="8"/>
      <c r="H183" s="8"/>
      <c r="I183" s="8"/>
      <c r="J183" s="9"/>
      <c r="K183" s="23"/>
      <c r="L183" s="47" t="str">
        <f>IFERROR(VLOOKUP($A183,'Project Reference'!$B$2:$C$41,2), " ")</f>
        <v xml:space="preserve"> </v>
      </c>
      <c r="M183" s="8" t="str">
        <f>IFERROR(VLOOKUP($A183,'Project Reference'!$B$2:$D$41,3), " ")</f>
        <v xml:space="preserve"> </v>
      </c>
      <c r="N183" s="54" t="str">
        <f>IFERROR(VLOOKUP($A183,'Project Reference'!$B$2:$E$41,4), " ")</f>
        <v xml:space="preserve"> </v>
      </c>
      <c r="O183" s="8" t="str">
        <f>IFERROR(VLOOKUP($A183,'Project Reference'!$B$2:$F$41,5), " ")</f>
        <v xml:space="preserve"> </v>
      </c>
      <c r="P183" s="8" t="str">
        <f>IFERROR(VLOOKUP($A183,'Project Reference'!$B$2:$G$41,6), " ")</f>
        <v xml:space="preserve"> </v>
      </c>
      <c r="Q183" s="8" t="str">
        <f>IFERROR(VLOOKUP($A183,'Project Reference'!$B$2:$H$41,7), " ")</f>
        <v xml:space="preserve"> </v>
      </c>
      <c r="R183" s="8" t="str">
        <f>IFERROR(VLOOKUP($A183,'Project Reference'!$B$2:$I$41,8), " ")</f>
        <v xml:space="preserve"> </v>
      </c>
      <c r="S183" s="8" t="str">
        <f>IFERROR(VLOOKUP($A183,'Project Reference'!$B$2:$J$41,9), " ")</f>
        <v xml:space="preserve"> </v>
      </c>
      <c r="T183" s="8" t="str">
        <f>IFERROR(VLOOKUP($A183,'Project Reference'!$B$2:$K$41,10), " ")</f>
        <v xml:space="preserve"> </v>
      </c>
      <c r="U183" s="8" t="str">
        <f>IFERROR(VLOOKUP($A183,'Project Reference'!$B$2:$L$41,11), " ")</f>
        <v xml:space="preserve"> </v>
      </c>
      <c r="V183" s="8" t="str">
        <f>IFERROR(VLOOKUP($A183,'Project Reference'!$B$2:$M$41,12), " ")</f>
        <v xml:space="preserve"> </v>
      </c>
      <c r="W183" s="8" t="str">
        <f>IFERROR(VLOOKUP($A183,'Project Reference'!$B$2:$N$41,13), " ")</f>
        <v xml:space="preserve"> </v>
      </c>
      <c r="X183" s="8" t="str">
        <f>IFERROR(VLOOKUP($A183,'Project Reference'!$B$2:$O$41,14), " ")</f>
        <v xml:space="preserve"> </v>
      </c>
      <c r="Y183" s="8" t="str">
        <f>IFERROR(VLOOKUP($A183,'Project Reference'!$B$2:$P$41,15), " ")</f>
        <v xml:space="preserve"> </v>
      </c>
      <c r="Z183" s="9" t="str">
        <f>IFERROR(VLOOKUP($A183,'Project Reference'!$B$2:$Q$41,16), " ")</f>
        <v xml:space="preserve"> </v>
      </c>
    </row>
    <row r="184" spans="1:26" s="1" customFormat="1" x14ac:dyDescent="0.45">
      <c r="A184" s="70"/>
      <c r="B184" s="70" t="str">
        <f>IFERROR(VLOOKUP($A184,'Project Reference'!$S$2:$T$41,2),"Enter Project Number")</f>
        <v>Enter Project Number</v>
      </c>
      <c r="C184" s="54"/>
      <c r="D184" s="53"/>
      <c r="E184" s="8"/>
      <c r="F184" s="8"/>
      <c r="G184" s="8"/>
      <c r="H184" s="8"/>
      <c r="I184" s="8"/>
      <c r="J184" s="9"/>
      <c r="K184" s="23"/>
      <c r="L184" s="47" t="str">
        <f>IFERROR(VLOOKUP($A184,'Project Reference'!$B$2:$C$41,2), " ")</f>
        <v xml:space="preserve"> </v>
      </c>
      <c r="M184" s="8" t="str">
        <f>IFERROR(VLOOKUP($A184,'Project Reference'!$B$2:$D$41,3), " ")</f>
        <v xml:space="preserve"> </v>
      </c>
      <c r="N184" s="54" t="str">
        <f>IFERROR(VLOOKUP($A184,'Project Reference'!$B$2:$E$41,4), " ")</f>
        <v xml:space="preserve"> </v>
      </c>
      <c r="O184" s="8" t="str">
        <f>IFERROR(VLOOKUP($A184,'Project Reference'!$B$2:$F$41,5), " ")</f>
        <v xml:space="preserve"> </v>
      </c>
      <c r="P184" s="8" t="str">
        <f>IFERROR(VLOOKUP($A184,'Project Reference'!$B$2:$G$41,6), " ")</f>
        <v xml:space="preserve"> </v>
      </c>
      <c r="Q184" s="8" t="str">
        <f>IFERROR(VLOOKUP($A184,'Project Reference'!$B$2:$H$41,7), " ")</f>
        <v xml:space="preserve"> </v>
      </c>
      <c r="R184" s="8" t="str">
        <f>IFERROR(VLOOKUP($A184,'Project Reference'!$B$2:$I$41,8), " ")</f>
        <v xml:space="preserve"> </v>
      </c>
      <c r="S184" s="8" t="str">
        <f>IFERROR(VLOOKUP($A184,'Project Reference'!$B$2:$J$41,9), " ")</f>
        <v xml:space="preserve"> </v>
      </c>
      <c r="T184" s="8" t="str">
        <f>IFERROR(VLOOKUP($A184,'Project Reference'!$B$2:$K$41,10), " ")</f>
        <v xml:space="preserve"> </v>
      </c>
      <c r="U184" s="8" t="str">
        <f>IFERROR(VLOOKUP($A184,'Project Reference'!$B$2:$L$41,11), " ")</f>
        <v xml:space="preserve"> </v>
      </c>
      <c r="V184" s="8" t="str">
        <f>IFERROR(VLOOKUP($A184,'Project Reference'!$B$2:$M$41,12), " ")</f>
        <v xml:space="preserve"> </v>
      </c>
      <c r="W184" s="8" t="str">
        <f>IFERROR(VLOOKUP($A184,'Project Reference'!$B$2:$N$41,13), " ")</f>
        <v xml:space="preserve"> </v>
      </c>
      <c r="X184" s="8" t="str">
        <f>IFERROR(VLOOKUP($A184,'Project Reference'!$B$2:$O$41,14), " ")</f>
        <v xml:space="preserve"> </v>
      </c>
      <c r="Y184" s="8" t="str">
        <f>IFERROR(VLOOKUP($A184,'Project Reference'!$B$2:$P$41,15), " ")</f>
        <v xml:space="preserve"> </v>
      </c>
      <c r="Z184" s="9" t="str">
        <f>IFERROR(VLOOKUP($A184,'Project Reference'!$B$2:$Q$41,16), " ")</f>
        <v xml:space="preserve"> </v>
      </c>
    </row>
    <row r="185" spans="1:26" s="1" customFormat="1" x14ac:dyDescent="0.45">
      <c r="A185" s="70"/>
      <c r="B185" s="70" t="str">
        <f>IFERROR(VLOOKUP($A185,'Project Reference'!$S$2:$T$41,2),"Enter Project Number")</f>
        <v>Enter Project Number</v>
      </c>
      <c r="C185" s="54"/>
      <c r="D185" s="53"/>
      <c r="E185" s="8"/>
      <c r="F185" s="8"/>
      <c r="G185" s="8"/>
      <c r="H185" s="8"/>
      <c r="I185" s="8"/>
      <c r="J185" s="9"/>
      <c r="K185" s="23"/>
      <c r="L185" s="47" t="str">
        <f>IFERROR(VLOOKUP($A185,'Project Reference'!$B$2:$C$41,2), " ")</f>
        <v xml:space="preserve"> </v>
      </c>
      <c r="M185" s="8" t="str">
        <f>IFERROR(VLOOKUP($A185,'Project Reference'!$B$2:$D$41,3), " ")</f>
        <v xml:space="preserve"> </v>
      </c>
      <c r="N185" s="54" t="str">
        <f>IFERROR(VLOOKUP($A185,'Project Reference'!$B$2:$E$41,4), " ")</f>
        <v xml:space="preserve"> </v>
      </c>
      <c r="O185" s="8" t="str">
        <f>IFERROR(VLOOKUP($A185,'Project Reference'!$B$2:$F$41,5), " ")</f>
        <v xml:space="preserve"> </v>
      </c>
      <c r="P185" s="8" t="str">
        <f>IFERROR(VLOOKUP($A185,'Project Reference'!$B$2:$G$41,6), " ")</f>
        <v xml:space="preserve"> </v>
      </c>
      <c r="Q185" s="8" t="str">
        <f>IFERROR(VLOOKUP($A185,'Project Reference'!$B$2:$H$41,7), " ")</f>
        <v xml:space="preserve"> </v>
      </c>
      <c r="R185" s="8" t="str">
        <f>IFERROR(VLOOKUP($A185,'Project Reference'!$B$2:$I$41,8), " ")</f>
        <v xml:space="preserve"> </v>
      </c>
      <c r="S185" s="8" t="str">
        <f>IFERROR(VLOOKUP($A185,'Project Reference'!$B$2:$J$41,9), " ")</f>
        <v xml:space="preserve"> </v>
      </c>
      <c r="T185" s="8" t="str">
        <f>IFERROR(VLOOKUP($A185,'Project Reference'!$B$2:$K$41,10), " ")</f>
        <v xml:space="preserve"> </v>
      </c>
      <c r="U185" s="8" t="str">
        <f>IFERROR(VLOOKUP($A185,'Project Reference'!$B$2:$L$41,11), " ")</f>
        <v xml:space="preserve"> </v>
      </c>
      <c r="V185" s="8" t="str">
        <f>IFERROR(VLOOKUP($A185,'Project Reference'!$B$2:$M$41,12), " ")</f>
        <v xml:space="preserve"> </v>
      </c>
      <c r="W185" s="8" t="str">
        <f>IFERROR(VLOOKUP($A185,'Project Reference'!$B$2:$N$41,13), " ")</f>
        <v xml:space="preserve"> </v>
      </c>
      <c r="X185" s="8" t="str">
        <f>IFERROR(VLOOKUP($A185,'Project Reference'!$B$2:$O$41,14), " ")</f>
        <v xml:space="preserve"> </v>
      </c>
      <c r="Y185" s="8" t="str">
        <f>IFERROR(VLOOKUP($A185,'Project Reference'!$B$2:$P$41,15), " ")</f>
        <v xml:space="preserve"> </v>
      </c>
      <c r="Z185" s="9" t="str">
        <f>IFERROR(VLOOKUP($A185,'Project Reference'!$B$2:$Q$41,16), " ")</f>
        <v xml:space="preserve"> </v>
      </c>
    </row>
    <row r="186" spans="1:26" s="1" customFormat="1" x14ac:dyDescent="0.45">
      <c r="A186" s="70"/>
      <c r="B186" s="70" t="str">
        <f>IFERROR(VLOOKUP($A186,'Project Reference'!$S$2:$T$41,2),"Enter Project Number")</f>
        <v>Enter Project Number</v>
      </c>
      <c r="C186" s="54"/>
      <c r="D186" s="53"/>
      <c r="E186" s="8"/>
      <c r="F186" s="8"/>
      <c r="G186" s="8"/>
      <c r="H186" s="8"/>
      <c r="I186" s="8"/>
      <c r="J186" s="9"/>
      <c r="K186" s="23"/>
      <c r="L186" s="47" t="str">
        <f>IFERROR(VLOOKUP($A186,'Project Reference'!$B$2:$C$41,2), " ")</f>
        <v xml:space="preserve"> </v>
      </c>
      <c r="M186" s="8" t="str">
        <f>IFERROR(VLOOKUP($A186,'Project Reference'!$B$2:$D$41,3), " ")</f>
        <v xml:space="preserve"> </v>
      </c>
      <c r="N186" s="54" t="str">
        <f>IFERROR(VLOOKUP($A186,'Project Reference'!$B$2:$E$41,4), " ")</f>
        <v xml:space="preserve"> </v>
      </c>
      <c r="O186" s="8" t="str">
        <f>IFERROR(VLOOKUP($A186,'Project Reference'!$B$2:$F$41,5), " ")</f>
        <v xml:space="preserve"> </v>
      </c>
      <c r="P186" s="8" t="str">
        <f>IFERROR(VLOOKUP($A186,'Project Reference'!$B$2:$G$41,6), " ")</f>
        <v xml:space="preserve"> </v>
      </c>
      <c r="Q186" s="8" t="str">
        <f>IFERROR(VLOOKUP($A186,'Project Reference'!$B$2:$H$41,7), " ")</f>
        <v xml:space="preserve"> </v>
      </c>
      <c r="R186" s="8" t="str">
        <f>IFERROR(VLOOKUP($A186,'Project Reference'!$B$2:$I$41,8), " ")</f>
        <v xml:space="preserve"> </v>
      </c>
      <c r="S186" s="8" t="str">
        <f>IFERROR(VLOOKUP($A186,'Project Reference'!$B$2:$J$41,9), " ")</f>
        <v xml:space="preserve"> </v>
      </c>
      <c r="T186" s="8" t="str">
        <f>IFERROR(VLOOKUP($A186,'Project Reference'!$B$2:$K$41,10), " ")</f>
        <v xml:space="preserve"> </v>
      </c>
      <c r="U186" s="8" t="str">
        <f>IFERROR(VLOOKUP($A186,'Project Reference'!$B$2:$L$41,11), " ")</f>
        <v xml:space="preserve"> </v>
      </c>
      <c r="V186" s="8" t="str">
        <f>IFERROR(VLOOKUP($A186,'Project Reference'!$B$2:$M$41,12), " ")</f>
        <v xml:space="preserve"> </v>
      </c>
      <c r="W186" s="8" t="str">
        <f>IFERROR(VLOOKUP($A186,'Project Reference'!$B$2:$N$41,13), " ")</f>
        <v xml:space="preserve"> </v>
      </c>
      <c r="X186" s="8" t="str">
        <f>IFERROR(VLOOKUP($A186,'Project Reference'!$B$2:$O$41,14), " ")</f>
        <v xml:space="preserve"> </v>
      </c>
      <c r="Y186" s="8" t="str">
        <f>IFERROR(VLOOKUP($A186,'Project Reference'!$B$2:$P$41,15), " ")</f>
        <v xml:space="preserve"> </v>
      </c>
      <c r="Z186" s="9" t="str">
        <f>IFERROR(VLOOKUP($A186,'Project Reference'!$B$2:$Q$41,16), " ")</f>
        <v xml:space="preserve"> </v>
      </c>
    </row>
    <row r="187" spans="1:26" s="1" customFormat="1" x14ac:dyDescent="0.45">
      <c r="A187" s="70"/>
      <c r="B187" s="70" t="str">
        <f>IFERROR(VLOOKUP($A187,'Project Reference'!$S$2:$T$41,2),"Enter Project Number")</f>
        <v>Enter Project Number</v>
      </c>
      <c r="C187" s="54"/>
      <c r="D187" s="53"/>
      <c r="E187" s="8"/>
      <c r="F187" s="8"/>
      <c r="G187" s="8"/>
      <c r="H187" s="8"/>
      <c r="I187" s="8"/>
      <c r="J187" s="9"/>
      <c r="K187" s="23"/>
      <c r="L187" s="47" t="str">
        <f>IFERROR(VLOOKUP($A187,'Project Reference'!$B$2:$C$41,2), " ")</f>
        <v xml:space="preserve"> </v>
      </c>
      <c r="M187" s="8" t="str">
        <f>IFERROR(VLOOKUP($A187,'Project Reference'!$B$2:$D$41,3), " ")</f>
        <v xml:space="preserve"> </v>
      </c>
      <c r="N187" s="54" t="str">
        <f>IFERROR(VLOOKUP($A187,'Project Reference'!$B$2:$E$41,4), " ")</f>
        <v xml:space="preserve"> </v>
      </c>
      <c r="O187" s="8" t="str">
        <f>IFERROR(VLOOKUP($A187,'Project Reference'!$B$2:$F$41,5), " ")</f>
        <v xml:space="preserve"> </v>
      </c>
      <c r="P187" s="8" t="str">
        <f>IFERROR(VLOOKUP($A187,'Project Reference'!$B$2:$G$41,6), " ")</f>
        <v xml:space="preserve"> </v>
      </c>
      <c r="Q187" s="8" t="str">
        <f>IFERROR(VLOOKUP($A187,'Project Reference'!$B$2:$H$41,7), " ")</f>
        <v xml:space="preserve"> </v>
      </c>
      <c r="R187" s="8" t="str">
        <f>IFERROR(VLOOKUP($A187,'Project Reference'!$B$2:$I$41,8), " ")</f>
        <v xml:space="preserve"> </v>
      </c>
      <c r="S187" s="8" t="str">
        <f>IFERROR(VLOOKUP($A187,'Project Reference'!$B$2:$J$41,9), " ")</f>
        <v xml:space="preserve"> </v>
      </c>
      <c r="T187" s="8" t="str">
        <f>IFERROR(VLOOKUP($A187,'Project Reference'!$B$2:$K$41,10), " ")</f>
        <v xml:space="preserve"> </v>
      </c>
      <c r="U187" s="8" t="str">
        <f>IFERROR(VLOOKUP($A187,'Project Reference'!$B$2:$L$41,11), " ")</f>
        <v xml:space="preserve"> </v>
      </c>
      <c r="V187" s="8" t="str">
        <f>IFERROR(VLOOKUP($A187,'Project Reference'!$B$2:$M$41,12), " ")</f>
        <v xml:space="preserve"> </v>
      </c>
      <c r="W187" s="8" t="str">
        <f>IFERROR(VLOOKUP($A187,'Project Reference'!$B$2:$N$41,13), " ")</f>
        <v xml:space="preserve"> </v>
      </c>
      <c r="X187" s="8" t="str">
        <f>IFERROR(VLOOKUP($A187,'Project Reference'!$B$2:$O$41,14), " ")</f>
        <v xml:space="preserve"> </v>
      </c>
      <c r="Y187" s="8" t="str">
        <f>IFERROR(VLOOKUP($A187,'Project Reference'!$B$2:$P$41,15), " ")</f>
        <v xml:space="preserve"> </v>
      </c>
      <c r="Z187" s="9" t="str">
        <f>IFERROR(VLOOKUP($A187,'Project Reference'!$B$2:$Q$41,16), " ")</f>
        <v xml:space="preserve"> </v>
      </c>
    </row>
    <row r="188" spans="1:26" s="1" customFormat="1" x14ac:dyDescent="0.45">
      <c r="A188" s="70"/>
      <c r="B188" s="70" t="str">
        <f>IFERROR(VLOOKUP($A188,'Project Reference'!$S$2:$T$41,2),"Enter Project Number")</f>
        <v>Enter Project Number</v>
      </c>
      <c r="C188" s="54"/>
      <c r="D188" s="53"/>
      <c r="E188" s="8"/>
      <c r="F188" s="8"/>
      <c r="G188" s="8"/>
      <c r="H188" s="8"/>
      <c r="I188" s="8"/>
      <c r="J188" s="9"/>
      <c r="K188" s="23"/>
      <c r="L188" s="47" t="str">
        <f>IFERROR(VLOOKUP($A188,'Project Reference'!$B$2:$C$41,2), " ")</f>
        <v xml:space="preserve"> </v>
      </c>
      <c r="M188" s="8" t="str">
        <f>IFERROR(VLOOKUP($A188,'Project Reference'!$B$2:$D$41,3), " ")</f>
        <v xml:space="preserve"> </v>
      </c>
      <c r="N188" s="54" t="str">
        <f>IFERROR(VLOOKUP($A188,'Project Reference'!$B$2:$E$41,4), " ")</f>
        <v xml:space="preserve"> </v>
      </c>
      <c r="O188" s="8" t="str">
        <f>IFERROR(VLOOKUP($A188,'Project Reference'!$B$2:$F$41,5), " ")</f>
        <v xml:space="preserve"> </v>
      </c>
      <c r="P188" s="8" t="str">
        <f>IFERROR(VLOOKUP($A188,'Project Reference'!$B$2:$G$41,6), " ")</f>
        <v xml:space="preserve"> </v>
      </c>
      <c r="Q188" s="8" t="str">
        <f>IFERROR(VLOOKUP($A188,'Project Reference'!$B$2:$H$41,7), " ")</f>
        <v xml:space="preserve"> </v>
      </c>
      <c r="R188" s="8" t="str">
        <f>IFERROR(VLOOKUP($A188,'Project Reference'!$B$2:$I$41,8), " ")</f>
        <v xml:space="preserve"> </v>
      </c>
      <c r="S188" s="8" t="str">
        <f>IFERROR(VLOOKUP($A188,'Project Reference'!$B$2:$J$41,9), " ")</f>
        <v xml:space="preserve"> </v>
      </c>
      <c r="T188" s="8" t="str">
        <f>IFERROR(VLOOKUP($A188,'Project Reference'!$B$2:$K$41,10), " ")</f>
        <v xml:space="preserve"> </v>
      </c>
      <c r="U188" s="8" t="str">
        <f>IFERROR(VLOOKUP($A188,'Project Reference'!$B$2:$L$41,11), " ")</f>
        <v xml:space="preserve"> </v>
      </c>
      <c r="V188" s="8" t="str">
        <f>IFERROR(VLOOKUP($A188,'Project Reference'!$B$2:$M$41,12), " ")</f>
        <v xml:space="preserve"> </v>
      </c>
      <c r="W188" s="8" t="str">
        <f>IFERROR(VLOOKUP($A188,'Project Reference'!$B$2:$N$41,13), " ")</f>
        <v xml:space="preserve"> </v>
      </c>
      <c r="X188" s="8" t="str">
        <f>IFERROR(VLOOKUP($A188,'Project Reference'!$B$2:$O$41,14), " ")</f>
        <v xml:space="preserve"> </v>
      </c>
      <c r="Y188" s="8" t="str">
        <f>IFERROR(VLOOKUP($A188,'Project Reference'!$B$2:$P$41,15), " ")</f>
        <v xml:space="preserve"> </v>
      </c>
      <c r="Z188" s="9" t="str">
        <f>IFERROR(VLOOKUP($A188,'Project Reference'!$B$2:$Q$41,16), " ")</f>
        <v xml:space="preserve"> </v>
      </c>
    </row>
    <row r="189" spans="1:26" s="1" customFormat="1" x14ac:dyDescent="0.45">
      <c r="A189" s="70"/>
      <c r="B189" s="70" t="str">
        <f>IFERROR(VLOOKUP($A189,'Project Reference'!$S$2:$T$41,2),"Enter Project Number")</f>
        <v>Enter Project Number</v>
      </c>
      <c r="C189" s="54"/>
      <c r="D189" s="53"/>
      <c r="E189" s="8"/>
      <c r="F189" s="8"/>
      <c r="G189" s="8"/>
      <c r="H189" s="8"/>
      <c r="I189" s="8"/>
      <c r="J189" s="9"/>
      <c r="K189" s="23"/>
      <c r="L189" s="47" t="str">
        <f>IFERROR(VLOOKUP($A189,'Project Reference'!$B$2:$C$41,2), " ")</f>
        <v xml:space="preserve"> </v>
      </c>
      <c r="M189" s="8" t="str">
        <f>IFERROR(VLOOKUP($A189,'Project Reference'!$B$2:$D$41,3), " ")</f>
        <v xml:space="preserve"> </v>
      </c>
      <c r="N189" s="54" t="str">
        <f>IFERROR(VLOOKUP($A189,'Project Reference'!$B$2:$E$41,4), " ")</f>
        <v xml:space="preserve"> </v>
      </c>
      <c r="O189" s="8" t="str">
        <f>IFERROR(VLOOKUP($A189,'Project Reference'!$B$2:$F$41,5), " ")</f>
        <v xml:space="preserve"> </v>
      </c>
      <c r="P189" s="8" t="str">
        <f>IFERROR(VLOOKUP($A189,'Project Reference'!$B$2:$G$41,6), " ")</f>
        <v xml:space="preserve"> </v>
      </c>
      <c r="Q189" s="8" t="str">
        <f>IFERROR(VLOOKUP($A189,'Project Reference'!$B$2:$H$41,7), " ")</f>
        <v xml:space="preserve"> </v>
      </c>
      <c r="R189" s="8" t="str">
        <f>IFERROR(VLOOKUP($A189,'Project Reference'!$B$2:$I$41,8), " ")</f>
        <v xml:space="preserve"> </v>
      </c>
      <c r="S189" s="8" t="str">
        <f>IFERROR(VLOOKUP($A189,'Project Reference'!$B$2:$J$41,9), " ")</f>
        <v xml:space="preserve"> </v>
      </c>
      <c r="T189" s="8" t="str">
        <f>IFERROR(VLOOKUP($A189,'Project Reference'!$B$2:$K$41,10), " ")</f>
        <v xml:space="preserve"> </v>
      </c>
      <c r="U189" s="8" t="str">
        <f>IFERROR(VLOOKUP($A189,'Project Reference'!$B$2:$L$41,11), " ")</f>
        <v xml:space="preserve"> </v>
      </c>
      <c r="V189" s="8" t="str">
        <f>IFERROR(VLOOKUP($A189,'Project Reference'!$B$2:$M$41,12), " ")</f>
        <v xml:space="preserve"> </v>
      </c>
      <c r="W189" s="8" t="str">
        <f>IFERROR(VLOOKUP($A189,'Project Reference'!$B$2:$N$41,13), " ")</f>
        <v xml:space="preserve"> </v>
      </c>
      <c r="X189" s="8" t="str">
        <f>IFERROR(VLOOKUP($A189,'Project Reference'!$B$2:$O$41,14), " ")</f>
        <v xml:space="preserve"> </v>
      </c>
      <c r="Y189" s="8" t="str">
        <f>IFERROR(VLOOKUP($A189,'Project Reference'!$B$2:$P$41,15), " ")</f>
        <v xml:space="preserve"> </v>
      </c>
      <c r="Z189" s="9" t="str">
        <f>IFERROR(VLOOKUP($A189,'Project Reference'!$B$2:$Q$41,16), " ")</f>
        <v xml:space="preserve"> </v>
      </c>
    </row>
    <row r="190" spans="1:26" s="1" customFormat="1" x14ac:dyDescent="0.45">
      <c r="A190" s="70"/>
      <c r="B190" s="70" t="str">
        <f>IFERROR(VLOOKUP($A190,'Project Reference'!$S$2:$T$41,2),"Enter Project Number")</f>
        <v>Enter Project Number</v>
      </c>
      <c r="C190" s="54"/>
      <c r="D190" s="53"/>
      <c r="E190" s="8"/>
      <c r="F190" s="8"/>
      <c r="G190" s="8"/>
      <c r="H190" s="8"/>
      <c r="I190" s="8"/>
      <c r="J190" s="9"/>
      <c r="K190" s="23"/>
      <c r="L190" s="47" t="str">
        <f>IFERROR(VLOOKUP($A190,'Project Reference'!$B$2:$C$41,2), " ")</f>
        <v xml:space="preserve"> </v>
      </c>
      <c r="M190" s="8" t="str">
        <f>IFERROR(VLOOKUP($A190,'Project Reference'!$B$2:$D$41,3), " ")</f>
        <v xml:space="preserve"> </v>
      </c>
      <c r="N190" s="54" t="str">
        <f>IFERROR(VLOOKUP($A190,'Project Reference'!$B$2:$E$41,4), " ")</f>
        <v xml:space="preserve"> </v>
      </c>
      <c r="O190" s="8" t="str">
        <f>IFERROR(VLOOKUP($A190,'Project Reference'!$B$2:$F$41,5), " ")</f>
        <v xml:space="preserve"> </v>
      </c>
      <c r="P190" s="8" t="str">
        <f>IFERROR(VLOOKUP($A190,'Project Reference'!$B$2:$G$41,6), " ")</f>
        <v xml:space="preserve"> </v>
      </c>
      <c r="Q190" s="8" t="str">
        <f>IFERROR(VLOOKUP($A190,'Project Reference'!$B$2:$H$41,7), " ")</f>
        <v xml:space="preserve"> </v>
      </c>
      <c r="R190" s="8" t="str">
        <f>IFERROR(VLOOKUP($A190,'Project Reference'!$B$2:$I$41,8), " ")</f>
        <v xml:space="preserve"> </v>
      </c>
      <c r="S190" s="8" t="str">
        <f>IFERROR(VLOOKUP($A190,'Project Reference'!$B$2:$J$41,9), " ")</f>
        <v xml:space="preserve"> </v>
      </c>
      <c r="T190" s="8" t="str">
        <f>IFERROR(VLOOKUP($A190,'Project Reference'!$B$2:$K$41,10), " ")</f>
        <v xml:space="preserve"> </v>
      </c>
      <c r="U190" s="8" t="str">
        <f>IFERROR(VLOOKUP($A190,'Project Reference'!$B$2:$L$41,11), " ")</f>
        <v xml:space="preserve"> </v>
      </c>
      <c r="V190" s="8" t="str">
        <f>IFERROR(VLOOKUP($A190,'Project Reference'!$B$2:$M$41,12), " ")</f>
        <v xml:space="preserve"> </v>
      </c>
      <c r="W190" s="8" t="str">
        <f>IFERROR(VLOOKUP($A190,'Project Reference'!$B$2:$N$41,13), " ")</f>
        <v xml:space="preserve"> </v>
      </c>
      <c r="X190" s="8" t="str">
        <f>IFERROR(VLOOKUP($A190,'Project Reference'!$B$2:$O$41,14), " ")</f>
        <v xml:space="preserve"> </v>
      </c>
      <c r="Y190" s="8" t="str">
        <f>IFERROR(VLOOKUP($A190,'Project Reference'!$B$2:$P$41,15), " ")</f>
        <v xml:space="preserve"> </v>
      </c>
      <c r="Z190" s="9" t="str">
        <f>IFERROR(VLOOKUP($A190,'Project Reference'!$B$2:$Q$41,16), " ")</f>
        <v xml:space="preserve"> </v>
      </c>
    </row>
    <row r="191" spans="1:26" s="1" customFormat="1" x14ac:dyDescent="0.45">
      <c r="A191" s="70"/>
      <c r="B191" s="70" t="str">
        <f>IFERROR(VLOOKUP($A191,'Project Reference'!$S$2:$T$41,2),"Enter Project Number")</f>
        <v>Enter Project Number</v>
      </c>
      <c r="C191" s="54"/>
      <c r="D191" s="53"/>
      <c r="E191" s="8"/>
      <c r="F191" s="8"/>
      <c r="G191" s="8"/>
      <c r="H191" s="8"/>
      <c r="I191" s="8"/>
      <c r="J191" s="9"/>
      <c r="K191" s="23"/>
      <c r="L191" s="47" t="str">
        <f>IFERROR(VLOOKUP($A191,'Project Reference'!$B$2:$C$41,2), " ")</f>
        <v xml:space="preserve"> </v>
      </c>
      <c r="M191" s="8" t="str">
        <f>IFERROR(VLOOKUP($A191,'Project Reference'!$B$2:$D$41,3), " ")</f>
        <v xml:space="preserve"> </v>
      </c>
      <c r="N191" s="54" t="str">
        <f>IFERROR(VLOOKUP($A191,'Project Reference'!$B$2:$E$41,4), " ")</f>
        <v xml:space="preserve"> </v>
      </c>
      <c r="O191" s="8" t="str">
        <f>IFERROR(VLOOKUP($A191,'Project Reference'!$B$2:$F$41,5), " ")</f>
        <v xml:space="preserve"> </v>
      </c>
      <c r="P191" s="8" t="str">
        <f>IFERROR(VLOOKUP($A191,'Project Reference'!$B$2:$G$41,6), " ")</f>
        <v xml:space="preserve"> </v>
      </c>
      <c r="Q191" s="8" t="str">
        <f>IFERROR(VLOOKUP($A191,'Project Reference'!$B$2:$H$41,7), " ")</f>
        <v xml:space="preserve"> </v>
      </c>
      <c r="R191" s="8" t="str">
        <f>IFERROR(VLOOKUP($A191,'Project Reference'!$B$2:$I$41,8), " ")</f>
        <v xml:space="preserve"> </v>
      </c>
      <c r="S191" s="8" t="str">
        <f>IFERROR(VLOOKUP($A191,'Project Reference'!$B$2:$J$41,9), " ")</f>
        <v xml:space="preserve"> </v>
      </c>
      <c r="T191" s="8" t="str">
        <f>IFERROR(VLOOKUP($A191,'Project Reference'!$B$2:$K$41,10), " ")</f>
        <v xml:space="preserve"> </v>
      </c>
      <c r="U191" s="8" t="str">
        <f>IFERROR(VLOOKUP($A191,'Project Reference'!$B$2:$L$41,11), " ")</f>
        <v xml:space="preserve"> </v>
      </c>
      <c r="V191" s="8" t="str">
        <f>IFERROR(VLOOKUP($A191,'Project Reference'!$B$2:$M$41,12), " ")</f>
        <v xml:space="preserve"> </v>
      </c>
      <c r="W191" s="8" t="str">
        <f>IFERROR(VLOOKUP($A191,'Project Reference'!$B$2:$N$41,13), " ")</f>
        <v xml:space="preserve"> </v>
      </c>
      <c r="X191" s="8" t="str">
        <f>IFERROR(VLOOKUP($A191,'Project Reference'!$B$2:$O$41,14), " ")</f>
        <v xml:space="preserve"> </v>
      </c>
      <c r="Y191" s="8" t="str">
        <f>IFERROR(VLOOKUP($A191,'Project Reference'!$B$2:$P$41,15), " ")</f>
        <v xml:space="preserve"> </v>
      </c>
      <c r="Z191" s="9" t="str">
        <f>IFERROR(VLOOKUP($A191,'Project Reference'!$B$2:$Q$41,16), " ")</f>
        <v xml:space="preserve"> </v>
      </c>
    </row>
    <row r="192" spans="1:26" s="1" customFormat="1" x14ac:dyDescent="0.45">
      <c r="A192" s="70"/>
      <c r="B192" s="70" t="str">
        <f>IFERROR(VLOOKUP($A192,'Project Reference'!$S$2:$T$41,2),"Enter Project Number")</f>
        <v>Enter Project Number</v>
      </c>
      <c r="C192" s="54"/>
      <c r="D192" s="53"/>
      <c r="E192" s="8"/>
      <c r="F192" s="8"/>
      <c r="G192" s="8"/>
      <c r="H192" s="8"/>
      <c r="I192" s="8"/>
      <c r="J192" s="9"/>
      <c r="K192" s="23"/>
      <c r="L192" s="47" t="str">
        <f>IFERROR(VLOOKUP($A192,'Project Reference'!$B$2:$C$41,2), " ")</f>
        <v xml:space="preserve"> </v>
      </c>
      <c r="M192" s="8" t="str">
        <f>IFERROR(VLOOKUP($A192,'Project Reference'!$B$2:$D$41,3), " ")</f>
        <v xml:space="preserve"> </v>
      </c>
      <c r="N192" s="54" t="str">
        <f>IFERROR(VLOOKUP($A192,'Project Reference'!$B$2:$E$41,4), " ")</f>
        <v xml:space="preserve"> </v>
      </c>
      <c r="O192" s="8" t="str">
        <f>IFERROR(VLOOKUP($A192,'Project Reference'!$B$2:$F$41,5), " ")</f>
        <v xml:space="preserve"> </v>
      </c>
      <c r="P192" s="8" t="str">
        <f>IFERROR(VLOOKUP($A192,'Project Reference'!$B$2:$G$41,6), " ")</f>
        <v xml:space="preserve"> </v>
      </c>
      <c r="Q192" s="8" t="str">
        <f>IFERROR(VLOOKUP($A192,'Project Reference'!$B$2:$H$41,7), " ")</f>
        <v xml:space="preserve"> </v>
      </c>
      <c r="R192" s="8" t="str">
        <f>IFERROR(VLOOKUP($A192,'Project Reference'!$B$2:$I$41,8), " ")</f>
        <v xml:space="preserve"> </v>
      </c>
      <c r="S192" s="8" t="str">
        <f>IFERROR(VLOOKUP($A192,'Project Reference'!$B$2:$J$41,9), " ")</f>
        <v xml:space="preserve"> </v>
      </c>
      <c r="T192" s="8" t="str">
        <f>IFERROR(VLOOKUP($A192,'Project Reference'!$B$2:$K$41,10), " ")</f>
        <v xml:space="preserve"> </v>
      </c>
      <c r="U192" s="8" t="str">
        <f>IFERROR(VLOOKUP($A192,'Project Reference'!$B$2:$L$41,11), " ")</f>
        <v xml:space="preserve"> </v>
      </c>
      <c r="V192" s="8" t="str">
        <f>IFERROR(VLOOKUP($A192,'Project Reference'!$B$2:$M$41,12), " ")</f>
        <v xml:space="preserve"> </v>
      </c>
      <c r="W192" s="8" t="str">
        <f>IFERROR(VLOOKUP($A192,'Project Reference'!$B$2:$N$41,13), " ")</f>
        <v xml:space="preserve"> </v>
      </c>
      <c r="X192" s="8" t="str">
        <f>IFERROR(VLOOKUP($A192,'Project Reference'!$B$2:$O$41,14), " ")</f>
        <v xml:space="preserve"> </v>
      </c>
      <c r="Y192" s="8" t="str">
        <f>IFERROR(VLOOKUP($A192,'Project Reference'!$B$2:$P$41,15), " ")</f>
        <v xml:space="preserve"> </v>
      </c>
      <c r="Z192" s="9" t="str">
        <f>IFERROR(VLOOKUP($A192,'Project Reference'!$B$2:$Q$41,16), " ")</f>
        <v xml:space="preserve"> </v>
      </c>
    </row>
    <row r="193" spans="1:26" s="1" customFormat="1" x14ac:dyDescent="0.45">
      <c r="A193" s="70"/>
      <c r="B193" s="70" t="str">
        <f>IFERROR(VLOOKUP($A193,'Project Reference'!$S$2:$T$41,2),"Enter Project Number")</f>
        <v>Enter Project Number</v>
      </c>
      <c r="C193" s="54"/>
      <c r="D193" s="53"/>
      <c r="E193" s="8"/>
      <c r="F193" s="8"/>
      <c r="G193" s="8"/>
      <c r="H193" s="8"/>
      <c r="I193" s="8"/>
      <c r="J193" s="9"/>
      <c r="K193" s="23"/>
      <c r="L193" s="47" t="str">
        <f>IFERROR(VLOOKUP($A193,'Project Reference'!$B$2:$C$41,2), " ")</f>
        <v xml:space="preserve"> </v>
      </c>
      <c r="M193" s="8" t="str">
        <f>IFERROR(VLOOKUP($A193,'Project Reference'!$B$2:$D$41,3), " ")</f>
        <v xml:space="preserve"> </v>
      </c>
      <c r="N193" s="54" t="str">
        <f>IFERROR(VLOOKUP($A193,'Project Reference'!$B$2:$E$41,4), " ")</f>
        <v xml:space="preserve"> </v>
      </c>
      <c r="O193" s="8" t="str">
        <f>IFERROR(VLOOKUP($A193,'Project Reference'!$B$2:$F$41,5), " ")</f>
        <v xml:space="preserve"> </v>
      </c>
      <c r="P193" s="8" t="str">
        <f>IFERROR(VLOOKUP($A193,'Project Reference'!$B$2:$G$41,6), " ")</f>
        <v xml:space="preserve"> </v>
      </c>
      <c r="Q193" s="8" t="str">
        <f>IFERROR(VLOOKUP($A193,'Project Reference'!$B$2:$H$41,7), " ")</f>
        <v xml:space="preserve"> </v>
      </c>
      <c r="R193" s="8" t="str">
        <f>IFERROR(VLOOKUP($A193,'Project Reference'!$B$2:$I$41,8), " ")</f>
        <v xml:space="preserve"> </v>
      </c>
      <c r="S193" s="8" t="str">
        <f>IFERROR(VLOOKUP($A193,'Project Reference'!$B$2:$J$41,9), " ")</f>
        <v xml:space="preserve"> </v>
      </c>
      <c r="T193" s="8" t="str">
        <f>IFERROR(VLOOKUP($A193,'Project Reference'!$B$2:$K$41,10), " ")</f>
        <v xml:space="preserve"> </v>
      </c>
      <c r="U193" s="8" t="str">
        <f>IFERROR(VLOOKUP($A193,'Project Reference'!$B$2:$L$41,11), " ")</f>
        <v xml:space="preserve"> </v>
      </c>
      <c r="V193" s="8" t="str">
        <f>IFERROR(VLOOKUP($A193,'Project Reference'!$B$2:$M$41,12), " ")</f>
        <v xml:space="preserve"> </v>
      </c>
      <c r="W193" s="8" t="str">
        <f>IFERROR(VLOOKUP($A193,'Project Reference'!$B$2:$N$41,13), " ")</f>
        <v xml:space="preserve"> </v>
      </c>
      <c r="X193" s="8" t="str">
        <f>IFERROR(VLOOKUP($A193,'Project Reference'!$B$2:$O$41,14), " ")</f>
        <v xml:space="preserve"> </v>
      </c>
      <c r="Y193" s="8" t="str">
        <f>IFERROR(VLOOKUP($A193,'Project Reference'!$B$2:$P$41,15), " ")</f>
        <v xml:space="preserve"> </v>
      </c>
      <c r="Z193" s="9" t="str">
        <f>IFERROR(VLOOKUP($A193,'Project Reference'!$B$2:$Q$41,16), " ")</f>
        <v xml:space="preserve"> </v>
      </c>
    </row>
    <row r="194" spans="1:26" s="1" customFormat="1" x14ac:dyDescent="0.45">
      <c r="A194" s="70"/>
      <c r="B194" s="70" t="str">
        <f>IFERROR(VLOOKUP($A194,'Project Reference'!$S$2:$T$41,2),"Enter Project Number")</f>
        <v>Enter Project Number</v>
      </c>
      <c r="C194" s="54"/>
      <c r="D194" s="53"/>
      <c r="E194" s="8"/>
      <c r="F194" s="8"/>
      <c r="G194" s="8"/>
      <c r="H194" s="8"/>
      <c r="I194" s="8"/>
      <c r="J194" s="9"/>
      <c r="K194" s="23"/>
      <c r="L194" s="47" t="str">
        <f>IFERROR(VLOOKUP($A194,'Project Reference'!$B$2:$C$41,2), " ")</f>
        <v xml:space="preserve"> </v>
      </c>
      <c r="M194" s="8" t="str">
        <f>IFERROR(VLOOKUP($A194,'Project Reference'!$B$2:$D$41,3), " ")</f>
        <v xml:space="preserve"> </v>
      </c>
      <c r="N194" s="54" t="str">
        <f>IFERROR(VLOOKUP($A194,'Project Reference'!$B$2:$E$41,4), " ")</f>
        <v xml:space="preserve"> </v>
      </c>
      <c r="O194" s="8" t="str">
        <f>IFERROR(VLOOKUP($A194,'Project Reference'!$B$2:$F$41,5), " ")</f>
        <v xml:space="preserve"> </v>
      </c>
      <c r="P194" s="8" t="str">
        <f>IFERROR(VLOOKUP($A194,'Project Reference'!$B$2:$G$41,6), " ")</f>
        <v xml:space="preserve"> </v>
      </c>
      <c r="Q194" s="8" t="str">
        <f>IFERROR(VLOOKUP($A194,'Project Reference'!$B$2:$H$41,7), " ")</f>
        <v xml:space="preserve"> </v>
      </c>
      <c r="R194" s="8" t="str">
        <f>IFERROR(VLOOKUP($A194,'Project Reference'!$B$2:$I$41,8), " ")</f>
        <v xml:space="preserve"> </v>
      </c>
      <c r="S194" s="8" t="str">
        <f>IFERROR(VLOOKUP($A194,'Project Reference'!$B$2:$J$41,9), " ")</f>
        <v xml:space="preserve"> </v>
      </c>
      <c r="T194" s="8" t="str">
        <f>IFERROR(VLOOKUP($A194,'Project Reference'!$B$2:$K$41,10), " ")</f>
        <v xml:space="preserve"> </v>
      </c>
      <c r="U194" s="8" t="str">
        <f>IFERROR(VLOOKUP($A194,'Project Reference'!$B$2:$L$41,11), " ")</f>
        <v xml:space="preserve"> </v>
      </c>
      <c r="V194" s="8" t="str">
        <f>IFERROR(VLOOKUP($A194,'Project Reference'!$B$2:$M$41,12), " ")</f>
        <v xml:space="preserve"> </v>
      </c>
      <c r="W194" s="8" t="str">
        <f>IFERROR(VLOOKUP($A194,'Project Reference'!$B$2:$N$41,13), " ")</f>
        <v xml:space="preserve"> </v>
      </c>
      <c r="X194" s="8" t="str">
        <f>IFERROR(VLOOKUP($A194,'Project Reference'!$B$2:$O$41,14), " ")</f>
        <v xml:space="preserve"> </v>
      </c>
      <c r="Y194" s="8" t="str">
        <f>IFERROR(VLOOKUP($A194,'Project Reference'!$B$2:$P$41,15), " ")</f>
        <v xml:space="preserve"> </v>
      </c>
      <c r="Z194" s="9" t="str">
        <f>IFERROR(VLOOKUP($A194,'Project Reference'!$B$2:$Q$41,16), " ")</f>
        <v xml:space="preserve"> </v>
      </c>
    </row>
    <row r="195" spans="1:26" s="1" customFormat="1" x14ac:dyDescent="0.45">
      <c r="A195" s="70"/>
      <c r="B195" s="70" t="str">
        <f>IFERROR(VLOOKUP($A195,'Project Reference'!$S$2:$T$41,2),"Enter Project Number")</f>
        <v>Enter Project Number</v>
      </c>
      <c r="C195" s="54"/>
      <c r="D195" s="53"/>
      <c r="E195" s="8"/>
      <c r="F195" s="8"/>
      <c r="G195" s="8"/>
      <c r="H195" s="8"/>
      <c r="I195" s="8"/>
      <c r="J195" s="9"/>
      <c r="K195" s="23"/>
      <c r="L195" s="47" t="str">
        <f>IFERROR(VLOOKUP($A195,'Project Reference'!$B$2:$C$41,2), " ")</f>
        <v xml:space="preserve"> </v>
      </c>
      <c r="M195" s="8" t="str">
        <f>IFERROR(VLOOKUP($A195,'Project Reference'!$B$2:$D$41,3), " ")</f>
        <v xml:space="preserve"> </v>
      </c>
      <c r="N195" s="54" t="str">
        <f>IFERROR(VLOOKUP($A195,'Project Reference'!$B$2:$E$41,4), " ")</f>
        <v xml:space="preserve"> </v>
      </c>
      <c r="O195" s="8" t="str">
        <f>IFERROR(VLOOKUP($A195,'Project Reference'!$B$2:$F$41,5), " ")</f>
        <v xml:space="preserve"> </v>
      </c>
      <c r="P195" s="8" t="str">
        <f>IFERROR(VLOOKUP($A195,'Project Reference'!$B$2:$G$41,6), " ")</f>
        <v xml:space="preserve"> </v>
      </c>
      <c r="Q195" s="8" t="str">
        <f>IFERROR(VLOOKUP($A195,'Project Reference'!$B$2:$H$41,7), " ")</f>
        <v xml:space="preserve"> </v>
      </c>
      <c r="R195" s="8" t="str">
        <f>IFERROR(VLOOKUP($A195,'Project Reference'!$B$2:$I$41,8), " ")</f>
        <v xml:space="preserve"> </v>
      </c>
      <c r="S195" s="8" t="str">
        <f>IFERROR(VLOOKUP($A195,'Project Reference'!$B$2:$J$41,9), " ")</f>
        <v xml:space="preserve"> </v>
      </c>
      <c r="T195" s="8" t="str">
        <f>IFERROR(VLOOKUP($A195,'Project Reference'!$B$2:$K$41,10), " ")</f>
        <v xml:space="preserve"> </v>
      </c>
      <c r="U195" s="8" t="str">
        <f>IFERROR(VLOOKUP($A195,'Project Reference'!$B$2:$L$41,11), " ")</f>
        <v xml:space="preserve"> </v>
      </c>
      <c r="V195" s="8" t="str">
        <f>IFERROR(VLOOKUP($A195,'Project Reference'!$B$2:$M$41,12), " ")</f>
        <v xml:space="preserve"> </v>
      </c>
      <c r="W195" s="8" t="str">
        <f>IFERROR(VLOOKUP($A195,'Project Reference'!$B$2:$N$41,13), " ")</f>
        <v xml:space="preserve"> </v>
      </c>
      <c r="X195" s="8" t="str">
        <f>IFERROR(VLOOKUP($A195,'Project Reference'!$B$2:$O$41,14), " ")</f>
        <v xml:space="preserve"> </v>
      </c>
      <c r="Y195" s="8" t="str">
        <f>IFERROR(VLOOKUP($A195,'Project Reference'!$B$2:$P$41,15), " ")</f>
        <v xml:space="preserve"> </v>
      </c>
      <c r="Z195" s="9" t="str">
        <f>IFERROR(VLOOKUP($A195,'Project Reference'!$B$2:$Q$41,16), " ")</f>
        <v xml:space="preserve"> </v>
      </c>
    </row>
    <row r="196" spans="1:26" s="1" customFormat="1" x14ac:dyDescent="0.45">
      <c r="A196" s="70"/>
      <c r="B196" s="70" t="str">
        <f>IFERROR(VLOOKUP($A196,'Project Reference'!$S$2:$T$41,2),"Enter Project Number")</f>
        <v>Enter Project Number</v>
      </c>
      <c r="C196" s="54"/>
      <c r="D196" s="53"/>
      <c r="E196" s="8"/>
      <c r="F196" s="8"/>
      <c r="G196" s="8"/>
      <c r="H196" s="8"/>
      <c r="I196" s="8"/>
      <c r="J196" s="9"/>
      <c r="K196" s="23"/>
      <c r="L196" s="47" t="str">
        <f>IFERROR(VLOOKUP($A196,'Project Reference'!$B$2:$C$41,2), " ")</f>
        <v xml:space="preserve"> </v>
      </c>
      <c r="M196" s="8" t="str">
        <f>IFERROR(VLOOKUP($A196,'Project Reference'!$B$2:$D$41,3), " ")</f>
        <v xml:space="preserve"> </v>
      </c>
      <c r="N196" s="54" t="str">
        <f>IFERROR(VLOOKUP($A196,'Project Reference'!$B$2:$E$41,4), " ")</f>
        <v xml:space="preserve"> </v>
      </c>
      <c r="O196" s="8" t="str">
        <f>IFERROR(VLOOKUP($A196,'Project Reference'!$B$2:$F$41,5), " ")</f>
        <v xml:space="preserve"> </v>
      </c>
      <c r="P196" s="8" t="str">
        <f>IFERROR(VLOOKUP($A196,'Project Reference'!$B$2:$G$41,6), " ")</f>
        <v xml:space="preserve"> </v>
      </c>
      <c r="Q196" s="8" t="str">
        <f>IFERROR(VLOOKUP($A196,'Project Reference'!$B$2:$H$41,7), " ")</f>
        <v xml:space="preserve"> </v>
      </c>
      <c r="R196" s="8" t="str">
        <f>IFERROR(VLOOKUP($A196,'Project Reference'!$B$2:$I$41,8), " ")</f>
        <v xml:space="preserve"> </v>
      </c>
      <c r="S196" s="8" t="str">
        <f>IFERROR(VLOOKUP($A196,'Project Reference'!$B$2:$J$41,9), " ")</f>
        <v xml:space="preserve"> </v>
      </c>
      <c r="T196" s="8" t="str">
        <f>IFERROR(VLOOKUP($A196,'Project Reference'!$B$2:$K$41,10), " ")</f>
        <v xml:space="preserve"> </v>
      </c>
      <c r="U196" s="8" t="str">
        <f>IFERROR(VLOOKUP($A196,'Project Reference'!$B$2:$L$41,11), " ")</f>
        <v xml:space="preserve"> </v>
      </c>
      <c r="V196" s="8" t="str">
        <f>IFERROR(VLOOKUP($A196,'Project Reference'!$B$2:$M$41,12), " ")</f>
        <v xml:space="preserve"> </v>
      </c>
      <c r="W196" s="8" t="str">
        <f>IFERROR(VLOOKUP($A196,'Project Reference'!$B$2:$N$41,13), " ")</f>
        <v xml:space="preserve"> </v>
      </c>
      <c r="X196" s="8" t="str">
        <f>IFERROR(VLOOKUP($A196,'Project Reference'!$B$2:$O$41,14), " ")</f>
        <v xml:space="preserve"> </v>
      </c>
      <c r="Y196" s="8" t="str">
        <f>IFERROR(VLOOKUP($A196,'Project Reference'!$B$2:$P$41,15), " ")</f>
        <v xml:space="preserve"> </v>
      </c>
      <c r="Z196" s="9" t="str">
        <f>IFERROR(VLOOKUP($A196,'Project Reference'!$B$2:$Q$41,16), " ")</f>
        <v xml:space="preserve"> </v>
      </c>
    </row>
    <row r="197" spans="1:26" s="1" customFormat="1" x14ac:dyDescent="0.45">
      <c r="A197" s="70"/>
      <c r="B197" s="70" t="str">
        <f>IFERROR(VLOOKUP($A197,'Project Reference'!$S$2:$T$41,2),"Enter Project Number")</f>
        <v>Enter Project Number</v>
      </c>
      <c r="C197" s="54"/>
      <c r="D197" s="53"/>
      <c r="E197" s="8"/>
      <c r="F197" s="8"/>
      <c r="G197" s="8"/>
      <c r="H197" s="8"/>
      <c r="I197" s="8"/>
      <c r="J197" s="9"/>
      <c r="K197" s="23"/>
      <c r="L197" s="47" t="str">
        <f>IFERROR(VLOOKUP($A197,'Project Reference'!$B$2:$C$41,2), " ")</f>
        <v xml:space="preserve"> </v>
      </c>
      <c r="M197" s="8" t="str">
        <f>IFERROR(VLOOKUP($A197,'Project Reference'!$B$2:$D$41,3), " ")</f>
        <v xml:space="preserve"> </v>
      </c>
      <c r="N197" s="54" t="str">
        <f>IFERROR(VLOOKUP($A197,'Project Reference'!$B$2:$E$41,4), " ")</f>
        <v xml:space="preserve"> </v>
      </c>
      <c r="O197" s="8" t="str">
        <f>IFERROR(VLOOKUP($A197,'Project Reference'!$B$2:$F$41,5), " ")</f>
        <v xml:space="preserve"> </v>
      </c>
      <c r="P197" s="8" t="str">
        <f>IFERROR(VLOOKUP($A197,'Project Reference'!$B$2:$G$41,6), " ")</f>
        <v xml:space="preserve"> </v>
      </c>
      <c r="Q197" s="8" t="str">
        <f>IFERROR(VLOOKUP($A197,'Project Reference'!$B$2:$H$41,7), " ")</f>
        <v xml:space="preserve"> </v>
      </c>
      <c r="R197" s="8" t="str">
        <f>IFERROR(VLOOKUP($A197,'Project Reference'!$B$2:$I$41,8), " ")</f>
        <v xml:space="preserve"> </v>
      </c>
      <c r="S197" s="8" t="str">
        <f>IFERROR(VLOOKUP($A197,'Project Reference'!$B$2:$J$41,9), " ")</f>
        <v xml:space="preserve"> </v>
      </c>
      <c r="T197" s="8" t="str">
        <f>IFERROR(VLOOKUP($A197,'Project Reference'!$B$2:$K$41,10), " ")</f>
        <v xml:space="preserve"> </v>
      </c>
      <c r="U197" s="8" t="str">
        <f>IFERROR(VLOOKUP($A197,'Project Reference'!$B$2:$L$41,11), " ")</f>
        <v xml:space="preserve"> </v>
      </c>
      <c r="V197" s="8" t="str">
        <f>IFERROR(VLOOKUP($A197,'Project Reference'!$B$2:$M$41,12), " ")</f>
        <v xml:space="preserve"> </v>
      </c>
      <c r="W197" s="8" t="str">
        <f>IFERROR(VLOOKUP($A197,'Project Reference'!$B$2:$N$41,13), " ")</f>
        <v xml:space="preserve"> </v>
      </c>
      <c r="X197" s="8" t="str">
        <f>IFERROR(VLOOKUP($A197,'Project Reference'!$B$2:$O$41,14), " ")</f>
        <v xml:space="preserve"> </v>
      </c>
      <c r="Y197" s="8" t="str">
        <f>IFERROR(VLOOKUP($A197,'Project Reference'!$B$2:$P$41,15), " ")</f>
        <v xml:space="preserve"> </v>
      </c>
      <c r="Z197" s="9" t="str">
        <f>IFERROR(VLOOKUP($A197,'Project Reference'!$B$2:$Q$41,16), " ")</f>
        <v xml:space="preserve"> </v>
      </c>
    </row>
    <row r="198" spans="1:26" s="1" customFormat="1" x14ac:dyDescent="0.45">
      <c r="A198" s="70"/>
      <c r="B198" s="70" t="str">
        <f>IFERROR(VLOOKUP($A198,'Project Reference'!$S$2:$T$41,2),"Enter Project Number")</f>
        <v>Enter Project Number</v>
      </c>
      <c r="C198" s="54"/>
      <c r="D198" s="53"/>
      <c r="E198" s="8"/>
      <c r="F198" s="8"/>
      <c r="G198" s="8"/>
      <c r="H198" s="8"/>
      <c r="I198" s="8"/>
      <c r="J198" s="9"/>
      <c r="K198" s="23"/>
      <c r="L198" s="47" t="str">
        <f>IFERROR(VLOOKUP($A198,'Project Reference'!$B$2:$C$41,2), " ")</f>
        <v xml:space="preserve"> </v>
      </c>
      <c r="M198" s="8" t="str">
        <f>IFERROR(VLOOKUP($A198,'Project Reference'!$B$2:$D$41,3), " ")</f>
        <v xml:space="preserve"> </v>
      </c>
      <c r="N198" s="54" t="str">
        <f>IFERROR(VLOOKUP($A198,'Project Reference'!$B$2:$E$41,4), " ")</f>
        <v xml:space="preserve"> </v>
      </c>
      <c r="O198" s="8" t="str">
        <f>IFERROR(VLOOKUP($A198,'Project Reference'!$B$2:$F$41,5), " ")</f>
        <v xml:space="preserve"> </v>
      </c>
      <c r="P198" s="8" t="str">
        <f>IFERROR(VLOOKUP($A198,'Project Reference'!$B$2:$G$41,6), " ")</f>
        <v xml:space="preserve"> </v>
      </c>
      <c r="Q198" s="8" t="str">
        <f>IFERROR(VLOOKUP($A198,'Project Reference'!$B$2:$H$41,7), " ")</f>
        <v xml:space="preserve"> </v>
      </c>
      <c r="R198" s="8" t="str">
        <f>IFERROR(VLOOKUP($A198,'Project Reference'!$B$2:$I$41,8), " ")</f>
        <v xml:space="preserve"> </v>
      </c>
      <c r="S198" s="8" t="str">
        <f>IFERROR(VLOOKUP($A198,'Project Reference'!$B$2:$J$41,9), " ")</f>
        <v xml:space="preserve"> </v>
      </c>
      <c r="T198" s="8" t="str">
        <f>IFERROR(VLOOKUP($A198,'Project Reference'!$B$2:$K$41,10), " ")</f>
        <v xml:space="preserve"> </v>
      </c>
      <c r="U198" s="8" t="str">
        <f>IFERROR(VLOOKUP($A198,'Project Reference'!$B$2:$L$41,11), " ")</f>
        <v xml:space="preserve"> </v>
      </c>
      <c r="V198" s="8" t="str">
        <f>IFERROR(VLOOKUP($A198,'Project Reference'!$B$2:$M$41,12), " ")</f>
        <v xml:space="preserve"> </v>
      </c>
      <c r="W198" s="8" t="str">
        <f>IFERROR(VLOOKUP($A198,'Project Reference'!$B$2:$N$41,13), " ")</f>
        <v xml:space="preserve"> </v>
      </c>
      <c r="X198" s="8" t="str">
        <f>IFERROR(VLOOKUP($A198,'Project Reference'!$B$2:$O$41,14), " ")</f>
        <v xml:space="preserve"> </v>
      </c>
      <c r="Y198" s="8" t="str">
        <f>IFERROR(VLOOKUP($A198,'Project Reference'!$B$2:$P$41,15), " ")</f>
        <v xml:space="preserve"> </v>
      </c>
      <c r="Z198" s="9" t="str">
        <f>IFERROR(VLOOKUP($A198,'Project Reference'!$B$2:$Q$41,16), " ")</f>
        <v xml:space="preserve"> </v>
      </c>
    </row>
    <row r="199" spans="1:26" s="1" customFormat="1" x14ac:dyDescent="0.45">
      <c r="A199" s="70"/>
      <c r="B199" s="70" t="str">
        <f>IFERROR(VLOOKUP($A199,'Project Reference'!$S$2:$T$41,2),"Enter Project Number")</f>
        <v>Enter Project Number</v>
      </c>
      <c r="C199" s="54"/>
      <c r="D199" s="53"/>
      <c r="E199" s="8"/>
      <c r="F199" s="8"/>
      <c r="G199" s="8"/>
      <c r="H199" s="8"/>
      <c r="I199" s="8"/>
      <c r="J199" s="9"/>
      <c r="K199" s="23"/>
      <c r="L199" s="47" t="str">
        <f>IFERROR(VLOOKUP($A199,'Project Reference'!$B$2:$C$41,2), " ")</f>
        <v xml:space="preserve"> </v>
      </c>
      <c r="M199" s="8" t="str">
        <f>IFERROR(VLOOKUP($A199,'Project Reference'!$B$2:$D$41,3), " ")</f>
        <v xml:space="preserve"> </v>
      </c>
      <c r="N199" s="54" t="str">
        <f>IFERROR(VLOOKUP($A199,'Project Reference'!$B$2:$E$41,4), " ")</f>
        <v xml:space="preserve"> </v>
      </c>
      <c r="O199" s="8" t="str">
        <f>IFERROR(VLOOKUP($A199,'Project Reference'!$B$2:$F$41,5), " ")</f>
        <v xml:space="preserve"> </v>
      </c>
      <c r="P199" s="8" t="str">
        <f>IFERROR(VLOOKUP($A199,'Project Reference'!$B$2:$G$41,6), " ")</f>
        <v xml:space="preserve"> </v>
      </c>
      <c r="Q199" s="8" t="str">
        <f>IFERROR(VLOOKUP($A199,'Project Reference'!$B$2:$H$41,7), " ")</f>
        <v xml:space="preserve"> </v>
      </c>
      <c r="R199" s="8" t="str">
        <f>IFERROR(VLOOKUP($A199,'Project Reference'!$B$2:$I$41,8), " ")</f>
        <v xml:space="preserve"> </v>
      </c>
      <c r="S199" s="8" t="str">
        <f>IFERROR(VLOOKUP($A199,'Project Reference'!$B$2:$J$41,9), " ")</f>
        <v xml:space="preserve"> </v>
      </c>
      <c r="T199" s="8" t="str">
        <f>IFERROR(VLOOKUP($A199,'Project Reference'!$B$2:$K$41,10), " ")</f>
        <v xml:space="preserve"> </v>
      </c>
      <c r="U199" s="8" t="str">
        <f>IFERROR(VLOOKUP($A199,'Project Reference'!$B$2:$L$41,11), " ")</f>
        <v xml:space="preserve"> </v>
      </c>
      <c r="V199" s="8" t="str">
        <f>IFERROR(VLOOKUP($A199,'Project Reference'!$B$2:$M$41,12), " ")</f>
        <v xml:space="preserve"> </v>
      </c>
      <c r="W199" s="8" t="str">
        <f>IFERROR(VLOOKUP($A199,'Project Reference'!$B$2:$N$41,13), " ")</f>
        <v xml:space="preserve"> </v>
      </c>
      <c r="X199" s="8" t="str">
        <f>IFERROR(VLOOKUP($A199,'Project Reference'!$B$2:$O$41,14), " ")</f>
        <v xml:space="preserve"> </v>
      </c>
      <c r="Y199" s="8" t="str">
        <f>IFERROR(VLOOKUP($A199,'Project Reference'!$B$2:$P$41,15), " ")</f>
        <v xml:space="preserve"> </v>
      </c>
      <c r="Z199" s="9" t="str">
        <f>IFERROR(VLOOKUP($A199,'Project Reference'!$B$2:$Q$41,16), " ")</f>
        <v xml:space="preserve"> </v>
      </c>
    </row>
    <row r="200" spans="1:26" s="1" customFormat="1" x14ac:dyDescent="0.45">
      <c r="A200" s="70"/>
      <c r="B200" s="70" t="str">
        <f>IFERROR(VLOOKUP($A200,'Project Reference'!$S$2:$T$41,2),"Enter Project Number")</f>
        <v>Enter Project Number</v>
      </c>
      <c r="C200" s="54"/>
      <c r="D200" s="53"/>
      <c r="E200" s="8"/>
      <c r="F200" s="8"/>
      <c r="G200" s="8"/>
      <c r="H200" s="8"/>
      <c r="I200" s="8"/>
      <c r="J200" s="9"/>
      <c r="K200" s="23"/>
      <c r="L200" s="47" t="str">
        <f>IFERROR(VLOOKUP($A200,'Project Reference'!$B$2:$C$41,2), " ")</f>
        <v xml:space="preserve"> </v>
      </c>
      <c r="M200" s="8" t="str">
        <f>IFERROR(VLOOKUP($A200,'Project Reference'!$B$2:$D$41,3), " ")</f>
        <v xml:space="preserve"> </v>
      </c>
      <c r="N200" s="54" t="str">
        <f>IFERROR(VLOOKUP($A200,'Project Reference'!$B$2:$E$41,4), " ")</f>
        <v xml:space="preserve"> </v>
      </c>
      <c r="O200" s="8" t="str">
        <f>IFERROR(VLOOKUP($A200,'Project Reference'!$B$2:$F$41,5), " ")</f>
        <v xml:space="preserve"> </v>
      </c>
      <c r="P200" s="8" t="str">
        <f>IFERROR(VLOOKUP($A200,'Project Reference'!$B$2:$G$41,6), " ")</f>
        <v xml:space="preserve"> </v>
      </c>
      <c r="Q200" s="8" t="str">
        <f>IFERROR(VLOOKUP($A200,'Project Reference'!$B$2:$H$41,7), " ")</f>
        <v xml:space="preserve"> </v>
      </c>
      <c r="R200" s="8" t="str">
        <f>IFERROR(VLOOKUP($A200,'Project Reference'!$B$2:$I$41,8), " ")</f>
        <v xml:space="preserve"> </v>
      </c>
      <c r="S200" s="8" t="str">
        <f>IFERROR(VLOOKUP($A200,'Project Reference'!$B$2:$J$41,9), " ")</f>
        <v xml:space="preserve"> </v>
      </c>
      <c r="T200" s="8" t="str">
        <f>IFERROR(VLOOKUP($A200,'Project Reference'!$B$2:$K$41,10), " ")</f>
        <v xml:space="preserve"> </v>
      </c>
      <c r="U200" s="8" t="str">
        <f>IFERROR(VLOOKUP($A200,'Project Reference'!$B$2:$L$41,11), " ")</f>
        <v xml:space="preserve"> </v>
      </c>
      <c r="V200" s="8" t="str">
        <f>IFERROR(VLOOKUP($A200,'Project Reference'!$B$2:$M$41,12), " ")</f>
        <v xml:space="preserve"> </v>
      </c>
      <c r="W200" s="8" t="str">
        <f>IFERROR(VLOOKUP($A200,'Project Reference'!$B$2:$N$41,13), " ")</f>
        <v xml:space="preserve"> </v>
      </c>
      <c r="X200" s="8" t="str">
        <f>IFERROR(VLOOKUP($A200,'Project Reference'!$B$2:$O$41,14), " ")</f>
        <v xml:space="preserve"> </v>
      </c>
      <c r="Y200" s="8" t="str">
        <f>IFERROR(VLOOKUP($A200,'Project Reference'!$B$2:$P$41,15), " ")</f>
        <v xml:space="preserve"> </v>
      </c>
      <c r="Z200" s="9" t="str">
        <f>IFERROR(VLOOKUP($A200,'Project Reference'!$B$2:$Q$41,16), " ")</f>
        <v xml:space="preserve"> </v>
      </c>
    </row>
    <row r="201" spans="1:26" s="1" customFormat="1" x14ac:dyDescent="0.45">
      <c r="A201" s="70"/>
      <c r="B201" s="70" t="str">
        <f>IFERROR(VLOOKUP($A201,'Project Reference'!$S$2:$T$41,2),"Enter Project Number")</f>
        <v>Enter Project Number</v>
      </c>
      <c r="C201" s="54"/>
      <c r="D201" s="53"/>
      <c r="E201" s="8"/>
      <c r="F201" s="8"/>
      <c r="G201" s="8"/>
      <c r="H201" s="8"/>
      <c r="I201" s="8"/>
      <c r="J201" s="9"/>
      <c r="K201" s="23"/>
      <c r="L201" s="47" t="str">
        <f>IFERROR(VLOOKUP($A201,'Project Reference'!$B$2:$C$41,2), " ")</f>
        <v xml:space="preserve"> </v>
      </c>
      <c r="M201" s="8" t="str">
        <f>IFERROR(VLOOKUP($A201,'Project Reference'!$B$2:$D$41,3), " ")</f>
        <v xml:space="preserve"> </v>
      </c>
      <c r="N201" s="54" t="str">
        <f>IFERROR(VLOOKUP($A201,'Project Reference'!$B$2:$E$41,4), " ")</f>
        <v xml:space="preserve"> </v>
      </c>
      <c r="O201" s="8" t="str">
        <f>IFERROR(VLOOKUP($A201,'Project Reference'!$B$2:$F$41,5), " ")</f>
        <v xml:space="preserve"> </v>
      </c>
      <c r="P201" s="8" t="str">
        <f>IFERROR(VLOOKUP($A201,'Project Reference'!$B$2:$G$41,6), " ")</f>
        <v xml:space="preserve"> </v>
      </c>
      <c r="Q201" s="8" t="str">
        <f>IFERROR(VLOOKUP($A201,'Project Reference'!$B$2:$H$41,7), " ")</f>
        <v xml:space="preserve"> </v>
      </c>
      <c r="R201" s="8" t="str">
        <f>IFERROR(VLOOKUP($A201,'Project Reference'!$B$2:$I$41,8), " ")</f>
        <v xml:space="preserve"> </v>
      </c>
      <c r="S201" s="8" t="str">
        <f>IFERROR(VLOOKUP($A201,'Project Reference'!$B$2:$J$41,9), " ")</f>
        <v xml:space="preserve"> </v>
      </c>
      <c r="T201" s="8" t="str">
        <f>IFERROR(VLOOKUP($A201,'Project Reference'!$B$2:$K$41,10), " ")</f>
        <v xml:space="preserve"> </v>
      </c>
      <c r="U201" s="8" t="str">
        <f>IFERROR(VLOOKUP($A201,'Project Reference'!$B$2:$L$41,11), " ")</f>
        <v xml:space="preserve"> </v>
      </c>
      <c r="V201" s="8" t="str">
        <f>IFERROR(VLOOKUP($A201,'Project Reference'!$B$2:$M$41,12), " ")</f>
        <v xml:space="preserve"> </v>
      </c>
      <c r="W201" s="8" t="str">
        <f>IFERROR(VLOOKUP($A201,'Project Reference'!$B$2:$N$41,13), " ")</f>
        <v xml:space="preserve"> </v>
      </c>
      <c r="X201" s="8" t="str">
        <f>IFERROR(VLOOKUP($A201,'Project Reference'!$B$2:$O$41,14), " ")</f>
        <v xml:space="preserve"> </v>
      </c>
      <c r="Y201" s="8" t="str">
        <f>IFERROR(VLOOKUP($A201,'Project Reference'!$B$2:$P$41,15), " ")</f>
        <v xml:space="preserve"> </v>
      </c>
      <c r="Z201" s="9" t="str">
        <f>IFERROR(VLOOKUP($A201,'Project Reference'!$B$2:$Q$41,16), " ")</f>
        <v xml:space="preserve"> </v>
      </c>
    </row>
    <row r="202" spans="1:26" s="1" customFormat="1" x14ac:dyDescent="0.45">
      <c r="A202" s="70"/>
      <c r="B202" s="70" t="str">
        <f>IFERROR(VLOOKUP($A202,'Project Reference'!$S$2:$T$41,2),"Enter Project Number")</f>
        <v>Enter Project Number</v>
      </c>
      <c r="C202" s="54"/>
      <c r="D202" s="53"/>
      <c r="E202" s="8"/>
      <c r="F202" s="8"/>
      <c r="G202" s="8"/>
      <c r="H202" s="8"/>
      <c r="I202" s="8"/>
      <c r="J202" s="9"/>
      <c r="K202" s="23"/>
      <c r="L202" s="47" t="str">
        <f>IFERROR(VLOOKUP($A202,'Project Reference'!$B$2:$C$41,2), " ")</f>
        <v xml:space="preserve"> </v>
      </c>
      <c r="M202" s="8" t="str">
        <f>IFERROR(VLOOKUP($A202,'Project Reference'!$B$2:$D$41,3), " ")</f>
        <v xml:space="preserve"> </v>
      </c>
      <c r="N202" s="54" t="str">
        <f>IFERROR(VLOOKUP($A202,'Project Reference'!$B$2:$E$41,4), " ")</f>
        <v xml:space="preserve"> </v>
      </c>
      <c r="O202" s="8" t="str">
        <f>IFERROR(VLOOKUP($A202,'Project Reference'!$B$2:$F$41,5), " ")</f>
        <v xml:space="preserve"> </v>
      </c>
      <c r="P202" s="8" t="str">
        <f>IFERROR(VLOOKUP($A202,'Project Reference'!$B$2:$G$41,6), " ")</f>
        <v xml:space="preserve"> </v>
      </c>
      <c r="Q202" s="8" t="str">
        <f>IFERROR(VLOOKUP($A202,'Project Reference'!$B$2:$H$41,7), " ")</f>
        <v xml:space="preserve"> </v>
      </c>
      <c r="R202" s="8" t="str">
        <f>IFERROR(VLOOKUP($A202,'Project Reference'!$B$2:$I$41,8), " ")</f>
        <v xml:space="preserve"> </v>
      </c>
      <c r="S202" s="8" t="str">
        <f>IFERROR(VLOOKUP($A202,'Project Reference'!$B$2:$J$41,9), " ")</f>
        <v xml:space="preserve"> </v>
      </c>
      <c r="T202" s="8" t="str">
        <f>IFERROR(VLOOKUP($A202,'Project Reference'!$B$2:$K$41,10), " ")</f>
        <v xml:space="preserve"> </v>
      </c>
      <c r="U202" s="8" t="str">
        <f>IFERROR(VLOOKUP($A202,'Project Reference'!$B$2:$L$41,11), " ")</f>
        <v xml:space="preserve"> </v>
      </c>
      <c r="V202" s="8" t="str">
        <f>IFERROR(VLOOKUP($A202,'Project Reference'!$B$2:$M$41,12), " ")</f>
        <v xml:space="preserve"> </v>
      </c>
      <c r="W202" s="8" t="str">
        <f>IFERROR(VLOOKUP($A202,'Project Reference'!$B$2:$N$41,13), " ")</f>
        <v xml:space="preserve"> </v>
      </c>
      <c r="X202" s="8" t="str">
        <f>IFERROR(VLOOKUP($A202,'Project Reference'!$B$2:$O$41,14), " ")</f>
        <v xml:space="preserve"> </v>
      </c>
      <c r="Y202" s="8" t="str">
        <f>IFERROR(VLOOKUP($A202,'Project Reference'!$B$2:$P$41,15), " ")</f>
        <v xml:space="preserve"> </v>
      </c>
      <c r="Z202" s="9" t="str">
        <f>IFERROR(VLOOKUP($A202,'Project Reference'!$B$2:$Q$41,16), " ")</f>
        <v xml:space="preserve"> </v>
      </c>
    </row>
    <row r="203" spans="1:26" s="1" customFormat="1" x14ac:dyDescent="0.45">
      <c r="A203" s="70"/>
      <c r="B203" s="70" t="str">
        <f>IFERROR(VLOOKUP($A203,'Project Reference'!$S$2:$T$41,2),"Enter Project Number")</f>
        <v>Enter Project Number</v>
      </c>
      <c r="C203" s="54"/>
      <c r="D203" s="53"/>
      <c r="E203" s="8"/>
      <c r="F203" s="8"/>
      <c r="G203" s="8"/>
      <c r="H203" s="8"/>
      <c r="I203" s="8"/>
      <c r="J203" s="9"/>
      <c r="K203" s="23"/>
      <c r="L203" s="47" t="str">
        <f>IFERROR(VLOOKUP($A203,'Project Reference'!$B$2:$C$41,2), " ")</f>
        <v xml:space="preserve"> </v>
      </c>
      <c r="M203" s="8" t="str">
        <f>IFERROR(VLOOKUP($A203,'Project Reference'!$B$2:$D$41,3), " ")</f>
        <v xml:space="preserve"> </v>
      </c>
      <c r="N203" s="54" t="str">
        <f>IFERROR(VLOOKUP($A203,'Project Reference'!$B$2:$E$41,4), " ")</f>
        <v xml:space="preserve"> </v>
      </c>
      <c r="O203" s="8" t="str">
        <f>IFERROR(VLOOKUP($A203,'Project Reference'!$B$2:$F$41,5), " ")</f>
        <v xml:space="preserve"> </v>
      </c>
      <c r="P203" s="8" t="str">
        <f>IFERROR(VLOOKUP($A203,'Project Reference'!$B$2:$G$41,6), " ")</f>
        <v xml:space="preserve"> </v>
      </c>
      <c r="Q203" s="8" t="str">
        <f>IFERROR(VLOOKUP($A203,'Project Reference'!$B$2:$H$41,7), " ")</f>
        <v xml:space="preserve"> </v>
      </c>
      <c r="R203" s="8" t="str">
        <f>IFERROR(VLOOKUP($A203,'Project Reference'!$B$2:$I$41,8), " ")</f>
        <v xml:space="preserve"> </v>
      </c>
      <c r="S203" s="8" t="str">
        <f>IFERROR(VLOOKUP($A203,'Project Reference'!$B$2:$J$41,9), " ")</f>
        <v xml:space="preserve"> </v>
      </c>
      <c r="T203" s="8" t="str">
        <f>IFERROR(VLOOKUP($A203,'Project Reference'!$B$2:$K$41,10), " ")</f>
        <v xml:space="preserve"> </v>
      </c>
      <c r="U203" s="8" t="str">
        <f>IFERROR(VLOOKUP($A203,'Project Reference'!$B$2:$L$41,11), " ")</f>
        <v xml:space="preserve"> </v>
      </c>
      <c r="V203" s="8" t="str">
        <f>IFERROR(VLOOKUP($A203,'Project Reference'!$B$2:$M$41,12), " ")</f>
        <v xml:space="preserve"> </v>
      </c>
      <c r="W203" s="8" t="str">
        <f>IFERROR(VLOOKUP($A203,'Project Reference'!$B$2:$N$41,13), " ")</f>
        <v xml:space="preserve"> </v>
      </c>
      <c r="X203" s="8" t="str">
        <f>IFERROR(VLOOKUP($A203,'Project Reference'!$B$2:$O$41,14), " ")</f>
        <v xml:space="preserve"> </v>
      </c>
      <c r="Y203" s="8" t="str">
        <f>IFERROR(VLOOKUP($A203,'Project Reference'!$B$2:$P$41,15), " ")</f>
        <v xml:space="preserve"> </v>
      </c>
      <c r="Z203" s="9" t="str">
        <f>IFERROR(VLOOKUP($A203,'Project Reference'!$B$2:$Q$41,16), " ")</f>
        <v xml:space="preserve"> </v>
      </c>
    </row>
    <row r="204" spans="1:26" s="1" customFormat="1" x14ac:dyDescent="0.45">
      <c r="A204" s="70"/>
      <c r="B204" s="70" t="str">
        <f>IFERROR(VLOOKUP($A204,'Project Reference'!$S$2:$T$41,2),"Enter Project Number")</f>
        <v>Enter Project Number</v>
      </c>
      <c r="C204" s="54"/>
      <c r="D204" s="53"/>
      <c r="E204" s="8"/>
      <c r="F204" s="8"/>
      <c r="G204" s="8"/>
      <c r="H204" s="8"/>
      <c r="I204" s="8"/>
      <c r="J204" s="9"/>
      <c r="K204" s="23"/>
      <c r="L204" s="47" t="str">
        <f>IFERROR(VLOOKUP($A204,'Project Reference'!$B$2:$C$41,2), " ")</f>
        <v xml:space="preserve"> </v>
      </c>
      <c r="M204" s="8" t="str">
        <f>IFERROR(VLOOKUP($A204,'Project Reference'!$B$2:$D$41,3), " ")</f>
        <v xml:space="preserve"> </v>
      </c>
      <c r="N204" s="54" t="str">
        <f>IFERROR(VLOOKUP($A204,'Project Reference'!$B$2:$E$41,4), " ")</f>
        <v xml:space="preserve"> </v>
      </c>
      <c r="O204" s="8" t="str">
        <f>IFERROR(VLOOKUP($A204,'Project Reference'!$B$2:$F$41,5), " ")</f>
        <v xml:space="preserve"> </v>
      </c>
      <c r="P204" s="8" t="str">
        <f>IFERROR(VLOOKUP($A204,'Project Reference'!$B$2:$G$41,6), " ")</f>
        <v xml:space="preserve"> </v>
      </c>
      <c r="Q204" s="8" t="str">
        <f>IFERROR(VLOOKUP($A204,'Project Reference'!$B$2:$H$41,7), " ")</f>
        <v xml:space="preserve"> </v>
      </c>
      <c r="R204" s="8" t="str">
        <f>IFERROR(VLOOKUP($A204,'Project Reference'!$B$2:$I$41,8), " ")</f>
        <v xml:space="preserve"> </v>
      </c>
      <c r="S204" s="8" t="str">
        <f>IFERROR(VLOOKUP($A204,'Project Reference'!$B$2:$J$41,9), " ")</f>
        <v xml:space="preserve"> </v>
      </c>
      <c r="T204" s="8" t="str">
        <f>IFERROR(VLOOKUP($A204,'Project Reference'!$B$2:$K$41,10), " ")</f>
        <v xml:space="preserve"> </v>
      </c>
      <c r="U204" s="8" t="str">
        <f>IFERROR(VLOOKUP($A204,'Project Reference'!$B$2:$L$41,11), " ")</f>
        <v xml:space="preserve"> </v>
      </c>
      <c r="V204" s="8" t="str">
        <f>IFERROR(VLOOKUP($A204,'Project Reference'!$B$2:$M$41,12), " ")</f>
        <v xml:space="preserve"> </v>
      </c>
      <c r="W204" s="8" t="str">
        <f>IFERROR(VLOOKUP($A204,'Project Reference'!$B$2:$N$41,13), " ")</f>
        <v xml:space="preserve"> </v>
      </c>
      <c r="X204" s="8" t="str">
        <f>IFERROR(VLOOKUP($A204,'Project Reference'!$B$2:$O$41,14), " ")</f>
        <v xml:space="preserve"> </v>
      </c>
      <c r="Y204" s="8" t="str">
        <f>IFERROR(VLOOKUP($A204,'Project Reference'!$B$2:$P$41,15), " ")</f>
        <v xml:space="preserve"> </v>
      </c>
      <c r="Z204" s="9" t="str">
        <f>IFERROR(VLOOKUP($A204,'Project Reference'!$B$2:$Q$41,16), " ")</f>
        <v xml:space="preserve"> </v>
      </c>
    </row>
    <row r="205" spans="1:26" s="1" customFormat="1" x14ac:dyDescent="0.45">
      <c r="A205" s="70"/>
      <c r="B205" s="70" t="str">
        <f>IFERROR(VLOOKUP($A205,'Project Reference'!$S$2:$T$41,2),"Enter Project Number")</f>
        <v>Enter Project Number</v>
      </c>
      <c r="C205" s="54"/>
      <c r="D205" s="53"/>
      <c r="E205" s="8"/>
      <c r="F205" s="8"/>
      <c r="G205" s="8"/>
      <c r="H205" s="8"/>
      <c r="I205" s="8"/>
      <c r="J205" s="9"/>
      <c r="K205" s="23"/>
      <c r="L205" s="47" t="str">
        <f>IFERROR(VLOOKUP($A205,'Project Reference'!$B$2:$C$41,2), " ")</f>
        <v xml:space="preserve"> </v>
      </c>
      <c r="M205" s="8" t="str">
        <f>IFERROR(VLOOKUP($A205,'Project Reference'!$B$2:$D$41,3), " ")</f>
        <v xml:space="preserve"> </v>
      </c>
      <c r="N205" s="54" t="str">
        <f>IFERROR(VLOOKUP($A205,'Project Reference'!$B$2:$E$41,4), " ")</f>
        <v xml:space="preserve"> </v>
      </c>
      <c r="O205" s="8" t="str">
        <f>IFERROR(VLOOKUP($A205,'Project Reference'!$B$2:$F$41,5), " ")</f>
        <v xml:space="preserve"> </v>
      </c>
      <c r="P205" s="8" t="str">
        <f>IFERROR(VLOOKUP($A205,'Project Reference'!$B$2:$G$41,6), " ")</f>
        <v xml:space="preserve"> </v>
      </c>
      <c r="Q205" s="8" t="str">
        <f>IFERROR(VLOOKUP($A205,'Project Reference'!$B$2:$H$41,7), " ")</f>
        <v xml:space="preserve"> </v>
      </c>
      <c r="R205" s="8" t="str">
        <f>IFERROR(VLOOKUP($A205,'Project Reference'!$B$2:$I$41,8), " ")</f>
        <v xml:space="preserve"> </v>
      </c>
      <c r="S205" s="8" t="str">
        <f>IFERROR(VLOOKUP($A205,'Project Reference'!$B$2:$J$41,9), " ")</f>
        <v xml:space="preserve"> </v>
      </c>
      <c r="T205" s="8" t="str">
        <f>IFERROR(VLOOKUP($A205,'Project Reference'!$B$2:$K$41,10), " ")</f>
        <v xml:space="preserve"> </v>
      </c>
      <c r="U205" s="8" t="str">
        <f>IFERROR(VLOOKUP($A205,'Project Reference'!$B$2:$L$41,11), " ")</f>
        <v xml:space="preserve"> </v>
      </c>
      <c r="V205" s="8" t="str">
        <f>IFERROR(VLOOKUP($A205,'Project Reference'!$B$2:$M$41,12), " ")</f>
        <v xml:space="preserve"> </v>
      </c>
      <c r="W205" s="8" t="str">
        <f>IFERROR(VLOOKUP($A205,'Project Reference'!$B$2:$N$41,13), " ")</f>
        <v xml:space="preserve"> </v>
      </c>
      <c r="X205" s="8" t="str">
        <f>IFERROR(VLOOKUP($A205,'Project Reference'!$B$2:$O$41,14), " ")</f>
        <v xml:space="preserve"> </v>
      </c>
      <c r="Y205" s="8" t="str">
        <f>IFERROR(VLOOKUP($A205,'Project Reference'!$B$2:$P$41,15), " ")</f>
        <v xml:space="preserve"> </v>
      </c>
      <c r="Z205" s="9" t="str">
        <f>IFERROR(VLOOKUP($A205,'Project Reference'!$B$2:$Q$41,16), " ")</f>
        <v xml:space="preserve"> </v>
      </c>
    </row>
    <row r="206" spans="1:26" s="1" customFormat="1" x14ac:dyDescent="0.45">
      <c r="A206" s="70"/>
      <c r="B206" s="70" t="str">
        <f>IFERROR(VLOOKUP($A206,'Project Reference'!$S$2:$T$41,2),"Enter Project Number")</f>
        <v>Enter Project Number</v>
      </c>
      <c r="C206" s="54"/>
      <c r="D206" s="53"/>
      <c r="E206" s="8"/>
      <c r="F206" s="8"/>
      <c r="G206" s="8"/>
      <c r="H206" s="8"/>
      <c r="I206" s="8"/>
      <c r="J206" s="9"/>
      <c r="K206" s="23"/>
      <c r="L206" s="47" t="str">
        <f>IFERROR(VLOOKUP($A206,'Project Reference'!$B$2:$C$41,2), " ")</f>
        <v xml:space="preserve"> </v>
      </c>
      <c r="M206" s="8" t="str">
        <f>IFERROR(VLOOKUP($A206,'Project Reference'!$B$2:$D$41,3), " ")</f>
        <v xml:space="preserve"> </v>
      </c>
      <c r="N206" s="54" t="str">
        <f>IFERROR(VLOOKUP($A206,'Project Reference'!$B$2:$E$41,4), " ")</f>
        <v xml:space="preserve"> </v>
      </c>
      <c r="O206" s="8" t="str">
        <f>IFERROR(VLOOKUP($A206,'Project Reference'!$B$2:$F$41,5), " ")</f>
        <v xml:space="preserve"> </v>
      </c>
      <c r="P206" s="8" t="str">
        <f>IFERROR(VLOOKUP($A206,'Project Reference'!$B$2:$G$41,6), " ")</f>
        <v xml:space="preserve"> </v>
      </c>
      <c r="Q206" s="8" t="str">
        <f>IFERROR(VLOOKUP($A206,'Project Reference'!$B$2:$H$41,7), " ")</f>
        <v xml:space="preserve"> </v>
      </c>
      <c r="R206" s="8" t="str">
        <f>IFERROR(VLOOKUP($A206,'Project Reference'!$B$2:$I$41,8), " ")</f>
        <v xml:space="preserve"> </v>
      </c>
      <c r="S206" s="8" t="str">
        <f>IFERROR(VLOOKUP($A206,'Project Reference'!$B$2:$J$41,9), " ")</f>
        <v xml:space="preserve"> </v>
      </c>
      <c r="T206" s="8" t="str">
        <f>IFERROR(VLOOKUP($A206,'Project Reference'!$B$2:$K$41,10), " ")</f>
        <v xml:space="preserve"> </v>
      </c>
      <c r="U206" s="8" t="str">
        <f>IFERROR(VLOOKUP($A206,'Project Reference'!$B$2:$L$41,11), " ")</f>
        <v xml:space="preserve"> </v>
      </c>
      <c r="V206" s="8" t="str">
        <f>IFERROR(VLOOKUP($A206,'Project Reference'!$B$2:$M$41,12), " ")</f>
        <v xml:space="preserve"> </v>
      </c>
      <c r="W206" s="8" t="str">
        <f>IFERROR(VLOOKUP($A206,'Project Reference'!$B$2:$N$41,13), " ")</f>
        <v xml:space="preserve"> </v>
      </c>
      <c r="X206" s="8" t="str">
        <f>IFERROR(VLOOKUP($A206,'Project Reference'!$B$2:$O$41,14), " ")</f>
        <v xml:space="preserve"> </v>
      </c>
      <c r="Y206" s="8" t="str">
        <f>IFERROR(VLOOKUP($A206,'Project Reference'!$B$2:$P$41,15), " ")</f>
        <v xml:space="preserve"> </v>
      </c>
      <c r="Z206" s="9" t="str">
        <f>IFERROR(VLOOKUP($A206,'Project Reference'!$B$2:$Q$41,16), " ")</f>
        <v xml:space="preserve"> </v>
      </c>
    </row>
    <row r="207" spans="1:26" s="1" customFormat="1" x14ac:dyDescent="0.45">
      <c r="A207" s="70"/>
      <c r="B207" s="70" t="str">
        <f>IFERROR(VLOOKUP($A207,'Project Reference'!$S$2:$T$41,2),"Enter Project Number")</f>
        <v>Enter Project Number</v>
      </c>
      <c r="C207" s="54"/>
      <c r="D207" s="53"/>
      <c r="E207" s="8"/>
      <c r="F207" s="8"/>
      <c r="G207" s="8"/>
      <c r="H207" s="8"/>
      <c r="I207" s="8"/>
      <c r="J207" s="9"/>
      <c r="K207" s="23"/>
      <c r="L207" s="47" t="str">
        <f>IFERROR(VLOOKUP($A207,'Project Reference'!$B$2:$C$41,2), " ")</f>
        <v xml:space="preserve"> </v>
      </c>
      <c r="M207" s="8" t="str">
        <f>IFERROR(VLOOKUP($A207,'Project Reference'!$B$2:$D$41,3), " ")</f>
        <v xml:space="preserve"> </v>
      </c>
      <c r="N207" s="54" t="str">
        <f>IFERROR(VLOOKUP($A207,'Project Reference'!$B$2:$E$41,4), " ")</f>
        <v xml:space="preserve"> </v>
      </c>
      <c r="O207" s="8" t="str">
        <f>IFERROR(VLOOKUP($A207,'Project Reference'!$B$2:$F$41,5), " ")</f>
        <v xml:space="preserve"> </v>
      </c>
      <c r="P207" s="8" t="str">
        <f>IFERROR(VLOOKUP($A207,'Project Reference'!$B$2:$G$41,6), " ")</f>
        <v xml:space="preserve"> </v>
      </c>
      <c r="Q207" s="8" t="str">
        <f>IFERROR(VLOOKUP($A207,'Project Reference'!$B$2:$H$41,7), " ")</f>
        <v xml:space="preserve"> </v>
      </c>
      <c r="R207" s="8" t="str">
        <f>IFERROR(VLOOKUP($A207,'Project Reference'!$B$2:$I$41,8), " ")</f>
        <v xml:space="preserve"> </v>
      </c>
      <c r="S207" s="8" t="str">
        <f>IFERROR(VLOOKUP($A207,'Project Reference'!$B$2:$J$41,9), " ")</f>
        <v xml:space="preserve"> </v>
      </c>
      <c r="T207" s="8" t="str">
        <f>IFERROR(VLOOKUP($A207,'Project Reference'!$B$2:$K$41,10), " ")</f>
        <v xml:space="preserve"> </v>
      </c>
      <c r="U207" s="8" t="str">
        <f>IFERROR(VLOOKUP($A207,'Project Reference'!$B$2:$L$41,11), " ")</f>
        <v xml:space="preserve"> </v>
      </c>
      <c r="V207" s="8" t="str">
        <f>IFERROR(VLOOKUP($A207,'Project Reference'!$B$2:$M$41,12), " ")</f>
        <v xml:space="preserve"> </v>
      </c>
      <c r="W207" s="8" t="str">
        <f>IFERROR(VLOOKUP($A207,'Project Reference'!$B$2:$N$41,13), " ")</f>
        <v xml:space="preserve"> </v>
      </c>
      <c r="X207" s="8" t="str">
        <f>IFERROR(VLOOKUP($A207,'Project Reference'!$B$2:$O$41,14), " ")</f>
        <v xml:space="preserve"> </v>
      </c>
      <c r="Y207" s="8" t="str">
        <f>IFERROR(VLOOKUP($A207,'Project Reference'!$B$2:$P$41,15), " ")</f>
        <v xml:space="preserve"> </v>
      </c>
      <c r="Z207" s="9" t="str">
        <f>IFERROR(VLOOKUP($A207,'Project Reference'!$B$2:$Q$41,16), " ")</f>
        <v xml:space="preserve"> </v>
      </c>
    </row>
    <row r="208" spans="1:26" s="1" customFormat="1" x14ac:dyDescent="0.45">
      <c r="A208" s="70"/>
      <c r="B208" s="70" t="str">
        <f>IFERROR(VLOOKUP($A208,'Project Reference'!$S$2:$T$41,2),"Enter Project Number")</f>
        <v>Enter Project Number</v>
      </c>
      <c r="C208" s="54"/>
      <c r="D208" s="53"/>
      <c r="E208" s="8"/>
      <c r="F208" s="8"/>
      <c r="G208" s="8"/>
      <c r="H208" s="8"/>
      <c r="I208" s="8"/>
      <c r="J208" s="9"/>
      <c r="K208" s="23"/>
      <c r="L208" s="47" t="str">
        <f>IFERROR(VLOOKUP($A208,'Project Reference'!$B$2:$C$41,2), " ")</f>
        <v xml:space="preserve"> </v>
      </c>
      <c r="M208" s="8" t="str">
        <f>IFERROR(VLOOKUP($A208,'Project Reference'!$B$2:$D$41,3), " ")</f>
        <v xml:space="preserve"> </v>
      </c>
      <c r="N208" s="54" t="str">
        <f>IFERROR(VLOOKUP($A208,'Project Reference'!$B$2:$E$41,4), " ")</f>
        <v xml:space="preserve"> </v>
      </c>
      <c r="O208" s="8" t="str">
        <f>IFERROR(VLOOKUP($A208,'Project Reference'!$B$2:$F$41,5), " ")</f>
        <v xml:space="preserve"> </v>
      </c>
      <c r="P208" s="8" t="str">
        <f>IFERROR(VLOOKUP($A208,'Project Reference'!$B$2:$G$41,6), " ")</f>
        <v xml:space="preserve"> </v>
      </c>
      <c r="Q208" s="8" t="str">
        <f>IFERROR(VLOOKUP($A208,'Project Reference'!$B$2:$H$41,7), " ")</f>
        <v xml:space="preserve"> </v>
      </c>
      <c r="R208" s="8" t="str">
        <f>IFERROR(VLOOKUP($A208,'Project Reference'!$B$2:$I$41,8), " ")</f>
        <v xml:space="preserve"> </v>
      </c>
      <c r="S208" s="8" t="str">
        <f>IFERROR(VLOOKUP($A208,'Project Reference'!$B$2:$J$41,9), " ")</f>
        <v xml:space="preserve"> </v>
      </c>
      <c r="T208" s="8" t="str">
        <f>IFERROR(VLOOKUP($A208,'Project Reference'!$B$2:$K$41,10), " ")</f>
        <v xml:space="preserve"> </v>
      </c>
      <c r="U208" s="8" t="str">
        <f>IFERROR(VLOOKUP($A208,'Project Reference'!$B$2:$L$41,11), " ")</f>
        <v xml:space="preserve"> </v>
      </c>
      <c r="V208" s="8" t="str">
        <f>IFERROR(VLOOKUP($A208,'Project Reference'!$B$2:$M$41,12), " ")</f>
        <v xml:space="preserve"> </v>
      </c>
      <c r="W208" s="8" t="str">
        <f>IFERROR(VLOOKUP($A208,'Project Reference'!$B$2:$N$41,13), " ")</f>
        <v xml:space="preserve"> </v>
      </c>
      <c r="X208" s="8" t="str">
        <f>IFERROR(VLOOKUP($A208,'Project Reference'!$B$2:$O$41,14), " ")</f>
        <v xml:space="preserve"> </v>
      </c>
      <c r="Y208" s="8" t="str">
        <f>IFERROR(VLOOKUP($A208,'Project Reference'!$B$2:$P$41,15), " ")</f>
        <v xml:space="preserve"> </v>
      </c>
      <c r="Z208" s="9" t="str">
        <f>IFERROR(VLOOKUP($A208,'Project Reference'!$B$2:$Q$41,16), " ")</f>
        <v xml:space="preserve"> </v>
      </c>
    </row>
    <row r="209" spans="1:26" s="1" customFormat="1" x14ac:dyDescent="0.45">
      <c r="A209" s="70"/>
      <c r="B209" s="70" t="str">
        <f>IFERROR(VLOOKUP($A209,'Project Reference'!$S$2:$T$41,2),"Enter Project Number")</f>
        <v>Enter Project Number</v>
      </c>
      <c r="C209" s="54"/>
      <c r="D209" s="53"/>
      <c r="E209" s="8"/>
      <c r="F209" s="8"/>
      <c r="G209" s="8"/>
      <c r="H209" s="8"/>
      <c r="I209" s="8"/>
      <c r="J209" s="9"/>
      <c r="K209" s="23"/>
      <c r="L209" s="47" t="str">
        <f>IFERROR(VLOOKUP($A209,'Project Reference'!$B$2:$C$41,2), " ")</f>
        <v xml:space="preserve"> </v>
      </c>
      <c r="M209" s="8" t="str">
        <f>IFERROR(VLOOKUP($A209,'Project Reference'!$B$2:$D$41,3), " ")</f>
        <v xml:space="preserve"> </v>
      </c>
      <c r="N209" s="54" t="str">
        <f>IFERROR(VLOOKUP($A209,'Project Reference'!$B$2:$E$41,4), " ")</f>
        <v xml:space="preserve"> </v>
      </c>
      <c r="O209" s="8" t="str">
        <f>IFERROR(VLOOKUP($A209,'Project Reference'!$B$2:$F$41,5), " ")</f>
        <v xml:space="preserve"> </v>
      </c>
      <c r="P209" s="8" t="str">
        <f>IFERROR(VLOOKUP($A209,'Project Reference'!$B$2:$G$41,6), " ")</f>
        <v xml:space="preserve"> </v>
      </c>
      <c r="Q209" s="8" t="str">
        <f>IFERROR(VLOOKUP($A209,'Project Reference'!$B$2:$H$41,7), " ")</f>
        <v xml:space="preserve"> </v>
      </c>
      <c r="R209" s="8" t="str">
        <f>IFERROR(VLOOKUP($A209,'Project Reference'!$B$2:$I$41,8), " ")</f>
        <v xml:space="preserve"> </v>
      </c>
      <c r="S209" s="8" t="str">
        <f>IFERROR(VLOOKUP($A209,'Project Reference'!$B$2:$J$41,9), " ")</f>
        <v xml:space="preserve"> </v>
      </c>
      <c r="T209" s="8" t="str">
        <f>IFERROR(VLOOKUP($A209,'Project Reference'!$B$2:$K$41,10), " ")</f>
        <v xml:space="preserve"> </v>
      </c>
      <c r="U209" s="8" t="str">
        <f>IFERROR(VLOOKUP($A209,'Project Reference'!$B$2:$L$41,11), " ")</f>
        <v xml:space="preserve"> </v>
      </c>
      <c r="V209" s="8" t="str">
        <f>IFERROR(VLOOKUP($A209,'Project Reference'!$B$2:$M$41,12), " ")</f>
        <v xml:space="preserve"> </v>
      </c>
      <c r="W209" s="8" t="str">
        <f>IFERROR(VLOOKUP($A209,'Project Reference'!$B$2:$N$41,13), " ")</f>
        <v xml:space="preserve"> </v>
      </c>
      <c r="X209" s="8" t="str">
        <f>IFERROR(VLOOKUP($A209,'Project Reference'!$B$2:$O$41,14), " ")</f>
        <v xml:space="preserve"> </v>
      </c>
      <c r="Y209" s="8" t="str">
        <f>IFERROR(VLOOKUP($A209,'Project Reference'!$B$2:$P$41,15), " ")</f>
        <v xml:space="preserve"> </v>
      </c>
      <c r="Z209" s="9" t="str">
        <f>IFERROR(VLOOKUP($A209,'Project Reference'!$B$2:$Q$41,16), " ")</f>
        <v xml:space="preserve"> </v>
      </c>
    </row>
    <row r="210" spans="1:26" s="1" customFormat="1" x14ac:dyDescent="0.45">
      <c r="A210" s="70"/>
      <c r="B210" s="70" t="str">
        <f>IFERROR(VLOOKUP($A210,'Project Reference'!$S$2:$T$41,2),"Enter Project Number")</f>
        <v>Enter Project Number</v>
      </c>
      <c r="C210" s="54"/>
      <c r="D210" s="53"/>
      <c r="E210" s="8"/>
      <c r="F210" s="8"/>
      <c r="G210" s="8"/>
      <c r="H210" s="8"/>
      <c r="I210" s="8"/>
      <c r="J210" s="9"/>
      <c r="K210" s="23"/>
      <c r="L210" s="47" t="str">
        <f>IFERROR(VLOOKUP($A210,'Project Reference'!$B$2:$C$41,2), " ")</f>
        <v xml:space="preserve"> </v>
      </c>
      <c r="M210" s="8" t="str">
        <f>IFERROR(VLOOKUP($A210,'Project Reference'!$B$2:$D$41,3), " ")</f>
        <v xml:space="preserve"> </v>
      </c>
      <c r="N210" s="54" t="str">
        <f>IFERROR(VLOOKUP($A210,'Project Reference'!$B$2:$E$41,4), " ")</f>
        <v xml:space="preserve"> </v>
      </c>
      <c r="O210" s="8" t="str">
        <f>IFERROR(VLOOKUP($A210,'Project Reference'!$B$2:$F$41,5), " ")</f>
        <v xml:space="preserve"> </v>
      </c>
      <c r="P210" s="8" t="str">
        <f>IFERROR(VLOOKUP($A210,'Project Reference'!$B$2:$G$41,6), " ")</f>
        <v xml:space="preserve"> </v>
      </c>
      <c r="Q210" s="8" t="str">
        <f>IFERROR(VLOOKUP($A210,'Project Reference'!$B$2:$H$41,7), " ")</f>
        <v xml:space="preserve"> </v>
      </c>
      <c r="R210" s="8" t="str">
        <f>IFERROR(VLOOKUP($A210,'Project Reference'!$B$2:$I$41,8), " ")</f>
        <v xml:space="preserve"> </v>
      </c>
      <c r="S210" s="8" t="str">
        <f>IFERROR(VLOOKUP($A210,'Project Reference'!$B$2:$J$41,9), " ")</f>
        <v xml:space="preserve"> </v>
      </c>
      <c r="T210" s="8" t="str">
        <f>IFERROR(VLOOKUP($A210,'Project Reference'!$B$2:$K$41,10), " ")</f>
        <v xml:space="preserve"> </v>
      </c>
      <c r="U210" s="8" t="str">
        <f>IFERROR(VLOOKUP($A210,'Project Reference'!$B$2:$L$41,11), " ")</f>
        <v xml:space="preserve"> </v>
      </c>
      <c r="V210" s="8" t="str">
        <f>IFERROR(VLOOKUP($A210,'Project Reference'!$B$2:$M$41,12), " ")</f>
        <v xml:space="preserve"> </v>
      </c>
      <c r="W210" s="8" t="str">
        <f>IFERROR(VLOOKUP($A210,'Project Reference'!$B$2:$N$41,13), " ")</f>
        <v xml:space="preserve"> </v>
      </c>
      <c r="X210" s="8" t="str">
        <f>IFERROR(VLOOKUP($A210,'Project Reference'!$B$2:$O$41,14), " ")</f>
        <v xml:space="preserve"> </v>
      </c>
      <c r="Y210" s="8" t="str">
        <f>IFERROR(VLOOKUP($A210,'Project Reference'!$B$2:$P$41,15), " ")</f>
        <v xml:space="preserve"> </v>
      </c>
      <c r="Z210" s="9" t="str">
        <f>IFERROR(VLOOKUP($A210,'Project Reference'!$B$2:$Q$41,16), " ")</f>
        <v xml:space="preserve"> </v>
      </c>
    </row>
    <row r="211" spans="1:26" s="1" customFormat="1" x14ac:dyDescent="0.45">
      <c r="A211" s="70"/>
      <c r="B211" s="70" t="str">
        <f>IFERROR(VLOOKUP($A211,'Project Reference'!$S$2:$T$41,2),"Enter Project Number")</f>
        <v>Enter Project Number</v>
      </c>
      <c r="C211" s="54"/>
      <c r="D211" s="53"/>
      <c r="E211" s="8"/>
      <c r="F211" s="8"/>
      <c r="G211" s="8"/>
      <c r="H211" s="8"/>
      <c r="I211" s="8"/>
      <c r="J211" s="9"/>
      <c r="K211" s="23"/>
      <c r="L211" s="47" t="str">
        <f>IFERROR(VLOOKUP($A211,'Project Reference'!$B$2:$C$41,2), " ")</f>
        <v xml:space="preserve"> </v>
      </c>
      <c r="M211" s="8" t="str">
        <f>IFERROR(VLOOKUP($A211,'Project Reference'!$B$2:$D$41,3), " ")</f>
        <v xml:space="preserve"> </v>
      </c>
      <c r="N211" s="54" t="str">
        <f>IFERROR(VLOOKUP($A211,'Project Reference'!$B$2:$E$41,4), " ")</f>
        <v xml:space="preserve"> </v>
      </c>
      <c r="O211" s="8" t="str">
        <f>IFERROR(VLOOKUP($A211,'Project Reference'!$B$2:$F$41,5), " ")</f>
        <v xml:space="preserve"> </v>
      </c>
      <c r="P211" s="8" t="str">
        <f>IFERROR(VLOOKUP($A211,'Project Reference'!$B$2:$G$41,6), " ")</f>
        <v xml:space="preserve"> </v>
      </c>
      <c r="Q211" s="8" t="str">
        <f>IFERROR(VLOOKUP($A211,'Project Reference'!$B$2:$H$41,7), " ")</f>
        <v xml:space="preserve"> </v>
      </c>
      <c r="R211" s="8" t="str">
        <f>IFERROR(VLOOKUP($A211,'Project Reference'!$B$2:$I$41,8), " ")</f>
        <v xml:space="preserve"> </v>
      </c>
      <c r="S211" s="8" t="str">
        <f>IFERROR(VLOOKUP($A211,'Project Reference'!$B$2:$J$41,9), " ")</f>
        <v xml:space="preserve"> </v>
      </c>
      <c r="T211" s="8" t="str">
        <f>IFERROR(VLOOKUP($A211,'Project Reference'!$B$2:$K$41,10), " ")</f>
        <v xml:space="preserve"> </v>
      </c>
      <c r="U211" s="8" t="str">
        <f>IFERROR(VLOOKUP($A211,'Project Reference'!$B$2:$L$41,11), " ")</f>
        <v xml:space="preserve"> </v>
      </c>
      <c r="V211" s="8" t="str">
        <f>IFERROR(VLOOKUP($A211,'Project Reference'!$B$2:$M$41,12), " ")</f>
        <v xml:space="preserve"> </v>
      </c>
      <c r="W211" s="8" t="str">
        <f>IFERROR(VLOOKUP($A211,'Project Reference'!$B$2:$N$41,13), " ")</f>
        <v xml:space="preserve"> </v>
      </c>
      <c r="X211" s="8" t="str">
        <f>IFERROR(VLOOKUP($A211,'Project Reference'!$B$2:$O$41,14), " ")</f>
        <v xml:space="preserve"> </v>
      </c>
      <c r="Y211" s="8" t="str">
        <f>IFERROR(VLOOKUP($A211,'Project Reference'!$B$2:$P$41,15), " ")</f>
        <v xml:space="preserve"> </v>
      </c>
      <c r="Z211" s="9" t="str">
        <f>IFERROR(VLOOKUP($A211,'Project Reference'!$B$2:$Q$41,16), " ")</f>
        <v xml:space="preserve"> </v>
      </c>
    </row>
    <row r="212" spans="1:26" s="1" customFormat="1" x14ac:dyDescent="0.45">
      <c r="A212" s="70"/>
      <c r="B212" s="70" t="str">
        <f>IFERROR(VLOOKUP($A212,'Project Reference'!$S$2:$T$41,2),"Enter Project Number")</f>
        <v>Enter Project Number</v>
      </c>
      <c r="C212" s="54"/>
      <c r="D212" s="53"/>
      <c r="E212" s="8"/>
      <c r="F212" s="8"/>
      <c r="G212" s="8"/>
      <c r="H212" s="8"/>
      <c r="I212" s="8"/>
      <c r="J212" s="9"/>
      <c r="K212" s="23"/>
      <c r="L212" s="47" t="str">
        <f>IFERROR(VLOOKUP($A212,'Project Reference'!$B$2:$C$41,2), " ")</f>
        <v xml:space="preserve"> </v>
      </c>
      <c r="M212" s="8" t="str">
        <f>IFERROR(VLOOKUP($A212,'Project Reference'!$B$2:$D$41,3), " ")</f>
        <v xml:space="preserve"> </v>
      </c>
      <c r="N212" s="54" t="str">
        <f>IFERROR(VLOOKUP($A212,'Project Reference'!$B$2:$E$41,4), " ")</f>
        <v xml:space="preserve"> </v>
      </c>
      <c r="O212" s="8" t="str">
        <f>IFERROR(VLOOKUP($A212,'Project Reference'!$B$2:$F$41,5), " ")</f>
        <v xml:space="preserve"> </v>
      </c>
      <c r="P212" s="8" t="str">
        <f>IFERROR(VLOOKUP($A212,'Project Reference'!$B$2:$G$41,6), " ")</f>
        <v xml:space="preserve"> </v>
      </c>
      <c r="Q212" s="8" t="str">
        <f>IFERROR(VLOOKUP($A212,'Project Reference'!$B$2:$H$41,7), " ")</f>
        <v xml:space="preserve"> </v>
      </c>
      <c r="R212" s="8" t="str">
        <f>IFERROR(VLOOKUP($A212,'Project Reference'!$B$2:$I$41,8), " ")</f>
        <v xml:space="preserve"> </v>
      </c>
      <c r="S212" s="8" t="str">
        <f>IFERROR(VLOOKUP($A212,'Project Reference'!$B$2:$J$41,9), " ")</f>
        <v xml:space="preserve"> </v>
      </c>
      <c r="T212" s="8" t="str">
        <f>IFERROR(VLOOKUP($A212,'Project Reference'!$B$2:$K$41,10), " ")</f>
        <v xml:space="preserve"> </v>
      </c>
      <c r="U212" s="8" t="str">
        <f>IFERROR(VLOOKUP($A212,'Project Reference'!$B$2:$L$41,11), " ")</f>
        <v xml:space="preserve"> </v>
      </c>
      <c r="V212" s="8" t="str">
        <f>IFERROR(VLOOKUP($A212,'Project Reference'!$B$2:$M$41,12), " ")</f>
        <v xml:space="preserve"> </v>
      </c>
      <c r="W212" s="8" t="str">
        <f>IFERROR(VLOOKUP($A212,'Project Reference'!$B$2:$N$41,13), " ")</f>
        <v xml:space="preserve"> </v>
      </c>
      <c r="X212" s="8" t="str">
        <f>IFERROR(VLOOKUP($A212,'Project Reference'!$B$2:$O$41,14), " ")</f>
        <v xml:space="preserve"> </v>
      </c>
      <c r="Y212" s="8" t="str">
        <f>IFERROR(VLOOKUP($A212,'Project Reference'!$B$2:$P$41,15), " ")</f>
        <v xml:space="preserve"> </v>
      </c>
      <c r="Z212" s="9" t="str">
        <f>IFERROR(VLOOKUP($A212,'Project Reference'!$B$2:$Q$41,16), " ")</f>
        <v xml:space="preserve"> </v>
      </c>
    </row>
    <row r="213" spans="1:26" s="1" customFormat="1" x14ac:dyDescent="0.45">
      <c r="A213" s="70"/>
      <c r="B213" s="70" t="str">
        <f>IFERROR(VLOOKUP($A213,'Project Reference'!$S$2:$T$41,2),"Enter Project Number")</f>
        <v>Enter Project Number</v>
      </c>
      <c r="C213" s="54"/>
      <c r="D213" s="53"/>
      <c r="E213" s="8"/>
      <c r="F213" s="8"/>
      <c r="G213" s="8"/>
      <c r="H213" s="8"/>
      <c r="I213" s="8"/>
      <c r="J213" s="9"/>
      <c r="K213" s="23"/>
      <c r="L213" s="47" t="str">
        <f>IFERROR(VLOOKUP($A213,'Project Reference'!$B$2:$C$41,2), " ")</f>
        <v xml:space="preserve"> </v>
      </c>
      <c r="M213" s="8" t="str">
        <f>IFERROR(VLOOKUP($A213,'Project Reference'!$B$2:$D$41,3), " ")</f>
        <v xml:space="preserve"> </v>
      </c>
      <c r="N213" s="54" t="str">
        <f>IFERROR(VLOOKUP($A213,'Project Reference'!$B$2:$E$41,4), " ")</f>
        <v xml:space="preserve"> </v>
      </c>
      <c r="O213" s="8" t="str">
        <f>IFERROR(VLOOKUP($A213,'Project Reference'!$B$2:$F$41,5), " ")</f>
        <v xml:space="preserve"> </v>
      </c>
      <c r="P213" s="8" t="str">
        <f>IFERROR(VLOOKUP($A213,'Project Reference'!$B$2:$G$41,6), " ")</f>
        <v xml:space="preserve"> </v>
      </c>
      <c r="Q213" s="8" t="str">
        <f>IFERROR(VLOOKUP($A213,'Project Reference'!$B$2:$H$41,7), " ")</f>
        <v xml:space="preserve"> </v>
      </c>
      <c r="R213" s="8" t="str">
        <f>IFERROR(VLOOKUP($A213,'Project Reference'!$B$2:$I$41,8), " ")</f>
        <v xml:space="preserve"> </v>
      </c>
      <c r="S213" s="8" t="str">
        <f>IFERROR(VLOOKUP($A213,'Project Reference'!$B$2:$J$41,9), " ")</f>
        <v xml:space="preserve"> </v>
      </c>
      <c r="T213" s="8" t="str">
        <f>IFERROR(VLOOKUP($A213,'Project Reference'!$B$2:$K$41,10), " ")</f>
        <v xml:space="preserve"> </v>
      </c>
      <c r="U213" s="8" t="str">
        <f>IFERROR(VLOOKUP($A213,'Project Reference'!$B$2:$L$41,11), " ")</f>
        <v xml:space="preserve"> </v>
      </c>
      <c r="V213" s="8" t="str">
        <f>IFERROR(VLOOKUP($A213,'Project Reference'!$B$2:$M$41,12), " ")</f>
        <v xml:space="preserve"> </v>
      </c>
      <c r="W213" s="8" t="str">
        <f>IFERROR(VLOOKUP($A213,'Project Reference'!$B$2:$N$41,13), " ")</f>
        <v xml:space="preserve"> </v>
      </c>
      <c r="X213" s="8" t="str">
        <f>IFERROR(VLOOKUP($A213,'Project Reference'!$B$2:$O$41,14), " ")</f>
        <v xml:space="preserve"> </v>
      </c>
      <c r="Y213" s="8" t="str">
        <f>IFERROR(VLOOKUP($A213,'Project Reference'!$B$2:$P$41,15), " ")</f>
        <v xml:space="preserve"> </v>
      </c>
      <c r="Z213" s="9" t="str">
        <f>IFERROR(VLOOKUP($A213,'Project Reference'!$B$2:$Q$41,16), " ")</f>
        <v xml:space="preserve"> </v>
      </c>
    </row>
    <row r="214" spans="1:26" s="1" customFormat="1" x14ac:dyDescent="0.45">
      <c r="A214" s="70"/>
      <c r="B214" s="70" t="str">
        <f>IFERROR(VLOOKUP($A214,'Project Reference'!$S$2:$T$41,2),"Enter Project Number")</f>
        <v>Enter Project Number</v>
      </c>
      <c r="C214" s="54"/>
      <c r="D214" s="53"/>
      <c r="E214" s="8"/>
      <c r="F214" s="8"/>
      <c r="G214" s="8"/>
      <c r="H214" s="8"/>
      <c r="I214" s="8"/>
      <c r="J214" s="9"/>
      <c r="K214" s="23"/>
      <c r="L214" s="47" t="str">
        <f>IFERROR(VLOOKUP($A214,'Project Reference'!$B$2:$C$41,2), " ")</f>
        <v xml:space="preserve"> </v>
      </c>
      <c r="M214" s="8" t="str">
        <f>IFERROR(VLOOKUP($A214,'Project Reference'!$B$2:$D$41,3), " ")</f>
        <v xml:space="preserve"> </v>
      </c>
      <c r="N214" s="54" t="str">
        <f>IFERROR(VLOOKUP($A214,'Project Reference'!$B$2:$E$41,4), " ")</f>
        <v xml:space="preserve"> </v>
      </c>
      <c r="O214" s="8" t="str">
        <f>IFERROR(VLOOKUP($A214,'Project Reference'!$B$2:$F$41,5), " ")</f>
        <v xml:space="preserve"> </v>
      </c>
      <c r="P214" s="8" t="str">
        <f>IFERROR(VLOOKUP($A214,'Project Reference'!$B$2:$G$41,6), " ")</f>
        <v xml:space="preserve"> </v>
      </c>
      <c r="Q214" s="8" t="str">
        <f>IFERROR(VLOOKUP($A214,'Project Reference'!$B$2:$H$41,7), " ")</f>
        <v xml:space="preserve"> </v>
      </c>
      <c r="R214" s="8" t="str">
        <f>IFERROR(VLOOKUP($A214,'Project Reference'!$B$2:$I$41,8), " ")</f>
        <v xml:space="preserve"> </v>
      </c>
      <c r="S214" s="8" t="str">
        <f>IFERROR(VLOOKUP($A214,'Project Reference'!$B$2:$J$41,9), " ")</f>
        <v xml:space="preserve"> </v>
      </c>
      <c r="T214" s="8" t="str">
        <f>IFERROR(VLOOKUP($A214,'Project Reference'!$B$2:$K$41,10), " ")</f>
        <v xml:space="preserve"> </v>
      </c>
      <c r="U214" s="8" t="str">
        <f>IFERROR(VLOOKUP($A214,'Project Reference'!$B$2:$L$41,11), " ")</f>
        <v xml:space="preserve"> </v>
      </c>
      <c r="V214" s="8" t="str">
        <f>IFERROR(VLOOKUP($A214,'Project Reference'!$B$2:$M$41,12), " ")</f>
        <v xml:space="preserve"> </v>
      </c>
      <c r="W214" s="8" t="str">
        <f>IFERROR(VLOOKUP($A214,'Project Reference'!$B$2:$N$41,13), " ")</f>
        <v xml:space="preserve"> </v>
      </c>
      <c r="X214" s="8" t="str">
        <f>IFERROR(VLOOKUP($A214,'Project Reference'!$B$2:$O$41,14), " ")</f>
        <v xml:space="preserve"> </v>
      </c>
      <c r="Y214" s="8" t="str">
        <f>IFERROR(VLOOKUP($A214,'Project Reference'!$B$2:$P$41,15), " ")</f>
        <v xml:space="preserve"> </v>
      </c>
      <c r="Z214" s="9" t="str">
        <f>IFERROR(VLOOKUP($A214,'Project Reference'!$B$2:$Q$41,16), " ")</f>
        <v xml:space="preserve"> </v>
      </c>
    </row>
    <row r="215" spans="1:26" s="1" customFormat="1" x14ac:dyDescent="0.45">
      <c r="A215" s="70"/>
      <c r="B215" s="70" t="str">
        <f>IFERROR(VLOOKUP($A215,'Project Reference'!$S$2:$T$41,2),"Enter Project Number")</f>
        <v>Enter Project Number</v>
      </c>
      <c r="C215" s="54"/>
      <c r="D215" s="53"/>
      <c r="E215" s="8"/>
      <c r="F215" s="8"/>
      <c r="G215" s="8"/>
      <c r="H215" s="8"/>
      <c r="I215" s="8"/>
      <c r="J215" s="9"/>
      <c r="K215" s="23"/>
      <c r="L215" s="47" t="str">
        <f>IFERROR(VLOOKUP($A215,'Project Reference'!$B$2:$C$41,2), " ")</f>
        <v xml:space="preserve"> </v>
      </c>
      <c r="M215" s="8" t="str">
        <f>IFERROR(VLOOKUP($A215,'Project Reference'!$B$2:$D$41,3), " ")</f>
        <v xml:space="preserve"> </v>
      </c>
      <c r="N215" s="54" t="str">
        <f>IFERROR(VLOOKUP($A215,'Project Reference'!$B$2:$E$41,4), " ")</f>
        <v xml:space="preserve"> </v>
      </c>
      <c r="O215" s="8" t="str">
        <f>IFERROR(VLOOKUP($A215,'Project Reference'!$B$2:$F$41,5), " ")</f>
        <v xml:space="preserve"> </v>
      </c>
      <c r="P215" s="8" t="str">
        <f>IFERROR(VLOOKUP($A215,'Project Reference'!$B$2:$G$41,6), " ")</f>
        <v xml:space="preserve"> </v>
      </c>
      <c r="Q215" s="8" t="str">
        <f>IFERROR(VLOOKUP($A215,'Project Reference'!$B$2:$H$41,7), " ")</f>
        <v xml:space="preserve"> </v>
      </c>
      <c r="R215" s="8" t="str">
        <f>IFERROR(VLOOKUP($A215,'Project Reference'!$B$2:$I$41,8), " ")</f>
        <v xml:space="preserve"> </v>
      </c>
      <c r="S215" s="8" t="str">
        <f>IFERROR(VLOOKUP($A215,'Project Reference'!$B$2:$J$41,9), " ")</f>
        <v xml:space="preserve"> </v>
      </c>
      <c r="T215" s="8" t="str">
        <f>IFERROR(VLOOKUP($A215,'Project Reference'!$B$2:$K$41,10), " ")</f>
        <v xml:space="preserve"> </v>
      </c>
      <c r="U215" s="8" t="str">
        <f>IFERROR(VLOOKUP($A215,'Project Reference'!$B$2:$L$41,11), " ")</f>
        <v xml:space="preserve"> </v>
      </c>
      <c r="V215" s="8" t="str">
        <f>IFERROR(VLOOKUP($A215,'Project Reference'!$B$2:$M$41,12), " ")</f>
        <v xml:space="preserve"> </v>
      </c>
      <c r="W215" s="8" t="str">
        <f>IFERROR(VLOOKUP($A215,'Project Reference'!$B$2:$N$41,13), " ")</f>
        <v xml:space="preserve"> </v>
      </c>
      <c r="X215" s="8" t="str">
        <f>IFERROR(VLOOKUP($A215,'Project Reference'!$B$2:$O$41,14), " ")</f>
        <v xml:space="preserve"> </v>
      </c>
      <c r="Y215" s="8" t="str">
        <f>IFERROR(VLOOKUP($A215,'Project Reference'!$B$2:$P$41,15), " ")</f>
        <v xml:space="preserve"> </v>
      </c>
      <c r="Z215" s="9" t="str">
        <f>IFERROR(VLOOKUP($A215,'Project Reference'!$B$2:$Q$41,16), " ")</f>
        <v xml:space="preserve"> </v>
      </c>
    </row>
    <row r="216" spans="1:26" s="1" customFormat="1" x14ac:dyDescent="0.45">
      <c r="A216" s="70"/>
      <c r="B216" s="70" t="str">
        <f>IFERROR(VLOOKUP($A216,'Project Reference'!$S$2:$T$41,2),"Enter Project Number")</f>
        <v>Enter Project Number</v>
      </c>
      <c r="C216" s="54"/>
      <c r="D216" s="53"/>
      <c r="E216" s="8"/>
      <c r="F216" s="8"/>
      <c r="G216" s="8"/>
      <c r="H216" s="8"/>
      <c r="I216" s="8"/>
      <c r="J216" s="9"/>
      <c r="K216" s="23"/>
      <c r="L216" s="47" t="str">
        <f>IFERROR(VLOOKUP($A216,'Project Reference'!$B$2:$C$41,2), " ")</f>
        <v xml:space="preserve"> </v>
      </c>
      <c r="M216" s="8" t="str">
        <f>IFERROR(VLOOKUP($A216,'Project Reference'!$B$2:$D$41,3), " ")</f>
        <v xml:space="preserve"> </v>
      </c>
      <c r="N216" s="54" t="str">
        <f>IFERROR(VLOOKUP($A216,'Project Reference'!$B$2:$E$41,4), " ")</f>
        <v xml:space="preserve"> </v>
      </c>
      <c r="O216" s="8" t="str">
        <f>IFERROR(VLOOKUP($A216,'Project Reference'!$B$2:$F$41,5), " ")</f>
        <v xml:space="preserve"> </v>
      </c>
      <c r="P216" s="8" t="str">
        <f>IFERROR(VLOOKUP($A216,'Project Reference'!$B$2:$G$41,6), " ")</f>
        <v xml:space="preserve"> </v>
      </c>
      <c r="Q216" s="8" t="str">
        <f>IFERROR(VLOOKUP($A216,'Project Reference'!$B$2:$H$41,7), " ")</f>
        <v xml:space="preserve"> </v>
      </c>
      <c r="R216" s="8" t="str">
        <f>IFERROR(VLOOKUP($A216,'Project Reference'!$B$2:$I$41,8), " ")</f>
        <v xml:space="preserve"> </v>
      </c>
      <c r="S216" s="8" t="str">
        <f>IFERROR(VLOOKUP($A216,'Project Reference'!$B$2:$J$41,9), " ")</f>
        <v xml:space="preserve"> </v>
      </c>
      <c r="T216" s="8" t="str">
        <f>IFERROR(VLOOKUP($A216,'Project Reference'!$B$2:$K$41,10), " ")</f>
        <v xml:space="preserve"> </v>
      </c>
      <c r="U216" s="8" t="str">
        <f>IFERROR(VLOOKUP($A216,'Project Reference'!$B$2:$L$41,11), " ")</f>
        <v xml:space="preserve"> </v>
      </c>
      <c r="V216" s="8" t="str">
        <f>IFERROR(VLOOKUP($A216,'Project Reference'!$B$2:$M$41,12), " ")</f>
        <v xml:space="preserve"> </v>
      </c>
      <c r="W216" s="8" t="str">
        <f>IFERROR(VLOOKUP($A216,'Project Reference'!$B$2:$N$41,13), " ")</f>
        <v xml:space="preserve"> </v>
      </c>
      <c r="X216" s="8" t="str">
        <f>IFERROR(VLOOKUP($A216,'Project Reference'!$B$2:$O$41,14), " ")</f>
        <v xml:space="preserve"> </v>
      </c>
      <c r="Y216" s="8" t="str">
        <f>IFERROR(VLOOKUP($A216,'Project Reference'!$B$2:$P$41,15), " ")</f>
        <v xml:space="preserve"> </v>
      </c>
      <c r="Z216" s="9" t="str">
        <f>IFERROR(VLOOKUP($A216,'Project Reference'!$B$2:$Q$41,16), " ")</f>
        <v xml:space="preserve"> </v>
      </c>
    </row>
    <row r="217" spans="1:26" s="1" customFormat="1" x14ac:dyDescent="0.45">
      <c r="A217" s="70"/>
      <c r="B217" s="70" t="str">
        <f>IFERROR(VLOOKUP($A217,'Project Reference'!$S$2:$T$41,2),"Enter Project Number")</f>
        <v>Enter Project Number</v>
      </c>
      <c r="C217" s="54"/>
      <c r="D217" s="53"/>
      <c r="E217" s="8"/>
      <c r="F217" s="8"/>
      <c r="G217" s="8"/>
      <c r="H217" s="8"/>
      <c r="I217" s="8"/>
      <c r="J217" s="9"/>
      <c r="K217" s="23"/>
      <c r="L217" s="47" t="str">
        <f>IFERROR(VLOOKUP($A217,'Project Reference'!$B$2:$C$41,2), " ")</f>
        <v xml:space="preserve"> </v>
      </c>
      <c r="M217" s="8" t="str">
        <f>IFERROR(VLOOKUP($A217,'Project Reference'!$B$2:$D$41,3), " ")</f>
        <v xml:space="preserve"> </v>
      </c>
      <c r="N217" s="54" t="str">
        <f>IFERROR(VLOOKUP($A217,'Project Reference'!$B$2:$E$41,4), " ")</f>
        <v xml:space="preserve"> </v>
      </c>
      <c r="O217" s="8" t="str">
        <f>IFERROR(VLOOKUP($A217,'Project Reference'!$B$2:$F$41,5), " ")</f>
        <v xml:space="preserve"> </v>
      </c>
      <c r="P217" s="8" t="str">
        <f>IFERROR(VLOOKUP($A217,'Project Reference'!$B$2:$G$41,6), " ")</f>
        <v xml:space="preserve"> </v>
      </c>
      <c r="Q217" s="8" t="str">
        <f>IFERROR(VLOOKUP($A217,'Project Reference'!$B$2:$H$41,7), " ")</f>
        <v xml:space="preserve"> </v>
      </c>
      <c r="R217" s="8" t="str">
        <f>IFERROR(VLOOKUP($A217,'Project Reference'!$B$2:$I$41,8), " ")</f>
        <v xml:space="preserve"> </v>
      </c>
      <c r="S217" s="8" t="str">
        <f>IFERROR(VLOOKUP($A217,'Project Reference'!$B$2:$J$41,9), " ")</f>
        <v xml:space="preserve"> </v>
      </c>
      <c r="T217" s="8" t="str">
        <f>IFERROR(VLOOKUP($A217,'Project Reference'!$B$2:$K$41,10), " ")</f>
        <v xml:space="preserve"> </v>
      </c>
      <c r="U217" s="8" t="str">
        <f>IFERROR(VLOOKUP($A217,'Project Reference'!$B$2:$L$41,11), " ")</f>
        <v xml:space="preserve"> </v>
      </c>
      <c r="V217" s="8" t="str">
        <f>IFERROR(VLOOKUP($A217,'Project Reference'!$B$2:$M$41,12), " ")</f>
        <v xml:space="preserve"> </v>
      </c>
      <c r="W217" s="8" t="str">
        <f>IFERROR(VLOOKUP($A217,'Project Reference'!$B$2:$N$41,13), " ")</f>
        <v xml:space="preserve"> </v>
      </c>
      <c r="X217" s="8" t="str">
        <f>IFERROR(VLOOKUP($A217,'Project Reference'!$B$2:$O$41,14), " ")</f>
        <v xml:space="preserve"> </v>
      </c>
      <c r="Y217" s="8" t="str">
        <f>IFERROR(VLOOKUP($A217,'Project Reference'!$B$2:$P$41,15), " ")</f>
        <v xml:space="preserve"> </v>
      </c>
      <c r="Z217" s="9" t="str">
        <f>IFERROR(VLOOKUP($A217,'Project Reference'!$B$2:$Q$41,16), " ")</f>
        <v xml:space="preserve"> </v>
      </c>
    </row>
    <row r="218" spans="1:26" s="1" customFormat="1" x14ac:dyDescent="0.45">
      <c r="A218" s="70"/>
      <c r="B218" s="70" t="str">
        <f>IFERROR(VLOOKUP($A218,'Project Reference'!$S$2:$T$41,2),"Enter Project Number")</f>
        <v>Enter Project Number</v>
      </c>
      <c r="C218" s="54"/>
      <c r="D218" s="53"/>
      <c r="E218" s="8"/>
      <c r="F218" s="8"/>
      <c r="G218" s="8"/>
      <c r="H218" s="8"/>
      <c r="I218" s="8"/>
      <c r="J218" s="9"/>
      <c r="K218" s="23"/>
      <c r="L218" s="47" t="str">
        <f>IFERROR(VLOOKUP($A218,'Project Reference'!$B$2:$C$41,2), " ")</f>
        <v xml:space="preserve"> </v>
      </c>
      <c r="M218" s="8" t="str">
        <f>IFERROR(VLOOKUP($A218,'Project Reference'!$B$2:$D$41,3), " ")</f>
        <v xml:space="preserve"> </v>
      </c>
      <c r="N218" s="54" t="str">
        <f>IFERROR(VLOOKUP($A218,'Project Reference'!$B$2:$E$41,4), " ")</f>
        <v xml:space="preserve"> </v>
      </c>
      <c r="O218" s="8" t="str">
        <f>IFERROR(VLOOKUP($A218,'Project Reference'!$B$2:$F$41,5), " ")</f>
        <v xml:space="preserve"> </v>
      </c>
      <c r="P218" s="8" t="str">
        <f>IFERROR(VLOOKUP($A218,'Project Reference'!$B$2:$G$41,6), " ")</f>
        <v xml:space="preserve"> </v>
      </c>
      <c r="Q218" s="8" t="str">
        <f>IFERROR(VLOOKUP($A218,'Project Reference'!$B$2:$H$41,7), " ")</f>
        <v xml:space="preserve"> </v>
      </c>
      <c r="R218" s="8" t="str">
        <f>IFERROR(VLOOKUP($A218,'Project Reference'!$B$2:$I$41,8), " ")</f>
        <v xml:space="preserve"> </v>
      </c>
      <c r="S218" s="8" t="str">
        <f>IFERROR(VLOOKUP($A218,'Project Reference'!$B$2:$J$41,9), " ")</f>
        <v xml:space="preserve"> </v>
      </c>
      <c r="T218" s="8" t="str">
        <f>IFERROR(VLOOKUP($A218,'Project Reference'!$B$2:$K$41,10), " ")</f>
        <v xml:space="preserve"> </v>
      </c>
      <c r="U218" s="8" t="str">
        <f>IFERROR(VLOOKUP($A218,'Project Reference'!$B$2:$L$41,11), " ")</f>
        <v xml:space="preserve"> </v>
      </c>
      <c r="V218" s="8" t="str">
        <f>IFERROR(VLOOKUP($A218,'Project Reference'!$B$2:$M$41,12), " ")</f>
        <v xml:space="preserve"> </v>
      </c>
      <c r="W218" s="8" t="str">
        <f>IFERROR(VLOOKUP($A218,'Project Reference'!$B$2:$N$41,13), " ")</f>
        <v xml:space="preserve"> </v>
      </c>
      <c r="X218" s="8" t="str">
        <f>IFERROR(VLOOKUP($A218,'Project Reference'!$B$2:$O$41,14), " ")</f>
        <v xml:space="preserve"> </v>
      </c>
      <c r="Y218" s="8" t="str">
        <f>IFERROR(VLOOKUP($A218,'Project Reference'!$B$2:$P$41,15), " ")</f>
        <v xml:space="preserve"> </v>
      </c>
      <c r="Z218" s="9" t="str">
        <f>IFERROR(VLOOKUP($A218,'Project Reference'!$B$2:$Q$41,16), " ")</f>
        <v xml:space="preserve"> </v>
      </c>
    </row>
    <row r="219" spans="1:26" s="1" customFormat="1" x14ac:dyDescent="0.45">
      <c r="A219" s="70"/>
      <c r="B219" s="70" t="str">
        <f>IFERROR(VLOOKUP($A219,'Project Reference'!$S$2:$T$41,2),"Enter Project Number")</f>
        <v>Enter Project Number</v>
      </c>
      <c r="C219" s="54"/>
      <c r="D219" s="53"/>
      <c r="E219" s="8"/>
      <c r="F219" s="8"/>
      <c r="G219" s="8"/>
      <c r="H219" s="8"/>
      <c r="I219" s="8"/>
      <c r="J219" s="9"/>
      <c r="K219" s="23"/>
      <c r="L219" s="47" t="str">
        <f>IFERROR(VLOOKUP($A219,'Project Reference'!$B$2:$C$41,2), " ")</f>
        <v xml:space="preserve"> </v>
      </c>
      <c r="M219" s="8" t="str">
        <f>IFERROR(VLOOKUP($A219,'Project Reference'!$B$2:$D$41,3), " ")</f>
        <v xml:space="preserve"> </v>
      </c>
      <c r="N219" s="54" t="str">
        <f>IFERROR(VLOOKUP($A219,'Project Reference'!$B$2:$E$41,4), " ")</f>
        <v xml:space="preserve"> </v>
      </c>
      <c r="O219" s="8" t="str">
        <f>IFERROR(VLOOKUP($A219,'Project Reference'!$B$2:$F$41,5), " ")</f>
        <v xml:space="preserve"> </v>
      </c>
      <c r="P219" s="8" t="str">
        <f>IFERROR(VLOOKUP($A219,'Project Reference'!$B$2:$G$41,6), " ")</f>
        <v xml:space="preserve"> </v>
      </c>
      <c r="Q219" s="8" t="str">
        <f>IFERROR(VLOOKUP($A219,'Project Reference'!$B$2:$H$41,7), " ")</f>
        <v xml:space="preserve"> </v>
      </c>
      <c r="R219" s="8" t="str">
        <f>IFERROR(VLOOKUP($A219,'Project Reference'!$B$2:$I$41,8), " ")</f>
        <v xml:space="preserve"> </v>
      </c>
      <c r="S219" s="8" t="str">
        <f>IFERROR(VLOOKUP($A219,'Project Reference'!$B$2:$J$41,9), " ")</f>
        <v xml:space="preserve"> </v>
      </c>
      <c r="T219" s="8" t="str">
        <f>IFERROR(VLOOKUP($A219,'Project Reference'!$B$2:$K$41,10), " ")</f>
        <v xml:space="preserve"> </v>
      </c>
      <c r="U219" s="8" t="str">
        <f>IFERROR(VLOOKUP($A219,'Project Reference'!$B$2:$L$41,11), " ")</f>
        <v xml:space="preserve"> </v>
      </c>
      <c r="V219" s="8" t="str">
        <f>IFERROR(VLOOKUP($A219,'Project Reference'!$B$2:$M$41,12), " ")</f>
        <v xml:space="preserve"> </v>
      </c>
      <c r="W219" s="8" t="str">
        <f>IFERROR(VLOOKUP($A219,'Project Reference'!$B$2:$N$41,13), " ")</f>
        <v xml:space="preserve"> </v>
      </c>
      <c r="X219" s="8" t="str">
        <f>IFERROR(VLOOKUP($A219,'Project Reference'!$B$2:$O$41,14), " ")</f>
        <v xml:space="preserve"> </v>
      </c>
      <c r="Y219" s="8" t="str">
        <f>IFERROR(VLOOKUP($A219,'Project Reference'!$B$2:$P$41,15), " ")</f>
        <v xml:space="preserve"> </v>
      </c>
      <c r="Z219" s="9" t="str">
        <f>IFERROR(VLOOKUP($A219,'Project Reference'!$B$2:$Q$41,16), " ")</f>
        <v xml:space="preserve"> </v>
      </c>
    </row>
    <row r="220" spans="1:26" s="1" customFormat="1" x14ac:dyDescent="0.45">
      <c r="A220" s="70"/>
      <c r="B220" s="70" t="str">
        <f>IFERROR(VLOOKUP($A220,'Project Reference'!$S$2:$T$41,2),"Enter Project Number")</f>
        <v>Enter Project Number</v>
      </c>
      <c r="C220" s="54"/>
      <c r="D220" s="53"/>
      <c r="E220" s="8"/>
      <c r="F220" s="8"/>
      <c r="G220" s="8"/>
      <c r="H220" s="8"/>
      <c r="I220" s="8"/>
      <c r="J220" s="9"/>
      <c r="K220" s="23"/>
      <c r="L220" s="47" t="str">
        <f>IFERROR(VLOOKUP($A220,'Project Reference'!$B$2:$C$41,2), " ")</f>
        <v xml:space="preserve"> </v>
      </c>
      <c r="M220" s="8" t="str">
        <f>IFERROR(VLOOKUP($A220,'Project Reference'!$B$2:$D$41,3), " ")</f>
        <v xml:space="preserve"> </v>
      </c>
      <c r="N220" s="54" t="str">
        <f>IFERROR(VLOOKUP($A220,'Project Reference'!$B$2:$E$41,4), " ")</f>
        <v xml:space="preserve"> </v>
      </c>
      <c r="O220" s="8" t="str">
        <f>IFERROR(VLOOKUP($A220,'Project Reference'!$B$2:$F$41,5), " ")</f>
        <v xml:space="preserve"> </v>
      </c>
      <c r="P220" s="8" t="str">
        <f>IFERROR(VLOOKUP($A220,'Project Reference'!$B$2:$G$41,6), " ")</f>
        <v xml:space="preserve"> </v>
      </c>
      <c r="Q220" s="8" t="str">
        <f>IFERROR(VLOOKUP($A220,'Project Reference'!$B$2:$H$41,7), " ")</f>
        <v xml:space="preserve"> </v>
      </c>
      <c r="R220" s="8" t="str">
        <f>IFERROR(VLOOKUP($A220,'Project Reference'!$B$2:$I$41,8), " ")</f>
        <v xml:space="preserve"> </v>
      </c>
      <c r="S220" s="8" t="str">
        <f>IFERROR(VLOOKUP($A220,'Project Reference'!$B$2:$J$41,9), " ")</f>
        <v xml:space="preserve"> </v>
      </c>
      <c r="T220" s="8" t="str">
        <f>IFERROR(VLOOKUP($A220,'Project Reference'!$B$2:$K$41,10), " ")</f>
        <v xml:space="preserve"> </v>
      </c>
      <c r="U220" s="8" t="str">
        <f>IFERROR(VLOOKUP($A220,'Project Reference'!$B$2:$L$41,11), " ")</f>
        <v xml:space="preserve"> </v>
      </c>
      <c r="V220" s="8" t="str">
        <f>IFERROR(VLOOKUP($A220,'Project Reference'!$B$2:$M$41,12), " ")</f>
        <v xml:space="preserve"> </v>
      </c>
      <c r="W220" s="8" t="str">
        <f>IFERROR(VLOOKUP($A220,'Project Reference'!$B$2:$N$41,13), " ")</f>
        <v xml:space="preserve"> </v>
      </c>
      <c r="X220" s="8" t="str">
        <f>IFERROR(VLOOKUP($A220,'Project Reference'!$B$2:$O$41,14), " ")</f>
        <v xml:space="preserve"> </v>
      </c>
      <c r="Y220" s="8" t="str">
        <f>IFERROR(VLOOKUP($A220,'Project Reference'!$B$2:$P$41,15), " ")</f>
        <v xml:space="preserve"> </v>
      </c>
      <c r="Z220" s="9" t="str">
        <f>IFERROR(VLOOKUP($A220,'Project Reference'!$B$2:$Q$41,16), " ")</f>
        <v xml:space="preserve"> </v>
      </c>
    </row>
    <row r="221" spans="1:26" s="1" customFormat="1" x14ac:dyDescent="0.45">
      <c r="A221" s="70"/>
      <c r="B221" s="70" t="str">
        <f>IFERROR(VLOOKUP($A221,'Project Reference'!$S$2:$T$41,2),"Enter Project Number")</f>
        <v>Enter Project Number</v>
      </c>
      <c r="C221" s="54"/>
      <c r="D221" s="53"/>
      <c r="E221" s="8"/>
      <c r="F221" s="8"/>
      <c r="G221" s="8"/>
      <c r="H221" s="8"/>
      <c r="I221" s="8"/>
      <c r="J221" s="9"/>
      <c r="K221" s="23"/>
      <c r="L221" s="47" t="str">
        <f>IFERROR(VLOOKUP($A221,'Project Reference'!$B$2:$C$41,2), " ")</f>
        <v xml:space="preserve"> </v>
      </c>
      <c r="M221" s="8" t="str">
        <f>IFERROR(VLOOKUP($A221,'Project Reference'!$B$2:$D$41,3), " ")</f>
        <v xml:space="preserve"> </v>
      </c>
      <c r="N221" s="54" t="str">
        <f>IFERROR(VLOOKUP($A221,'Project Reference'!$B$2:$E$41,4), " ")</f>
        <v xml:space="preserve"> </v>
      </c>
      <c r="O221" s="8" t="str">
        <f>IFERROR(VLOOKUP($A221,'Project Reference'!$B$2:$F$41,5), " ")</f>
        <v xml:space="preserve"> </v>
      </c>
      <c r="P221" s="8" t="str">
        <f>IFERROR(VLOOKUP($A221,'Project Reference'!$B$2:$G$41,6), " ")</f>
        <v xml:space="preserve"> </v>
      </c>
      <c r="Q221" s="8" t="str">
        <f>IFERROR(VLOOKUP($A221,'Project Reference'!$B$2:$H$41,7), " ")</f>
        <v xml:space="preserve"> </v>
      </c>
      <c r="R221" s="8" t="str">
        <f>IFERROR(VLOOKUP($A221,'Project Reference'!$B$2:$I$41,8), " ")</f>
        <v xml:space="preserve"> </v>
      </c>
      <c r="S221" s="8" t="str">
        <f>IFERROR(VLOOKUP($A221,'Project Reference'!$B$2:$J$41,9), " ")</f>
        <v xml:space="preserve"> </v>
      </c>
      <c r="T221" s="8" t="str">
        <f>IFERROR(VLOOKUP($A221,'Project Reference'!$B$2:$K$41,10), " ")</f>
        <v xml:space="preserve"> </v>
      </c>
      <c r="U221" s="8" t="str">
        <f>IFERROR(VLOOKUP($A221,'Project Reference'!$B$2:$L$41,11), " ")</f>
        <v xml:space="preserve"> </v>
      </c>
      <c r="V221" s="8" t="str">
        <f>IFERROR(VLOOKUP($A221,'Project Reference'!$B$2:$M$41,12), " ")</f>
        <v xml:space="preserve"> </v>
      </c>
      <c r="W221" s="8" t="str">
        <f>IFERROR(VLOOKUP($A221,'Project Reference'!$B$2:$N$41,13), " ")</f>
        <v xml:space="preserve"> </v>
      </c>
      <c r="X221" s="8" t="str">
        <f>IFERROR(VLOOKUP($A221,'Project Reference'!$B$2:$O$41,14), " ")</f>
        <v xml:space="preserve"> </v>
      </c>
      <c r="Y221" s="8" t="str">
        <f>IFERROR(VLOOKUP($A221,'Project Reference'!$B$2:$P$41,15), " ")</f>
        <v xml:space="preserve"> </v>
      </c>
      <c r="Z221" s="9" t="str">
        <f>IFERROR(VLOOKUP($A221,'Project Reference'!$B$2:$Q$41,16), " ")</f>
        <v xml:space="preserve"> </v>
      </c>
    </row>
    <row r="222" spans="1:26" s="1" customFormat="1" x14ac:dyDescent="0.45">
      <c r="A222" s="70"/>
      <c r="B222" s="70" t="str">
        <f>IFERROR(VLOOKUP($A222,'Project Reference'!$S$2:$T$41,2),"Enter Project Number")</f>
        <v>Enter Project Number</v>
      </c>
      <c r="C222" s="54"/>
      <c r="D222" s="53"/>
      <c r="E222" s="8"/>
      <c r="F222" s="8"/>
      <c r="G222" s="8"/>
      <c r="H222" s="8"/>
      <c r="I222" s="8"/>
      <c r="J222" s="9"/>
      <c r="K222" s="23"/>
      <c r="L222" s="47" t="str">
        <f>IFERROR(VLOOKUP($A222,'Project Reference'!$B$2:$C$41,2), " ")</f>
        <v xml:space="preserve"> </v>
      </c>
      <c r="M222" s="8" t="str">
        <f>IFERROR(VLOOKUP($A222,'Project Reference'!$B$2:$D$41,3), " ")</f>
        <v xml:space="preserve"> </v>
      </c>
      <c r="N222" s="54" t="str">
        <f>IFERROR(VLOOKUP($A222,'Project Reference'!$B$2:$E$41,4), " ")</f>
        <v xml:space="preserve"> </v>
      </c>
      <c r="O222" s="8" t="str">
        <f>IFERROR(VLOOKUP($A222,'Project Reference'!$B$2:$F$41,5), " ")</f>
        <v xml:space="preserve"> </v>
      </c>
      <c r="P222" s="8" t="str">
        <f>IFERROR(VLOOKUP($A222,'Project Reference'!$B$2:$G$41,6), " ")</f>
        <v xml:space="preserve"> </v>
      </c>
      <c r="Q222" s="8" t="str">
        <f>IFERROR(VLOOKUP($A222,'Project Reference'!$B$2:$H$41,7), " ")</f>
        <v xml:space="preserve"> </v>
      </c>
      <c r="R222" s="8" t="str">
        <f>IFERROR(VLOOKUP($A222,'Project Reference'!$B$2:$I$41,8), " ")</f>
        <v xml:space="preserve"> </v>
      </c>
      <c r="S222" s="8" t="str">
        <f>IFERROR(VLOOKUP($A222,'Project Reference'!$B$2:$J$41,9), " ")</f>
        <v xml:space="preserve"> </v>
      </c>
      <c r="T222" s="8" t="str">
        <f>IFERROR(VLOOKUP($A222,'Project Reference'!$B$2:$K$41,10), " ")</f>
        <v xml:space="preserve"> </v>
      </c>
      <c r="U222" s="8" t="str">
        <f>IFERROR(VLOOKUP($A222,'Project Reference'!$B$2:$L$41,11), " ")</f>
        <v xml:space="preserve"> </v>
      </c>
      <c r="V222" s="8" t="str">
        <f>IFERROR(VLOOKUP($A222,'Project Reference'!$B$2:$M$41,12), " ")</f>
        <v xml:space="preserve"> </v>
      </c>
      <c r="W222" s="8" t="str">
        <f>IFERROR(VLOOKUP($A222,'Project Reference'!$B$2:$N$41,13), " ")</f>
        <v xml:space="preserve"> </v>
      </c>
      <c r="X222" s="8" t="str">
        <f>IFERROR(VLOOKUP($A222,'Project Reference'!$B$2:$O$41,14), " ")</f>
        <v xml:space="preserve"> </v>
      </c>
      <c r="Y222" s="8" t="str">
        <f>IFERROR(VLOOKUP($A222,'Project Reference'!$B$2:$P$41,15), " ")</f>
        <v xml:space="preserve"> </v>
      </c>
      <c r="Z222" s="9" t="str">
        <f>IFERROR(VLOOKUP($A222,'Project Reference'!$B$2:$Q$41,16), " ")</f>
        <v xml:space="preserve"> </v>
      </c>
    </row>
    <row r="223" spans="1:26" s="1" customFormat="1" x14ac:dyDescent="0.45">
      <c r="A223" s="70"/>
      <c r="B223" s="70" t="str">
        <f>IFERROR(VLOOKUP($A223,'Project Reference'!$S$2:$T$41,2),"Enter Project Number")</f>
        <v>Enter Project Number</v>
      </c>
      <c r="C223" s="54"/>
      <c r="D223" s="53"/>
      <c r="E223" s="8"/>
      <c r="F223" s="8"/>
      <c r="G223" s="8"/>
      <c r="H223" s="8"/>
      <c r="I223" s="8"/>
      <c r="J223" s="9"/>
      <c r="K223" s="23"/>
      <c r="L223" s="47" t="str">
        <f>IFERROR(VLOOKUP($A223,'Project Reference'!$B$2:$C$41,2), " ")</f>
        <v xml:space="preserve"> </v>
      </c>
      <c r="M223" s="8" t="str">
        <f>IFERROR(VLOOKUP($A223,'Project Reference'!$B$2:$D$41,3), " ")</f>
        <v xml:space="preserve"> </v>
      </c>
      <c r="N223" s="54" t="str">
        <f>IFERROR(VLOOKUP($A223,'Project Reference'!$B$2:$E$41,4), " ")</f>
        <v xml:space="preserve"> </v>
      </c>
      <c r="O223" s="8" t="str">
        <f>IFERROR(VLOOKUP($A223,'Project Reference'!$B$2:$F$41,5), " ")</f>
        <v xml:space="preserve"> </v>
      </c>
      <c r="P223" s="8" t="str">
        <f>IFERROR(VLOOKUP($A223,'Project Reference'!$B$2:$G$41,6), " ")</f>
        <v xml:space="preserve"> </v>
      </c>
      <c r="Q223" s="8" t="str">
        <f>IFERROR(VLOOKUP($A223,'Project Reference'!$B$2:$H$41,7), " ")</f>
        <v xml:space="preserve"> </v>
      </c>
      <c r="R223" s="8" t="str">
        <f>IFERROR(VLOOKUP($A223,'Project Reference'!$B$2:$I$41,8), " ")</f>
        <v xml:space="preserve"> </v>
      </c>
      <c r="S223" s="8" t="str">
        <f>IFERROR(VLOOKUP($A223,'Project Reference'!$B$2:$J$41,9), " ")</f>
        <v xml:space="preserve"> </v>
      </c>
      <c r="T223" s="8" t="str">
        <f>IFERROR(VLOOKUP($A223,'Project Reference'!$B$2:$K$41,10), " ")</f>
        <v xml:space="preserve"> </v>
      </c>
      <c r="U223" s="8" t="str">
        <f>IFERROR(VLOOKUP($A223,'Project Reference'!$B$2:$L$41,11), " ")</f>
        <v xml:space="preserve"> </v>
      </c>
      <c r="V223" s="8" t="str">
        <f>IFERROR(VLOOKUP($A223,'Project Reference'!$B$2:$M$41,12), " ")</f>
        <v xml:space="preserve"> </v>
      </c>
      <c r="W223" s="8" t="str">
        <f>IFERROR(VLOOKUP($A223,'Project Reference'!$B$2:$N$41,13), " ")</f>
        <v xml:space="preserve"> </v>
      </c>
      <c r="X223" s="8" t="str">
        <f>IFERROR(VLOOKUP($A223,'Project Reference'!$B$2:$O$41,14), " ")</f>
        <v xml:space="preserve"> </v>
      </c>
      <c r="Y223" s="8" t="str">
        <f>IFERROR(VLOOKUP($A223,'Project Reference'!$B$2:$P$41,15), " ")</f>
        <v xml:space="preserve"> </v>
      </c>
      <c r="Z223" s="9" t="str">
        <f>IFERROR(VLOOKUP($A223,'Project Reference'!$B$2:$Q$41,16), " ")</f>
        <v xml:space="preserve"> </v>
      </c>
    </row>
    <row r="224" spans="1:26" s="1" customFormat="1" x14ac:dyDescent="0.45">
      <c r="A224" s="70"/>
      <c r="B224" s="70" t="str">
        <f>IFERROR(VLOOKUP($A224,'Project Reference'!$S$2:$T$41,2),"Enter Project Number")</f>
        <v>Enter Project Number</v>
      </c>
      <c r="C224" s="54"/>
      <c r="D224" s="53"/>
      <c r="E224" s="8"/>
      <c r="F224" s="8"/>
      <c r="G224" s="8"/>
      <c r="H224" s="8"/>
      <c r="I224" s="8"/>
      <c r="J224" s="9"/>
      <c r="K224" s="23"/>
      <c r="L224" s="47" t="str">
        <f>IFERROR(VLOOKUP($A224,'Project Reference'!$B$2:$C$41,2), " ")</f>
        <v xml:space="preserve"> </v>
      </c>
      <c r="M224" s="8" t="str">
        <f>IFERROR(VLOOKUP($A224,'Project Reference'!$B$2:$D$41,3), " ")</f>
        <v xml:space="preserve"> </v>
      </c>
      <c r="N224" s="54" t="str">
        <f>IFERROR(VLOOKUP($A224,'Project Reference'!$B$2:$E$41,4), " ")</f>
        <v xml:space="preserve"> </v>
      </c>
      <c r="O224" s="8" t="str">
        <f>IFERROR(VLOOKUP($A224,'Project Reference'!$B$2:$F$41,5), " ")</f>
        <v xml:space="preserve"> </v>
      </c>
      <c r="P224" s="8" t="str">
        <f>IFERROR(VLOOKUP($A224,'Project Reference'!$B$2:$G$41,6), " ")</f>
        <v xml:space="preserve"> </v>
      </c>
      <c r="Q224" s="8" t="str">
        <f>IFERROR(VLOOKUP($A224,'Project Reference'!$B$2:$H$41,7), " ")</f>
        <v xml:space="preserve"> </v>
      </c>
      <c r="R224" s="8" t="str">
        <f>IFERROR(VLOOKUP($A224,'Project Reference'!$B$2:$I$41,8), " ")</f>
        <v xml:space="preserve"> </v>
      </c>
      <c r="S224" s="8" t="str">
        <f>IFERROR(VLOOKUP($A224,'Project Reference'!$B$2:$J$41,9), " ")</f>
        <v xml:space="preserve"> </v>
      </c>
      <c r="T224" s="8" t="str">
        <f>IFERROR(VLOOKUP($A224,'Project Reference'!$B$2:$K$41,10), " ")</f>
        <v xml:space="preserve"> </v>
      </c>
      <c r="U224" s="8" t="str">
        <f>IFERROR(VLOOKUP($A224,'Project Reference'!$B$2:$L$41,11), " ")</f>
        <v xml:space="preserve"> </v>
      </c>
      <c r="V224" s="8" t="str">
        <f>IFERROR(VLOOKUP($A224,'Project Reference'!$B$2:$M$41,12), " ")</f>
        <v xml:space="preserve"> </v>
      </c>
      <c r="W224" s="8" t="str">
        <f>IFERROR(VLOOKUP($A224,'Project Reference'!$B$2:$N$41,13), " ")</f>
        <v xml:space="preserve"> </v>
      </c>
      <c r="X224" s="8" t="str">
        <f>IFERROR(VLOOKUP($A224,'Project Reference'!$B$2:$O$41,14), " ")</f>
        <v xml:space="preserve"> </v>
      </c>
      <c r="Y224" s="8" t="str">
        <f>IFERROR(VLOOKUP($A224,'Project Reference'!$B$2:$P$41,15), " ")</f>
        <v xml:space="preserve"> </v>
      </c>
      <c r="Z224" s="9" t="str">
        <f>IFERROR(VLOOKUP($A224,'Project Reference'!$B$2:$Q$41,16), " ")</f>
        <v xml:space="preserve"> </v>
      </c>
    </row>
    <row r="225" spans="1:26" s="1" customFormat="1" x14ac:dyDescent="0.45">
      <c r="A225" s="70"/>
      <c r="B225" s="70" t="str">
        <f>IFERROR(VLOOKUP($A225,'Project Reference'!$S$2:$T$41,2),"Enter Project Number")</f>
        <v>Enter Project Number</v>
      </c>
      <c r="C225" s="54"/>
      <c r="D225" s="53"/>
      <c r="E225" s="8"/>
      <c r="F225" s="8"/>
      <c r="G225" s="8"/>
      <c r="H225" s="8"/>
      <c r="I225" s="8"/>
      <c r="J225" s="9"/>
      <c r="K225" s="23"/>
      <c r="L225" s="47" t="str">
        <f>IFERROR(VLOOKUP($A225,'Project Reference'!$B$2:$C$41,2), " ")</f>
        <v xml:space="preserve"> </v>
      </c>
      <c r="M225" s="8" t="str">
        <f>IFERROR(VLOOKUP($A225,'Project Reference'!$B$2:$D$41,3), " ")</f>
        <v xml:space="preserve"> </v>
      </c>
      <c r="N225" s="54" t="str">
        <f>IFERROR(VLOOKUP($A225,'Project Reference'!$B$2:$E$41,4), " ")</f>
        <v xml:space="preserve"> </v>
      </c>
      <c r="O225" s="8" t="str">
        <f>IFERROR(VLOOKUP($A225,'Project Reference'!$B$2:$F$41,5), " ")</f>
        <v xml:space="preserve"> </v>
      </c>
      <c r="P225" s="8" t="str">
        <f>IFERROR(VLOOKUP($A225,'Project Reference'!$B$2:$G$41,6), " ")</f>
        <v xml:space="preserve"> </v>
      </c>
      <c r="Q225" s="8" t="str">
        <f>IFERROR(VLOOKUP($A225,'Project Reference'!$B$2:$H$41,7), " ")</f>
        <v xml:space="preserve"> </v>
      </c>
      <c r="R225" s="8" t="str">
        <f>IFERROR(VLOOKUP($A225,'Project Reference'!$B$2:$I$41,8), " ")</f>
        <v xml:space="preserve"> </v>
      </c>
      <c r="S225" s="8" t="str">
        <f>IFERROR(VLOOKUP($A225,'Project Reference'!$B$2:$J$41,9), " ")</f>
        <v xml:space="preserve"> </v>
      </c>
      <c r="T225" s="8" t="str">
        <f>IFERROR(VLOOKUP($A225,'Project Reference'!$B$2:$K$41,10), " ")</f>
        <v xml:space="preserve"> </v>
      </c>
      <c r="U225" s="8" t="str">
        <f>IFERROR(VLOOKUP($A225,'Project Reference'!$B$2:$L$41,11), " ")</f>
        <v xml:space="preserve"> </v>
      </c>
      <c r="V225" s="8" t="str">
        <f>IFERROR(VLOOKUP($A225,'Project Reference'!$B$2:$M$41,12), " ")</f>
        <v xml:space="preserve"> </v>
      </c>
      <c r="W225" s="8" t="str">
        <f>IFERROR(VLOOKUP($A225,'Project Reference'!$B$2:$N$41,13), " ")</f>
        <v xml:space="preserve"> </v>
      </c>
      <c r="X225" s="8" t="str">
        <f>IFERROR(VLOOKUP($A225,'Project Reference'!$B$2:$O$41,14), " ")</f>
        <v xml:space="preserve"> </v>
      </c>
      <c r="Y225" s="8" t="str">
        <f>IFERROR(VLOOKUP($A225,'Project Reference'!$B$2:$P$41,15), " ")</f>
        <v xml:space="preserve"> </v>
      </c>
      <c r="Z225" s="9" t="str">
        <f>IFERROR(VLOOKUP($A225,'Project Reference'!$B$2:$Q$41,16), " ")</f>
        <v xml:space="preserve"> </v>
      </c>
    </row>
    <row r="226" spans="1:26" s="1" customFormat="1" x14ac:dyDescent="0.45">
      <c r="A226" s="70"/>
      <c r="B226" s="70" t="str">
        <f>IFERROR(VLOOKUP($A226,'Project Reference'!$S$2:$T$41,2),"Enter Project Number")</f>
        <v>Enter Project Number</v>
      </c>
      <c r="C226" s="54"/>
      <c r="D226" s="53"/>
      <c r="E226" s="8"/>
      <c r="F226" s="8"/>
      <c r="G226" s="8"/>
      <c r="H226" s="8"/>
      <c r="I226" s="8"/>
      <c r="J226" s="9"/>
      <c r="K226" s="23"/>
      <c r="L226" s="47" t="str">
        <f>IFERROR(VLOOKUP($A226,'Project Reference'!$B$2:$C$41,2), " ")</f>
        <v xml:space="preserve"> </v>
      </c>
      <c r="M226" s="8" t="str">
        <f>IFERROR(VLOOKUP($A226,'Project Reference'!$B$2:$D$41,3), " ")</f>
        <v xml:space="preserve"> </v>
      </c>
      <c r="N226" s="54" t="str">
        <f>IFERROR(VLOOKUP($A226,'Project Reference'!$B$2:$E$41,4), " ")</f>
        <v xml:space="preserve"> </v>
      </c>
      <c r="O226" s="8" t="str">
        <f>IFERROR(VLOOKUP($A226,'Project Reference'!$B$2:$F$41,5), " ")</f>
        <v xml:space="preserve"> </v>
      </c>
      <c r="P226" s="8" t="str">
        <f>IFERROR(VLOOKUP($A226,'Project Reference'!$B$2:$G$41,6), " ")</f>
        <v xml:space="preserve"> </v>
      </c>
      <c r="Q226" s="8" t="str">
        <f>IFERROR(VLOOKUP($A226,'Project Reference'!$B$2:$H$41,7), " ")</f>
        <v xml:space="preserve"> </v>
      </c>
      <c r="R226" s="8" t="str">
        <f>IFERROR(VLOOKUP($A226,'Project Reference'!$B$2:$I$41,8), " ")</f>
        <v xml:space="preserve"> </v>
      </c>
      <c r="S226" s="8" t="str">
        <f>IFERROR(VLOOKUP($A226,'Project Reference'!$B$2:$J$41,9), " ")</f>
        <v xml:space="preserve"> </v>
      </c>
      <c r="T226" s="8" t="str">
        <f>IFERROR(VLOOKUP($A226,'Project Reference'!$B$2:$K$41,10), " ")</f>
        <v xml:space="preserve"> </v>
      </c>
      <c r="U226" s="8" t="str">
        <f>IFERROR(VLOOKUP($A226,'Project Reference'!$B$2:$L$41,11), " ")</f>
        <v xml:space="preserve"> </v>
      </c>
      <c r="V226" s="8" t="str">
        <f>IFERROR(VLOOKUP($A226,'Project Reference'!$B$2:$M$41,12), " ")</f>
        <v xml:space="preserve"> </v>
      </c>
      <c r="W226" s="8" t="str">
        <f>IFERROR(VLOOKUP($A226,'Project Reference'!$B$2:$N$41,13), " ")</f>
        <v xml:space="preserve"> </v>
      </c>
      <c r="X226" s="8" t="str">
        <f>IFERROR(VLOOKUP($A226,'Project Reference'!$B$2:$O$41,14), " ")</f>
        <v xml:space="preserve"> </v>
      </c>
      <c r="Y226" s="8" t="str">
        <f>IFERROR(VLOOKUP($A226,'Project Reference'!$B$2:$P$41,15), " ")</f>
        <v xml:space="preserve"> </v>
      </c>
      <c r="Z226" s="9" t="str">
        <f>IFERROR(VLOOKUP($A226,'Project Reference'!$B$2:$Q$41,16), " ")</f>
        <v xml:space="preserve"> </v>
      </c>
    </row>
    <row r="227" spans="1:26" s="1" customFormat="1" x14ac:dyDescent="0.45">
      <c r="A227" s="70"/>
      <c r="B227" s="70" t="str">
        <f>IFERROR(VLOOKUP($A227,'Project Reference'!$S$2:$T$41,2),"Enter Project Number")</f>
        <v>Enter Project Number</v>
      </c>
      <c r="C227" s="54"/>
      <c r="D227" s="53"/>
      <c r="E227" s="8"/>
      <c r="F227" s="8"/>
      <c r="G227" s="8"/>
      <c r="H227" s="8"/>
      <c r="I227" s="8"/>
      <c r="J227" s="9"/>
      <c r="K227" s="23"/>
      <c r="L227" s="47" t="str">
        <f>IFERROR(VLOOKUP($A227,'Project Reference'!$B$2:$C$41,2), " ")</f>
        <v xml:space="preserve"> </v>
      </c>
      <c r="M227" s="8" t="str">
        <f>IFERROR(VLOOKUP($A227,'Project Reference'!$B$2:$D$41,3), " ")</f>
        <v xml:space="preserve"> </v>
      </c>
      <c r="N227" s="54" t="str">
        <f>IFERROR(VLOOKUP($A227,'Project Reference'!$B$2:$E$41,4), " ")</f>
        <v xml:space="preserve"> </v>
      </c>
      <c r="O227" s="8" t="str">
        <f>IFERROR(VLOOKUP($A227,'Project Reference'!$B$2:$F$41,5), " ")</f>
        <v xml:space="preserve"> </v>
      </c>
      <c r="P227" s="8" t="str">
        <f>IFERROR(VLOOKUP($A227,'Project Reference'!$B$2:$G$41,6), " ")</f>
        <v xml:space="preserve"> </v>
      </c>
      <c r="Q227" s="8" t="str">
        <f>IFERROR(VLOOKUP($A227,'Project Reference'!$B$2:$H$41,7), " ")</f>
        <v xml:space="preserve"> </v>
      </c>
      <c r="R227" s="8" t="str">
        <f>IFERROR(VLOOKUP($A227,'Project Reference'!$B$2:$I$41,8), " ")</f>
        <v xml:space="preserve"> </v>
      </c>
      <c r="S227" s="8" t="str">
        <f>IFERROR(VLOOKUP($A227,'Project Reference'!$B$2:$J$41,9), " ")</f>
        <v xml:space="preserve"> </v>
      </c>
      <c r="T227" s="8" t="str">
        <f>IFERROR(VLOOKUP($A227,'Project Reference'!$B$2:$K$41,10), " ")</f>
        <v xml:space="preserve"> </v>
      </c>
      <c r="U227" s="8" t="str">
        <f>IFERROR(VLOOKUP($A227,'Project Reference'!$B$2:$L$41,11), " ")</f>
        <v xml:space="preserve"> </v>
      </c>
      <c r="V227" s="8" t="str">
        <f>IFERROR(VLOOKUP($A227,'Project Reference'!$B$2:$M$41,12), " ")</f>
        <v xml:space="preserve"> </v>
      </c>
      <c r="W227" s="8" t="str">
        <f>IFERROR(VLOOKUP($A227,'Project Reference'!$B$2:$N$41,13), " ")</f>
        <v xml:space="preserve"> </v>
      </c>
      <c r="X227" s="8" t="str">
        <f>IFERROR(VLOOKUP($A227,'Project Reference'!$B$2:$O$41,14), " ")</f>
        <v xml:space="preserve"> </v>
      </c>
      <c r="Y227" s="8" t="str">
        <f>IFERROR(VLOOKUP($A227,'Project Reference'!$B$2:$P$41,15), " ")</f>
        <v xml:space="preserve"> </v>
      </c>
      <c r="Z227" s="9" t="str">
        <f>IFERROR(VLOOKUP($A227,'Project Reference'!$B$2:$Q$41,16), " ")</f>
        <v xml:space="preserve"> </v>
      </c>
    </row>
    <row r="228" spans="1:26" s="1" customFormat="1" x14ac:dyDescent="0.45">
      <c r="A228" s="70"/>
      <c r="B228" s="70" t="str">
        <f>IFERROR(VLOOKUP($A228,'Project Reference'!$S$2:$T$41,2),"Enter Project Number")</f>
        <v>Enter Project Number</v>
      </c>
      <c r="C228" s="54"/>
      <c r="D228" s="53"/>
      <c r="E228" s="8"/>
      <c r="F228" s="8"/>
      <c r="G228" s="8"/>
      <c r="H228" s="8"/>
      <c r="I228" s="8"/>
      <c r="J228" s="9"/>
      <c r="K228" s="23"/>
      <c r="L228" s="47" t="str">
        <f>IFERROR(VLOOKUP($A228,'Project Reference'!$B$2:$C$41,2), " ")</f>
        <v xml:space="preserve"> </v>
      </c>
      <c r="M228" s="8" t="str">
        <f>IFERROR(VLOOKUP($A228,'Project Reference'!$B$2:$D$41,3), " ")</f>
        <v xml:space="preserve"> </v>
      </c>
      <c r="N228" s="54" t="str">
        <f>IFERROR(VLOOKUP($A228,'Project Reference'!$B$2:$E$41,4), " ")</f>
        <v xml:space="preserve"> </v>
      </c>
      <c r="O228" s="8" t="str">
        <f>IFERROR(VLOOKUP($A228,'Project Reference'!$B$2:$F$41,5), " ")</f>
        <v xml:space="preserve"> </v>
      </c>
      <c r="P228" s="8" t="str">
        <f>IFERROR(VLOOKUP($A228,'Project Reference'!$B$2:$G$41,6), " ")</f>
        <v xml:space="preserve"> </v>
      </c>
      <c r="Q228" s="8" t="str">
        <f>IFERROR(VLOOKUP($A228,'Project Reference'!$B$2:$H$41,7), " ")</f>
        <v xml:space="preserve"> </v>
      </c>
      <c r="R228" s="8" t="str">
        <f>IFERROR(VLOOKUP($A228,'Project Reference'!$B$2:$I$41,8), " ")</f>
        <v xml:space="preserve"> </v>
      </c>
      <c r="S228" s="8" t="str">
        <f>IFERROR(VLOOKUP($A228,'Project Reference'!$B$2:$J$41,9), " ")</f>
        <v xml:space="preserve"> </v>
      </c>
      <c r="T228" s="8" t="str">
        <f>IFERROR(VLOOKUP($A228,'Project Reference'!$B$2:$K$41,10), " ")</f>
        <v xml:space="preserve"> </v>
      </c>
      <c r="U228" s="8" t="str">
        <f>IFERROR(VLOOKUP($A228,'Project Reference'!$B$2:$L$41,11), " ")</f>
        <v xml:space="preserve"> </v>
      </c>
      <c r="V228" s="8" t="str">
        <f>IFERROR(VLOOKUP($A228,'Project Reference'!$B$2:$M$41,12), " ")</f>
        <v xml:space="preserve"> </v>
      </c>
      <c r="W228" s="8" t="str">
        <f>IFERROR(VLOOKUP($A228,'Project Reference'!$B$2:$N$41,13), " ")</f>
        <v xml:space="preserve"> </v>
      </c>
      <c r="X228" s="8" t="str">
        <f>IFERROR(VLOOKUP($A228,'Project Reference'!$B$2:$O$41,14), " ")</f>
        <v xml:space="preserve"> </v>
      </c>
      <c r="Y228" s="8" t="str">
        <f>IFERROR(VLOOKUP($A228,'Project Reference'!$B$2:$P$41,15), " ")</f>
        <v xml:space="preserve"> </v>
      </c>
      <c r="Z228" s="9" t="str">
        <f>IFERROR(VLOOKUP($A228,'Project Reference'!$B$2:$Q$41,16), " ")</f>
        <v xml:space="preserve"> </v>
      </c>
    </row>
    <row r="229" spans="1:26" s="1" customFormat="1" x14ac:dyDescent="0.45">
      <c r="A229" s="70"/>
      <c r="B229" s="70" t="str">
        <f>IFERROR(VLOOKUP($A229,'Project Reference'!$S$2:$T$41,2),"Enter Project Number")</f>
        <v>Enter Project Number</v>
      </c>
      <c r="C229" s="54"/>
      <c r="D229" s="53"/>
      <c r="E229" s="8"/>
      <c r="F229" s="8"/>
      <c r="G229" s="8"/>
      <c r="H229" s="8"/>
      <c r="I229" s="8"/>
      <c r="J229" s="9"/>
      <c r="K229" s="23"/>
      <c r="L229" s="47" t="str">
        <f>IFERROR(VLOOKUP($A229,'Project Reference'!$B$2:$C$41,2), " ")</f>
        <v xml:space="preserve"> </v>
      </c>
      <c r="M229" s="8" t="str">
        <f>IFERROR(VLOOKUP($A229,'Project Reference'!$B$2:$D$41,3), " ")</f>
        <v xml:space="preserve"> </v>
      </c>
      <c r="N229" s="54" t="str">
        <f>IFERROR(VLOOKUP($A229,'Project Reference'!$B$2:$E$41,4), " ")</f>
        <v xml:space="preserve"> </v>
      </c>
      <c r="O229" s="8" t="str">
        <f>IFERROR(VLOOKUP($A229,'Project Reference'!$B$2:$F$41,5), " ")</f>
        <v xml:space="preserve"> </v>
      </c>
      <c r="P229" s="8" t="str">
        <f>IFERROR(VLOOKUP($A229,'Project Reference'!$B$2:$G$41,6), " ")</f>
        <v xml:space="preserve"> </v>
      </c>
      <c r="Q229" s="8" t="str">
        <f>IFERROR(VLOOKUP($A229,'Project Reference'!$B$2:$H$41,7), " ")</f>
        <v xml:space="preserve"> </v>
      </c>
      <c r="R229" s="8" t="str">
        <f>IFERROR(VLOOKUP($A229,'Project Reference'!$B$2:$I$41,8), " ")</f>
        <v xml:space="preserve"> </v>
      </c>
      <c r="S229" s="8" t="str">
        <f>IFERROR(VLOOKUP($A229,'Project Reference'!$B$2:$J$41,9), " ")</f>
        <v xml:space="preserve"> </v>
      </c>
      <c r="T229" s="8" t="str">
        <f>IFERROR(VLOOKUP($A229,'Project Reference'!$B$2:$K$41,10), " ")</f>
        <v xml:space="preserve"> </v>
      </c>
      <c r="U229" s="8" t="str">
        <f>IFERROR(VLOOKUP($A229,'Project Reference'!$B$2:$L$41,11), " ")</f>
        <v xml:space="preserve"> </v>
      </c>
      <c r="V229" s="8" t="str">
        <f>IFERROR(VLOOKUP($A229,'Project Reference'!$B$2:$M$41,12), " ")</f>
        <v xml:space="preserve"> </v>
      </c>
      <c r="W229" s="8" t="str">
        <f>IFERROR(VLOOKUP($A229,'Project Reference'!$B$2:$N$41,13), " ")</f>
        <v xml:space="preserve"> </v>
      </c>
      <c r="X229" s="8" t="str">
        <f>IFERROR(VLOOKUP($A229,'Project Reference'!$B$2:$O$41,14), " ")</f>
        <v xml:space="preserve"> </v>
      </c>
      <c r="Y229" s="8" t="str">
        <f>IFERROR(VLOOKUP($A229,'Project Reference'!$B$2:$P$41,15), " ")</f>
        <v xml:space="preserve"> </v>
      </c>
      <c r="Z229" s="9" t="str">
        <f>IFERROR(VLOOKUP($A229,'Project Reference'!$B$2:$Q$41,16), " ")</f>
        <v xml:space="preserve"> </v>
      </c>
    </row>
    <row r="230" spans="1:26" s="1" customFormat="1" x14ac:dyDescent="0.45">
      <c r="A230" s="70"/>
      <c r="B230" s="70" t="str">
        <f>IFERROR(VLOOKUP($A230,'Project Reference'!$S$2:$T$41,2),"Enter Project Number")</f>
        <v>Enter Project Number</v>
      </c>
      <c r="C230" s="54"/>
      <c r="D230" s="53"/>
      <c r="E230" s="8"/>
      <c r="F230" s="8"/>
      <c r="G230" s="8"/>
      <c r="H230" s="8"/>
      <c r="I230" s="8"/>
      <c r="J230" s="9"/>
      <c r="K230" s="23"/>
      <c r="L230" s="47" t="str">
        <f>IFERROR(VLOOKUP($A230,'Project Reference'!$B$2:$C$41,2), " ")</f>
        <v xml:space="preserve"> </v>
      </c>
      <c r="M230" s="8" t="str">
        <f>IFERROR(VLOOKUP($A230,'Project Reference'!$B$2:$D$41,3), " ")</f>
        <v xml:space="preserve"> </v>
      </c>
      <c r="N230" s="54" t="str">
        <f>IFERROR(VLOOKUP($A230,'Project Reference'!$B$2:$E$41,4), " ")</f>
        <v xml:space="preserve"> </v>
      </c>
      <c r="O230" s="8" t="str">
        <f>IFERROR(VLOOKUP($A230,'Project Reference'!$B$2:$F$41,5), " ")</f>
        <v xml:space="preserve"> </v>
      </c>
      <c r="P230" s="8" t="str">
        <f>IFERROR(VLOOKUP($A230,'Project Reference'!$B$2:$G$41,6), " ")</f>
        <v xml:space="preserve"> </v>
      </c>
      <c r="Q230" s="8" t="str">
        <f>IFERROR(VLOOKUP($A230,'Project Reference'!$B$2:$H$41,7), " ")</f>
        <v xml:space="preserve"> </v>
      </c>
      <c r="R230" s="8" t="str">
        <f>IFERROR(VLOOKUP($A230,'Project Reference'!$B$2:$I$41,8), " ")</f>
        <v xml:space="preserve"> </v>
      </c>
      <c r="S230" s="8" t="str">
        <f>IFERROR(VLOOKUP($A230,'Project Reference'!$B$2:$J$41,9), " ")</f>
        <v xml:space="preserve"> </v>
      </c>
      <c r="T230" s="8" t="str">
        <f>IFERROR(VLOOKUP($A230,'Project Reference'!$B$2:$K$41,10), " ")</f>
        <v xml:space="preserve"> </v>
      </c>
      <c r="U230" s="8" t="str">
        <f>IFERROR(VLOOKUP($A230,'Project Reference'!$B$2:$L$41,11), " ")</f>
        <v xml:space="preserve"> </v>
      </c>
      <c r="V230" s="8" t="str">
        <f>IFERROR(VLOOKUP($A230,'Project Reference'!$B$2:$M$41,12), " ")</f>
        <v xml:space="preserve"> </v>
      </c>
      <c r="W230" s="8" t="str">
        <f>IFERROR(VLOOKUP($A230,'Project Reference'!$B$2:$N$41,13), " ")</f>
        <v xml:space="preserve"> </v>
      </c>
      <c r="X230" s="8" t="str">
        <f>IFERROR(VLOOKUP($A230,'Project Reference'!$B$2:$O$41,14), " ")</f>
        <v xml:space="preserve"> </v>
      </c>
      <c r="Y230" s="8" t="str">
        <f>IFERROR(VLOOKUP($A230,'Project Reference'!$B$2:$P$41,15), " ")</f>
        <v xml:space="preserve"> </v>
      </c>
      <c r="Z230" s="9" t="str">
        <f>IFERROR(VLOOKUP($A230,'Project Reference'!$B$2:$Q$41,16), " ")</f>
        <v xml:space="preserve"> </v>
      </c>
    </row>
    <row r="231" spans="1:26" s="1" customFormat="1" x14ac:dyDescent="0.45">
      <c r="A231" s="70"/>
      <c r="B231" s="70" t="str">
        <f>IFERROR(VLOOKUP($A231,'Project Reference'!$S$2:$T$41,2),"Enter Project Number")</f>
        <v>Enter Project Number</v>
      </c>
      <c r="C231" s="54"/>
      <c r="D231" s="53"/>
      <c r="E231" s="8"/>
      <c r="F231" s="8"/>
      <c r="G231" s="8"/>
      <c r="H231" s="8"/>
      <c r="I231" s="8"/>
      <c r="J231" s="9"/>
      <c r="K231" s="23"/>
      <c r="L231" s="47" t="str">
        <f>IFERROR(VLOOKUP($A231,'Project Reference'!$B$2:$C$41,2), " ")</f>
        <v xml:space="preserve"> </v>
      </c>
      <c r="M231" s="8" t="str">
        <f>IFERROR(VLOOKUP($A231,'Project Reference'!$B$2:$D$41,3), " ")</f>
        <v xml:space="preserve"> </v>
      </c>
      <c r="N231" s="54" t="str">
        <f>IFERROR(VLOOKUP($A231,'Project Reference'!$B$2:$E$41,4), " ")</f>
        <v xml:space="preserve"> </v>
      </c>
      <c r="O231" s="8" t="str">
        <f>IFERROR(VLOOKUP($A231,'Project Reference'!$B$2:$F$41,5), " ")</f>
        <v xml:space="preserve"> </v>
      </c>
      <c r="P231" s="8" t="str">
        <f>IFERROR(VLOOKUP($A231,'Project Reference'!$B$2:$G$41,6), " ")</f>
        <v xml:space="preserve"> </v>
      </c>
      <c r="Q231" s="8" t="str">
        <f>IFERROR(VLOOKUP($A231,'Project Reference'!$B$2:$H$41,7), " ")</f>
        <v xml:space="preserve"> </v>
      </c>
      <c r="R231" s="8" t="str">
        <f>IFERROR(VLOOKUP($A231,'Project Reference'!$B$2:$I$41,8), " ")</f>
        <v xml:space="preserve"> </v>
      </c>
      <c r="S231" s="8" t="str">
        <f>IFERROR(VLOOKUP($A231,'Project Reference'!$B$2:$J$41,9), " ")</f>
        <v xml:space="preserve"> </v>
      </c>
      <c r="T231" s="8" t="str">
        <f>IFERROR(VLOOKUP($A231,'Project Reference'!$B$2:$K$41,10), " ")</f>
        <v xml:space="preserve"> </v>
      </c>
      <c r="U231" s="8" t="str">
        <f>IFERROR(VLOOKUP($A231,'Project Reference'!$B$2:$L$41,11), " ")</f>
        <v xml:space="preserve"> </v>
      </c>
      <c r="V231" s="8" t="str">
        <f>IFERROR(VLOOKUP($A231,'Project Reference'!$B$2:$M$41,12), " ")</f>
        <v xml:space="preserve"> </v>
      </c>
      <c r="W231" s="8" t="str">
        <f>IFERROR(VLOOKUP($A231,'Project Reference'!$B$2:$N$41,13), " ")</f>
        <v xml:space="preserve"> </v>
      </c>
      <c r="X231" s="8" t="str">
        <f>IFERROR(VLOOKUP($A231,'Project Reference'!$B$2:$O$41,14), " ")</f>
        <v xml:space="preserve"> </v>
      </c>
      <c r="Y231" s="8" t="str">
        <f>IFERROR(VLOOKUP($A231,'Project Reference'!$B$2:$P$41,15), " ")</f>
        <v xml:space="preserve"> </v>
      </c>
      <c r="Z231" s="9" t="str">
        <f>IFERROR(VLOOKUP($A231,'Project Reference'!$B$2:$Q$41,16), " ")</f>
        <v xml:space="preserve"> </v>
      </c>
    </row>
    <row r="232" spans="1:26" s="1" customFormat="1" x14ac:dyDescent="0.45">
      <c r="A232" s="70"/>
      <c r="B232" s="70" t="str">
        <f>IFERROR(VLOOKUP($A232,'Project Reference'!$S$2:$T$41,2),"Enter Project Number")</f>
        <v>Enter Project Number</v>
      </c>
      <c r="C232" s="54"/>
      <c r="D232" s="53"/>
      <c r="E232" s="8"/>
      <c r="F232" s="8"/>
      <c r="G232" s="8"/>
      <c r="H232" s="8"/>
      <c r="I232" s="8"/>
      <c r="J232" s="9"/>
      <c r="K232" s="23"/>
      <c r="L232" s="47" t="str">
        <f>IFERROR(VLOOKUP($A232,'Project Reference'!$B$2:$C$41,2), " ")</f>
        <v xml:space="preserve"> </v>
      </c>
      <c r="M232" s="8" t="str">
        <f>IFERROR(VLOOKUP($A232,'Project Reference'!$B$2:$D$41,3), " ")</f>
        <v xml:space="preserve"> </v>
      </c>
      <c r="N232" s="54" t="str">
        <f>IFERROR(VLOOKUP($A232,'Project Reference'!$B$2:$E$41,4), " ")</f>
        <v xml:space="preserve"> </v>
      </c>
      <c r="O232" s="8" t="str">
        <f>IFERROR(VLOOKUP($A232,'Project Reference'!$B$2:$F$41,5), " ")</f>
        <v xml:space="preserve"> </v>
      </c>
      <c r="P232" s="8" t="str">
        <f>IFERROR(VLOOKUP($A232,'Project Reference'!$B$2:$G$41,6), " ")</f>
        <v xml:space="preserve"> </v>
      </c>
      <c r="Q232" s="8" t="str">
        <f>IFERROR(VLOOKUP($A232,'Project Reference'!$B$2:$H$41,7), " ")</f>
        <v xml:space="preserve"> </v>
      </c>
      <c r="R232" s="8" t="str">
        <f>IFERROR(VLOOKUP($A232,'Project Reference'!$B$2:$I$41,8), " ")</f>
        <v xml:space="preserve"> </v>
      </c>
      <c r="S232" s="8" t="str">
        <f>IFERROR(VLOOKUP($A232,'Project Reference'!$B$2:$J$41,9), " ")</f>
        <v xml:space="preserve"> </v>
      </c>
      <c r="T232" s="8" t="str">
        <f>IFERROR(VLOOKUP($A232,'Project Reference'!$B$2:$K$41,10), " ")</f>
        <v xml:space="preserve"> </v>
      </c>
      <c r="U232" s="8" t="str">
        <f>IFERROR(VLOOKUP($A232,'Project Reference'!$B$2:$L$41,11), " ")</f>
        <v xml:space="preserve"> </v>
      </c>
      <c r="V232" s="8" t="str">
        <f>IFERROR(VLOOKUP($A232,'Project Reference'!$B$2:$M$41,12), " ")</f>
        <v xml:space="preserve"> </v>
      </c>
      <c r="W232" s="8" t="str">
        <f>IFERROR(VLOOKUP($A232,'Project Reference'!$B$2:$N$41,13), " ")</f>
        <v xml:space="preserve"> </v>
      </c>
      <c r="X232" s="8" t="str">
        <f>IFERROR(VLOOKUP($A232,'Project Reference'!$B$2:$O$41,14), " ")</f>
        <v xml:space="preserve"> </v>
      </c>
      <c r="Y232" s="8" t="str">
        <f>IFERROR(VLOOKUP($A232,'Project Reference'!$B$2:$P$41,15), " ")</f>
        <v xml:space="preserve"> </v>
      </c>
      <c r="Z232" s="9" t="str">
        <f>IFERROR(VLOOKUP($A232,'Project Reference'!$B$2:$Q$41,16), " ")</f>
        <v xml:space="preserve"> </v>
      </c>
    </row>
    <row r="233" spans="1:26" s="1" customFormat="1" x14ac:dyDescent="0.45">
      <c r="A233" s="70"/>
      <c r="B233" s="70" t="str">
        <f>IFERROR(VLOOKUP($A233,'Project Reference'!$S$2:$T$41,2),"Enter Project Number")</f>
        <v>Enter Project Number</v>
      </c>
      <c r="C233" s="54"/>
      <c r="D233" s="53"/>
      <c r="E233" s="8"/>
      <c r="F233" s="8"/>
      <c r="G233" s="8"/>
      <c r="H233" s="8"/>
      <c r="I233" s="8"/>
      <c r="J233" s="9"/>
      <c r="K233" s="23"/>
      <c r="L233" s="47" t="str">
        <f>IFERROR(VLOOKUP($A233,'Project Reference'!$B$2:$C$41,2), " ")</f>
        <v xml:space="preserve"> </v>
      </c>
      <c r="M233" s="8" t="str">
        <f>IFERROR(VLOOKUP($A233,'Project Reference'!$B$2:$D$41,3), " ")</f>
        <v xml:space="preserve"> </v>
      </c>
      <c r="N233" s="54" t="str">
        <f>IFERROR(VLOOKUP($A233,'Project Reference'!$B$2:$E$41,4), " ")</f>
        <v xml:space="preserve"> </v>
      </c>
      <c r="O233" s="8" t="str">
        <f>IFERROR(VLOOKUP($A233,'Project Reference'!$B$2:$F$41,5), " ")</f>
        <v xml:space="preserve"> </v>
      </c>
      <c r="P233" s="8" t="str">
        <f>IFERROR(VLOOKUP($A233,'Project Reference'!$B$2:$G$41,6), " ")</f>
        <v xml:space="preserve"> </v>
      </c>
      <c r="Q233" s="8" t="str">
        <f>IFERROR(VLOOKUP($A233,'Project Reference'!$B$2:$H$41,7), " ")</f>
        <v xml:space="preserve"> </v>
      </c>
      <c r="R233" s="8" t="str">
        <f>IFERROR(VLOOKUP($A233,'Project Reference'!$B$2:$I$41,8), " ")</f>
        <v xml:space="preserve"> </v>
      </c>
      <c r="S233" s="8" t="str">
        <f>IFERROR(VLOOKUP($A233,'Project Reference'!$B$2:$J$41,9), " ")</f>
        <v xml:space="preserve"> </v>
      </c>
      <c r="T233" s="8" t="str">
        <f>IFERROR(VLOOKUP($A233,'Project Reference'!$B$2:$K$41,10), " ")</f>
        <v xml:space="preserve"> </v>
      </c>
      <c r="U233" s="8" t="str">
        <f>IFERROR(VLOOKUP($A233,'Project Reference'!$B$2:$L$41,11), " ")</f>
        <v xml:space="preserve"> </v>
      </c>
      <c r="V233" s="8" t="str">
        <f>IFERROR(VLOOKUP($A233,'Project Reference'!$B$2:$M$41,12), " ")</f>
        <v xml:space="preserve"> </v>
      </c>
      <c r="W233" s="8" t="str">
        <f>IFERROR(VLOOKUP($A233,'Project Reference'!$B$2:$N$41,13), " ")</f>
        <v xml:space="preserve"> </v>
      </c>
      <c r="X233" s="8" t="str">
        <f>IFERROR(VLOOKUP($A233,'Project Reference'!$B$2:$O$41,14), " ")</f>
        <v xml:space="preserve"> </v>
      </c>
      <c r="Y233" s="8" t="str">
        <f>IFERROR(VLOOKUP($A233,'Project Reference'!$B$2:$P$41,15), " ")</f>
        <v xml:space="preserve"> </v>
      </c>
      <c r="Z233" s="9" t="str">
        <f>IFERROR(VLOOKUP($A233,'Project Reference'!$B$2:$Q$41,16), " ")</f>
        <v xml:space="preserve"> </v>
      </c>
    </row>
    <row r="234" spans="1:26" s="1" customFormat="1" x14ac:dyDescent="0.45">
      <c r="A234" s="70"/>
      <c r="B234" s="70" t="str">
        <f>IFERROR(VLOOKUP($A234,'Project Reference'!$S$2:$T$41,2),"Enter Project Number")</f>
        <v>Enter Project Number</v>
      </c>
      <c r="C234" s="54"/>
      <c r="D234" s="53"/>
      <c r="E234" s="8"/>
      <c r="F234" s="8"/>
      <c r="G234" s="8"/>
      <c r="H234" s="8"/>
      <c r="I234" s="8"/>
      <c r="J234" s="9"/>
      <c r="K234" s="23"/>
      <c r="L234" s="47" t="str">
        <f>IFERROR(VLOOKUP($A234,'Project Reference'!$B$2:$C$41,2), " ")</f>
        <v xml:space="preserve"> </v>
      </c>
      <c r="M234" s="8" t="str">
        <f>IFERROR(VLOOKUP($A234,'Project Reference'!$B$2:$D$41,3), " ")</f>
        <v xml:space="preserve"> </v>
      </c>
      <c r="N234" s="54" t="str">
        <f>IFERROR(VLOOKUP($A234,'Project Reference'!$B$2:$E$41,4), " ")</f>
        <v xml:space="preserve"> </v>
      </c>
      <c r="O234" s="8" t="str">
        <f>IFERROR(VLOOKUP($A234,'Project Reference'!$B$2:$F$41,5), " ")</f>
        <v xml:space="preserve"> </v>
      </c>
      <c r="P234" s="8" t="str">
        <f>IFERROR(VLOOKUP($A234,'Project Reference'!$B$2:$G$41,6), " ")</f>
        <v xml:space="preserve"> </v>
      </c>
      <c r="Q234" s="8" t="str">
        <f>IFERROR(VLOOKUP($A234,'Project Reference'!$B$2:$H$41,7), " ")</f>
        <v xml:space="preserve"> </v>
      </c>
      <c r="R234" s="8" t="str">
        <f>IFERROR(VLOOKUP($A234,'Project Reference'!$B$2:$I$41,8), " ")</f>
        <v xml:space="preserve"> </v>
      </c>
      <c r="S234" s="8" t="str">
        <f>IFERROR(VLOOKUP($A234,'Project Reference'!$B$2:$J$41,9), " ")</f>
        <v xml:space="preserve"> </v>
      </c>
      <c r="T234" s="8" t="str">
        <f>IFERROR(VLOOKUP($A234,'Project Reference'!$B$2:$K$41,10), " ")</f>
        <v xml:space="preserve"> </v>
      </c>
      <c r="U234" s="8" t="str">
        <f>IFERROR(VLOOKUP($A234,'Project Reference'!$B$2:$L$41,11), " ")</f>
        <v xml:space="preserve"> </v>
      </c>
      <c r="V234" s="8" t="str">
        <f>IFERROR(VLOOKUP($A234,'Project Reference'!$B$2:$M$41,12), " ")</f>
        <v xml:space="preserve"> </v>
      </c>
      <c r="W234" s="8" t="str">
        <f>IFERROR(VLOOKUP($A234,'Project Reference'!$B$2:$N$41,13), " ")</f>
        <v xml:space="preserve"> </v>
      </c>
      <c r="X234" s="8" t="str">
        <f>IFERROR(VLOOKUP($A234,'Project Reference'!$B$2:$O$41,14), " ")</f>
        <v xml:space="preserve"> </v>
      </c>
      <c r="Y234" s="8" t="str">
        <f>IFERROR(VLOOKUP($A234,'Project Reference'!$B$2:$P$41,15), " ")</f>
        <v xml:space="preserve"> </v>
      </c>
      <c r="Z234" s="9" t="str">
        <f>IFERROR(VLOOKUP($A234,'Project Reference'!$B$2:$Q$41,16), " ")</f>
        <v xml:space="preserve"> </v>
      </c>
    </row>
    <row r="235" spans="1:26" s="1" customFormat="1" x14ac:dyDescent="0.45">
      <c r="A235" s="70"/>
      <c r="B235" s="70" t="str">
        <f>IFERROR(VLOOKUP($A235,'Project Reference'!$S$2:$T$41,2),"Enter Project Number")</f>
        <v>Enter Project Number</v>
      </c>
      <c r="C235" s="54"/>
      <c r="D235" s="53"/>
      <c r="E235" s="8"/>
      <c r="F235" s="8"/>
      <c r="G235" s="8"/>
      <c r="H235" s="8"/>
      <c r="I235" s="8"/>
      <c r="J235" s="9"/>
      <c r="K235" s="23"/>
      <c r="L235" s="47" t="str">
        <f>IFERROR(VLOOKUP($A235,'Project Reference'!$B$2:$C$41,2), " ")</f>
        <v xml:space="preserve"> </v>
      </c>
      <c r="M235" s="8" t="str">
        <f>IFERROR(VLOOKUP($A235,'Project Reference'!$B$2:$D$41,3), " ")</f>
        <v xml:space="preserve"> </v>
      </c>
      <c r="N235" s="54" t="str">
        <f>IFERROR(VLOOKUP($A235,'Project Reference'!$B$2:$E$41,4), " ")</f>
        <v xml:space="preserve"> </v>
      </c>
      <c r="O235" s="8" t="str">
        <f>IFERROR(VLOOKUP($A235,'Project Reference'!$B$2:$F$41,5), " ")</f>
        <v xml:space="preserve"> </v>
      </c>
      <c r="P235" s="8" t="str">
        <f>IFERROR(VLOOKUP($A235,'Project Reference'!$B$2:$G$41,6), " ")</f>
        <v xml:space="preserve"> </v>
      </c>
      <c r="Q235" s="8" t="str">
        <f>IFERROR(VLOOKUP($A235,'Project Reference'!$B$2:$H$41,7), " ")</f>
        <v xml:space="preserve"> </v>
      </c>
      <c r="R235" s="8" t="str">
        <f>IFERROR(VLOOKUP($A235,'Project Reference'!$B$2:$I$41,8), " ")</f>
        <v xml:space="preserve"> </v>
      </c>
      <c r="S235" s="8" t="str">
        <f>IFERROR(VLOOKUP($A235,'Project Reference'!$B$2:$J$41,9), " ")</f>
        <v xml:space="preserve"> </v>
      </c>
      <c r="T235" s="8" t="str">
        <f>IFERROR(VLOOKUP($A235,'Project Reference'!$B$2:$K$41,10), " ")</f>
        <v xml:space="preserve"> </v>
      </c>
      <c r="U235" s="8" t="str">
        <f>IFERROR(VLOOKUP($A235,'Project Reference'!$B$2:$L$41,11), " ")</f>
        <v xml:space="preserve"> </v>
      </c>
      <c r="V235" s="8" t="str">
        <f>IFERROR(VLOOKUP($A235,'Project Reference'!$B$2:$M$41,12), " ")</f>
        <v xml:space="preserve"> </v>
      </c>
      <c r="W235" s="8" t="str">
        <f>IFERROR(VLOOKUP($A235,'Project Reference'!$B$2:$N$41,13), " ")</f>
        <v xml:space="preserve"> </v>
      </c>
      <c r="X235" s="8" t="str">
        <f>IFERROR(VLOOKUP($A235,'Project Reference'!$B$2:$O$41,14), " ")</f>
        <v xml:space="preserve"> </v>
      </c>
      <c r="Y235" s="8" t="str">
        <f>IFERROR(VLOOKUP($A235,'Project Reference'!$B$2:$P$41,15), " ")</f>
        <v xml:space="preserve"> </v>
      </c>
      <c r="Z235" s="9" t="str">
        <f>IFERROR(VLOOKUP($A235,'Project Reference'!$B$2:$Q$41,16), " ")</f>
        <v xml:space="preserve"> </v>
      </c>
    </row>
    <row r="236" spans="1:26" s="1" customFormat="1" x14ac:dyDescent="0.45">
      <c r="A236" s="70"/>
      <c r="B236" s="70" t="str">
        <f>IFERROR(VLOOKUP($A236,'Project Reference'!$S$2:$T$41,2),"Enter Project Number")</f>
        <v>Enter Project Number</v>
      </c>
      <c r="C236" s="54"/>
      <c r="D236" s="53"/>
      <c r="E236" s="8"/>
      <c r="F236" s="8"/>
      <c r="G236" s="8"/>
      <c r="H236" s="8"/>
      <c r="I236" s="8"/>
      <c r="J236" s="9"/>
      <c r="K236" s="23"/>
      <c r="L236" s="47" t="str">
        <f>IFERROR(VLOOKUP($A236,'Project Reference'!$B$2:$C$41,2), " ")</f>
        <v xml:space="preserve"> </v>
      </c>
      <c r="M236" s="8" t="str">
        <f>IFERROR(VLOOKUP($A236,'Project Reference'!$B$2:$D$41,3), " ")</f>
        <v xml:space="preserve"> </v>
      </c>
      <c r="N236" s="54" t="str">
        <f>IFERROR(VLOOKUP($A236,'Project Reference'!$B$2:$E$41,4), " ")</f>
        <v xml:space="preserve"> </v>
      </c>
      <c r="O236" s="8" t="str">
        <f>IFERROR(VLOOKUP($A236,'Project Reference'!$B$2:$F$41,5), " ")</f>
        <v xml:space="preserve"> </v>
      </c>
      <c r="P236" s="8" t="str">
        <f>IFERROR(VLOOKUP($A236,'Project Reference'!$B$2:$G$41,6), " ")</f>
        <v xml:space="preserve"> </v>
      </c>
      <c r="Q236" s="8" t="str">
        <f>IFERROR(VLOOKUP($A236,'Project Reference'!$B$2:$H$41,7), " ")</f>
        <v xml:space="preserve"> </v>
      </c>
      <c r="R236" s="8" t="str">
        <f>IFERROR(VLOOKUP($A236,'Project Reference'!$B$2:$I$41,8), " ")</f>
        <v xml:space="preserve"> </v>
      </c>
      <c r="S236" s="8" t="str">
        <f>IFERROR(VLOOKUP($A236,'Project Reference'!$B$2:$J$41,9), " ")</f>
        <v xml:space="preserve"> </v>
      </c>
      <c r="T236" s="8" t="str">
        <f>IFERROR(VLOOKUP($A236,'Project Reference'!$B$2:$K$41,10), " ")</f>
        <v xml:space="preserve"> </v>
      </c>
      <c r="U236" s="8" t="str">
        <f>IFERROR(VLOOKUP($A236,'Project Reference'!$B$2:$L$41,11), " ")</f>
        <v xml:space="preserve"> </v>
      </c>
      <c r="V236" s="8" t="str">
        <f>IFERROR(VLOOKUP($A236,'Project Reference'!$B$2:$M$41,12), " ")</f>
        <v xml:space="preserve"> </v>
      </c>
      <c r="W236" s="8" t="str">
        <f>IFERROR(VLOOKUP($A236,'Project Reference'!$B$2:$N$41,13), " ")</f>
        <v xml:space="preserve"> </v>
      </c>
      <c r="X236" s="8" t="str">
        <f>IFERROR(VLOOKUP($A236,'Project Reference'!$B$2:$O$41,14), " ")</f>
        <v xml:space="preserve"> </v>
      </c>
      <c r="Y236" s="8" t="str">
        <f>IFERROR(VLOOKUP($A236,'Project Reference'!$B$2:$P$41,15), " ")</f>
        <v xml:space="preserve"> </v>
      </c>
      <c r="Z236" s="9" t="str">
        <f>IFERROR(VLOOKUP($A236,'Project Reference'!$B$2:$Q$41,16), " ")</f>
        <v xml:space="preserve"> </v>
      </c>
    </row>
    <row r="237" spans="1:26" s="1" customFormat="1" x14ac:dyDescent="0.45">
      <c r="A237" s="70"/>
      <c r="B237" s="70" t="str">
        <f>IFERROR(VLOOKUP($A237,'Project Reference'!$S$2:$T$41,2),"Enter Project Number")</f>
        <v>Enter Project Number</v>
      </c>
      <c r="C237" s="54"/>
      <c r="D237" s="53"/>
      <c r="E237" s="8"/>
      <c r="F237" s="8"/>
      <c r="G237" s="8"/>
      <c r="H237" s="8"/>
      <c r="I237" s="8"/>
      <c r="J237" s="9"/>
      <c r="K237" s="23"/>
      <c r="L237" s="47" t="str">
        <f>IFERROR(VLOOKUP($A237,'Project Reference'!$B$2:$C$41,2), " ")</f>
        <v xml:space="preserve"> </v>
      </c>
      <c r="M237" s="8" t="str">
        <f>IFERROR(VLOOKUP($A237,'Project Reference'!$B$2:$D$41,3), " ")</f>
        <v xml:space="preserve"> </v>
      </c>
      <c r="N237" s="54" t="str">
        <f>IFERROR(VLOOKUP($A237,'Project Reference'!$B$2:$E$41,4), " ")</f>
        <v xml:space="preserve"> </v>
      </c>
      <c r="O237" s="8" t="str">
        <f>IFERROR(VLOOKUP($A237,'Project Reference'!$B$2:$F$41,5), " ")</f>
        <v xml:space="preserve"> </v>
      </c>
      <c r="P237" s="8" t="str">
        <f>IFERROR(VLOOKUP($A237,'Project Reference'!$B$2:$G$41,6), " ")</f>
        <v xml:space="preserve"> </v>
      </c>
      <c r="Q237" s="8" t="str">
        <f>IFERROR(VLOOKUP($A237,'Project Reference'!$B$2:$H$41,7), " ")</f>
        <v xml:space="preserve"> </v>
      </c>
      <c r="R237" s="8" t="str">
        <f>IFERROR(VLOOKUP($A237,'Project Reference'!$B$2:$I$41,8), " ")</f>
        <v xml:space="preserve"> </v>
      </c>
      <c r="S237" s="8" t="str">
        <f>IFERROR(VLOOKUP($A237,'Project Reference'!$B$2:$J$41,9), " ")</f>
        <v xml:space="preserve"> </v>
      </c>
      <c r="T237" s="8" t="str">
        <f>IFERROR(VLOOKUP($A237,'Project Reference'!$B$2:$K$41,10), " ")</f>
        <v xml:space="preserve"> </v>
      </c>
      <c r="U237" s="8" t="str">
        <f>IFERROR(VLOOKUP($A237,'Project Reference'!$B$2:$L$41,11), " ")</f>
        <v xml:space="preserve"> </v>
      </c>
      <c r="V237" s="8" t="str">
        <f>IFERROR(VLOOKUP($A237,'Project Reference'!$B$2:$M$41,12), " ")</f>
        <v xml:space="preserve"> </v>
      </c>
      <c r="W237" s="8" t="str">
        <f>IFERROR(VLOOKUP($A237,'Project Reference'!$B$2:$N$41,13), " ")</f>
        <v xml:space="preserve"> </v>
      </c>
      <c r="X237" s="8" t="str">
        <f>IFERROR(VLOOKUP($A237,'Project Reference'!$B$2:$O$41,14), " ")</f>
        <v xml:space="preserve"> </v>
      </c>
      <c r="Y237" s="8" t="str">
        <f>IFERROR(VLOOKUP($A237,'Project Reference'!$B$2:$P$41,15), " ")</f>
        <v xml:space="preserve"> </v>
      </c>
      <c r="Z237" s="9" t="str">
        <f>IFERROR(VLOOKUP($A237,'Project Reference'!$B$2:$Q$41,16), " ")</f>
        <v xml:space="preserve"> </v>
      </c>
    </row>
    <row r="238" spans="1:26" s="1" customFormat="1" x14ac:dyDescent="0.45">
      <c r="A238" s="70"/>
      <c r="B238" s="70" t="str">
        <f>IFERROR(VLOOKUP($A238,'Project Reference'!$S$2:$T$41,2),"Enter Project Number")</f>
        <v>Enter Project Number</v>
      </c>
      <c r="C238" s="54"/>
      <c r="D238" s="53"/>
      <c r="E238" s="8"/>
      <c r="F238" s="8"/>
      <c r="G238" s="8"/>
      <c r="H238" s="8"/>
      <c r="I238" s="8"/>
      <c r="J238" s="9"/>
      <c r="K238" s="23"/>
      <c r="L238" s="47" t="str">
        <f>IFERROR(VLOOKUP($A238,'Project Reference'!$B$2:$C$41,2), " ")</f>
        <v xml:space="preserve"> </v>
      </c>
      <c r="M238" s="8" t="str">
        <f>IFERROR(VLOOKUP($A238,'Project Reference'!$B$2:$D$41,3), " ")</f>
        <v xml:space="preserve"> </v>
      </c>
      <c r="N238" s="54" t="str">
        <f>IFERROR(VLOOKUP($A238,'Project Reference'!$B$2:$E$41,4), " ")</f>
        <v xml:space="preserve"> </v>
      </c>
      <c r="O238" s="8" t="str">
        <f>IFERROR(VLOOKUP($A238,'Project Reference'!$B$2:$F$41,5), " ")</f>
        <v xml:space="preserve"> </v>
      </c>
      <c r="P238" s="8" t="str">
        <f>IFERROR(VLOOKUP($A238,'Project Reference'!$B$2:$G$41,6), " ")</f>
        <v xml:space="preserve"> </v>
      </c>
      <c r="Q238" s="8" t="str">
        <f>IFERROR(VLOOKUP($A238,'Project Reference'!$B$2:$H$41,7), " ")</f>
        <v xml:space="preserve"> </v>
      </c>
      <c r="R238" s="8" t="str">
        <f>IFERROR(VLOOKUP($A238,'Project Reference'!$B$2:$I$41,8), " ")</f>
        <v xml:space="preserve"> </v>
      </c>
      <c r="S238" s="8" t="str">
        <f>IFERROR(VLOOKUP($A238,'Project Reference'!$B$2:$J$41,9), " ")</f>
        <v xml:space="preserve"> </v>
      </c>
      <c r="T238" s="8" t="str">
        <f>IFERROR(VLOOKUP($A238,'Project Reference'!$B$2:$K$41,10), " ")</f>
        <v xml:space="preserve"> </v>
      </c>
      <c r="U238" s="8" t="str">
        <f>IFERROR(VLOOKUP($A238,'Project Reference'!$B$2:$L$41,11), " ")</f>
        <v xml:space="preserve"> </v>
      </c>
      <c r="V238" s="8" t="str">
        <f>IFERROR(VLOOKUP($A238,'Project Reference'!$B$2:$M$41,12), " ")</f>
        <v xml:space="preserve"> </v>
      </c>
      <c r="W238" s="8" t="str">
        <f>IFERROR(VLOOKUP($A238,'Project Reference'!$B$2:$N$41,13), " ")</f>
        <v xml:space="preserve"> </v>
      </c>
      <c r="X238" s="8" t="str">
        <f>IFERROR(VLOOKUP($A238,'Project Reference'!$B$2:$O$41,14), " ")</f>
        <v xml:space="preserve"> </v>
      </c>
      <c r="Y238" s="8" t="str">
        <f>IFERROR(VLOOKUP($A238,'Project Reference'!$B$2:$P$41,15), " ")</f>
        <v xml:space="preserve"> </v>
      </c>
      <c r="Z238" s="9" t="str">
        <f>IFERROR(VLOOKUP($A238,'Project Reference'!$B$2:$Q$41,16), " ")</f>
        <v xml:space="preserve"> </v>
      </c>
    </row>
    <row r="239" spans="1:26" s="1" customFormat="1" x14ac:dyDescent="0.45">
      <c r="A239" s="70"/>
      <c r="B239" s="70" t="str">
        <f>IFERROR(VLOOKUP($A239,'Project Reference'!$S$2:$T$41,2),"Enter Project Number")</f>
        <v>Enter Project Number</v>
      </c>
      <c r="C239" s="54"/>
      <c r="D239" s="53"/>
      <c r="E239" s="8"/>
      <c r="F239" s="8"/>
      <c r="G239" s="8"/>
      <c r="H239" s="8"/>
      <c r="I239" s="8"/>
      <c r="J239" s="9"/>
      <c r="K239" s="23"/>
      <c r="L239" s="47" t="str">
        <f>IFERROR(VLOOKUP($A239,'Project Reference'!$B$2:$C$41,2), " ")</f>
        <v xml:space="preserve"> </v>
      </c>
      <c r="M239" s="8" t="str">
        <f>IFERROR(VLOOKUP($A239,'Project Reference'!$B$2:$D$41,3), " ")</f>
        <v xml:space="preserve"> </v>
      </c>
      <c r="N239" s="54" t="str">
        <f>IFERROR(VLOOKUP($A239,'Project Reference'!$B$2:$E$41,4), " ")</f>
        <v xml:space="preserve"> </v>
      </c>
      <c r="O239" s="8" t="str">
        <f>IFERROR(VLOOKUP($A239,'Project Reference'!$B$2:$F$41,5), " ")</f>
        <v xml:space="preserve"> </v>
      </c>
      <c r="P239" s="8" t="str">
        <f>IFERROR(VLOOKUP($A239,'Project Reference'!$B$2:$G$41,6), " ")</f>
        <v xml:space="preserve"> </v>
      </c>
      <c r="Q239" s="8" t="str">
        <f>IFERROR(VLOOKUP($A239,'Project Reference'!$B$2:$H$41,7), " ")</f>
        <v xml:space="preserve"> </v>
      </c>
      <c r="R239" s="8" t="str">
        <f>IFERROR(VLOOKUP($A239,'Project Reference'!$B$2:$I$41,8), " ")</f>
        <v xml:space="preserve"> </v>
      </c>
      <c r="S239" s="8" t="str">
        <f>IFERROR(VLOOKUP($A239,'Project Reference'!$B$2:$J$41,9), " ")</f>
        <v xml:space="preserve"> </v>
      </c>
      <c r="T239" s="8" t="str">
        <f>IFERROR(VLOOKUP($A239,'Project Reference'!$B$2:$K$41,10), " ")</f>
        <v xml:space="preserve"> </v>
      </c>
      <c r="U239" s="8" t="str">
        <f>IFERROR(VLOOKUP($A239,'Project Reference'!$B$2:$L$41,11), " ")</f>
        <v xml:space="preserve"> </v>
      </c>
      <c r="V239" s="8" t="str">
        <f>IFERROR(VLOOKUP($A239,'Project Reference'!$B$2:$M$41,12), " ")</f>
        <v xml:space="preserve"> </v>
      </c>
      <c r="W239" s="8" t="str">
        <f>IFERROR(VLOOKUP($A239,'Project Reference'!$B$2:$N$41,13), " ")</f>
        <v xml:space="preserve"> </v>
      </c>
      <c r="X239" s="8" t="str">
        <f>IFERROR(VLOOKUP($A239,'Project Reference'!$B$2:$O$41,14), " ")</f>
        <v xml:space="preserve"> </v>
      </c>
      <c r="Y239" s="8" t="str">
        <f>IFERROR(VLOOKUP($A239,'Project Reference'!$B$2:$P$41,15), " ")</f>
        <v xml:space="preserve"> </v>
      </c>
      <c r="Z239" s="9" t="str">
        <f>IFERROR(VLOOKUP($A239,'Project Reference'!$B$2:$Q$41,16), " ")</f>
        <v xml:space="preserve"> </v>
      </c>
    </row>
    <row r="240" spans="1:26" s="1" customFormat="1" x14ac:dyDescent="0.45">
      <c r="A240" s="70"/>
      <c r="B240" s="70" t="str">
        <f>IFERROR(VLOOKUP($A240,'Project Reference'!$S$2:$T$41,2),"Enter Project Number")</f>
        <v>Enter Project Number</v>
      </c>
      <c r="C240" s="54"/>
      <c r="D240" s="53"/>
      <c r="E240" s="8"/>
      <c r="F240" s="8"/>
      <c r="G240" s="8"/>
      <c r="H240" s="8"/>
      <c r="I240" s="8"/>
      <c r="J240" s="9"/>
      <c r="K240" s="23"/>
      <c r="L240" s="47" t="str">
        <f>IFERROR(VLOOKUP($A240,'Project Reference'!$B$2:$C$41,2), " ")</f>
        <v xml:space="preserve"> </v>
      </c>
      <c r="M240" s="8" t="str">
        <f>IFERROR(VLOOKUP($A240,'Project Reference'!$B$2:$D$41,3), " ")</f>
        <v xml:space="preserve"> </v>
      </c>
      <c r="N240" s="54" t="str">
        <f>IFERROR(VLOOKUP($A240,'Project Reference'!$B$2:$E$41,4), " ")</f>
        <v xml:space="preserve"> </v>
      </c>
      <c r="O240" s="8" t="str">
        <f>IFERROR(VLOOKUP($A240,'Project Reference'!$B$2:$F$41,5), " ")</f>
        <v xml:space="preserve"> </v>
      </c>
      <c r="P240" s="8" t="str">
        <f>IFERROR(VLOOKUP($A240,'Project Reference'!$B$2:$G$41,6), " ")</f>
        <v xml:space="preserve"> </v>
      </c>
      <c r="Q240" s="8" t="str">
        <f>IFERROR(VLOOKUP($A240,'Project Reference'!$B$2:$H$41,7), " ")</f>
        <v xml:space="preserve"> </v>
      </c>
      <c r="R240" s="8" t="str">
        <f>IFERROR(VLOOKUP($A240,'Project Reference'!$B$2:$I$41,8), " ")</f>
        <v xml:space="preserve"> </v>
      </c>
      <c r="S240" s="8" t="str">
        <f>IFERROR(VLOOKUP($A240,'Project Reference'!$B$2:$J$41,9), " ")</f>
        <v xml:space="preserve"> </v>
      </c>
      <c r="T240" s="8" t="str">
        <f>IFERROR(VLOOKUP($A240,'Project Reference'!$B$2:$K$41,10), " ")</f>
        <v xml:space="preserve"> </v>
      </c>
      <c r="U240" s="8" t="str">
        <f>IFERROR(VLOOKUP($A240,'Project Reference'!$B$2:$L$41,11), " ")</f>
        <v xml:space="preserve"> </v>
      </c>
      <c r="V240" s="8" t="str">
        <f>IFERROR(VLOOKUP($A240,'Project Reference'!$B$2:$M$41,12), " ")</f>
        <v xml:space="preserve"> </v>
      </c>
      <c r="W240" s="8" t="str">
        <f>IFERROR(VLOOKUP($A240,'Project Reference'!$B$2:$N$41,13), " ")</f>
        <v xml:space="preserve"> </v>
      </c>
      <c r="X240" s="8" t="str">
        <f>IFERROR(VLOOKUP($A240,'Project Reference'!$B$2:$O$41,14), " ")</f>
        <v xml:space="preserve"> </v>
      </c>
      <c r="Y240" s="8" t="str">
        <f>IFERROR(VLOOKUP($A240,'Project Reference'!$B$2:$P$41,15), " ")</f>
        <v xml:space="preserve"> </v>
      </c>
      <c r="Z240" s="9" t="str">
        <f>IFERROR(VLOOKUP($A240,'Project Reference'!$B$2:$Q$41,16), " ")</f>
        <v xml:space="preserve"> </v>
      </c>
    </row>
    <row r="241" spans="1:26" s="1" customFormat="1" x14ac:dyDescent="0.45">
      <c r="A241" s="70"/>
      <c r="B241" s="70" t="str">
        <f>IFERROR(VLOOKUP($A241,'Project Reference'!$S$2:$T$41,2),"Enter Project Number")</f>
        <v>Enter Project Number</v>
      </c>
      <c r="C241" s="54"/>
      <c r="D241" s="53"/>
      <c r="E241" s="8"/>
      <c r="F241" s="8"/>
      <c r="G241" s="8"/>
      <c r="H241" s="8"/>
      <c r="I241" s="8"/>
      <c r="J241" s="9"/>
      <c r="K241" s="23"/>
      <c r="L241" s="47" t="str">
        <f>IFERROR(VLOOKUP($A241,'Project Reference'!$B$2:$C$41,2), " ")</f>
        <v xml:space="preserve"> </v>
      </c>
      <c r="M241" s="8" t="str">
        <f>IFERROR(VLOOKUP($A241,'Project Reference'!$B$2:$D$41,3), " ")</f>
        <v xml:space="preserve"> </v>
      </c>
      <c r="N241" s="54" t="str">
        <f>IFERROR(VLOOKUP($A241,'Project Reference'!$B$2:$E$41,4), " ")</f>
        <v xml:space="preserve"> </v>
      </c>
      <c r="O241" s="8" t="str">
        <f>IFERROR(VLOOKUP($A241,'Project Reference'!$B$2:$F$41,5), " ")</f>
        <v xml:space="preserve"> </v>
      </c>
      <c r="P241" s="8" t="str">
        <f>IFERROR(VLOOKUP($A241,'Project Reference'!$B$2:$G$41,6), " ")</f>
        <v xml:space="preserve"> </v>
      </c>
      <c r="Q241" s="8" t="str">
        <f>IFERROR(VLOOKUP($A241,'Project Reference'!$B$2:$H$41,7), " ")</f>
        <v xml:space="preserve"> </v>
      </c>
      <c r="R241" s="8" t="str">
        <f>IFERROR(VLOOKUP($A241,'Project Reference'!$B$2:$I$41,8), " ")</f>
        <v xml:space="preserve"> </v>
      </c>
      <c r="S241" s="8" t="str">
        <f>IFERROR(VLOOKUP($A241,'Project Reference'!$B$2:$J$41,9), " ")</f>
        <v xml:space="preserve"> </v>
      </c>
      <c r="T241" s="8" t="str">
        <f>IFERROR(VLOOKUP($A241,'Project Reference'!$B$2:$K$41,10), " ")</f>
        <v xml:space="preserve"> </v>
      </c>
      <c r="U241" s="8" t="str">
        <f>IFERROR(VLOOKUP($A241,'Project Reference'!$B$2:$L$41,11), " ")</f>
        <v xml:space="preserve"> </v>
      </c>
      <c r="V241" s="8" t="str">
        <f>IFERROR(VLOOKUP($A241,'Project Reference'!$B$2:$M$41,12), " ")</f>
        <v xml:space="preserve"> </v>
      </c>
      <c r="W241" s="8" t="str">
        <f>IFERROR(VLOOKUP($A241,'Project Reference'!$B$2:$N$41,13), " ")</f>
        <v xml:space="preserve"> </v>
      </c>
      <c r="X241" s="8" t="str">
        <f>IFERROR(VLOOKUP($A241,'Project Reference'!$B$2:$O$41,14), " ")</f>
        <v xml:space="preserve"> </v>
      </c>
      <c r="Y241" s="8" t="str">
        <f>IFERROR(VLOOKUP($A241,'Project Reference'!$B$2:$P$41,15), " ")</f>
        <v xml:space="preserve"> </v>
      </c>
      <c r="Z241" s="9" t="str">
        <f>IFERROR(VLOOKUP($A241,'Project Reference'!$B$2:$Q$41,16), " ")</f>
        <v xml:space="preserve"> </v>
      </c>
    </row>
    <row r="242" spans="1:26" s="1" customFormat="1" x14ac:dyDescent="0.45">
      <c r="A242" s="70"/>
      <c r="B242" s="70" t="str">
        <f>IFERROR(VLOOKUP($A242,'Project Reference'!$S$2:$T$41,2),"Enter Project Number")</f>
        <v>Enter Project Number</v>
      </c>
      <c r="C242" s="54"/>
      <c r="D242" s="53"/>
      <c r="E242" s="8"/>
      <c r="F242" s="8"/>
      <c r="G242" s="8"/>
      <c r="H242" s="8"/>
      <c r="I242" s="8"/>
      <c r="J242" s="9"/>
      <c r="K242" s="23"/>
      <c r="L242" s="47" t="str">
        <f>IFERROR(VLOOKUP($A242,'Project Reference'!$B$2:$C$41,2), " ")</f>
        <v xml:space="preserve"> </v>
      </c>
      <c r="M242" s="8" t="str">
        <f>IFERROR(VLOOKUP($A242,'Project Reference'!$B$2:$D$41,3), " ")</f>
        <v xml:space="preserve"> </v>
      </c>
      <c r="N242" s="54" t="str">
        <f>IFERROR(VLOOKUP($A242,'Project Reference'!$B$2:$E$41,4), " ")</f>
        <v xml:space="preserve"> </v>
      </c>
      <c r="O242" s="8" t="str">
        <f>IFERROR(VLOOKUP($A242,'Project Reference'!$B$2:$F$41,5), " ")</f>
        <v xml:space="preserve"> </v>
      </c>
      <c r="P242" s="8" t="str">
        <f>IFERROR(VLOOKUP($A242,'Project Reference'!$B$2:$G$41,6), " ")</f>
        <v xml:space="preserve"> </v>
      </c>
      <c r="Q242" s="8" t="str">
        <f>IFERROR(VLOOKUP($A242,'Project Reference'!$B$2:$H$41,7), " ")</f>
        <v xml:space="preserve"> </v>
      </c>
      <c r="R242" s="8" t="str">
        <f>IFERROR(VLOOKUP($A242,'Project Reference'!$B$2:$I$41,8), " ")</f>
        <v xml:space="preserve"> </v>
      </c>
      <c r="S242" s="8" t="str">
        <f>IFERROR(VLOOKUP($A242,'Project Reference'!$B$2:$J$41,9), " ")</f>
        <v xml:space="preserve"> </v>
      </c>
      <c r="T242" s="8" t="str">
        <f>IFERROR(VLOOKUP($A242,'Project Reference'!$B$2:$K$41,10), " ")</f>
        <v xml:space="preserve"> </v>
      </c>
      <c r="U242" s="8" t="str">
        <f>IFERROR(VLOOKUP($A242,'Project Reference'!$B$2:$L$41,11), " ")</f>
        <v xml:space="preserve"> </v>
      </c>
      <c r="V242" s="8" t="str">
        <f>IFERROR(VLOOKUP($A242,'Project Reference'!$B$2:$M$41,12), " ")</f>
        <v xml:space="preserve"> </v>
      </c>
      <c r="W242" s="8" t="str">
        <f>IFERROR(VLOOKUP($A242,'Project Reference'!$B$2:$N$41,13), " ")</f>
        <v xml:space="preserve"> </v>
      </c>
      <c r="X242" s="8" t="str">
        <f>IFERROR(VLOOKUP($A242,'Project Reference'!$B$2:$O$41,14), " ")</f>
        <v xml:space="preserve"> </v>
      </c>
      <c r="Y242" s="8" t="str">
        <f>IFERROR(VLOOKUP($A242,'Project Reference'!$B$2:$P$41,15), " ")</f>
        <v xml:space="preserve"> </v>
      </c>
      <c r="Z242" s="9" t="str">
        <f>IFERROR(VLOOKUP($A242,'Project Reference'!$B$2:$Q$41,16), " ")</f>
        <v xml:space="preserve"> </v>
      </c>
    </row>
    <row r="243" spans="1:26" s="1" customFormat="1" x14ac:dyDescent="0.45">
      <c r="A243" s="70"/>
      <c r="B243" s="70" t="str">
        <f>IFERROR(VLOOKUP($A243,'Project Reference'!$S$2:$T$41,2),"Enter Project Number")</f>
        <v>Enter Project Number</v>
      </c>
      <c r="C243" s="54"/>
      <c r="D243" s="53"/>
      <c r="E243" s="8"/>
      <c r="F243" s="8"/>
      <c r="G243" s="8"/>
      <c r="H243" s="8"/>
      <c r="I243" s="8"/>
      <c r="J243" s="9"/>
      <c r="K243" s="23"/>
      <c r="L243" s="47" t="str">
        <f>IFERROR(VLOOKUP($A243,'Project Reference'!$B$2:$C$41,2), " ")</f>
        <v xml:space="preserve"> </v>
      </c>
      <c r="M243" s="8" t="str">
        <f>IFERROR(VLOOKUP($A243,'Project Reference'!$B$2:$D$41,3), " ")</f>
        <v xml:space="preserve"> </v>
      </c>
      <c r="N243" s="54" t="str">
        <f>IFERROR(VLOOKUP($A243,'Project Reference'!$B$2:$E$41,4), " ")</f>
        <v xml:space="preserve"> </v>
      </c>
      <c r="O243" s="8" t="str">
        <f>IFERROR(VLOOKUP($A243,'Project Reference'!$B$2:$F$41,5), " ")</f>
        <v xml:space="preserve"> </v>
      </c>
      <c r="P243" s="8" t="str">
        <f>IFERROR(VLOOKUP($A243,'Project Reference'!$B$2:$G$41,6), " ")</f>
        <v xml:space="preserve"> </v>
      </c>
      <c r="Q243" s="8" t="str">
        <f>IFERROR(VLOOKUP($A243,'Project Reference'!$B$2:$H$41,7), " ")</f>
        <v xml:space="preserve"> </v>
      </c>
      <c r="R243" s="8" t="str">
        <f>IFERROR(VLOOKUP($A243,'Project Reference'!$B$2:$I$41,8), " ")</f>
        <v xml:space="preserve"> </v>
      </c>
      <c r="S243" s="8" t="str">
        <f>IFERROR(VLOOKUP($A243,'Project Reference'!$B$2:$J$41,9), " ")</f>
        <v xml:space="preserve"> </v>
      </c>
      <c r="T243" s="8" t="str">
        <f>IFERROR(VLOOKUP($A243,'Project Reference'!$B$2:$K$41,10), " ")</f>
        <v xml:space="preserve"> </v>
      </c>
      <c r="U243" s="8" t="str">
        <f>IFERROR(VLOOKUP($A243,'Project Reference'!$B$2:$L$41,11), " ")</f>
        <v xml:space="preserve"> </v>
      </c>
      <c r="V243" s="8" t="str">
        <f>IFERROR(VLOOKUP($A243,'Project Reference'!$B$2:$M$41,12), " ")</f>
        <v xml:space="preserve"> </v>
      </c>
      <c r="W243" s="8" t="str">
        <f>IFERROR(VLOOKUP($A243,'Project Reference'!$B$2:$N$41,13), " ")</f>
        <v xml:space="preserve"> </v>
      </c>
      <c r="X243" s="8" t="str">
        <f>IFERROR(VLOOKUP($A243,'Project Reference'!$B$2:$O$41,14), " ")</f>
        <v xml:space="preserve"> </v>
      </c>
      <c r="Y243" s="8" t="str">
        <f>IFERROR(VLOOKUP($A243,'Project Reference'!$B$2:$P$41,15), " ")</f>
        <v xml:space="preserve"> </v>
      </c>
      <c r="Z243" s="9" t="str">
        <f>IFERROR(VLOOKUP($A243,'Project Reference'!$B$2:$Q$41,16), " ")</f>
        <v xml:space="preserve"> </v>
      </c>
    </row>
    <row r="244" spans="1:26" s="1" customFormat="1" x14ac:dyDescent="0.45">
      <c r="A244" s="70"/>
      <c r="B244" s="70" t="str">
        <f>IFERROR(VLOOKUP($A244,'Project Reference'!$S$2:$T$41,2),"Enter Project Number")</f>
        <v>Enter Project Number</v>
      </c>
      <c r="C244" s="54"/>
      <c r="D244" s="53"/>
      <c r="E244" s="8"/>
      <c r="F244" s="8"/>
      <c r="G244" s="8"/>
      <c r="H244" s="8"/>
      <c r="I244" s="8"/>
      <c r="J244" s="9"/>
      <c r="K244" s="23"/>
      <c r="L244" s="47" t="str">
        <f>IFERROR(VLOOKUP($A244,'Project Reference'!$B$2:$C$41,2), " ")</f>
        <v xml:space="preserve"> </v>
      </c>
      <c r="M244" s="8" t="str">
        <f>IFERROR(VLOOKUP($A244,'Project Reference'!$B$2:$D$41,3), " ")</f>
        <v xml:space="preserve"> </v>
      </c>
      <c r="N244" s="54" t="str">
        <f>IFERROR(VLOOKUP($A244,'Project Reference'!$B$2:$E$41,4), " ")</f>
        <v xml:space="preserve"> </v>
      </c>
      <c r="O244" s="8" t="str">
        <f>IFERROR(VLOOKUP($A244,'Project Reference'!$B$2:$F$41,5), " ")</f>
        <v xml:space="preserve"> </v>
      </c>
      <c r="P244" s="8" t="str">
        <f>IFERROR(VLOOKUP($A244,'Project Reference'!$B$2:$G$41,6), " ")</f>
        <v xml:space="preserve"> </v>
      </c>
      <c r="Q244" s="8" t="str">
        <f>IFERROR(VLOOKUP($A244,'Project Reference'!$B$2:$H$41,7), " ")</f>
        <v xml:space="preserve"> </v>
      </c>
      <c r="R244" s="8" t="str">
        <f>IFERROR(VLOOKUP($A244,'Project Reference'!$B$2:$I$41,8), " ")</f>
        <v xml:space="preserve"> </v>
      </c>
      <c r="S244" s="8" t="str">
        <f>IFERROR(VLOOKUP($A244,'Project Reference'!$B$2:$J$41,9), " ")</f>
        <v xml:space="preserve"> </v>
      </c>
      <c r="T244" s="8" t="str">
        <f>IFERROR(VLOOKUP($A244,'Project Reference'!$B$2:$K$41,10), " ")</f>
        <v xml:space="preserve"> </v>
      </c>
      <c r="U244" s="8" t="str">
        <f>IFERROR(VLOOKUP($A244,'Project Reference'!$B$2:$L$41,11), " ")</f>
        <v xml:space="preserve"> </v>
      </c>
      <c r="V244" s="8" t="str">
        <f>IFERROR(VLOOKUP($A244,'Project Reference'!$B$2:$M$41,12), " ")</f>
        <v xml:space="preserve"> </v>
      </c>
      <c r="W244" s="8" t="str">
        <f>IFERROR(VLOOKUP($A244,'Project Reference'!$B$2:$N$41,13), " ")</f>
        <v xml:space="preserve"> </v>
      </c>
      <c r="X244" s="8" t="str">
        <f>IFERROR(VLOOKUP($A244,'Project Reference'!$B$2:$O$41,14), " ")</f>
        <v xml:space="preserve"> </v>
      </c>
      <c r="Y244" s="8" t="str">
        <f>IFERROR(VLOOKUP($A244,'Project Reference'!$B$2:$P$41,15), " ")</f>
        <v xml:space="preserve"> </v>
      </c>
      <c r="Z244" s="9" t="str">
        <f>IFERROR(VLOOKUP($A244,'Project Reference'!$B$2:$Q$41,16), " ")</f>
        <v xml:space="preserve"> </v>
      </c>
    </row>
    <row r="245" spans="1:26" s="1" customFormat="1" x14ac:dyDescent="0.45">
      <c r="A245" s="70"/>
      <c r="B245" s="70" t="str">
        <f>IFERROR(VLOOKUP($A245,'Project Reference'!$S$2:$T$41,2),"Enter Project Number")</f>
        <v>Enter Project Number</v>
      </c>
      <c r="C245" s="54"/>
      <c r="D245" s="53"/>
      <c r="E245" s="8"/>
      <c r="F245" s="8"/>
      <c r="G245" s="8"/>
      <c r="H245" s="8"/>
      <c r="I245" s="8"/>
      <c r="J245" s="9"/>
      <c r="K245" s="23"/>
      <c r="L245" s="47" t="str">
        <f>IFERROR(VLOOKUP($A245,'Project Reference'!$B$2:$C$41,2), " ")</f>
        <v xml:space="preserve"> </v>
      </c>
      <c r="M245" s="8" t="str">
        <f>IFERROR(VLOOKUP($A245,'Project Reference'!$B$2:$D$41,3), " ")</f>
        <v xml:space="preserve"> </v>
      </c>
      <c r="N245" s="54" t="str">
        <f>IFERROR(VLOOKUP($A245,'Project Reference'!$B$2:$E$41,4), " ")</f>
        <v xml:space="preserve"> </v>
      </c>
      <c r="O245" s="8" t="str">
        <f>IFERROR(VLOOKUP($A245,'Project Reference'!$B$2:$F$41,5), " ")</f>
        <v xml:space="preserve"> </v>
      </c>
      <c r="P245" s="8" t="str">
        <f>IFERROR(VLOOKUP($A245,'Project Reference'!$B$2:$G$41,6), " ")</f>
        <v xml:space="preserve"> </v>
      </c>
      <c r="Q245" s="8" t="str">
        <f>IFERROR(VLOOKUP($A245,'Project Reference'!$B$2:$H$41,7), " ")</f>
        <v xml:space="preserve"> </v>
      </c>
      <c r="R245" s="8" t="str">
        <f>IFERROR(VLOOKUP($A245,'Project Reference'!$B$2:$I$41,8), " ")</f>
        <v xml:space="preserve"> </v>
      </c>
      <c r="S245" s="8" t="str">
        <f>IFERROR(VLOOKUP($A245,'Project Reference'!$B$2:$J$41,9), " ")</f>
        <v xml:space="preserve"> </v>
      </c>
      <c r="T245" s="8" t="str">
        <f>IFERROR(VLOOKUP($A245,'Project Reference'!$B$2:$K$41,10), " ")</f>
        <v xml:space="preserve"> </v>
      </c>
      <c r="U245" s="8" t="str">
        <f>IFERROR(VLOOKUP($A245,'Project Reference'!$B$2:$L$41,11), " ")</f>
        <v xml:space="preserve"> </v>
      </c>
      <c r="V245" s="8" t="str">
        <f>IFERROR(VLOOKUP($A245,'Project Reference'!$B$2:$M$41,12), " ")</f>
        <v xml:space="preserve"> </v>
      </c>
      <c r="W245" s="8" t="str">
        <f>IFERROR(VLOOKUP($A245,'Project Reference'!$B$2:$N$41,13), " ")</f>
        <v xml:space="preserve"> </v>
      </c>
      <c r="X245" s="8" t="str">
        <f>IFERROR(VLOOKUP($A245,'Project Reference'!$B$2:$O$41,14), " ")</f>
        <v xml:space="preserve"> </v>
      </c>
      <c r="Y245" s="8" t="str">
        <f>IFERROR(VLOOKUP($A245,'Project Reference'!$B$2:$P$41,15), " ")</f>
        <v xml:space="preserve"> </v>
      </c>
      <c r="Z245" s="9" t="str">
        <f>IFERROR(VLOOKUP($A245,'Project Reference'!$B$2:$Q$41,16), " ")</f>
        <v xml:space="preserve"> </v>
      </c>
    </row>
    <row r="246" spans="1:26" s="1" customFormat="1" x14ac:dyDescent="0.45">
      <c r="A246" s="70"/>
      <c r="B246" s="70" t="str">
        <f>IFERROR(VLOOKUP($A246,'Project Reference'!$S$2:$T$41,2),"Enter Project Number")</f>
        <v>Enter Project Number</v>
      </c>
      <c r="C246" s="54"/>
      <c r="D246" s="53"/>
      <c r="E246" s="8"/>
      <c r="F246" s="8"/>
      <c r="G246" s="8"/>
      <c r="H246" s="8"/>
      <c r="I246" s="8"/>
      <c r="J246" s="9"/>
      <c r="K246" s="23"/>
      <c r="L246" s="47" t="str">
        <f>IFERROR(VLOOKUP($A246,'Project Reference'!$B$2:$C$41,2), " ")</f>
        <v xml:space="preserve"> </v>
      </c>
      <c r="M246" s="8" t="str">
        <f>IFERROR(VLOOKUP($A246,'Project Reference'!$B$2:$D$41,3), " ")</f>
        <v xml:space="preserve"> </v>
      </c>
      <c r="N246" s="54" t="str">
        <f>IFERROR(VLOOKUP($A246,'Project Reference'!$B$2:$E$41,4), " ")</f>
        <v xml:space="preserve"> </v>
      </c>
      <c r="O246" s="8" t="str">
        <f>IFERROR(VLOOKUP($A246,'Project Reference'!$B$2:$F$41,5), " ")</f>
        <v xml:space="preserve"> </v>
      </c>
      <c r="P246" s="8" t="str">
        <f>IFERROR(VLOOKUP($A246,'Project Reference'!$B$2:$G$41,6), " ")</f>
        <v xml:space="preserve"> </v>
      </c>
      <c r="Q246" s="8" t="str">
        <f>IFERROR(VLOOKUP($A246,'Project Reference'!$B$2:$H$41,7), " ")</f>
        <v xml:space="preserve"> </v>
      </c>
      <c r="R246" s="8" t="str">
        <f>IFERROR(VLOOKUP($A246,'Project Reference'!$B$2:$I$41,8), " ")</f>
        <v xml:space="preserve"> </v>
      </c>
      <c r="S246" s="8" t="str">
        <f>IFERROR(VLOOKUP($A246,'Project Reference'!$B$2:$J$41,9), " ")</f>
        <v xml:space="preserve"> </v>
      </c>
      <c r="T246" s="8" t="str">
        <f>IFERROR(VLOOKUP($A246,'Project Reference'!$B$2:$K$41,10), " ")</f>
        <v xml:space="preserve"> </v>
      </c>
      <c r="U246" s="8" t="str">
        <f>IFERROR(VLOOKUP($A246,'Project Reference'!$B$2:$L$41,11), " ")</f>
        <v xml:space="preserve"> </v>
      </c>
      <c r="V246" s="8" t="str">
        <f>IFERROR(VLOOKUP($A246,'Project Reference'!$B$2:$M$41,12), " ")</f>
        <v xml:space="preserve"> </v>
      </c>
      <c r="W246" s="8" t="str">
        <f>IFERROR(VLOOKUP($A246,'Project Reference'!$B$2:$N$41,13), " ")</f>
        <v xml:space="preserve"> </v>
      </c>
      <c r="X246" s="8" t="str">
        <f>IFERROR(VLOOKUP($A246,'Project Reference'!$B$2:$O$41,14), " ")</f>
        <v xml:space="preserve"> </v>
      </c>
      <c r="Y246" s="8" t="str">
        <f>IFERROR(VLOOKUP($A246,'Project Reference'!$B$2:$P$41,15), " ")</f>
        <v xml:space="preserve"> </v>
      </c>
      <c r="Z246" s="9" t="str">
        <f>IFERROR(VLOOKUP($A246,'Project Reference'!$B$2:$Q$41,16), " ")</f>
        <v xml:space="preserve"> </v>
      </c>
    </row>
    <row r="247" spans="1:26" s="1" customFormat="1" x14ac:dyDescent="0.45">
      <c r="A247" s="70"/>
      <c r="B247" s="70" t="str">
        <f>IFERROR(VLOOKUP($A247,'Project Reference'!$S$2:$T$41,2),"Enter Project Number")</f>
        <v>Enter Project Number</v>
      </c>
      <c r="C247" s="54"/>
      <c r="D247" s="53"/>
      <c r="E247" s="8"/>
      <c r="F247" s="8"/>
      <c r="G247" s="8"/>
      <c r="H247" s="8"/>
      <c r="I247" s="8"/>
      <c r="J247" s="9"/>
      <c r="K247" s="23"/>
      <c r="L247" s="47" t="str">
        <f>IFERROR(VLOOKUP($A247,'Project Reference'!$B$2:$C$41,2), " ")</f>
        <v xml:space="preserve"> </v>
      </c>
      <c r="M247" s="8" t="str">
        <f>IFERROR(VLOOKUP($A247,'Project Reference'!$B$2:$D$41,3), " ")</f>
        <v xml:space="preserve"> </v>
      </c>
      <c r="N247" s="54" t="str">
        <f>IFERROR(VLOOKUP($A247,'Project Reference'!$B$2:$E$41,4), " ")</f>
        <v xml:space="preserve"> </v>
      </c>
      <c r="O247" s="8" t="str">
        <f>IFERROR(VLOOKUP($A247,'Project Reference'!$B$2:$F$41,5), " ")</f>
        <v xml:space="preserve"> </v>
      </c>
      <c r="P247" s="8" t="str">
        <f>IFERROR(VLOOKUP($A247,'Project Reference'!$B$2:$G$41,6), " ")</f>
        <v xml:space="preserve"> </v>
      </c>
      <c r="Q247" s="8" t="str">
        <f>IFERROR(VLOOKUP($A247,'Project Reference'!$B$2:$H$41,7), " ")</f>
        <v xml:space="preserve"> </v>
      </c>
      <c r="R247" s="8" t="str">
        <f>IFERROR(VLOOKUP($A247,'Project Reference'!$B$2:$I$41,8), " ")</f>
        <v xml:space="preserve"> </v>
      </c>
      <c r="S247" s="8" t="str">
        <f>IFERROR(VLOOKUP($A247,'Project Reference'!$B$2:$J$41,9), " ")</f>
        <v xml:space="preserve"> </v>
      </c>
      <c r="T247" s="8" t="str">
        <f>IFERROR(VLOOKUP($A247,'Project Reference'!$B$2:$K$41,10), " ")</f>
        <v xml:space="preserve"> </v>
      </c>
      <c r="U247" s="8" t="str">
        <f>IFERROR(VLOOKUP($A247,'Project Reference'!$B$2:$L$41,11), " ")</f>
        <v xml:space="preserve"> </v>
      </c>
      <c r="V247" s="8" t="str">
        <f>IFERROR(VLOOKUP($A247,'Project Reference'!$B$2:$M$41,12), " ")</f>
        <v xml:space="preserve"> </v>
      </c>
      <c r="W247" s="8" t="str">
        <f>IFERROR(VLOOKUP($A247,'Project Reference'!$B$2:$N$41,13), " ")</f>
        <v xml:space="preserve"> </v>
      </c>
      <c r="X247" s="8" t="str">
        <f>IFERROR(VLOOKUP($A247,'Project Reference'!$B$2:$O$41,14), " ")</f>
        <v xml:space="preserve"> </v>
      </c>
      <c r="Y247" s="8" t="str">
        <f>IFERROR(VLOOKUP($A247,'Project Reference'!$B$2:$P$41,15), " ")</f>
        <v xml:space="preserve"> </v>
      </c>
      <c r="Z247" s="9" t="str">
        <f>IFERROR(VLOOKUP($A247,'Project Reference'!$B$2:$Q$41,16), " ")</f>
        <v xml:space="preserve"> </v>
      </c>
    </row>
    <row r="248" spans="1:26" s="1" customFormat="1" x14ac:dyDescent="0.45">
      <c r="A248" s="70"/>
      <c r="B248" s="70" t="str">
        <f>IFERROR(VLOOKUP($A248,'Project Reference'!$S$2:$T$41,2),"Enter Project Number")</f>
        <v>Enter Project Number</v>
      </c>
      <c r="C248" s="54"/>
      <c r="D248" s="53"/>
      <c r="E248" s="8"/>
      <c r="F248" s="8"/>
      <c r="G248" s="8"/>
      <c r="H248" s="8"/>
      <c r="I248" s="8"/>
      <c r="J248" s="9"/>
      <c r="K248" s="23"/>
      <c r="L248" s="47" t="str">
        <f>IFERROR(VLOOKUP($A248,'Project Reference'!$B$2:$C$41,2), " ")</f>
        <v xml:space="preserve"> </v>
      </c>
      <c r="M248" s="8" t="str">
        <f>IFERROR(VLOOKUP($A248,'Project Reference'!$B$2:$D$41,3), " ")</f>
        <v xml:space="preserve"> </v>
      </c>
      <c r="N248" s="54" t="str">
        <f>IFERROR(VLOOKUP($A248,'Project Reference'!$B$2:$E$41,4), " ")</f>
        <v xml:space="preserve"> </v>
      </c>
      <c r="O248" s="8" t="str">
        <f>IFERROR(VLOOKUP($A248,'Project Reference'!$B$2:$F$41,5), " ")</f>
        <v xml:space="preserve"> </v>
      </c>
      <c r="P248" s="8" t="str">
        <f>IFERROR(VLOOKUP($A248,'Project Reference'!$B$2:$G$41,6), " ")</f>
        <v xml:space="preserve"> </v>
      </c>
      <c r="Q248" s="8" t="str">
        <f>IFERROR(VLOOKUP($A248,'Project Reference'!$B$2:$H$41,7), " ")</f>
        <v xml:space="preserve"> </v>
      </c>
      <c r="R248" s="8" t="str">
        <f>IFERROR(VLOOKUP($A248,'Project Reference'!$B$2:$I$41,8), " ")</f>
        <v xml:space="preserve"> </v>
      </c>
      <c r="S248" s="8" t="str">
        <f>IFERROR(VLOOKUP($A248,'Project Reference'!$B$2:$J$41,9), " ")</f>
        <v xml:space="preserve"> </v>
      </c>
      <c r="T248" s="8" t="str">
        <f>IFERROR(VLOOKUP($A248,'Project Reference'!$B$2:$K$41,10), " ")</f>
        <v xml:space="preserve"> </v>
      </c>
      <c r="U248" s="8" t="str">
        <f>IFERROR(VLOOKUP($A248,'Project Reference'!$B$2:$L$41,11), " ")</f>
        <v xml:space="preserve"> </v>
      </c>
      <c r="V248" s="8" t="str">
        <f>IFERROR(VLOOKUP($A248,'Project Reference'!$B$2:$M$41,12), " ")</f>
        <v xml:space="preserve"> </v>
      </c>
      <c r="W248" s="8" t="str">
        <f>IFERROR(VLOOKUP($A248,'Project Reference'!$B$2:$N$41,13), " ")</f>
        <v xml:space="preserve"> </v>
      </c>
      <c r="X248" s="8" t="str">
        <f>IFERROR(VLOOKUP($A248,'Project Reference'!$B$2:$O$41,14), " ")</f>
        <v xml:space="preserve"> </v>
      </c>
      <c r="Y248" s="8" t="str">
        <f>IFERROR(VLOOKUP($A248,'Project Reference'!$B$2:$P$41,15), " ")</f>
        <v xml:space="preserve"> </v>
      </c>
      <c r="Z248" s="9" t="str">
        <f>IFERROR(VLOOKUP($A248,'Project Reference'!$B$2:$Q$41,16), " ")</f>
        <v xml:space="preserve"> </v>
      </c>
    </row>
    <row r="249" spans="1:26" s="1" customFormat="1" x14ac:dyDescent="0.45">
      <c r="A249" s="70"/>
      <c r="B249" s="70" t="str">
        <f>IFERROR(VLOOKUP($A249,'Project Reference'!$S$2:$T$41,2),"Enter Project Number")</f>
        <v>Enter Project Number</v>
      </c>
      <c r="C249" s="54"/>
      <c r="D249" s="53"/>
      <c r="E249" s="8"/>
      <c r="F249" s="8"/>
      <c r="G249" s="8"/>
      <c r="H249" s="8"/>
      <c r="I249" s="8"/>
      <c r="J249" s="9"/>
      <c r="K249" s="23"/>
      <c r="L249" s="47" t="str">
        <f>IFERROR(VLOOKUP($A249,'Project Reference'!$B$2:$C$41,2), " ")</f>
        <v xml:space="preserve"> </v>
      </c>
      <c r="M249" s="8" t="str">
        <f>IFERROR(VLOOKUP($A249,'Project Reference'!$B$2:$D$41,3), " ")</f>
        <v xml:space="preserve"> </v>
      </c>
      <c r="N249" s="54" t="str">
        <f>IFERROR(VLOOKUP($A249,'Project Reference'!$B$2:$E$41,4), " ")</f>
        <v xml:space="preserve"> </v>
      </c>
      <c r="O249" s="8" t="str">
        <f>IFERROR(VLOOKUP($A249,'Project Reference'!$B$2:$F$41,5), " ")</f>
        <v xml:space="preserve"> </v>
      </c>
      <c r="P249" s="8" t="str">
        <f>IFERROR(VLOOKUP($A249,'Project Reference'!$B$2:$G$41,6), " ")</f>
        <v xml:space="preserve"> </v>
      </c>
      <c r="Q249" s="8" t="str">
        <f>IFERROR(VLOOKUP($A249,'Project Reference'!$B$2:$H$41,7), " ")</f>
        <v xml:space="preserve"> </v>
      </c>
      <c r="R249" s="8" t="str">
        <f>IFERROR(VLOOKUP($A249,'Project Reference'!$B$2:$I$41,8), " ")</f>
        <v xml:space="preserve"> </v>
      </c>
      <c r="S249" s="8" t="str">
        <f>IFERROR(VLOOKUP($A249,'Project Reference'!$B$2:$J$41,9), " ")</f>
        <v xml:space="preserve"> </v>
      </c>
      <c r="T249" s="8" t="str">
        <f>IFERROR(VLOOKUP($A249,'Project Reference'!$B$2:$K$41,10), " ")</f>
        <v xml:space="preserve"> </v>
      </c>
      <c r="U249" s="8" t="str">
        <f>IFERROR(VLOOKUP($A249,'Project Reference'!$B$2:$L$41,11), " ")</f>
        <v xml:space="preserve"> </v>
      </c>
      <c r="V249" s="8" t="str">
        <f>IFERROR(VLOOKUP($A249,'Project Reference'!$B$2:$M$41,12), " ")</f>
        <v xml:space="preserve"> </v>
      </c>
      <c r="W249" s="8" t="str">
        <f>IFERROR(VLOOKUP($A249,'Project Reference'!$B$2:$N$41,13), " ")</f>
        <v xml:space="preserve"> </v>
      </c>
      <c r="X249" s="8" t="str">
        <f>IFERROR(VLOOKUP($A249,'Project Reference'!$B$2:$O$41,14), " ")</f>
        <v xml:space="preserve"> </v>
      </c>
      <c r="Y249" s="8" t="str">
        <f>IFERROR(VLOOKUP($A249,'Project Reference'!$B$2:$P$41,15), " ")</f>
        <v xml:space="preserve"> </v>
      </c>
      <c r="Z249" s="9" t="str">
        <f>IFERROR(VLOOKUP($A249,'Project Reference'!$B$2:$Q$41,16), " ")</f>
        <v xml:space="preserve"> </v>
      </c>
    </row>
    <row r="250" spans="1:26" s="1" customFormat="1" x14ac:dyDescent="0.45">
      <c r="A250" s="70"/>
      <c r="B250" s="70" t="str">
        <f>IFERROR(VLOOKUP($A250,'Project Reference'!$S$2:$T$41,2),"Enter Project Number")</f>
        <v>Enter Project Number</v>
      </c>
      <c r="C250" s="54"/>
      <c r="D250" s="53"/>
      <c r="E250" s="8"/>
      <c r="F250" s="8"/>
      <c r="G250" s="8"/>
      <c r="H250" s="8"/>
      <c r="I250" s="8"/>
      <c r="J250" s="9"/>
      <c r="K250" s="23"/>
      <c r="L250" s="47" t="str">
        <f>IFERROR(VLOOKUP($A250,'Project Reference'!$B$2:$C$41,2), " ")</f>
        <v xml:space="preserve"> </v>
      </c>
      <c r="M250" s="8" t="str">
        <f>IFERROR(VLOOKUP($A250,'Project Reference'!$B$2:$D$41,3), " ")</f>
        <v xml:space="preserve"> </v>
      </c>
      <c r="N250" s="54" t="str">
        <f>IFERROR(VLOOKUP($A250,'Project Reference'!$B$2:$E$41,4), " ")</f>
        <v xml:space="preserve"> </v>
      </c>
      <c r="O250" s="8" t="str">
        <f>IFERROR(VLOOKUP($A250,'Project Reference'!$B$2:$F$41,5), " ")</f>
        <v xml:space="preserve"> </v>
      </c>
      <c r="P250" s="8" t="str">
        <f>IFERROR(VLOOKUP($A250,'Project Reference'!$B$2:$G$41,6), " ")</f>
        <v xml:space="preserve"> </v>
      </c>
      <c r="Q250" s="8" t="str">
        <f>IFERROR(VLOOKUP($A250,'Project Reference'!$B$2:$H$41,7), " ")</f>
        <v xml:space="preserve"> </v>
      </c>
      <c r="R250" s="8" t="str">
        <f>IFERROR(VLOOKUP($A250,'Project Reference'!$B$2:$I$41,8), " ")</f>
        <v xml:space="preserve"> </v>
      </c>
      <c r="S250" s="8" t="str">
        <f>IFERROR(VLOOKUP($A250,'Project Reference'!$B$2:$J$41,9), " ")</f>
        <v xml:space="preserve"> </v>
      </c>
      <c r="T250" s="8" t="str">
        <f>IFERROR(VLOOKUP($A250,'Project Reference'!$B$2:$K$41,10), " ")</f>
        <v xml:space="preserve"> </v>
      </c>
      <c r="U250" s="8" t="str">
        <f>IFERROR(VLOOKUP($A250,'Project Reference'!$B$2:$L$41,11), " ")</f>
        <v xml:space="preserve"> </v>
      </c>
      <c r="V250" s="8" t="str">
        <f>IFERROR(VLOOKUP($A250,'Project Reference'!$B$2:$M$41,12), " ")</f>
        <v xml:space="preserve"> </v>
      </c>
      <c r="W250" s="8" t="str">
        <f>IFERROR(VLOOKUP($A250,'Project Reference'!$B$2:$N$41,13), " ")</f>
        <v xml:space="preserve"> </v>
      </c>
      <c r="X250" s="8" t="str">
        <f>IFERROR(VLOOKUP($A250,'Project Reference'!$B$2:$O$41,14), " ")</f>
        <v xml:space="preserve"> </v>
      </c>
      <c r="Y250" s="8" t="str">
        <f>IFERROR(VLOOKUP($A250,'Project Reference'!$B$2:$P$41,15), " ")</f>
        <v xml:space="preserve"> </v>
      </c>
      <c r="Z250" s="9" t="str">
        <f>IFERROR(VLOOKUP($A250,'Project Reference'!$B$2:$Q$41,16), " ")</f>
        <v xml:space="preserve"> </v>
      </c>
    </row>
    <row r="251" spans="1:26" s="1" customFormat="1" x14ac:dyDescent="0.45">
      <c r="A251" s="70"/>
      <c r="B251" s="70" t="str">
        <f>IFERROR(VLOOKUP($A251,'Project Reference'!$S$2:$T$41,2),"Enter Project Number")</f>
        <v>Enter Project Number</v>
      </c>
      <c r="C251" s="54"/>
      <c r="D251" s="53"/>
      <c r="E251" s="8"/>
      <c r="F251" s="8"/>
      <c r="G251" s="8"/>
      <c r="H251" s="8"/>
      <c r="I251" s="8"/>
      <c r="J251" s="9"/>
      <c r="K251" s="23"/>
      <c r="L251" s="47" t="str">
        <f>IFERROR(VLOOKUP($A251,'Project Reference'!$B$2:$C$41,2), " ")</f>
        <v xml:space="preserve"> </v>
      </c>
      <c r="M251" s="8" t="str">
        <f>IFERROR(VLOOKUP($A251,'Project Reference'!$B$2:$D$41,3), " ")</f>
        <v xml:space="preserve"> </v>
      </c>
      <c r="N251" s="54" t="str">
        <f>IFERROR(VLOOKUP($A251,'Project Reference'!$B$2:$E$41,4), " ")</f>
        <v xml:space="preserve"> </v>
      </c>
      <c r="O251" s="8" t="str">
        <f>IFERROR(VLOOKUP($A251,'Project Reference'!$B$2:$F$41,5), " ")</f>
        <v xml:space="preserve"> </v>
      </c>
      <c r="P251" s="8" t="str">
        <f>IFERROR(VLOOKUP($A251,'Project Reference'!$B$2:$G$41,6), " ")</f>
        <v xml:space="preserve"> </v>
      </c>
      <c r="Q251" s="8" t="str">
        <f>IFERROR(VLOOKUP($A251,'Project Reference'!$B$2:$H$41,7), " ")</f>
        <v xml:space="preserve"> </v>
      </c>
      <c r="R251" s="8" t="str">
        <f>IFERROR(VLOOKUP($A251,'Project Reference'!$B$2:$I$41,8), " ")</f>
        <v xml:space="preserve"> </v>
      </c>
      <c r="S251" s="8" t="str">
        <f>IFERROR(VLOOKUP($A251,'Project Reference'!$B$2:$J$41,9), " ")</f>
        <v xml:space="preserve"> </v>
      </c>
      <c r="T251" s="8" t="str">
        <f>IFERROR(VLOOKUP($A251,'Project Reference'!$B$2:$K$41,10), " ")</f>
        <v xml:space="preserve"> </v>
      </c>
      <c r="U251" s="8" t="str">
        <f>IFERROR(VLOOKUP($A251,'Project Reference'!$B$2:$L$41,11), " ")</f>
        <v xml:space="preserve"> </v>
      </c>
      <c r="V251" s="8" t="str">
        <f>IFERROR(VLOOKUP($A251,'Project Reference'!$B$2:$M$41,12), " ")</f>
        <v xml:space="preserve"> </v>
      </c>
      <c r="W251" s="8" t="str">
        <f>IFERROR(VLOOKUP($A251,'Project Reference'!$B$2:$N$41,13), " ")</f>
        <v xml:space="preserve"> </v>
      </c>
      <c r="X251" s="8" t="str">
        <f>IFERROR(VLOOKUP($A251,'Project Reference'!$B$2:$O$41,14), " ")</f>
        <v xml:space="preserve"> </v>
      </c>
      <c r="Y251" s="8" t="str">
        <f>IFERROR(VLOOKUP($A251,'Project Reference'!$B$2:$P$41,15), " ")</f>
        <v xml:space="preserve"> </v>
      </c>
      <c r="Z251" s="9" t="str">
        <f>IFERROR(VLOOKUP($A251,'Project Reference'!$B$2:$Q$41,16), " ")</f>
        <v xml:space="preserve"> </v>
      </c>
    </row>
    <row r="252" spans="1:26" s="1" customFormat="1" x14ac:dyDescent="0.45">
      <c r="A252" s="71"/>
      <c r="B252" s="70" t="str">
        <f>IFERROR(VLOOKUP($A252,'Project Reference'!$S$2:$T$41,2),"Enter Project Number")</f>
        <v>Enter Project Number</v>
      </c>
      <c r="C252" s="8"/>
      <c r="D252" s="215"/>
      <c r="E252" s="8"/>
      <c r="F252" s="8"/>
      <c r="G252" s="59"/>
      <c r="H252" s="8"/>
      <c r="I252" s="59"/>
      <c r="J252" s="47"/>
      <c r="K252" s="217"/>
      <c r="L252" s="47" t="str">
        <f>IFERROR(VLOOKUP($A252,'Project Reference'!$B$2:$C$41,2), " ")</f>
        <v xml:space="preserve"> </v>
      </c>
      <c r="M252" s="8" t="str">
        <f>IFERROR(VLOOKUP($A252,'Project Reference'!$B$2:$D$41,3), " ")</f>
        <v xml:space="preserve"> </v>
      </c>
      <c r="N252" s="54" t="str">
        <f>IFERROR(VLOOKUP($A252,'Project Reference'!$B$2:$E$41,4), " ")</f>
        <v xml:space="preserve"> </v>
      </c>
      <c r="O252" s="8" t="str">
        <f>IFERROR(VLOOKUP($A252,'Project Reference'!$B$2:$F$41,5), " ")</f>
        <v xml:space="preserve"> </v>
      </c>
      <c r="P252" s="8" t="str">
        <f>IFERROR(VLOOKUP($A252,'Project Reference'!$B$2:$G$41,6), " ")</f>
        <v xml:space="preserve"> </v>
      </c>
      <c r="Q252" s="8" t="str">
        <f>IFERROR(VLOOKUP($A252,'Project Reference'!$B$2:$H$41,7), " ")</f>
        <v xml:space="preserve"> </v>
      </c>
      <c r="R252" s="8" t="str">
        <f>IFERROR(VLOOKUP($A252,'Project Reference'!$B$2:$I$41,8), " ")</f>
        <v xml:space="preserve"> </v>
      </c>
      <c r="S252" s="8" t="str">
        <f>IFERROR(VLOOKUP($A252,'Project Reference'!$B$2:$J$41,9), " ")</f>
        <v xml:space="preserve"> </v>
      </c>
      <c r="T252" s="8" t="str">
        <f>IFERROR(VLOOKUP($A252,'Project Reference'!$B$2:$K$41,10), " ")</f>
        <v xml:space="preserve"> </v>
      </c>
      <c r="U252" s="8" t="str">
        <f>IFERROR(VLOOKUP($A252,'Project Reference'!$B$2:$L$41,11), " ")</f>
        <v xml:space="preserve"> </v>
      </c>
      <c r="V252" s="8" t="str">
        <f>IFERROR(VLOOKUP($A252,'Project Reference'!$B$2:$M$41,12), " ")</f>
        <v xml:space="preserve"> </v>
      </c>
      <c r="W252" s="8" t="str">
        <f>IFERROR(VLOOKUP($A252,'Project Reference'!$B$2:$N$41,13), " ")</f>
        <v xml:space="preserve"> </v>
      </c>
      <c r="X252" s="8" t="str">
        <f>IFERROR(VLOOKUP($A252,'Project Reference'!$B$2:$O$41,14), " ")</f>
        <v xml:space="preserve"> </v>
      </c>
      <c r="Y252" s="8" t="str">
        <f>IFERROR(VLOOKUP($A252,'Project Reference'!$B$2:$P$41,15), " ")</f>
        <v xml:space="preserve"> </v>
      </c>
      <c r="Z252" s="9" t="str">
        <f>IFERROR(VLOOKUP($A252,'Project Reference'!$B$2:$Q$41,16), " ")</f>
        <v xml:space="preserve"> </v>
      </c>
    </row>
    <row r="253" spans="1:26" x14ac:dyDescent="0.45">
      <c r="A253" s="216"/>
      <c r="D253" s="216"/>
      <c r="G253" s="216"/>
      <c r="I253" s="216"/>
    </row>
  </sheetData>
  <sheetProtection algorithmName="SHA-512" hashValue="EJZpHmfDNAUUOuBBQOHBDjK3d/KxNtkrR2M3rCITjSJSbqzQISJe91AtOU4Ni0cHVTkx2Ac3hY8eoFUB79N5wQ==" saltValue="XvFYxwXEmFnLvqHuVQLBgw==" spinCount="100000" sheet="1" objects="1" scenarios="1"/>
  <protectedRanges>
    <protectedRange sqref="A5:J252" name="Range1"/>
  </protectedRanges>
  <autoFilter ref="C4:J4" xr:uid="{56B01643-FA53-463E-9069-F130B152E9D3}"/>
  <mergeCells count="4">
    <mergeCell ref="A3:J3"/>
    <mergeCell ref="A1:J1"/>
    <mergeCell ref="L1:Z1"/>
    <mergeCell ref="L3:Z3"/>
  </mergeCells>
  <dataValidations count="1">
    <dataValidation type="list" allowBlank="1" showInputMessage="1" showErrorMessage="1" sqref="F5:F252 I5:I252" xr:uid="{89B87628-C9E6-49DB-A48A-03B2A1AECB2D}">
      <formula1>"Yes,No"</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CD9A9-BF3B-4BD9-8345-6271CDA0F07C}">
  <dimension ref="A1:AB1111"/>
  <sheetViews>
    <sheetView tabSelected="1" zoomScale="70" zoomScaleNormal="70" workbookViewId="0">
      <pane ySplit="9" topLeftCell="A10" activePane="bottomLeft" state="frozen"/>
      <selection pane="bottomLeft" activeCell="K5" sqref="K5"/>
    </sheetView>
  </sheetViews>
  <sheetFormatPr defaultColWidth="8.86328125" defaultRowHeight="14.25" x14ac:dyDescent="0.45"/>
  <cols>
    <col min="1" max="1" width="20" style="13" customWidth="1"/>
    <col min="2" max="2" width="16.59765625" style="13" customWidth="1"/>
    <col min="3" max="3" width="21.19921875" style="14" customWidth="1"/>
    <col min="4" max="7" width="18.796875" style="18" customWidth="1"/>
    <col min="8" max="8" width="16.46484375" style="18" customWidth="1"/>
    <col min="9" max="9" width="15.1328125" style="14" customWidth="1"/>
    <col min="10" max="10" width="10.86328125" style="125" customWidth="1"/>
    <col min="11" max="11" width="29.1328125" style="14" customWidth="1"/>
    <col min="12" max="13" width="25.19921875" style="14" customWidth="1"/>
    <col min="14" max="14" width="20.53125" style="14" customWidth="1"/>
    <col min="15" max="15" width="1.46484375" style="49" customWidth="1"/>
    <col min="16" max="16" width="19.46484375" style="14" bestFit="1" customWidth="1"/>
    <col min="17" max="17" width="21.796875" style="14" bestFit="1" customWidth="1"/>
    <col min="18" max="18" width="19.46484375" style="14" bestFit="1" customWidth="1"/>
    <col min="19" max="19" width="23.33203125" style="14" customWidth="1"/>
    <col min="20" max="20" width="26.6640625" style="14" customWidth="1"/>
    <col min="21" max="27" width="22" style="14" customWidth="1"/>
    <col min="28" max="16384" width="8.86328125" style="14"/>
  </cols>
  <sheetData>
    <row r="1" spans="1:28" ht="22.25" customHeight="1" x14ac:dyDescent="0.45">
      <c r="A1" s="482" t="s">
        <v>256</v>
      </c>
      <c r="B1" s="483"/>
      <c r="C1" s="483"/>
      <c r="D1" s="483"/>
      <c r="E1" s="483"/>
      <c r="F1" s="483"/>
      <c r="G1" s="483"/>
      <c r="H1" s="483"/>
      <c r="I1" s="483"/>
      <c r="J1" s="483"/>
      <c r="K1" s="483"/>
      <c r="L1" s="483"/>
      <c r="M1" s="483"/>
      <c r="N1" s="483"/>
      <c r="P1" s="484" t="s">
        <v>153</v>
      </c>
      <c r="Q1" s="485"/>
      <c r="R1" s="485"/>
      <c r="S1" s="485"/>
      <c r="T1" s="486"/>
    </row>
    <row r="2" spans="1:28" ht="22.25" customHeight="1" x14ac:dyDescent="0.45">
      <c r="A2" s="482"/>
      <c r="B2" s="483"/>
      <c r="C2" s="483"/>
      <c r="D2" s="483"/>
      <c r="E2" s="483"/>
      <c r="F2" s="483"/>
      <c r="G2" s="483"/>
      <c r="H2" s="483"/>
      <c r="I2" s="483"/>
      <c r="J2" s="483"/>
      <c r="K2" s="483"/>
      <c r="L2" s="483"/>
      <c r="M2" s="483"/>
      <c r="N2" s="483"/>
      <c r="P2" s="482"/>
      <c r="Q2" s="483"/>
      <c r="R2" s="483"/>
      <c r="S2" s="483"/>
      <c r="T2" s="487"/>
    </row>
    <row r="3" spans="1:28" ht="22.25" customHeight="1" thickBot="1" x14ac:dyDescent="0.5">
      <c r="A3" s="482"/>
      <c r="B3" s="483"/>
      <c r="C3" s="483"/>
      <c r="D3" s="483"/>
      <c r="E3" s="483"/>
      <c r="F3" s="483"/>
      <c r="G3" s="483"/>
      <c r="H3" s="483"/>
      <c r="I3" s="483"/>
      <c r="J3" s="483"/>
      <c r="K3" s="483"/>
      <c r="L3" s="483"/>
      <c r="M3" s="483"/>
      <c r="N3" s="483"/>
      <c r="P3" s="488"/>
      <c r="Q3" s="489"/>
      <c r="R3" s="489"/>
      <c r="S3" s="489"/>
      <c r="T3" s="490"/>
    </row>
    <row r="4" spans="1:28" ht="15" customHeight="1" thickBot="1" x14ac:dyDescent="0.5">
      <c r="J4" s="123"/>
      <c r="P4" s="1"/>
      <c r="Q4" s="1"/>
      <c r="R4" s="1"/>
      <c r="S4" s="1"/>
      <c r="T4" s="1"/>
    </row>
    <row r="5" spans="1:28" s="1" customFormat="1" ht="31.5" x14ac:dyDescent="0.5">
      <c r="A5" s="149" t="s">
        <v>290</v>
      </c>
      <c r="B5" s="173" cm="1">
        <f t="array" ref="B5">SUM((D10:D1110)+(F10:F1110))</f>
        <v>0</v>
      </c>
      <c r="C5" s="149" t="s">
        <v>343</v>
      </c>
      <c r="D5" s="173" cm="1">
        <f t="array" ref="D5">SUM((E10:E1110)+(G10:G1110))</f>
        <v>0</v>
      </c>
      <c r="E5" s="176"/>
      <c r="F5" s="494" t="s">
        <v>145</v>
      </c>
      <c r="G5" s="495"/>
      <c r="H5" s="491" t="s">
        <v>257</v>
      </c>
      <c r="O5" s="49"/>
    </row>
    <row r="6" spans="1:28" s="1" customFormat="1" ht="31.9" thickBot="1" x14ac:dyDescent="0.55000000000000004">
      <c r="A6" s="169" t="s">
        <v>288</v>
      </c>
      <c r="B6" s="170">
        <f>SUM(D10:D1110)</f>
        <v>0</v>
      </c>
      <c r="C6" s="175" t="s">
        <v>344</v>
      </c>
      <c r="D6" s="174">
        <f>SUM(E10:E1110)</f>
        <v>0</v>
      </c>
      <c r="E6" s="176"/>
      <c r="F6" s="496"/>
      <c r="G6" s="497"/>
      <c r="H6" s="492"/>
      <c r="O6" s="49"/>
    </row>
    <row r="7" spans="1:28" s="1" customFormat="1" ht="31.9" thickBot="1" x14ac:dyDescent="0.55000000000000004">
      <c r="A7" s="171" t="s">
        <v>289</v>
      </c>
      <c r="B7" s="172">
        <f>SUM(F10:F1110)</f>
        <v>0</v>
      </c>
      <c r="C7" s="171" t="s">
        <v>342</v>
      </c>
      <c r="D7" s="132">
        <f>SUM(G10:G1110)</f>
        <v>0</v>
      </c>
      <c r="E7" s="16"/>
      <c r="F7" s="498"/>
      <c r="G7" s="499"/>
      <c r="H7" s="493"/>
      <c r="N7" s="177" t="s">
        <v>292</v>
      </c>
      <c r="O7" s="49"/>
    </row>
    <row r="8" spans="1:28" s="1" customFormat="1" x14ac:dyDescent="0.45">
      <c r="D8" s="16"/>
      <c r="E8" s="16"/>
      <c r="F8" s="16"/>
      <c r="G8" s="16"/>
      <c r="H8" s="16"/>
      <c r="J8" s="123"/>
      <c r="N8" s="178">
        <f>SUM(N10:N1110)</f>
        <v>0</v>
      </c>
      <c r="O8" s="23"/>
    </row>
    <row r="9" spans="1:28" s="131" customFormat="1" ht="51.5" customHeight="1" x14ac:dyDescent="0.5">
      <c r="A9" s="135" t="s">
        <v>132</v>
      </c>
      <c r="B9" s="136" t="s">
        <v>103</v>
      </c>
      <c r="C9" s="136" t="s">
        <v>20</v>
      </c>
      <c r="D9" s="136" t="s">
        <v>286</v>
      </c>
      <c r="E9" s="136" t="s">
        <v>334</v>
      </c>
      <c r="F9" s="136" t="s">
        <v>287</v>
      </c>
      <c r="G9" s="136" t="s">
        <v>335</v>
      </c>
      <c r="H9" s="136" t="s">
        <v>78</v>
      </c>
      <c r="I9" s="136" t="s">
        <v>21</v>
      </c>
      <c r="J9" s="136" t="s">
        <v>76</v>
      </c>
      <c r="K9" s="136" t="s">
        <v>89</v>
      </c>
      <c r="L9" s="136" t="s">
        <v>130</v>
      </c>
      <c r="M9" s="137" t="s">
        <v>131</v>
      </c>
      <c r="N9" s="135" t="s">
        <v>255</v>
      </c>
      <c r="O9" s="138"/>
      <c r="P9" s="136" t="s">
        <v>187</v>
      </c>
      <c r="Q9" s="136" t="s">
        <v>188</v>
      </c>
      <c r="R9" s="136" t="s">
        <v>189</v>
      </c>
      <c r="S9" s="136" t="s">
        <v>190</v>
      </c>
      <c r="T9" s="136" t="s">
        <v>191</v>
      </c>
      <c r="U9" s="136" t="s">
        <v>192</v>
      </c>
      <c r="V9" s="136" t="s">
        <v>193</v>
      </c>
      <c r="W9" s="136" t="s">
        <v>194</v>
      </c>
      <c r="X9" s="136" t="s">
        <v>77</v>
      </c>
      <c r="Y9" s="136" t="s">
        <v>277</v>
      </c>
      <c r="Z9" s="136" t="s">
        <v>278</v>
      </c>
      <c r="AA9" s="139" t="s">
        <v>279</v>
      </c>
      <c r="AB9" s="130"/>
    </row>
    <row r="10" spans="1:28" s="1" customFormat="1" x14ac:dyDescent="0.45">
      <c r="A10" s="43"/>
      <c r="B10" s="205"/>
      <c r="C10" s="41"/>
      <c r="D10" s="72"/>
      <c r="E10" s="72"/>
      <c r="F10" s="72"/>
      <c r="G10" s="72"/>
      <c r="H10" s="44"/>
      <c r="I10" s="41" t="str" cm="1">
        <f t="array" ref="I10">IFERROR(_xlfn.IFS(H10="Hard (Cash)","N/A",H10="Soft (In-Kind)", "Enter Source"),"Select Type")</f>
        <v>Select Type</v>
      </c>
      <c r="J10" s="124"/>
      <c r="K10" s="41" t="str">
        <f>IFERROR(VLOOKUP($J10,'Project Reference'!$S$2:$T$41,2),"Enter Project Number")</f>
        <v>Enter Project Number</v>
      </c>
      <c r="L10" s="41"/>
      <c r="M10" s="41"/>
      <c r="N10" s="15">
        <f>SUM(D10:G10)</f>
        <v>0</v>
      </c>
      <c r="O10" s="19"/>
      <c r="P10" s="42" t="str">
        <f>IFERROR(VLOOKUP($J10,'Project Reference'!$B$2:$C$41,2)," ")</f>
        <v xml:space="preserve"> </v>
      </c>
      <c r="Q10" s="42" t="str">
        <f>IFERROR(VLOOKUP($J10,'Project Reference'!$B$2:$D$41,3)," ")</f>
        <v xml:space="preserve"> </v>
      </c>
      <c r="R10" s="42" t="str">
        <f>IFERROR(VLOOKUP($J10,'Project Reference'!$B$2:$E$41,4)," ")</f>
        <v xml:space="preserve"> </v>
      </c>
      <c r="S10" s="42" t="str">
        <f>IFERROR(VLOOKUP($J10,'Project Reference'!$B$2:$F$41,5,FALSE)," ")</f>
        <v xml:space="preserve"> </v>
      </c>
      <c r="T10" s="42" t="str">
        <f>IFERROR(VLOOKUP($J10,'Project Reference'!$B$2:$G$41,6,FALSE)," ")</f>
        <v xml:space="preserve"> </v>
      </c>
      <c r="U10" s="42" t="str">
        <f>IFERROR(VLOOKUP($J10,'Project Reference'!$B$2:$H$41,7,FALSE)," ")</f>
        <v xml:space="preserve"> </v>
      </c>
      <c r="V10" s="42" t="str">
        <f>IFERROR(VLOOKUP($J10,'Project Reference'!$B$2:$I$41,8,FALSE)," ")</f>
        <v xml:space="preserve"> </v>
      </c>
      <c r="W10" s="42" t="str">
        <f>IFERROR(VLOOKUP($J10,'Project Reference'!$B$2:$J$41,9,FALSE)," ")</f>
        <v xml:space="preserve"> </v>
      </c>
      <c r="X10" s="42" t="str">
        <f>IFERROR(VLOOKUP($J10,'Project Reference'!$B$2:$K$41,10)," ")</f>
        <v xml:space="preserve"> </v>
      </c>
      <c r="Y10" s="42" t="str">
        <f>IFERROR(VLOOKUP($J10,'Project Reference'!$B$2:$L$41,11)," ")</f>
        <v xml:space="preserve"> </v>
      </c>
      <c r="Z10" s="42" t="str">
        <f>IFERROR(VLOOKUP($J10,'Project Reference'!$B$2:$M$41,12)," ")</f>
        <v xml:space="preserve"> </v>
      </c>
      <c r="AA10" s="42" t="str">
        <f>IFERROR(VLOOKUP($J10,'Project Reference'!$B$2:$N$41,13)," ")</f>
        <v xml:space="preserve"> </v>
      </c>
    </row>
    <row r="11" spans="1:28" s="1" customFormat="1" x14ac:dyDescent="0.45">
      <c r="A11" s="43"/>
      <c r="B11" s="205"/>
      <c r="C11" s="45"/>
      <c r="D11" s="72"/>
      <c r="E11" s="72"/>
      <c r="F11" s="72"/>
      <c r="G11" s="72"/>
      <c r="H11" s="46"/>
      <c r="I11" s="41" t="str" cm="1">
        <f t="array" ref="I11">IFERROR(_xlfn.IFS(H11="Hard (Cash)","N/A",H11="Soft (In-Kind)", "Enter Source"),"Select Type")</f>
        <v>Select Type</v>
      </c>
      <c r="J11" s="124"/>
      <c r="K11" s="41" t="str">
        <f>IFERROR(VLOOKUP($J11,'Project Reference'!$S$2:$T$41,2),"Enter Project Number")</f>
        <v>Enter Project Number</v>
      </c>
      <c r="L11" s="41"/>
      <c r="M11" s="41"/>
      <c r="N11" s="15">
        <f t="shared" ref="N11:N74" si="0">SUM(D11:G11)</f>
        <v>0</v>
      </c>
      <c r="O11" s="19"/>
      <c r="P11" s="42" t="str">
        <f>IFERROR(VLOOKUP($J11,'Project Reference'!$B$2:$C$41,2)," ")</f>
        <v xml:space="preserve"> </v>
      </c>
      <c r="Q11" s="42" t="str">
        <f>IFERROR(VLOOKUP($J11,'Project Reference'!$B$2:$D$41,3)," ")</f>
        <v xml:space="preserve"> </v>
      </c>
      <c r="R11" s="42" t="str">
        <f>IFERROR(VLOOKUP($J11,'Project Reference'!$B$2:$E$41,4)," ")</f>
        <v xml:space="preserve"> </v>
      </c>
      <c r="S11" s="42" t="str">
        <f>IFERROR(VLOOKUP($J11,'Project Reference'!$B$2:$F$41,5,FALSE)," ")</f>
        <v xml:space="preserve"> </v>
      </c>
      <c r="T11" s="42" t="str">
        <f>IFERROR(VLOOKUP($J11,'Project Reference'!$B$2:$G$41,6,FALSE)," ")</f>
        <v xml:space="preserve"> </v>
      </c>
      <c r="U11" s="42" t="str">
        <f>IFERROR(VLOOKUP($J11,'Project Reference'!$B$2:$H$41,7,FALSE)," ")</f>
        <v xml:space="preserve"> </v>
      </c>
      <c r="V11" s="42" t="str">
        <f>IFERROR(VLOOKUP($J11,'Project Reference'!$B$2:$I$41,8,FALSE)," ")</f>
        <v xml:space="preserve"> </v>
      </c>
      <c r="W11" s="42" t="str">
        <f>IFERROR(VLOOKUP($J11,'Project Reference'!$B$2:$J$41,9,FALSE)," ")</f>
        <v xml:space="preserve"> </v>
      </c>
      <c r="X11" s="42" t="str">
        <f>IFERROR(VLOOKUP($J11,'Project Reference'!$B$2:$K$41,10)," ")</f>
        <v xml:space="preserve"> </v>
      </c>
      <c r="Y11" s="42" t="str">
        <f>IFERROR(VLOOKUP($J11,'Project Reference'!$B$2:$L$41,11)," ")</f>
        <v xml:space="preserve"> </v>
      </c>
      <c r="Z11" s="42" t="str">
        <f>IFERROR(VLOOKUP($J11,'Project Reference'!$B$2:$M$41,12)," ")</f>
        <v xml:space="preserve"> </v>
      </c>
      <c r="AA11" s="42" t="str">
        <f>IFERROR(VLOOKUP($J11,'Project Reference'!$B$2:$N$41,13)," ")</f>
        <v xml:space="preserve"> </v>
      </c>
    </row>
    <row r="12" spans="1:28" s="1" customFormat="1" x14ac:dyDescent="0.45">
      <c r="A12" s="43"/>
      <c r="B12" s="205"/>
      <c r="C12" s="45"/>
      <c r="D12" s="72"/>
      <c r="E12" s="72"/>
      <c r="F12" s="72"/>
      <c r="G12" s="72"/>
      <c r="H12" s="46"/>
      <c r="I12" s="41" t="str" cm="1">
        <f t="array" ref="I12">IFERROR(_xlfn.IFS(H12="Hard (Cash)","N/A",H12="Soft (In-Kind)", "Enter Source"),"Select Type")</f>
        <v>Select Type</v>
      </c>
      <c r="J12" s="124"/>
      <c r="K12" s="41" t="str">
        <f>IFERROR(VLOOKUP($J12,'Project Reference'!$S$2:$T$41,2),"Enter Project Number")</f>
        <v>Enter Project Number</v>
      </c>
      <c r="L12" s="41"/>
      <c r="M12" s="41"/>
      <c r="N12" s="15">
        <f t="shared" si="0"/>
        <v>0</v>
      </c>
      <c r="O12" s="19"/>
      <c r="P12" s="42" t="str">
        <f>IFERROR(VLOOKUP($J12,'Project Reference'!$B$2:$C$41,2)," ")</f>
        <v xml:space="preserve"> </v>
      </c>
      <c r="Q12" s="42" t="str">
        <f>IFERROR(VLOOKUP($J12,'Project Reference'!$B$2:$D$41,3)," ")</f>
        <v xml:space="preserve"> </v>
      </c>
      <c r="R12" s="42" t="str">
        <f>IFERROR(VLOOKUP($J12,'Project Reference'!$B$2:$E$41,4)," ")</f>
        <v xml:space="preserve"> </v>
      </c>
      <c r="S12" s="42" t="str">
        <f>IFERROR(VLOOKUP($J12,'Project Reference'!$B$2:$F$41,5,FALSE)," ")</f>
        <v xml:space="preserve"> </v>
      </c>
      <c r="T12" s="42" t="str">
        <f>IFERROR(VLOOKUP($J12,'Project Reference'!$B$2:$G$41,6,FALSE)," ")</f>
        <v xml:space="preserve"> </v>
      </c>
      <c r="U12" s="42" t="str">
        <f>IFERROR(VLOOKUP($J12,'Project Reference'!$B$2:$H$41,7,FALSE)," ")</f>
        <v xml:space="preserve"> </v>
      </c>
      <c r="V12" s="42" t="str">
        <f>IFERROR(VLOOKUP($J12,'Project Reference'!$B$2:$I$41,8,FALSE)," ")</f>
        <v xml:space="preserve"> </v>
      </c>
      <c r="W12" s="42" t="str">
        <f>IFERROR(VLOOKUP($J12,'Project Reference'!$B$2:$J$41,9,FALSE)," ")</f>
        <v xml:space="preserve"> </v>
      </c>
      <c r="X12" s="42" t="str">
        <f>IFERROR(VLOOKUP($J12,'Project Reference'!$B$2:$K$41,10)," ")</f>
        <v xml:space="preserve"> </v>
      </c>
      <c r="Y12" s="42" t="str">
        <f>IFERROR(VLOOKUP($J12,'Project Reference'!$B$2:$L$41,11)," ")</f>
        <v xml:space="preserve"> </v>
      </c>
      <c r="Z12" s="42" t="str">
        <f>IFERROR(VLOOKUP($J12,'Project Reference'!$B$2:$M$41,12)," ")</f>
        <v xml:space="preserve"> </v>
      </c>
      <c r="AA12" s="42" t="str">
        <f>IFERROR(VLOOKUP($J12,'Project Reference'!$B$2:$N$41,13)," ")</f>
        <v xml:space="preserve"> </v>
      </c>
    </row>
    <row r="13" spans="1:28" s="1" customFormat="1" x14ac:dyDescent="0.45">
      <c r="A13" s="43"/>
      <c r="B13" s="205"/>
      <c r="C13" s="45"/>
      <c r="D13" s="72"/>
      <c r="E13" s="72"/>
      <c r="F13" s="72"/>
      <c r="G13" s="72"/>
      <c r="H13" s="46"/>
      <c r="I13" s="41" t="str" cm="1">
        <f t="array" ref="I13">IFERROR(_xlfn.IFS(H13="Hard (Cash)","N/A",H13="Soft (In-Kind)", "Enter Source"),"Select Type")</f>
        <v>Select Type</v>
      </c>
      <c r="J13" s="124"/>
      <c r="K13" s="41" t="str">
        <f>IFERROR(VLOOKUP($J13,'Project Reference'!$S$2:$T$41,2),"Enter Project Number")</f>
        <v>Enter Project Number</v>
      </c>
      <c r="L13" s="41"/>
      <c r="M13" s="41"/>
      <c r="N13" s="15">
        <f t="shared" si="0"/>
        <v>0</v>
      </c>
      <c r="O13" s="19"/>
      <c r="P13" s="42" t="str">
        <f>IFERROR(VLOOKUP($J13,'Project Reference'!$B$2:$C$41,2)," ")</f>
        <v xml:space="preserve"> </v>
      </c>
      <c r="Q13" s="42" t="str">
        <f>IFERROR(VLOOKUP($J13,'Project Reference'!$B$2:$D$41,3)," ")</f>
        <v xml:space="preserve"> </v>
      </c>
      <c r="R13" s="42" t="str">
        <f>IFERROR(VLOOKUP($J13,'Project Reference'!$B$2:$E$41,4)," ")</f>
        <v xml:space="preserve"> </v>
      </c>
      <c r="S13" s="42" t="str">
        <f>IFERROR(VLOOKUP($J13,'Project Reference'!$B$2:$F$41,5,FALSE)," ")</f>
        <v xml:space="preserve"> </v>
      </c>
      <c r="T13" s="42" t="str">
        <f>IFERROR(VLOOKUP($J13,'Project Reference'!$B$2:$G$41,6,FALSE)," ")</f>
        <v xml:space="preserve"> </v>
      </c>
      <c r="U13" s="42" t="str">
        <f>IFERROR(VLOOKUP($J13,'Project Reference'!$B$2:$H$41,7,FALSE)," ")</f>
        <v xml:space="preserve"> </v>
      </c>
      <c r="V13" s="42" t="str">
        <f>IFERROR(VLOOKUP($J13,'Project Reference'!$B$2:$I$41,8,FALSE)," ")</f>
        <v xml:space="preserve"> </v>
      </c>
      <c r="W13" s="42" t="str">
        <f>IFERROR(VLOOKUP($J13,'Project Reference'!$B$2:$J$41,9,FALSE)," ")</f>
        <v xml:space="preserve"> </v>
      </c>
      <c r="X13" s="42" t="str">
        <f>IFERROR(VLOOKUP($J13,'Project Reference'!$B$2:$K$41,10)," ")</f>
        <v xml:space="preserve"> </v>
      </c>
      <c r="Y13" s="42" t="str">
        <f>IFERROR(VLOOKUP($J13,'Project Reference'!$B$2:$L$41,11)," ")</f>
        <v xml:space="preserve"> </v>
      </c>
      <c r="Z13" s="42" t="str">
        <f>IFERROR(VLOOKUP($J13,'Project Reference'!$B$2:$M$41,12)," ")</f>
        <v xml:space="preserve"> </v>
      </c>
      <c r="AA13" s="42" t="str">
        <f>IFERROR(VLOOKUP($J13,'Project Reference'!$B$2:$N$41,13)," ")</f>
        <v xml:space="preserve"> </v>
      </c>
    </row>
    <row r="14" spans="1:28" s="1" customFormat="1" x14ac:dyDescent="0.45">
      <c r="A14" s="43"/>
      <c r="B14" s="205"/>
      <c r="C14" s="45"/>
      <c r="D14" s="72"/>
      <c r="E14" s="72"/>
      <c r="F14" s="72"/>
      <c r="G14" s="72"/>
      <c r="H14" s="46"/>
      <c r="I14" s="41" t="str" cm="1">
        <f t="array" ref="I14">IFERROR(_xlfn.IFS(H14="Hard (Cash)","N/A",H14="Soft (In-Kind)", "Enter Source"),"Select Type")</f>
        <v>Select Type</v>
      </c>
      <c r="J14" s="124"/>
      <c r="K14" s="41" t="str">
        <f>IFERROR(VLOOKUP($J14,'Project Reference'!$S$2:$T$41,2),"Enter Project Number")</f>
        <v>Enter Project Number</v>
      </c>
      <c r="L14" s="41"/>
      <c r="M14" s="41"/>
      <c r="N14" s="15">
        <f t="shared" si="0"/>
        <v>0</v>
      </c>
      <c r="O14" s="19"/>
      <c r="P14" s="42" t="str">
        <f>IFERROR(VLOOKUP($J14,'Project Reference'!$B$2:$C$41,2)," ")</f>
        <v xml:space="preserve"> </v>
      </c>
      <c r="Q14" s="42" t="str">
        <f>IFERROR(VLOOKUP($J14,'Project Reference'!$B$2:$D$41,3)," ")</f>
        <v xml:space="preserve"> </v>
      </c>
      <c r="R14" s="42" t="str">
        <f>IFERROR(VLOOKUP($J14,'Project Reference'!$B$2:$E$41,4)," ")</f>
        <v xml:space="preserve"> </v>
      </c>
      <c r="S14" s="42" t="str">
        <f>IFERROR(VLOOKUP($J14,'Project Reference'!$B$2:$F$41,5,FALSE)," ")</f>
        <v xml:space="preserve"> </v>
      </c>
      <c r="T14" s="42" t="str">
        <f>IFERROR(VLOOKUP($J14,'Project Reference'!$B$2:$G$41,6,FALSE)," ")</f>
        <v xml:space="preserve"> </v>
      </c>
      <c r="U14" s="42" t="str">
        <f>IFERROR(VLOOKUP($J14,'Project Reference'!$B$2:$H$41,7,FALSE)," ")</f>
        <v xml:space="preserve"> </v>
      </c>
      <c r="V14" s="42" t="str">
        <f>IFERROR(VLOOKUP($J14,'Project Reference'!$B$2:$I$41,8,FALSE)," ")</f>
        <v xml:space="preserve"> </v>
      </c>
      <c r="W14" s="42" t="str">
        <f>IFERROR(VLOOKUP($J14,'Project Reference'!$B$2:$J$41,9,FALSE)," ")</f>
        <v xml:space="preserve"> </v>
      </c>
      <c r="X14" s="42" t="str">
        <f>IFERROR(VLOOKUP($J14,'Project Reference'!$B$2:$K$41,10)," ")</f>
        <v xml:space="preserve"> </v>
      </c>
      <c r="Y14" s="42" t="str">
        <f>IFERROR(VLOOKUP($J14,'Project Reference'!$B$2:$L$41,11)," ")</f>
        <v xml:space="preserve"> </v>
      </c>
      <c r="Z14" s="42" t="str">
        <f>IFERROR(VLOOKUP($J14,'Project Reference'!$B$2:$M$41,12)," ")</f>
        <v xml:space="preserve"> </v>
      </c>
      <c r="AA14" s="42" t="str">
        <f>IFERROR(VLOOKUP($J14,'Project Reference'!$B$2:$N$41,13)," ")</f>
        <v xml:space="preserve"> </v>
      </c>
    </row>
    <row r="15" spans="1:28" s="1" customFormat="1" x14ac:dyDescent="0.45">
      <c r="A15" s="43"/>
      <c r="B15" s="205"/>
      <c r="C15" s="45"/>
      <c r="D15" s="72"/>
      <c r="E15" s="72"/>
      <c r="F15" s="72"/>
      <c r="G15" s="72"/>
      <c r="H15" s="46"/>
      <c r="I15" s="41" t="str" cm="1">
        <f t="array" ref="I15">IFERROR(_xlfn.IFS(H15="Hard (Cash)","N/A",H15="Soft (In-Kind)", "Enter Source"),"Select Type")</f>
        <v>Select Type</v>
      </c>
      <c r="J15" s="124"/>
      <c r="K15" s="41" t="str">
        <f>IFERROR(VLOOKUP($J15,'Project Reference'!$S$2:$T$41,2),"Enter Project Number")</f>
        <v>Enter Project Number</v>
      </c>
      <c r="L15" s="41"/>
      <c r="M15" s="41"/>
      <c r="N15" s="15">
        <f t="shared" si="0"/>
        <v>0</v>
      </c>
      <c r="O15" s="19"/>
      <c r="P15" s="42" t="str">
        <f>IFERROR(VLOOKUP($J15,'Project Reference'!$B$2:$C$41,2)," ")</f>
        <v xml:space="preserve"> </v>
      </c>
      <c r="Q15" s="42" t="str">
        <f>IFERROR(VLOOKUP($J15,'Project Reference'!$B$2:$D$41,3)," ")</f>
        <v xml:space="preserve"> </v>
      </c>
      <c r="R15" s="42" t="str">
        <f>IFERROR(VLOOKUP($J15,'Project Reference'!$B$2:$E$41,4)," ")</f>
        <v xml:space="preserve"> </v>
      </c>
      <c r="S15" s="42" t="str">
        <f>IFERROR(VLOOKUP($J15,'Project Reference'!$B$2:$F$41,5,FALSE)," ")</f>
        <v xml:space="preserve"> </v>
      </c>
      <c r="T15" s="42" t="str">
        <f>IFERROR(VLOOKUP($J15,'Project Reference'!$B$2:$G$41,6,FALSE)," ")</f>
        <v xml:space="preserve"> </v>
      </c>
      <c r="U15" s="42" t="str">
        <f>IFERROR(VLOOKUP($J15,'Project Reference'!$B$2:$H$41,7,FALSE)," ")</f>
        <v xml:space="preserve"> </v>
      </c>
      <c r="V15" s="42" t="str">
        <f>IFERROR(VLOOKUP($J15,'Project Reference'!$B$2:$I$41,8,FALSE)," ")</f>
        <v xml:space="preserve"> </v>
      </c>
      <c r="W15" s="42" t="str">
        <f>IFERROR(VLOOKUP($J15,'Project Reference'!$B$2:$J$41,9,FALSE)," ")</f>
        <v xml:space="preserve"> </v>
      </c>
      <c r="X15" s="42" t="str">
        <f>IFERROR(VLOOKUP($J15,'Project Reference'!$B$2:$K$41,10)," ")</f>
        <v xml:space="preserve"> </v>
      </c>
      <c r="Y15" s="42" t="str">
        <f>IFERROR(VLOOKUP($J15,'Project Reference'!$B$2:$L$41,11)," ")</f>
        <v xml:space="preserve"> </v>
      </c>
      <c r="Z15" s="42" t="str">
        <f>IFERROR(VLOOKUP($J15,'Project Reference'!$B$2:$M$41,12)," ")</f>
        <v xml:space="preserve"> </v>
      </c>
      <c r="AA15" s="42" t="str">
        <f>IFERROR(VLOOKUP($J15,'Project Reference'!$B$2:$N$41,13)," ")</f>
        <v xml:space="preserve"> </v>
      </c>
    </row>
    <row r="16" spans="1:28" s="1" customFormat="1" x14ac:dyDescent="0.45">
      <c r="A16" s="43"/>
      <c r="B16" s="205"/>
      <c r="C16" s="45"/>
      <c r="D16" s="72"/>
      <c r="E16" s="72"/>
      <c r="F16" s="72"/>
      <c r="G16" s="72"/>
      <c r="H16" s="46"/>
      <c r="I16" s="41" t="str" cm="1">
        <f t="array" ref="I16">IFERROR(_xlfn.IFS(H16="Hard (Cash)","N/A",H16="Soft (In-Kind)", "Enter Source"),"Select Type")</f>
        <v>Select Type</v>
      </c>
      <c r="J16" s="124"/>
      <c r="K16" s="41" t="str">
        <f>IFERROR(VLOOKUP($J16,'Project Reference'!$S$2:$T$41,2),"Enter Project Number")</f>
        <v>Enter Project Number</v>
      </c>
      <c r="L16" s="41"/>
      <c r="M16" s="41"/>
      <c r="N16" s="15">
        <f t="shared" si="0"/>
        <v>0</v>
      </c>
      <c r="O16" s="19"/>
      <c r="P16" s="42" t="str">
        <f>IFERROR(VLOOKUP($J16,'Project Reference'!$B$2:$C$41,2)," ")</f>
        <v xml:space="preserve"> </v>
      </c>
      <c r="Q16" s="42" t="str">
        <f>IFERROR(VLOOKUP($J16,'Project Reference'!$B$2:$D$41,3)," ")</f>
        <v xml:space="preserve"> </v>
      </c>
      <c r="R16" s="42" t="str">
        <f>IFERROR(VLOOKUP($J16,'Project Reference'!$B$2:$E$41,4)," ")</f>
        <v xml:space="preserve"> </v>
      </c>
      <c r="S16" s="42" t="str">
        <f>IFERROR(VLOOKUP($J16,'Project Reference'!$B$2:$F$41,5,FALSE)," ")</f>
        <v xml:space="preserve"> </v>
      </c>
      <c r="T16" s="42" t="str">
        <f>IFERROR(VLOOKUP($J16,'Project Reference'!$B$2:$G$41,6,FALSE)," ")</f>
        <v xml:space="preserve"> </v>
      </c>
      <c r="U16" s="42" t="str">
        <f>IFERROR(VLOOKUP($J16,'Project Reference'!$B$2:$H$41,7,FALSE)," ")</f>
        <v xml:space="preserve"> </v>
      </c>
      <c r="V16" s="42" t="str">
        <f>IFERROR(VLOOKUP($J16,'Project Reference'!$B$2:$I$41,8,FALSE)," ")</f>
        <v xml:space="preserve"> </v>
      </c>
      <c r="W16" s="42" t="str">
        <f>IFERROR(VLOOKUP($J16,'Project Reference'!$B$2:$J$41,9,FALSE)," ")</f>
        <v xml:space="preserve"> </v>
      </c>
      <c r="X16" s="42" t="str">
        <f>IFERROR(VLOOKUP($J16,'Project Reference'!$B$2:$K$41,10)," ")</f>
        <v xml:space="preserve"> </v>
      </c>
      <c r="Y16" s="42" t="str">
        <f>IFERROR(VLOOKUP($J16,'Project Reference'!$B$2:$L$41,11)," ")</f>
        <v xml:space="preserve"> </v>
      </c>
      <c r="Z16" s="42" t="str">
        <f>IFERROR(VLOOKUP($J16,'Project Reference'!$B$2:$M$41,12)," ")</f>
        <v xml:space="preserve"> </v>
      </c>
      <c r="AA16" s="42" t="str">
        <f>IFERROR(VLOOKUP($J16,'Project Reference'!$B$2:$N$41,13)," ")</f>
        <v xml:space="preserve"> </v>
      </c>
    </row>
    <row r="17" spans="1:27" s="1" customFormat="1" x14ac:dyDescent="0.45">
      <c r="A17" s="43"/>
      <c r="B17" s="205"/>
      <c r="C17" s="45"/>
      <c r="D17" s="72"/>
      <c r="E17" s="72"/>
      <c r="F17" s="72"/>
      <c r="G17" s="72"/>
      <c r="H17" s="46"/>
      <c r="I17" s="41" t="str" cm="1">
        <f t="array" ref="I17">IFERROR(_xlfn.IFS(H17="Hard (Cash)","N/A",H17="Soft (In-Kind)", "Enter Source"),"Select Type")</f>
        <v>Select Type</v>
      </c>
      <c r="J17" s="124"/>
      <c r="K17" s="41" t="str">
        <f>IFERROR(VLOOKUP($J17,'Project Reference'!$S$2:$T$41,2),"Enter Project Number")</f>
        <v>Enter Project Number</v>
      </c>
      <c r="L17" s="41"/>
      <c r="M17" s="41"/>
      <c r="N17" s="15">
        <f t="shared" si="0"/>
        <v>0</v>
      </c>
      <c r="O17" s="19"/>
      <c r="P17" s="42" t="str">
        <f>IFERROR(VLOOKUP($J17,'Project Reference'!$B$2:$C$41,2)," ")</f>
        <v xml:space="preserve"> </v>
      </c>
      <c r="Q17" s="42" t="str">
        <f>IFERROR(VLOOKUP($J17,'Project Reference'!$B$2:$D$41,3)," ")</f>
        <v xml:space="preserve"> </v>
      </c>
      <c r="R17" s="42" t="str">
        <f>IFERROR(VLOOKUP($J17,'Project Reference'!$B$2:$E$41,4)," ")</f>
        <v xml:space="preserve"> </v>
      </c>
      <c r="S17" s="42" t="str">
        <f>IFERROR(VLOOKUP($J17,'Project Reference'!$B$2:$F$41,5,FALSE)," ")</f>
        <v xml:space="preserve"> </v>
      </c>
      <c r="T17" s="42" t="str">
        <f>IFERROR(VLOOKUP($J17,'Project Reference'!$B$2:$G$41,6,FALSE)," ")</f>
        <v xml:space="preserve"> </v>
      </c>
      <c r="U17" s="42" t="str">
        <f>IFERROR(VLOOKUP($J17,'Project Reference'!$B$2:$H$41,7,FALSE)," ")</f>
        <v xml:space="preserve"> </v>
      </c>
      <c r="V17" s="42" t="str">
        <f>IFERROR(VLOOKUP($J17,'Project Reference'!$B$2:$I$41,8,FALSE)," ")</f>
        <v xml:space="preserve"> </v>
      </c>
      <c r="W17" s="42" t="str">
        <f>IFERROR(VLOOKUP($J17,'Project Reference'!$B$2:$J$41,9,FALSE)," ")</f>
        <v xml:space="preserve"> </v>
      </c>
      <c r="X17" s="42" t="str">
        <f>IFERROR(VLOOKUP($J17,'Project Reference'!$B$2:$K$41,10)," ")</f>
        <v xml:space="preserve"> </v>
      </c>
      <c r="Y17" s="42" t="str">
        <f>IFERROR(VLOOKUP($J17,'Project Reference'!$B$2:$L$41,11)," ")</f>
        <v xml:space="preserve"> </v>
      </c>
      <c r="Z17" s="42" t="str">
        <f>IFERROR(VLOOKUP($J17,'Project Reference'!$B$2:$M$41,12)," ")</f>
        <v xml:space="preserve"> </v>
      </c>
      <c r="AA17" s="42" t="str">
        <f>IFERROR(VLOOKUP($J17,'Project Reference'!$B$2:$N$41,13)," ")</f>
        <v xml:space="preserve"> </v>
      </c>
    </row>
    <row r="18" spans="1:27" s="1" customFormat="1" x14ac:dyDescent="0.45">
      <c r="A18" s="43"/>
      <c r="B18" s="205"/>
      <c r="C18" s="45"/>
      <c r="D18" s="72"/>
      <c r="E18" s="72"/>
      <c r="F18" s="72"/>
      <c r="G18" s="72"/>
      <c r="H18" s="46"/>
      <c r="I18" s="41" t="str" cm="1">
        <f t="array" ref="I18">IFERROR(_xlfn.IFS(H18="Hard (Cash)","N/A",H18="Soft (In-Kind)", "Enter Source"),"Select Type")</f>
        <v>Select Type</v>
      </c>
      <c r="J18" s="124"/>
      <c r="K18" s="41" t="str">
        <f>IFERROR(VLOOKUP($J18,'Project Reference'!$S$2:$T$41,2),"Enter Project Number")</f>
        <v>Enter Project Number</v>
      </c>
      <c r="L18" s="41"/>
      <c r="M18" s="41"/>
      <c r="N18" s="15">
        <f t="shared" si="0"/>
        <v>0</v>
      </c>
      <c r="O18" s="19"/>
      <c r="P18" s="42" t="str">
        <f>IFERROR(VLOOKUP($J18,'Project Reference'!$B$2:$C$41,2)," ")</f>
        <v xml:space="preserve"> </v>
      </c>
      <c r="Q18" s="42" t="str">
        <f>IFERROR(VLOOKUP($J18,'Project Reference'!$B$2:$D$41,3)," ")</f>
        <v xml:space="preserve"> </v>
      </c>
      <c r="R18" s="42" t="str">
        <f>IFERROR(VLOOKUP($J18,'Project Reference'!$B$2:$E$41,4)," ")</f>
        <v xml:space="preserve"> </v>
      </c>
      <c r="S18" s="42" t="str">
        <f>IFERROR(VLOOKUP($J18,'Project Reference'!$B$2:$F$41,5,FALSE)," ")</f>
        <v xml:space="preserve"> </v>
      </c>
      <c r="T18" s="42" t="str">
        <f>IFERROR(VLOOKUP($J18,'Project Reference'!$B$2:$G$41,6,FALSE)," ")</f>
        <v xml:space="preserve"> </v>
      </c>
      <c r="U18" s="42" t="str">
        <f>IFERROR(VLOOKUP($J18,'Project Reference'!$B$2:$H$41,7,FALSE)," ")</f>
        <v xml:space="preserve"> </v>
      </c>
      <c r="V18" s="42" t="str">
        <f>IFERROR(VLOOKUP($J18,'Project Reference'!$B$2:$I$41,8,FALSE)," ")</f>
        <v xml:space="preserve"> </v>
      </c>
      <c r="W18" s="42" t="str">
        <f>IFERROR(VLOOKUP($J18,'Project Reference'!$B$2:$J$41,9,FALSE)," ")</f>
        <v xml:space="preserve"> </v>
      </c>
      <c r="X18" s="42" t="str">
        <f>IFERROR(VLOOKUP($J18,'Project Reference'!$B$2:$K$41,10)," ")</f>
        <v xml:space="preserve"> </v>
      </c>
      <c r="Y18" s="42" t="str">
        <f>IFERROR(VLOOKUP($J18,'Project Reference'!$B$2:$L$41,11)," ")</f>
        <v xml:space="preserve"> </v>
      </c>
      <c r="Z18" s="42" t="str">
        <f>IFERROR(VLOOKUP($J18,'Project Reference'!$B$2:$M$41,12)," ")</f>
        <v xml:space="preserve"> </v>
      </c>
      <c r="AA18" s="42" t="str">
        <f>IFERROR(VLOOKUP($J18,'Project Reference'!$B$2:$N$41,13)," ")</f>
        <v xml:space="preserve"> </v>
      </c>
    </row>
    <row r="19" spans="1:27" s="1" customFormat="1" x14ac:dyDescent="0.45">
      <c r="A19" s="43"/>
      <c r="B19" s="205"/>
      <c r="C19"/>
      <c r="D19" s="72"/>
      <c r="E19" s="72"/>
      <c r="F19" s="72"/>
      <c r="G19" s="72"/>
      <c r="H19" s="17"/>
      <c r="I19" s="41" t="str" cm="1">
        <f t="array" ref="I19">IFERROR(_xlfn.IFS(H19="Hard (Cash)","N/A",H19="Soft (In-Kind)", "Enter Source"),"Select Type")</f>
        <v>Select Type</v>
      </c>
      <c r="J19" s="124"/>
      <c r="K19" s="41" t="str">
        <f>IFERROR(VLOOKUP($J19,'Project Reference'!$S$2:$T$41,2),"Enter Project Number")</f>
        <v>Enter Project Number</v>
      </c>
      <c r="L19" s="41"/>
      <c r="M19" s="41"/>
      <c r="N19" s="15">
        <f t="shared" si="0"/>
        <v>0</v>
      </c>
      <c r="O19" s="19"/>
      <c r="P19" s="42" t="str">
        <f>IFERROR(VLOOKUP($J19,'Project Reference'!$B$2:$C$41,2)," ")</f>
        <v xml:space="preserve"> </v>
      </c>
      <c r="Q19" s="42" t="str">
        <f>IFERROR(VLOOKUP($J19,'Project Reference'!$B$2:$D$41,3)," ")</f>
        <v xml:space="preserve"> </v>
      </c>
      <c r="R19" s="42" t="str">
        <f>IFERROR(VLOOKUP($J19,'Project Reference'!$B$2:$E$41,4)," ")</f>
        <v xml:space="preserve"> </v>
      </c>
      <c r="S19" s="42" t="str">
        <f>IFERROR(VLOOKUP($J19,'Project Reference'!$B$2:$F$41,5,FALSE)," ")</f>
        <v xml:space="preserve"> </v>
      </c>
      <c r="T19" s="42" t="str">
        <f>IFERROR(VLOOKUP($J19,'Project Reference'!$B$2:$G$41,6,FALSE)," ")</f>
        <v xml:space="preserve"> </v>
      </c>
      <c r="U19" s="42" t="str">
        <f>IFERROR(VLOOKUP($J19,'Project Reference'!$B$2:$H$41,7,FALSE)," ")</f>
        <v xml:space="preserve"> </v>
      </c>
      <c r="V19" s="42" t="str">
        <f>IFERROR(VLOOKUP($J19,'Project Reference'!$B$2:$I$41,8,FALSE)," ")</f>
        <v xml:space="preserve"> </v>
      </c>
      <c r="W19" s="42" t="str">
        <f>IFERROR(VLOOKUP($J19,'Project Reference'!$B$2:$J$41,9,FALSE)," ")</f>
        <v xml:space="preserve"> </v>
      </c>
      <c r="X19" s="42" t="str">
        <f>IFERROR(VLOOKUP($J19,'Project Reference'!$B$2:$K$41,10)," ")</f>
        <v xml:space="preserve"> </v>
      </c>
      <c r="Y19" s="42" t="str">
        <f>IFERROR(VLOOKUP($J19,'Project Reference'!$B$2:$L$41,11)," ")</f>
        <v xml:space="preserve"> </v>
      </c>
      <c r="Z19" s="42" t="str">
        <f>IFERROR(VLOOKUP($J19,'Project Reference'!$B$2:$M$41,12)," ")</f>
        <v xml:space="preserve"> </v>
      </c>
      <c r="AA19" s="42" t="str">
        <f>IFERROR(VLOOKUP($J19,'Project Reference'!$B$2:$N$41,13)," ")</f>
        <v xml:space="preserve"> </v>
      </c>
    </row>
    <row r="20" spans="1:27" s="1" customFormat="1" x14ac:dyDescent="0.45">
      <c r="A20" s="43"/>
      <c r="B20" s="205"/>
      <c r="C20"/>
      <c r="D20" s="72"/>
      <c r="E20" s="72"/>
      <c r="F20" s="72"/>
      <c r="G20" s="72"/>
      <c r="H20" s="17"/>
      <c r="I20" s="41" t="str" cm="1">
        <f t="array" ref="I20">IFERROR(_xlfn.IFS(H20="Hard (Cash)","N/A",H20="Soft (In-Kind)", "Enter Source"),"Select Type")</f>
        <v>Select Type</v>
      </c>
      <c r="J20" s="124"/>
      <c r="K20" s="41" t="str">
        <f>IFERROR(VLOOKUP($J20,'Project Reference'!$S$2:$T$41,2),"Enter Project Number")</f>
        <v>Enter Project Number</v>
      </c>
      <c r="L20" s="41"/>
      <c r="M20" s="41"/>
      <c r="N20" s="15">
        <f t="shared" si="0"/>
        <v>0</v>
      </c>
      <c r="O20" s="19"/>
      <c r="P20" s="42" t="str">
        <f>IFERROR(VLOOKUP($J20,'Project Reference'!$B$2:$C$41,2)," ")</f>
        <v xml:space="preserve"> </v>
      </c>
      <c r="Q20" s="42" t="str">
        <f>IFERROR(VLOOKUP($J20,'Project Reference'!$B$2:$D$41,3)," ")</f>
        <v xml:space="preserve"> </v>
      </c>
      <c r="R20" s="42" t="str">
        <f>IFERROR(VLOOKUP($J20,'Project Reference'!$B$2:$E$41,4)," ")</f>
        <v xml:space="preserve"> </v>
      </c>
      <c r="S20" s="42" t="str">
        <f>IFERROR(VLOOKUP($J20,'Project Reference'!$B$2:$F$41,5,FALSE)," ")</f>
        <v xml:space="preserve"> </v>
      </c>
      <c r="T20" s="42" t="str">
        <f>IFERROR(VLOOKUP($J20,'Project Reference'!$B$2:$G$41,6,FALSE)," ")</f>
        <v xml:space="preserve"> </v>
      </c>
      <c r="U20" s="42" t="str">
        <f>IFERROR(VLOOKUP($J20,'Project Reference'!$B$2:$H$41,7,FALSE)," ")</f>
        <v xml:space="preserve"> </v>
      </c>
      <c r="V20" s="42" t="str">
        <f>IFERROR(VLOOKUP($J20,'Project Reference'!$B$2:$I$41,8,FALSE)," ")</f>
        <v xml:space="preserve"> </v>
      </c>
      <c r="W20" s="42" t="str">
        <f>IFERROR(VLOOKUP($J20,'Project Reference'!$B$2:$J$41,9,FALSE)," ")</f>
        <v xml:space="preserve"> </v>
      </c>
      <c r="X20" s="42" t="str">
        <f>IFERROR(VLOOKUP($J20,'Project Reference'!$B$2:$K$41,10)," ")</f>
        <v xml:space="preserve"> </v>
      </c>
      <c r="Y20" s="42" t="str">
        <f>IFERROR(VLOOKUP($J20,'Project Reference'!$B$2:$L$41,11)," ")</f>
        <v xml:space="preserve"> </v>
      </c>
      <c r="Z20" s="42" t="str">
        <f>IFERROR(VLOOKUP($J20,'Project Reference'!$B$2:$M$41,12)," ")</f>
        <v xml:space="preserve"> </v>
      </c>
      <c r="AA20" s="42" t="str">
        <f>IFERROR(VLOOKUP($J20,'Project Reference'!$B$2:$N$41,13)," ")</f>
        <v xml:space="preserve"> </v>
      </c>
    </row>
    <row r="21" spans="1:27" s="1" customFormat="1" x14ac:dyDescent="0.45">
      <c r="A21" s="43"/>
      <c r="B21" s="205"/>
      <c r="C21"/>
      <c r="D21" s="72"/>
      <c r="E21" s="72"/>
      <c r="F21" s="72"/>
      <c r="G21" s="72"/>
      <c r="H21" s="17"/>
      <c r="I21" s="41" t="str" cm="1">
        <f t="array" ref="I21">IFERROR(_xlfn.IFS(H21="Hard (Cash)","N/A",H21="Soft (In-Kind)", "Enter Source"),"Select Type")</f>
        <v>Select Type</v>
      </c>
      <c r="J21" s="124"/>
      <c r="K21" s="41" t="str">
        <f>IFERROR(VLOOKUP($J21,'Project Reference'!$S$2:$T$41,2),"Enter Project Number")</f>
        <v>Enter Project Number</v>
      </c>
      <c r="L21" s="41"/>
      <c r="M21" s="41"/>
      <c r="N21" s="15">
        <f t="shared" si="0"/>
        <v>0</v>
      </c>
      <c r="O21" s="19"/>
      <c r="P21" s="42" t="str">
        <f>IFERROR(VLOOKUP($J21,'Project Reference'!$B$2:$C$41,2)," ")</f>
        <v xml:space="preserve"> </v>
      </c>
      <c r="Q21" s="42" t="str">
        <f>IFERROR(VLOOKUP($J21,'Project Reference'!$B$2:$D$41,3)," ")</f>
        <v xml:space="preserve"> </v>
      </c>
      <c r="R21" s="42" t="str">
        <f>IFERROR(VLOOKUP($J21,'Project Reference'!$B$2:$E$41,4)," ")</f>
        <v xml:space="preserve"> </v>
      </c>
      <c r="S21" s="42" t="str">
        <f>IFERROR(VLOOKUP($J21,'Project Reference'!$B$2:$F$41,5,FALSE)," ")</f>
        <v xml:space="preserve"> </v>
      </c>
      <c r="T21" s="42" t="str">
        <f>IFERROR(VLOOKUP($J21,'Project Reference'!$B$2:$G$41,6,FALSE)," ")</f>
        <v xml:space="preserve"> </v>
      </c>
      <c r="U21" s="42" t="str">
        <f>IFERROR(VLOOKUP($J21,'Project Reference'!$B$2:$H$41,7,FALSE)," ")</f>
        <v xml:space="preserve"> </v>
      </c>
      <c r="V21" s="42" t="str">
        <f>IFERROR(VLOOKUP($J21,'Project Reference'!$B$2:$I$41,8,FALSE)," ")</f>
        <v xml:space="preserve"> </v>
      </c>
      <c r="W21" s="42" t="str">
        <f>IFERROR(VLOOKUP($J21,'Project Reference'!$B$2:$J$41,9,FALSE)," ")</f>
        <v xml:space="preserve"> </v>
      </c>
      <c r="X21" s="42" t="str">
        <f>IFERROR(VLOOKUP($J21,'Project Reference'!$B$2:$K$41,10)," ")</f>
        <v xml:space="preserve"> </v>
      </c>
      <c r="Y21" s="42" t="str">
        <f>IFERROR(VLOOKUP($J21,'Project Reference'!$B$2:$L$41,11)," ")</f>
        <v xml:space="preserve"> </v>
      </c>
      <c r="Z21" s="42" t="str">
        <f>IFERROR(VLOOKUP($J21,'Project Reference'!$B$2:$M$41,12)," ")</f>
        <v xml:space="preserve"> </v>
      </c>
      <c r="AA21" s="42" t="str">
        <f>IFERROR(VLOOKUP($J21,'Project Reference'!$B$2:$N$41,13)," ")</f>
        <v xml:space="preserve"> </v>
      </c>
    </row>
    <row r="22" spans="1:27" s="1" customFormat="1" x14ac:dyDescent="0.45">
      <c r="A22" s="43"/>
      <c r="B22" s="205"/>
      <c r="C22"/>
      <c r="D22" s="72"/>
      <c r="E22" s="72"/>
      <c r="F22" s="72"/>
      <c r="G22" s="72"/>
      <c r="H22" s="17"/>
      <c r="I22" s="41" t="str" cm="1">
        <f t="array" ref="I22">IFERROR(_xlfn.IFS(H22="Hard (Cash)","N/A",H22="Soft (In-Kind)", "Enter Source"),"Select Type")</f>
        <v>Select Type</v>
      </c>
      <c r="J22" s="124"/>
      <c r="K22" s="41" t="str">
        <f>IFERROR(VLOOKUP($J22,'Project Reference'!$S$2:$T$41,2),"Enter Project Number")</f>
        <v>Enter Project Number</v>
      </c>
      <c r="L22" s="41"/>
      <c r="M22" s="41"/>
      <c r="N22" s="15">
        <f t="shared" si="0"/>
        <v>0</v>
      </c>
      <c r="O22" s="19"/>
      <c r="P22" s="42" t="str">
        <f>IFERROR(VLOOKUP($J22,'Project Reference'!$B$2:$C$41,2)," ")</f>
        <v xml:space="preserve"> </v>
      </c>
      <c r="Q22" s="42" t="str">
        <f>IFERROR(VLOOKUP($J22,'Project Reference'!$B$2:$D$41,3)," ")</f>
        <v xml:space="preserve"> </v>
      </c>
      <c r="R22" s="42" t="str">
        <f>IFERROR(VLOOKUP($J22,'Project Reference'!$B$2:$E$41,4)," ")</f>
        <v xml:space="preserve"> </v>
      </c>
      <c r="S22" s="42" t="str">
        <f>IFERROR(VLOOKUP($J22,'Project Reference'!$B$2:$F$41,5,FALSE)," ")</f>
        <v xml:space="preserve"> </v>
      </c>
      <c r="T22" s="42" t="str">
        <f>IFERROR(VLOOKUP($J22,'Project Reference'!$B$2:$G$41,6,FALSE)," ")</f>
        <v xml:space="preserve"> </v>
      </c>
      <c r="U22" s="42" t="str">
        <f>IFERROR(VLOOKUP($J22,'Project Reference'!$B$2:$H$41,7,FALSE)," ")</f>
        <v xml:space="preserve"> </v>
      </c>
      <c r="V22" s="42" t="str">
        <f>IFERROR(VLOOKUP($J22,'Project Reference'!$B$2:$I$41,8,FALSE)," ")</f>
        <v xml:space="preserve"> </v>
      </c>
      <c r="W22" s="42" t="str">
        <f>IFERROR(VLOOKUP($J22,'Project Reference'!$B$2:$J$41,9,FALSE)," ")</f>
        <v xml:space="preserve"> </v>
      </c>
      <c r="X22" s="42" t="str">
        <f>IFERROR(VLOOKUP($J22,'Project Reference'!$B$2:$K$41,10)," ")</f>
        <v xml:space="preserve"> </v>
      </c>
      <c r="Y22" s="42" t="str">
        <f>IFERROR(VLOOKUP($J22,'Project Reference'!$B$2:$L$41,11)," ")</f>
        <v xml:space="preserve"> </v>
      </c>
      <c r="Z22" s="42" t="str">
        <f>IFERROR(VLOOKUP($J22,'Project Reference'!$B$2:$M$41,12)," ")</f>
        <v xml:space="preserve"> </v>
      </c>
      <c r="AA22" s="42" t="str">
        <f>IFERROR(VLOOKUP($J22,'Project Reference'!$B$2:$N$41,13)," ")</f>
        <v xml:space="preserve"> </v>
      </c>
    </row>
    <row r="23" spans="1:27" s="1" customFormat="1" x14ac:dyDescent="0.45">
      <c r="A23" s="43"/>
      <c r="B23" s="205"/>
      <c r="C23"/>
      <c r="D23" s="72"/>
      <c r="E23" s="72"/>
      <c r="F23" s="72"/>
      <c r="G23" s="72"/>
      <c r="H23" s="17"/>
      <c r="I23" s="41" t="str" cm="1">
        <f t="array" ref="I23">IFERROR(_xlfn.IFS(H23="Hard (Cash)","N/A",H23="Soft (In-Kind)", "Enter Source"),"Select Type")</f>
        <v>Select Type</v>
      </c>
      <c r="J23" s="124"/>
      <c r="K23" s="41" t="str">
        <f>IFERROR(VLOOKUP($J23,'Project Reference'!$S$2:$T$41,2),"Enter Project Number")</f>
        <v>Enter Project Number</v>
      </c>
      <c r="L23" s="41"/>
      <c r="M23" s="41"/>
      <c r="N23" s="15">
        <f t="shared" si="0"/>
        <v>0</v>
      </c>
      <c r="O23" s="19"/>
      <c r="P23" s="42" t="str">
        <f>IFERROR(VLOOKUP($J23,'Project Reference'!$B$2:$C$41,2)," ")</f>
        <v xml:space="preserve"> </v>
      </c>
      <c r="Q23" s="42" t="str">
        <f>IFERROR(VLOOKUP($J23,'Project Reference'!$B$2:$D$41,3)," ")</f>
        <v xml:space="preserve"> </v>
      </c>
      <c r="R23" s="42" t="str">
        <f>IFERROR(VLOOKUP($J23,'Project Reference'!$B$2:$E$41,4)," ")</f>
        <v xml:space="preserve"> </v>
      </c>
      <c r="S23" s="42" t="str">
        <f>IFERROR(VLOOKUP($J23,'Project Reference'!$B$2:$F$41,5,FALSE)," ")</f>
        <v xml:space="preserve"> </v>
      </c>
      <c r="T23" s="42" t="str">
        <f>IFERROR(VLOOKUP($J23,'Project Reference'!$B$2:$G$41,6,FALSE)," ")</f>
        <v xml:space="preserve"> </v>
      </c>
      <c r="U23" s="42" t="str">
        <f>IFERROR(VLOOKUP($J23,'Project Reference'!$B$2:$H$41,7,FALSE)," ")</f>
        <v xml:space="preserve"> </v>
      </c>
      <c r="V23" s="42" t="str">
        <f>IFERROR(VLOOKUP($J23,'Project Reference'!$B$2:$I$41,8,FALSE)," ")</f>
        <v xml:space="preserve"> </v>
      </c>
      <c r="W23" s="42" t="str">
        <f>IFERROR(VLOOKUP($J23,'Project Reference'!$B$2:$J$41,9,FALSE)," ")</f>
        <v xml:space="preserve"> </v>
      </c>
      <c r="X23" s="42" t="str">
        <f>IFERROR(VLOOKUP($J23,'Project Reference'!$B$2:$K$41,10)," ")</f>
        <v xml:space="preserve"> </v>
      </c>
      <c r="Y23" s="42" t="str">
        <f>IFERROR(VLOOKUP($J23,'Project Reference'!$B$2:$L$41,11)," ")</f>
        <v xml:space="preserve"> </v>
      </c>
      <c r="Z23" s="42" t="str">
        <f>IFERROR(VLOOKUP($J23,'Project Reference'!$B$2:$M$41,12)," ")</f>
        <v xml:space="preserve"> </v>
      </c>
      <c r="AA23" s="42" t="str">
        <f>IFERROR(VLOOKUP($J23,'Project Reference'!$B$2:$N$41,13)," ")</f>
        <v xml:space="preserve"> </v>
      </c>
    </row>
    <row r="24" spans="1:27" s="1" customFormat="1" x14ac:dyDescent="0.45">
      <c r="A24" s="43"/>
      <c r="B24" s="205"/>
      <c r="C24"/>
      <c r="D24" s="72"/>
      <c r="E24" s="72"/>
      <c r="F24" s="72"/>
      <c r="G24" s="72"/>
      <c r="H24" s="17"/>
      <c r="I24" s="41" t="str" cm="1">
        <f t="array" ref="I24">IFERROR(_xlfn.IFS(H24="Hard (Cash)","N/A",H24="Soft (In-Kind)", "Enter Source"),"Select Type")</f>
        <v>Select Type</v>
      </c>
      <c r="J24" s="124"/>
      <c r="K24" s="41" t="str">
        <f>IFERROR(VLOOKUP($J24,'Project Reference'!$S$2:$T$41,2),"Enter Project Number")</f>
        <v>Enter Project Number</v>
      </c>
      <c r="L24" s="41"/>
      <c r="M24" s="41"/>
      <c r="N24" s="15">
        <f t="shared" si="0"/>
        <v>0</v>
      </c>
      <c r="O24" s="19"/>
      <c r="P24" s="42" t="str">
        <f>IFERROR(VLOOKUP($J24,'Project Reference'!$B$2:$C$41,2)," ")</f>
        <v xml:space="preserve"> </v>
      </c>
      <c r="Q24" s="42" t="str">
        <f>IFERROR(VLOOKUP($J24,'Project Reference'!$B$2:$D$41,3)," ")</f>
        <v xml:space="preserve"> </v>
      </c>
      <c r="R24" s="42" t="str">
        <f>IFERROR(VLOOKUP($J24,'Project Reference'!$B$2:$E$41,4)," ")</f>
        <v xml:space="preserve"> </v>
      </c>
      <c r="S24" s="42" t="str">
        <f>IFERROR(VLOOKUP($J24,'Project Reference'!$B$2:$F$41,5,FALSE)," ")</f>
        <v xml:space="preserve"> </v>
      </c>
      <c r="T24" s="42" t="str">
        <f>IFERROR(VLOOKUP($J24,'Project Reference'!$B$2:$G$41,6,FALSE)," ")</f>
        <v xml:space="preserve"> </v>
      </c>
      <c r="U24" s="42" t="str">
        <f>IFERROR(VLOOKUP($J24,'Project Reference'!$B$2:$H$41,7,FALSE)," ")</f>
        <v xml:space="preserve"> </v>
      </c>
      <c r="V24" s="42" t="str">
        <f>IFERROR(VLOOKUP($J24,'Project Reference'!$B$2:$I$41,8,FALSE)," ")</f>
        <v xml:space="preserve"> </v>
      </c>
      <c r="W24" s="42" t="str">
        <f>IFERROR(VLOOKUP($J24,'Project Reference'!$B$2:$J$41,9,FALSE)," ")</f>
        <v xml:space="preserve"> </v>
      </c>
      <c r="X24" s="42" t="str">
        <f>IFERROR(VLOOKUP($J24,'Project Reference'!$B$2:$K$41,10)," ")</f>
        <v xml:space="preserve"> </v>
      </c>
      <c r="Y24" s="42" t="str">
        <f>IFERROR(VLOOKUP($J24,'Project Reference'!$B$2:$L$41,11)," ")</f>
        <v xml:space="preserve"> </v>
      </c>
      <c r="Z24" s="42" t="str">
        <f>IFERROR(VLOOKUP($J24,'Project Reference'!$B$2:$M$41,12)," ")</f>
        <v xml:space="preserve"> </v>
      </c>
      <c r="AA24" s="42" t="str">
        <f>IFERROR(VLOOKUP($J24,'Project Reference'!$B$2:$N$41,13)," ")</f>
        <v xml:space="preserve"> </v>
      </c>
    </row>
    <row r="25" spans="1:27" s="1" customFormat="1" x14ac:dyDescent="0.45">
      <c r="A25" s="43"/>
      <c r="B25" s="205"/>
      <c r="C25"/>
      <c r="D25" s="72"/>
      <c r="E25" s="72"/>
      <c r="F25" s="72"/>
      <c r="G25" s="72"/>
      <c r="H25" s="17"/>
      <c r="I25" s="41" t="str" cm="1">
        <f t="array" ref="I25">IFERROR(_xlfn.IFS(H25="Hard (Cash)","N/A",H25="Soft (In-Kind)", "Enter Source"),"Select Type")</f>
        <v>Select Type</v>
      </c>
      <c r="J25" s="124"/>
      <c r="K25" s="41" t="str">
        <f>IFERROR(VLOOKUP($J25,'Project Reference'!$S$2:$T$41,2),"Enter Project Number")</f>
        <v>Enter Project Number</v>
      </c>
      <c r="L25" s="41"/>
      <c r="M25" s="41"/>
      <c r="N25" s="15">
        <f t="shared" si="0"/>
        <v>0</v>
      </c>
      <c r="O25" s="19"/>
      <c r="P25" s="42" t="str">
        <f>IFERROR(VLOOKUP($J25,'Project Reference'!$B$2:$C$41,2)," ")</f>
        <v xml:space="preserve"> </v>
      </c>
      <c r="Q25" s="42" t="str">
        <f>IFERROR(VLOOKUP($J25,'Project Reference'!$B$2:$D$41,3)," ")</f>
        <v xml:space="preserve"> </v>
      </c>
      <c r="R25" s="42" t="str">
        <f>IFERROR(VLOOKUP($J25,'Project Reference'!$B$2:$E$41,4)," ")</f>
        <v xml:space="preserve"> </v>
      </c>
      <c r="S25" s="42" t="str">
        <f>IFERROR(VLOOKUP($J25,'Project Reference'!$B$2:$F$41,5,FALSE)," ")</f>
        <v xml:space="preserve"> </v>
      </c>
      <c r="T25" s="42" t="str">
        <f>IFERROR(VLOOKUP($J25,'Project Reference'!$B$2:$G$41,6,FALSE)," ")</f>
        <v xml:space="preserve"> </v>
      </c>
      <c r="U25" s="42" t="str">
        <f>IFERROR(VLOOKUP($J25,'Project Reference'!$B$2:$H$41,7,FALSE)," ")</f>
        <v xml:space="preserve"> </v>
      </c>
      <c r="V25" s="42" t="str">
        <f>IFERROR(VLOOKUP($J25,'Project Reference'!$B$2:$I$41,8,FALSE)," ")</f>
        <v xml:space="preserve"> </v>
      </c>
      <c r="W25" s="42" t="str">
        <f>IFERROR(VLOOKUP($J25,'Project Reference'!$B$2:$J$41,9,FALSE)," ")</f>
        <v xml:space="preserve"> </v>
      </c>
      <c r="X25" s="42" t="str">
        <f>IFERROR(VLOOKUP($J25,'Project Reference'!$B$2:$K$41,10)," ")</f>
        <v xml:space="preserve"> </v>
      </c>
      <c r="Y25" s="42" t="str">
        <f>IFERROR(VLOOKUP($J25,'Project Reference'!$B$2:$L$41,11)," ")</f>
        <v xml:space="preserve"> </v>
      </c>
      <c r="Z25" s="42" t="str">
        <f>IFERROR(VLOOKUP($J25,'Project Reference'!$B$2:$M$41,12)," ")</f>
        <v xml:space="preserve"> </v>
      </c>
      <c r="AA25" s="42" t="str">
        <f>IFERROR(VLOOKUP($J25,'Project Reference'!$B$2:$N$41,13)," ")</f>
        <v xml:space="preserve"> </v>
      </c>
    </row>
    <row r="26" spans="1:27" s="1" customFormat="1" x14ac:dyDescent="0.45">
      <c r="A26" s="43"/>
      <c r="B26" s="205"/>
      <c r="C26"/>
      <c r="D26" s="72"/>
      <c r="E26" s="72"/>
      <c r="F26" s="72"/>
      <c r="G26" s="72"/>
      <c r="H26" s="17"/>
      <c r="I26" s="41" t="str" cm="1">
        <f t="array" ref="I26">IFERROR(_xlfn.IFS(H26="Hard (Cash)","N/A",H26="Soft (In-Kind)", "Enter Source"),"Select Type")</f>
        <v>Select Type</v>
      </c>
      <c r="J26" s="124"/>
      <c r="K26" s="41" t="str">
        <f>IFERROR(VLOOKUP($J26,'Project Reference'!$S$2:$T$41,2),"Enter Project Number")</f>
        <v>Enter Project Number</v>
      </c>
      <c r="L26" s="41"/>
      <c r="M26" s="41"/>
      <c r="N26" s="15">
        <f t="shared" si="0"/>
        <v>0</v>
      </c>
      <c r="O26" s="19"/>
      <c r="P26" s="42" t="str">
        <f>IFERROR(VLOOKUP($J26,'Project Reference'!$B$2:$C$41,2)," ")</f>
        <v xml:space="preserve"> </v>
      </c>
      <c r="Q26" s="42" t="str">
        <f>IFERROR(VLOOKUP($J26,'Project Reference'!$B$2:$D$41,3)," ")</f>
        <v xml:space="preserve"> </v>
      </c>
      <c r="R26" s="42" t="str">
        <f>IFERROR(VLOOKUP($J26,'Project Reference'!$B$2:$E$41,4)," ")</f>
        <v xml:space="preserve"> </v>
      </c>
      <c r="S26" s="42" t="str">
        <f>IFERROR(VLOOKUP($J26,'Project Reference'!$B$2:$F$41,5,FALSE)," ")</f>
        <v xml:space="preserve"> </v>
      </c>
      <c r="T26" s="42" t="str">
        <f>IFERROR(VLOOKUP($J26,'Project Reference'!$B$2:$G$41,6,FALSE)," ")</f>
        <v xml:space="preserve"> </v>
      </c>
      <c r="U26" s="42" t="str">
        <f>IFERROR(VLOOKUP($J26,'Project Reference'!$B$2:$H$41,7,FALSE)," ")</f>
        <v xml:space="preserve"> </v>
      </c>
      <c r="V26" s="42" t="str">
        <f>IFERROR(VLOOKUP($J26,'Project Reference'!$B$2:$I$41,8,FALSE)," ")</f>
        <v xml:space="preserve"> </v>
      </c>
      <c r="W26" s="42" t="str">
        <f>IFERROR(VLOOKUP($J26,'Project Reference'!$B$2:$J$41,9,FALSE)," ")</f>
        <v xml:space="preserve"> </v>
      </c>
      <c r="X26" s="42" t="str">
        <f>IFERROR(VLOOKUP($J26,'Project Reference'!$B$2:$K$41,10)," ")</f>
        <v xml:space="preserve"> </v>
      </c>
      <c r="Y26" s="42" t="str">
        <f>IFERROR(VLOOKUP($J26,'Project Reference'!$B$2:$L$41,11)," ")</f>
        <v xml:space="preserve"> </v>
      </c>
      <c r="Z26" s="42" t="str">
        <f>IFERROR(VLOOKUP($J26,'Project Reference'!$B$2:$M$41,12)," ")</f>
        <v xml:space="preserve"> </v>
      </c>
      <c r="AA26" s="42" t="str">
        <f>IFERROR(VLOOKUP($J26,'Project Reference'!$B$2:$N$41,13)," ")</f>
        <v xml:space="preserve"> </v>
      </c>
    </row>
    <row r="27" spans="1:27" s="1" customFormat="1" x14ac:dyDescent="0.45">
      <c r="A27" s="43"/>
      <c r="B27" s="205"/>
      <c r="C27"/>
      <c r="D27" s="72"/>
      <c r="E27" s="72"/>
      <c r="F27" s="72"/>
      <c r="G27" s="72"/>
      <c r="H27" s="17"/>
      <c r="I27" s="41" t="str" cm="1">
        <f t="array" ref="I27">IFERROR(_xlfn.IFS(H27="Hard (Cash)","N/A",H27="Soft (In-Kind)", "Enter Source"),"Select Type")</f>
        <v>Select Type</v>
      </c>
      <c r="J27" s="124"/>
      <c r="K27" s="41" t="str">
        <f>IFERROR(VLOOKUP($J27,'Project Reference'!$S$2:$T$41,2),"Enter Project Number")</f>
        <v>Enter Project Number</v>
      </c>
      <c r="L27" s="41"/>
      <c r="M27" s="41"/>
      <c r="N27" s="15">
        <f t="shared" si="0"/>
        <v>0</v>
      </c>
      <c r="O27" s="19"/>
      <c r="P27" s="42" t="str">
        <f>IFERROR(VLOOKUP($J27,'Project Reference'!$B$2:$C$41,2)," ")</f>
        <v xml:space="preserve"> </v>
      </c>
      <c r="Q27" s="42" t="str">
        <f>IFERROR(VLOOKUP($J27,'Project Reference'!$B$2:$D$41,3)," ")</f>
        <v xml:space="preserve"> </v>
      </c>
      <c r="R27" s="42" t="str">
        <f>IFERROR(VLOOKUP($J27,'Project Reference'!$B$2:$E$41,4)," ")</f>
        <v xml:space="preserve"> </v>
      </c>
      <c r="S27" s="42" t="str">
        <f>IFERROR(VLOOKUP($J27,'Project Reference'!$B$2:$F$41,5,FALSE)," ")</f>
        <v xml:space="preserve"> </v>
      </c>
      <c r="T27" s="42" t="str">
        <f>IFERROR(VLOOKUP($J27,'Project Reference'!$B$2:$G$41,6,FALSE)," ")</f>
        <v xml:space="preserve"> </v>
      </c>
      <c r="U27" s="42" t="str">
        <f>IFERROR(VLOOKUP($J27,'Project Reference'!$B$2:$H$41,7,FALSE)," ")</f>
        <v xml:space="preserve"> </v>
      </c>
      <c r="V27" s="42" t="str">
        <f>IFERROR(VLOOKUP($J27,'Project Reference'!$B$2:$I$41,8,FALSE)," ")</f>
        <v xml:space="preserve"> </v>
      </c>
      <c r="W27" s="42" t="str">
        <f>IFERROR(VLOOKUP($J27,'Project Reference'!$B$2:$J$41,9,FALSE)," ")</f>
        <v xml:space="preserve"> </v>
      </c>
      <c r="X27" s="42" t="str">
        <f>IFERROR(VLOOKUP($J27,'Project Reference'!$B$2:$K$41,10)," ")</f>
        <v xml:space="preserve"> </v>
      </c>
      <c r="Y27" s="42" t="str">
        <f>IFERROR(VLOOKUP($J27,'Project Reference'!$B$2:$L$41,11)," ")</f>
        <v xml:space="preserve"> </v>
      </c>
      <c r="Z27" s="42" t="str">
        <f>IFERROR(VLOOKUP($J27,'Project Reference'!$B$2:$M$41,12)," ")</f>
        <v xml:space="preserve"> </v>
      </c>
      <c r="AA27" s="42" t="str">
        <f>IFERROR(VLOOKUP($J27,'Project Reference'!$B$2:$N$41,13)," ")</f>
        <v xml:space="preserve"> </v>
      </c>
    </row>
    <row r="28" spans="1:27" s="1" customFormat="1" x14ac:dyDescent="0.45">
      <c r="A28" s="43"/>
      <c r="B28" s="205"/>
      <c r="C28"/>
      <c r="D28" s="72"/>
      <c r="E28" s="72"/>
      <c r="F28" s="72"/>
      <c r="G28" s="72"/>
      <c r="H28" s="17"/>
      <c r="I28" s="41" t="str" cm="1">
        <f t="array" ref="I28">IFERROR(_xlfn.IFS(H28="Hard (Cash)","N/A",H28="Soft (In-Kind)", "Enter Source"),"Select Type")</f>
        <v>Select Type</v>
      </c>
      <c r="J28" s="124"/>
      <c r="K28" s="41" t="str">
        <f>IFERROR(VLOOKUP($J28,'Project Reference'!$S$2:$T$41,2),"Enter Project Number")</f>
        <v>Enter Project Number</v>
      </c>
      <c r="L28" s="41"/>
      <c r="M28" s="41"/>
      <c r="N28" s="15">
        <f t="shared" si="0"/>
        <v>0</v>
      </c>
      <c r="O28" s="19"/>
      <c r="P28" s="42" t="str">
        <f>IFERROR(VLOOKUP($J28,'Project Reference'!$B$2:$C$41,2)," ")</f>
        <v xml:space="preserve"> </v>
      </c>
      <c r="Q28" s="42" t="str">
        <f>IFERROR(VLOOKUP($J28,'Project Reference'!$B$2:$D$41,3)," ")</f>
        <v xml:space="preserve"> </v>
      </c>
      <c r="R28" s="42" t="str">
        <f>IFERROR(VLOOKUP($J28,'Project Reference'!$B$2:$E$41,4)," ")</f>
        <v xml:space="preserve"> </v>
      </c>
      <c r="S28" s="42" t="str">
        <f>IFERROR(VLOOKUP($J28,'Project Reference'!$B$2:$F$41,5,FALSE)," ")</f>
        <v xml:space="preserve"> </v>
      </c>
      <c r="T28" s="42" t="str">
        <f>IFERROR(VLOOKUP($J28,'Project Reference'!$B$2:$G$41,6,FALSE)," ")</f>
        <v xml:space="preserve"> </v>
      </c>
      <c r="U28" s="42" t="str">
        <f>IFERROR(VLOOKUP($J28,'Project Reference'!$B$2:$H$41,7,FALSE)," ")</f>
        <v xml:space="preserve"> </v>
      </c>
      <c r="V28" s="42" t="str">
        <f>IFERROR(VLOOKUP($J28,'Project Reference'!$B$2:$I$41,8,FALSE)," ")</f>
        <v xml:space="preserve"> </v>
      </c>
      <c r="W28" s="42" t="str">
        <f>IFERROR(VLOOKUP($J28,'Project Reference'!$B$2:$J$41,9,FALSE)," ")</f>
        <v xml:space="preserve"> </v>
      </c>
      <c r="X28" s="42" t="str">
        <f>IFERROR(VLOOKUP($J28,'Project Reference'!$B$2:$K$41,10)," ")</f>
        <v xml:space="preserve"> </v>
      </c>
      <c r="Y28" s="42" t="str">
        <f>IFERROR(VLOOKUP($J28,'Project Reference'!$B$2:$L$41,11)," ")</f>
        <v xml:space="preserve"> </v>
      </c>
      <c r="Z28" s="42" t="str">
        <f>IFERROR(VLOOKUP($J28,'Project Reference'!$B$2:$M$41,12)," ")</f>
        <v xml:space="preserve"> </v>
      </c>
      <c r="AA28" s="42" t="str">
        <f>IFERROR(VLOOKUP($J28,'Project Reference'!$B$2:$N$41,13)," ")</f>
        <v xml:space="preserve"> </v>
      </c>
    </row>
    <row r="29" spans="1:27" s="1" customFormat="1" x14ac:dyDescent="0.45">
      <c r="A29" s="43"/>
      <c r="B29" s="205"/>
      <c r="C29"/>
      <c r="D29" s="72"/>
      <c r="E29" s="72"/>
      <c r="F29" s="72"/>
      <c r="G29" s="72"/>
      <c r="H29" s="17"/>
      <c r="I29" s="41" t="str" cm="1">
        <f t="array" ref="I29">IFERROR(_xlfn.IFS(H29="Hard (Cash)","N/A",H29="Soft (In-Kind)", "Enter Source"),"Select Type")</f>
        <v>Select Type</v>
      </c>
      <c r="J29" s="124"/>
      <c r="K29" s="41" t="str">
        <f>IFERROR(VLOOKUP($J29,'Project Reference'!$S$2:$T$41,2),"Enter Project Number")</f>
        <v>Enter Project Number</v>
      </c>
      <c r="L29" s="41"/>
      <c r="M29" s="41"/>
      <c r="N29" s="15">
        <f t="shared" si="0"/>
        <v>0</v>
      </c>
      <c r="O29" s="19"/>
      <c r="P29" s="42" t="str">
        <f>IFERROR(VLOOKUP($J29,'Project Reference'!$B$2:$C$41,2)," ")</f>
        <v xml:space="preserve"> </v>
      </c>
      <c r="Q29" s="42" t="str">
        <f>IFERROR(VLOOKUP($J29,'Project Reference'!$B$2:$D$41,3)," ")</f>
        <v xml:space="preserve"> </v>
      </c>
      <c r="R29" s="42" t="str">
        <f>IFERROR(VLOOKUP($J29,'Project Reference'!$B$2:$E$41,4)," ")</f>
        <v xml:space="preserve"> </v>
      </c>
      <c r="S29" s="42" t="str">
        <f>IFERROR(VLOOKUP($J29,'Project Reference'!$B$2:$F$41,5,FALSE)," ")</f>
        <v xml:space="preserve"> </v>
      </c>
      <c r="T29" s="42" t="str">
        <f>IFERROR(VLOOKUP($J29,'Project Reference'!$B$2:$G$41,6,FALSE)," ")</f>
        <v xml:space="preserve"> </v>
      </c>
      <c r="U29" s="42" t="str">
        <f>IFERROR(VLOOKUP($J29,'Project Reference'!$B$2:$H$41,7,FALSE)," ")</f>
        <v xml:space="preserve"> </v>
      </c>
      <c r="V29" s="42" t="str">
        <f>IFERROR(VLOOKUP($J29,'Project Reference'!$B$2:$I$41,8,FALSE)," ")</f>
        <v xml:space="preserve"> </v>
      </c>
      <c r="W29" s="42" t="str">
        <f>IFERROR(VLOOKUP($J29,'Project Reference'!$B$2:$J$41,9,FALSE)," ")</f>
        <v xml:space="preserve"> </v>
      </c>
      <c r="X29" s="42" t="str">
        <f>IFERROR(VLOOKUP($J29,'Project Reference'!$B$2:$K$41,10)," ")</f>
        <v xml:space="preserve"> </v>
      </c>
      <c r="Y29" s="42" t="str">
        <f>IFERROR(VLOOKUP($J29,'Project Reference'!$B$2:$L$41,11)," ")</f>
        <v xml:space="preserve"> </v>
      </c>
      <c r="Z29" s="42" t="str">
        <f>IFERROR(VLOOKUP($J29,'Project Reference'!$B$2:$M$41,12)," ")</f>
        <v xml:space="preserve"> </v>
      </c>
      <c r="AA29" s="42" t="str">
        <f>IFERROR(VLOOKUP($J29,'Project Reference'!$B$2:$N$41,13)," ")</f>
        <v xml:space="preserve"> </v>
      </c>
    </row>
    <row r="30" spans="1:27" s="1" customFormat="1" x14ac:dyDescent="0.45">
      <c r="A30" s="43"/>
      <c r="B30" s="205"/>
      <c r="C30"/>
      <c r="D30" s="72"/>
      <c r="E30" s="72"/>
      <c r="F30" s="72"/>
      <c r="G30" s="72"/>
      <c r="H30" s="17"/>
      <c r="I30" s="41" t="str" cm="1">
        <f t="array" ref="I30">IFERROR(_xlfn.IFS(H30="Hard (Cash)","N/A",H30="Soft (In-Kind)", "Enter Source"),"Select Type")</f>
        <v>Select Type</v>
      </c>
      <c r="J30" s="124"/>
      <c r="K30" s="41" t="str">
        <f>IFERROR(VLOOKUP($J30,'Project Reference'!$S$2:$T$41,2),"Enter Project Number")</f>
        <v>Enter Project Number</v>
      </c>
      <c r="L30" s="41"/>
      <c r="M30" s="41"/>
      <c r="N30" s="15">
        <f t="shared" si="0"/>
        <v>0</v>
      </c>
      <c r="O30" s="19"/>
      <c r="P30" s="42" t="str">
        <f>IFERROR(VLOOKUP($J30,'Project Reference'!$B$2:$C$41,2)," ")</f>
        <v xml:space="preserve"> </v>
      </c>
      <c r="Q30" s="42" t="str">
        <f>IFERROR(VLOOKUP($J30,'Project Reference'!$B$2:$D$41,3)," ")</f>
        <v xml:space="preserve"> </v>
      </c>
      <c r="R30" s="42" t="str">
        <f>IFERROR(VLOOKUP($J30,'Project Reference'!$B$2:$E$41,4)," ")</f>
        <v xml:space="preserve"> </v>
      </c>
      <c r="S30" s="42" t="str">
        <f>IFERROR(VLOOKUP($J30,'Project Reference'!$B$2:$F$41,5,FALSE)," ")</f>
        <v xml:space="preserve"> </v>
      </c>
      <c r="T30" s="42" t="str">
        <f>IFERROR(VLOOKUP($J30,'Project Reference'!$B$2:$G$41,6,FALSE)," ")</f>
        <v xml:space="preserve"> </v>
      </c>
      <c r="U30" s="42" t="str">
        <f>IFERROR(VLOOKUP($J30,'Project Reference'!$B$2:$H$41,7,FALSE)," ")</f>
        <v xml:space="preserve"> </v>
      </c>
      <c r="V30" s="42" t="str">
        <f>IFERROR(VLOOKUP($J30,'Project Reference'!$B$2:$I$41,8,FALSE)," ")</f>
        <v xml:space="preserve"> </v>
      </c>
      <c r="W30" s="42" t="str">
        <f>IFERROR(VLOOKUP($J30,'Project Reference'!$B$2:$J$41,9,FALSE)," ")</f>
        <v xml:space="preserve"> </v>
      </c>
      <c r="X30" s="42" t="str">
        <f>IFERROR(VLOOKUP($J30,'Project Reference'!$B$2:$K$41,10)," ")</f>
        <v xml:space="preserve"> </v>
      </c>
      <c r="Y30" s="42" t="str">
        <f>IFERROR(VLOOKUP($J30,'Project Reference'!$B$2:$L$41,11)," ")</f>
        <v xml:space="preserve"> </v>
      </c>
      <c r="Z30" s="42" t="str">
        <f>IFERROR(VLOOKUP($J30,'Project Reference'!$B$2:$M$41,12)," ")</f>
        <v xml:space="preserve"> </v>
      </c>
      <c r="AA30" s="42" t="str">
        <f>IFERROR(VLOOKUP($J30,'Project Reference'!$B$2:$N$41,13)," ")</f>
        <v xml:space="preserve"> </v>
      </c>
    </row>
    <row r="31" spans="1:27" s="1" customFormat="1" x14ac:dyDescent="0.45">
      <c r="A31" s="43"/>
      <c r="B31" s="205"/>
      <c r="C31"/>
      <c r="D31" s="72"/>
      <c r="E31" s="72"/>
      <c r="F31" s="72"/>
      <c r="G31" s="72"/>
      <c r="H31" s="17"/>
      <c r="I31" s="41" t="str" cm="1">
        <f t="array" ref="I31">IFERROR(_xlfn.IFS(H31="Hard (Cash)","N/A",H31="Soft (In-Kind)", "Enter Source"),"Select Type")</f>
        <v>Select Type</v>
      </c>
      <c r="J31" s="124"/>
      <c r="K31" s="41" t="str">
        <f>IFERROR(VLOOKUP($J31,'Project Reference'!$S$2:$T$41,2),"Enter Project Number")</f>
        <v>Enter Project Number</v>
      </c>
      <c r="L31" s="41"/>
      <c r="M31" s="41"/>
      <c r="N31" s="15">
        <f t="shared" si="0"/>
        <v>0</v>
      </c>
      <c r="O31" s="19"/>
      <c r="P31" s="42" t="str">
        <f>IFERROR(VLOOKUP($J31,'Project Reference'!$B$2:$C$41,2)," ")</f>
        <v xml:space="preserve"> </v>
      </c>
      <c r="Q31" s="42" t="str">
        <f>IFERROR(VLOOKUP($J31,'Project Reference'!$B$2:$D$41,3)," ")</f>
        <v xml:space="preserve"> </v>
      </c>
      <c r="R31" s="42" t="str">
        <f>IFERROR(VLOOKUP($J31,'Project Reference'!$B$2:$E$41,4)," ")</f>
        <v xml:space="preserve"> </v>
      </c>
      <c r="S31" s="42" t="str">
        <f>IFERROR(VLOOKUP($J31,'Project Reference'!$B$2:$F$41,5,FALSE)," ")</f>
        <v xml:space="preserve"> </v>
      </c>
      <c r="T31" s="42" t="str">
        <f>IFERROR(VLOOKUP($J31,'Project Reference'!$B$2:$G$41,6,FALSE)," ")</f>
        <v xml:space="preserve"> </v>
      </c>
      <c r="U31" s="42" t="str">
        <f>IFERROR(VLOOKUP($J31,'Project Reference'!$B$2:$H$41,7,FALSE)," ")</f>
        <v xml:space="preserve"> </v>
      </c>
      <c r="V31" s="42" t="str">
        <f>IFERROR(VLOOKUP($J31,'Project Reference'!$B$2:$I$41,8,FALSE)," ")</f>
        <v xml:space="preserve"> </v>
      </c>
      <c r="W31" s="42" t="str">
        <f>IFERROR(VLOOKUP($J31,'Project Reference'!$B$2:$J$41,9,FALSE)," ")</f>
        <v xml:space="preserve"> </v>
      </c>
      <c r="X31" s="42" t="str">
        <f>IFERROR(VLOOKUP($J31,'Project Reference'!$B$2:$K$41,10)," ")</f>
        <v xml:space="preserve"> </v>
      </c>
      <c r="Y31" s="42" t="str">
        <f>IFERROR(VLOOKUP($J31,'Project Reference'!$B$2:$L$41,11)," ")</f>
        <v xml:space="preserve"> </v>
      </c>
      <c r="Z31" s="42" t="str">
        <f>IFERROR(VLOOKUP($J31,'Project Reference'!$B$2:$M$41,12)," ")</f>
        <v xml:space="preserve"> </v>
      </c>
      <c r="AA31" s="42" t="str">
        <f>IFERROR(VLOOKUP($J31,'Project Reference'!$B$2:$N$41,13)," ")</f>
        <v xml:space="preserve"> </v>
      </c>
    </row>
    <row r="32" spans="1:27" s="1" customFormat="1" x14ac:dyDescent="0.45">
      <c r="A32" s="43"/>
      <c r="B32" s="205"/>
      <c r="C32"/>
      <c r="D32" s="72"/>
      <c r="E32" s="72"/>
      <c r="F32" s="72"/>
      <c r="G32" s="72"/>
      <c r="H32" s="17"/>
      <c r="I32" s="41" t="str" cm="1">
        <f t="array" ref="I32">IFERROR(_xlfn.IFS(H32="Hard (Cash)","N/A",H32="Soft (In-Kind)", "Enter Source"),"Select Type")</f>
        <v>Select Type</v>
      </c>
      <c r="J32" s="124"/>
      <c r="K32" s="41" t="str">
        <f>IFERROR(VLOOKUP($J32,'Project Reference'!$S$2:$T$41,2),"Enter Project Number")</f>
        <v>Enter Project Number</v>
      </c>
      <c r="L32" s="41"/>
      <c r="M32" s="41"/>
      <c r="N32" s="15">
        <f t="shared" si="0"/>
        <v>0</v>
      </c>
      <c r="O32" s="19"/>
      <c r="P32" s="42" t="str">
        <f>IFERROR(VLOOKUP($J32,'Project Reference'!$B$2:$C$41,2)," ")</f>
        <v xml:space="preserve"> </v>
      </c>
      <c r="Q32" s="42" t="str">
        <f>IFERROR(VLOOKUP($J32,'Project Reference'!$B$2:$D$41,3)," ")</f>
        <v xml:space="preserve"> </v>
      </c>
      <c r="R32" s="42" t="str">
        <f>IFERROR(VLOOKUP($J32,'Project Reference'!$B$2:$E$41,4)," ")</f>
        <v xml:space="preserve"> </v>
      </c>
      <c r="S32" s="42" t="str">
        <f>IFERROR(VLOOKUP($J32,'Project Reference'!$B$2:$F$41,5,FALSE)," ")</f>
        <v xml:space="preserve"> </v>
      </c>
      <c r="T32" s="42" t="str">
        <f>IFERROR(VLOOKUP($J32,'Project Reference'!$B$2:$G$41,6,FALSE)," ")</f>
        <v xml:space="preserve"> </v>
      </c>
      <c r="U32" s="42" t="str">
        <f>IFERROR(VLOOKUP($J32,'Project Reference'!$B$2:$H$41,7,FALSE)," ")</f>
        <v xml:space="preserve"> </v>
      </c>
      <c r="V32" s="42" t="str">
        <f>IFERROR(VLOOKUP($J32,'Project Reference'!$B$2:$I$41,8,FALSE)," ")</f>
        <v xml:space="preserve"> </v>
      </c>
      <c r="W32" s="42" t="str">
        <f>IFERROR(VLOOKUP($J32,'Project Reference'!$B$2:$J$41,9,FALSE)," ")</f>
        <v xml:space="preserve"> </v>
      </c>
      <c r="X32" s="42" t="str">
        <f>IFERROR(VLOOKUP($J32,'Project Reference'!$B$2:$K$41,10)," ")</f>
        <v xml:space="preserve"> </v>
      </c>
      <c r="Y32" s="42" t="str">
        <f>IFERROR(VLOOKUP($J32,'Project Reference'!$B$2:$L$41,11)," ")</f>
        <v xml:space="preserve"> </v>
      </c>
      <c r="Z32" s="42" t="str">
        <f>IFERROR(VLOOKUP($J32,'Project Reference'!$B$2:$M$41,12)," ")</f>
        <v xml:space="preserve"> </v>
      </c>
      <c r="AA32" s="42" t="str">
        <f>IFERROR(VLOOKUP($J32,'Project Reference'!$B$2:$N$41,13)," ")</f>
        <v xml:space="preserve"> </v>
      </c>
    </row>
    <row r="33" spans="1:27" s="1" customFormat="1" x14ac:dyDescent="0.45">
      <c r="A33" s="43"/>
      <c r="B33" s="205"/>
      <c r="C33"/>
      <c r="D33" s="72"/>
      <c r="E33" s="72"/>
      <c r="F33" s="72"/>
      <c r="G33" s="72"/>
      <c r="H33" s="17"/>
      <c r="I33" s="41" t="str" cm="1">
        <f t="array" ref="I33">IFERROR(_xlfn.IFS(H33="Hard (Cash)","N/A",H33="Soft (In-Kind)", "Enter Source"),"Select Type")</f>
        <v>Select Type</v>
      </c>
      <c r="J33" s="124"/>
      <c r="K33" s="41" t="str">
        <f>IFERROR(VLOOKUP($J33,'Project Reference'!$S$2:$T$41,2),"Enter Project Number")</f>
        <v>Enter Project Number</v>
      </c>
      <c r="L33" s="41"/>
      <c r="M33" s="41"/>
      <c r="N33" s="15">
        <f t="shared" si="0"/>
        <v>0</v>
      </c>
      <c r="O33" s="19"/>
      <c r="P33" s="42" t="str">
        <f>IFERROR(VLOOKUP($J33,'Project Reference'!$B$2:$C$41,2)," ")</f>
        <v xml:space="preserve"> </v>
      </c>
      <c r="Q33" s="42" t="str">
        <f>IFERROR(VLOOKUP($J33,'Project Reference'!$B$2:$D$41,3)," ")</f>
        <v xml:space="preserve"> </v>
      </c>
      <c r="R33" s="42" t="str">
        <f>IFERROR(VLOOKUP($J33,'Project Reference'!$B$2:$E$41,4)," ")</f>
        <v xml:space="preserve"> </v>
      </c>
      <c r="S33" s="42" t="str">
        <f>IFERROR(VLOOKUP($J33,'Project Reference'!$B$2:$F$41,5,FALSE)," ")</f>
        <v xml:space="preserve"> </v>
      </c>
      <c r="T33" s="42" t="str">
        <f>IFERROR(VLOOKUP($J33,'Project Reference'!$B$2:$G$41,6,FALSE)," ")</f>
        <v xml:space="preserve"> </v>
      </c>
      <c r="U33" s="42" t="str">
        <f>IFERROR(VLOOKUP($J33,'Project Reference'!$B$2:$H$41,7,FALSE)," ")</f>
        <v xml:space="preserve"> </v>
      </c>
      <c r="V33" s="42" t="str">
        <f>IFERROR(VLOOKUP($J33,'Project Reference'!$B$2:$I$41,8,FALSE)," ")</f>
        <v xml:space="preserve"> </v>
      </c>
      <c r="W33" s="42" t="str">
        <f>IFERROR(VLOOKUP($J33,'Project Reference'!$B$2:$J$41,9,FALSE)," ")</f>
        <v xml:space="preserve"> </v>
      </c>
      <c r="X33" s="42" t="str">
        <f>IFERROR(VLOOKUP($J33,'Project Reference'!$B$2:$K$41,10)," ")</f>
        <v xml:space="preserve"> </v>
      </c>
      <c r="Y33" s="42" t="str">
        <f>IFERROR(VLOOKUP($J33,'Project Reference'!$B$2:$L$41,11)," ")</f>
        <v xml:space="preserve"> </v>
      </c>
      <c r="Z33" s="42" t="str">
        <f>IFERROR(VLOOKUP($J33,'Project Reference'!$B$2:$M$41,12)," ")</f>
        <v xml:space="preserve"> </v>
      </c>
      <c r="AA33" s="42" t="str">
        <f>IFERROR(VLOOKUP($J33,'Project Reference'!$B$2:$N$41,13)," ")</f>
        <v xml:space="preserve"> </v>
      </c>
    </row>
    <row r="34" spans="1:27" s="1" customFormat="1" x14ac:dyDescent="0.45">
      <c r="A34" s="43"/>
      <c r="B34" s="205"/>
      <c r="C34"/>
      <c r="D34" s="72"/>
      <c r="E34" s="72"/>
      <c r="F34" s="72"/>
      <c r="G34" s="72"/>
      <c r="H34" s="17"/>
      <c r="I34" s="41" t="str" cm="1">
        <f t="array" ref="I34">IFERROR(_xlfn.IFS(H34="Hard (Cash)","N/A",H34="Soft (In-Kind)", "Enter Source"),"Select Type")</f>
        <v>Select Type</v>
      </c>
      <c r="J34" s="124"/>
      <c r="K34" s="41" t="str">
        <f>IFERROR(VLOOKUP($J34,'Project Reference'!$S$2:$T$41,2),"Enter Project Number")</f>
        <v>Enter Project Number</v>
      </c>
      <c r="L34" s="41"/>
      <c r="M34" s="41"/>
      <c r="N34" s="15">
        <f t="shared" si="0"/>
        <v>0</v>
      </c>
      <c r="O34" s="19"/>
      <c r="P34" s="42" t="str">
        <f>IFERROR(VLOOKUP($J34,'Project Reference'!$B$2:$C$41,2)," ")</f>
        <v xml:space="preserve"> </v>
      </c>
      <c r="Q34" s="42" t="str">
        <f>IFERROR(VLOOKUP($J34,'Project Reference'!$B$2:$D$41,3)," ")</f>
        <v xml:space="preserve"> </v>
      </c>
      <c r="R34" s="42" t="str">
        <f>IFERROR(VLOOKUP($J34,'Project Reference'!$B$2:$E$41,4)," ")</f>
        <v xml:space="preserve"> </v>
      </c>
      <c r="S34" s="42" t="str">
        <f>IFERROR(VLOOKUP($J34,'Project Reference'!$B$2:$F$41,5,FALSE)," ")</f>
        <v xml:space="preserve"> </v>
      </c>
      <c r="T34" s="42" t="str">
        <f>IFERROR(VLOOKUP($J34,'Project Reference'!$B$2:$G$41,6,FALSE)," ")</f>
        <v xml:space="preserve"> </v>
      </c>
      <c r="U34" s="42" t="str">
        <f>IFERROR(VLOOKUP($J34,'Project Reference'!$B$2:$H$41,7,FALSE)," ")</f>
        <v xml:space="preserve"> </v>
      </c>
      <c r="V34" s="42" t="str">
        <f>IFERROR(VLOOKUP($J34,'Project Reference'!$B$2:$I$41,8,FALSE)," ")</f>
        <v xml:space="preserve"> </v>
      </c>
      <c r="W34" s="42" t="str">
        <f>IFERROR(VLOOKUP($J34,'Project Reference'!$B$2:$J$41,9,FALSE)," ")</f>
        <v xml:space="preserve"> </v>
      </c>
      <c r="X34" s="42" t="str">
        <f>IFERROR(VLOOKUP($J34,'Project Reference'!$B$2:$K$41,10)," ")</f>
        <v xml:space="preserve"> </v>
      </c>
      <c r="Y34" s="42" t="str">
        <f>IFERROR(VLOOKUP($J34,'Project Reference'!$B$2:$L$41,11)," ")</f>
        <v xml:space="preserve"> </v>
      </c>
      <c r="Z34" s="42" t="str">
        <f>IFERROR(VLOOKUP($J34,'Project Reference'!$B$2:$M$41,12)," ")</f>
        <v xml:space="preserve"> </v>
      </c>
      <c r="AA34" s="42" t="str">
        <f>IFERROR(VLOOKUP($J34,'Project Reference'!$B$2:$N$41,13)," ")</f>
        <v xml:space="preserve"> </v>
      </c>
    </row>
    <row r="35" spans="1:27" s="1" customFormat="1" x14ac:dyDescent="0.45">
      <c r="A35" s="43"/>
      <c r="B35" s="205"/>
      <c r="C35"/>
      <c r="D35" s="72"/>
      <c r="E35" s="72"/>
      <c r="F35" s="72"/>
      <c r="G35" s="72"/>
      <c r="H35" s="17"/>
      <c r="I35" s="41" t="str" cm="1">
        <f t="array" ref="I35">IFERROR(_xlfn.IFS(H35="Hard (Cash)","N/A",H35="Soft (In-Kind)", "Enter Source"),"Select Type")</f>
        <v>Select Type</v>
      </c>
      <c r="J35" s="124"/>
      <c r="K35" s="41" t="str">
        <f>IFERROR(VLOOKUP($J35,'Project Reference'!$S$2:$T$41,2),"Enter Project Number")</f>
        <v>Enter Project Number</v>
      </c>
      <c r="L35" s="41"/>
      <c r="M35" s="41"/>
      <c r="N35" s="15">
        <f t="shared" si="0"/>
        <v>0</v>
      </c>
      <c r="O35" s="19"/>
      <c r="P35" s="42" t="str">
        <f>IFERROR(VLOOKUP($J35,'Project Reference'!$B$2:$C$41,2)," ")</f>
        <v xml:space="preserve"> </v>
      </c>
      <c r="Q35" s="42" t="str">
        <f>IFERROR(VLOOKUP($J35,'Project Reference'!$B$2:$D$41,3)," ")</f>
        <v xml:space="preserve"> </v>
      </c>
      <c r="R35" s="42" t="str">
        <f>IFERROR(VLOOKUP($J35,'Project Reference'!$B$2:$E$41,4)," ")</f>
        <v xml:space="preserve"> </v>
      </c>
      <c r="S35" s="42" t="str">
        <f>IFERROR(VLOOKUP($J35,'Project Reference'!$B$2:$F$41,5,FALSE)," ")</f>
        <v xml:space="preserve"> </v>
      </c>
      <c r="T35" s="42" t="str">
        <f>IFERROR(VLOOKUP($J35,'Project Reference'!$B$2:$G$41,6,FALSE)," ")</f>
        <v xml:space="preserve"> </v>
      </c>
      <c r="U35" s="42" t="str">
        <f>IFERROR(VLOOKUP($J35,'Project Reference'!$B$2:$H$41,7,FALSE)," ")</f>
        <v xml:space="preserve"> </v>
      </c>
      <c r="V35" s="42" t="str">
        <f>IFERROR(VLOOKUP($J35,'Project Reference'!$B$2:$I$41,8,FALSE)," ")</f>
        <v xml:space="preserve"> </v>
      </c>
      <c r="W35" s="42" t="str">
        <f>IFERROR(VLOOKUP($J35,'Project Reference'!$B$2:$J$41,9,FALSE)," ")</f>
        <v xml:space="preserve"> </v>
      </c>
      <c r="X35" s="42" t="str">
        <f>IFERROR(VLOOKUP($J35,'Project Reference'!$B$2:$K$41,10)," ")</f>
        <v xml:space="preserve"> </v>
      </c>
      <c r="Y35" s="42" t="str">
        <f>IFERROR(VLOOKUP($J35,'Project Reference'!$B$2:$L$41,11)," ")</f>
        <v xml:space="preserve"> </v>
      </c>
      <c r="Z35" s="42" t="str">
        <f>IFERROR(VLOOKUP($J35,'Project Reference'!$B$2:$M$41,12)," ")</f>
        <v xml:space="preserve"> </v>
      </c>
      <c r="AA35" s="42" t="str">
        <f>IFERROR(VLOOKUP($J35,'Project Reference'!$B$2:$N$41,13)," ")</f>
        <v xml:space="preserve"> </v>
      </c>
    </row>
    <row r="36" spans="1:27" s="1" customFormat="1" x14ac:dyDescent="0.45">
      <c r="A36" s="43"/>
      <c r="B36" s="205"/>
      <c r="C36"/>
      <c r="D36" s="72"/>
      <c r="E36" s="72"/>
      <c r="F36" s="72"/>
      <c r="G36" s="72"/>
      <c r="H36" s="17"/>
      <c r="I36" s="41" t="str" cm="1">
        <f t="array" ref="I36">IFERROR(_xlfn.IFS(H36="Hard (Cash)","N/A",H36="Soft (In-Kind)", "Enter Source"),"Select Type")</f>
        <v>Select Type</v>
      </c>
      <c r="J36" s="124"/>
      <c r="K36" s="41" t="str">
        <f>IFERROR(VLOOKUP($J36,'Project Reference'!$S$2:$T$41,2),"Enter Project Number")</f>
        <v>Enter Project Number</v>
      </c>
      <c r="L36" s="41"/>
      <c r="M36" s="41"/>
      <c r="N36" s="15">
        <f t="shared" si="0"/>
        <v>0</v>
      </c>
      <c r="O36" s="19"/>
      <c r="P36" s="42" t="str">
        <f>IFERROR(VLOOKUP($J36,'Project Reference'!$B$2:$C$41,2)," ")</f>
        <v xml:space="preserve"> </v>
      </c>
      <c r="Q36" s="42" t="str">
        <f>IFERROR(VLOOKUP($J36,'Project Reference'!$B$2:$D$41,3)," ")</f>
        <v xml:space="preserve"> </v>
      </c>
      <c r="R36" s="42" t="str">
        <f>IFERROR(VLOOKUP($J36,'Project Reference'!$B$2:$E$41,4)," ")</f>
        <v xml:space="preserve"> </v>
      </c>
      <c r="S36" s="42" t="str">
        <f>IFERROR(VLOOKUP($J36,'Project Reference'!$B$2:$F$41,5,FALSE)," ")</f>
        <v xml:space="preserve"> </v>
      </c>
      <c r="T36" s="42" t="str">
        <f>IFERROR(VLOOKUP($J36,'Project Reference'!$B$2:$G$41,6,FALSE)," ")</f>
        <v xml:space="preserve"> </v>
      </c>
      <c r="U36" s="42" t="str">
        <f>IFERROR(VLOOKUP($J36,'Project Reference'!$B$2:$H$41,7,FALSE)," ")</f>
        <v xml:space="preserve"> </v>
      </c>
      <c r="V36" s="42" t="str">
        <f>IFERROR(VLOOKUP($J36,'Project Reference'!$B$2:$I$41,8,FALSE)," ")</f>
        <v xml:space="preserve"> </v>
      </c>
      <c r="W36" s="42" t="str">
        <f>IFERROR(VLOOKUP($J36,'Project Reference'!$B$2:$J$41,9,FALSE)," ")</f>
        <v xml:space="preserve"> </v>
      </c>
      <c r="X36" s="42" t="str">
        <f>IFERROR(VLOOKUP($J36,'Project Reference'!$B$2:$K$41,10)," ")</f>
        <v xml:space="preserve"> </v>
      </c>
      <c r="Y36" s="42" t="str">
        <f>IFERROR(VLOOKUP($J36,'Project Reference'!$B$2:$L$41,11)," ")</f>
        <v xml:space="preserve"> </v>
      </c>
      <c r="Z36" s="42" t="str">
        <f>IFERROR(VLOOKUP($J36,'Project Reference'!$B$2:$M$41,12)," ")</f>
        <v xml:space="preserve"> </v>
      </c>
      <c r="AA36" s="42" t="str">
        <f>IFERROR(VLOOKUP($J36,'Project Reference'!$B$2:$N$41,13)," ")</f>
        <v xml:space="preserve"> </v>
      </c>
    </row>
    <row r="37" spans="1:27" s="1" customFormat="1" x14ac:dyDescent="0.45">
      <c r="A37" s="43"/>
      <c r="B37" s="205"/>
      <c r="C37"/>
      <c r="D37" s="72"/>
      <c r="E37" s="72"/>
      <c r="F37" s="72"/>
      <c r="G37" s="72"/>
      <c r="H37" s="17"/>
      <c r="I37" s="41" t="str" cm="1">
        <f t="array" ref="I37">IFERROR(_xlfn.IFS(H37="Hard (Cash)","N/A",H37="Soft (In-Kind)", "Enter Source"),"Select Type")</f>
        <v>Select Type</v>
      </c>
      <c r="J37" s="124"/>
      <c r="K37" s="41" t="str">
        <f>IFERROR(VLOOKUP($J37,'Project Reference'!$S$2:$T$41,2),"Enter Project Number")</f>
        <v>Enter Project Number</v>
      </c>
      <c r="L37" s="41"/>
      <c r="M37" s="41"/>
      <c r="N37" s="15">
        <f t="shared" si="0"/>
        <v>0</v>
      </c>
      <c r="O37" s="19"/>
      <c r="P37" s="42" t="str">
        <f>IFERROR(VLOOKUP($J37,'Project Reference'!$B$2:$C$41,2)," ")</f>
        <v xml:space="preserve"> </v>
      </c>
      <c r="Q37" s="42" t="str">
        <f>IFERROR(VLOOKUP($J37,'Project Reference'!$B$2:$D$41,3)," ")</f>
        <v xml:space="preserve"> </v>
      </c>
      <c r="R37" s="42" t="str">
        <f>IFERROR(VLOOKUP($J37,'Project Reference'!$B$2:$E$41,4)," ")</f>
        <v xml:space="preserve"> </v>
      </c>
      <c r="S37" s="42" t="str">
        <f>IFERROR(VLOOKUP($J37,'Project Reference'!$B$2:$F$41,5,FALSE)," ")</f>
        <v xml:space="preserve"> </v>
      </c>
      <c r="T37" s="42" t="str">
        <f>IFERROR(VLOOKUP($J37,'Project Reference'!$B$2:$G$41,6,FALSE)," ")</f>
        <v xml:space="preserve"> </v>
      </c>
      <c r="U37" s="42" t="str">
        <f>IFERROR(VLOOKUP($J37,'Project Reference'!$B$2:$H$41,7,FALSE)," ")</f>
        <v xml:space="preserve"> </v>
      </c>
      <c r="V37" s="42" t="str">
        <f>IFERROR(VLOOKUP($J37,'Project Reference'!$B$2:$I$41,8,FALSE)," ")</f>
        <v xml:space="preserve"> </v>
      </c>
      <c r="W37" s="42" t="str">
        <f>IFERROR(VLOOKUP($J37,'Project Reference'!$B$2:$J$41,9,FALSE)," ")</f>
        <v xml:space="preserve"> </v>
      </c>
      <c r="X37" s="42" t="str">
        <f>IFERROR(VLOOKUP($J37,'Project Reference'!$B$2:$K$41,10)," ")</f>
        <v xml:space="preserve"> </v>
      </c>
      <c r="Y37" s="42" t="str">
        <f>IFERROR(VLOOKUP($J37,'Project Reference'!$B$2:$L$41,11)," ")</f>
        <v xml:space="preserve"> </v>
      </c>
      <c r="Z37" s="42" t="str">
        <f>IFERROR(VLOOKUP($J37,'Project Reference'!$B$2:$M$41,12)," ")</f>
        <v xml:space="preserve"> </v>
      </c>
      <c r="AA37" s="42" t="str">
        <f>IFERROR(VLOOKUP($J37,'Project Reference'!$B$2:$N$41,13)," ")</f>
        <v xml:space="preserve"> </v>
      </c>
    </row>
    <row r="38" spans="1:27" s="1" customFormat="1" x14ac:dyDescent="0.45">
      <c r="A38" s="43"/>
      <c r="B38" s="205"/>
      <c r="C38"/>
      <c r="D38" s="72"/>
      <c r="E38" s="72"/>
      <c r="F38" s="72"/>
      <c r="G38" s="72"/>
      <c r="H38" s="17"/>
      <c r="I38" s="41" t="str" cm="1">
        <f t="array" ref="I38">IFERROR(_xlfn.IFS(H38="Hard (Cash)","N/A",H38="Soft (In-Kind)", "Enter Source"),"Select Type")</f>
        <v>Select Type</v>
      </c>
      <c r="J38" s="124"/>
      <c r="K38" s="41" t="str">
        <f>IFERROR(VLOOKUP($J38,'Project Reference'!$S$2:$T$41,2),"Enter Project Number")</f>
        <v>Enter Project Number</v>
      </c>
      <c r="L38" s="41"/>
      <c r="M38" s="41"/>
      <c r="N38" s="15">
        <f t="shared" si="0"/>
        <v>0</v>
      </c>
      <c r="O38" s="19"/>
      <c r="P38" s="42" t="str">
        <f>IFERROR(VLOOKUP($J38,'Project Reference'!$B$2:$C$41,2)," ")</f>
        <v xml:space="preserve"> </v>
      </c>
      <c r="Q38" s="42" t="str">
        <f>IFERROR(VLOOKUP($J38,'Project Reference'!$B$2:$D$41,3)," ")</f>
        <v xml:space="preserve"> </v>
      </c>
      <c r="R38" s="42" t="str">
        <f>IFERROR(VLOOKUP($J38,'Project Reference'!$B$2:$E$41,4)," ")</f>
        <v xml:space="preserve"> </v>
      </c>
      <c r="S38" s="42" t="str">
        <f>IFERROR(VLOOKUP($J38,'Project Reference'!$B$2:$F$41,5,FALSE)," ")</f>
        <v xml:space="preserve"> </v>
      </c>
      <c r="T38" s="42" t="str">
        <f>IFERROR(VLOOKUP($J38,'Project Reference'!$B$2:$G$41,6,FALSE)," ")</f>
        <v xml:space="preserve"> </v>
      </c>
      <c r="U38" s="42" t="str">
        <f>IFERROR(VLOOKUP($J38,'Project Reference'!$B$2:$H$41,7,FALSE)," ")</f>
        <v xml:space="preserve"> </v>
      </c>
      <c r="V38" s="42" t="str">
        <f>IFERROR(VLOOKUP($J38,'Project Reference'!$B$2:$I$41,8,FALSE)," ")</f>
        <v xml:space="preserve"> </v>
      </c>
      <c r="W38" s="42" t="str">
        <f>IFERROR(VLOOKUP($J38,'Project Reference'!$B$2:$J$41,9,FALSE)," ")</f>
        <v xml:space="preserve"> </v>
      </c>
      <c r="X38" s="42" t="str">
        <f>IFERROR(VLOOKUP($J38,'Project Reference'!$B$2:$K$41,10)," ")</f>
        <v xml:space="preserve"> </v>
      </c>
      <c r="Y38" s="42" t="str">
        <f>IFERROR(VLOOKUP($J38,'Project Reference'!$B$2:$L$41,11)," ")</f>
        <v xml:space="preserve"> </v>
      </c>
      <c r="Z38" s="42" t="str">
        <f>IFERROR(VLOOKUP($J38,'Project Reference'!$B$2:$M$41,12)," ")</f>
        <v xml:space="preserve"> </v>
      </c>
      <c r="AA38" s="42" t="str">
        <f>IFERROR(VLOOKUP($J38,'Project Reference'!$B$2:$N$41,13)," ")</f>
        <v xml:space="preserve"> </v>
      </c>
    </row>
    <row r="39" spans="1:27" s="1" customFormat="1" x14ac:dyDescent="0.45">
      <c r="A39" s="43"/>
      <c r="B39" s="205"/>
      <c r="C39"/>
      <c r="D39" s="72"/>
      <c r="E39" s="72"/>
      <c r="F39" s="72"/>
      <c r="G39" s="72"/>
      <c r="H39" s="17"/>
      <c r="I39" s="41" t="str" cm="1">
        <f t="array" ref="I39">IFERROR(_xlfn.IFS(H39="Hard (Cash)","N/A",H39="Soft (In-Kind)", "Enter Source"),"Select Type")</f>
        <v>Select Type</v>
      </c>
      <c r="J39" s="124"/>
      <c r="K39" s="41" t="str">
        <f>IFERROR(VLOOKUP($J39,'Project Reference'!$S$2:$T$41,2),"Enter Project Number")</f>
        <v>Enter Project Number</v>
      </c>
      <c r="L39" s="41"/>
      <c r="M39" s="41"/>
      <c r="N39" s="15">
        <f t="shared" si="0"/>
        <v>0</v>
      </c>
      <c r="O39" s="19"/>
      <c r="P39" s="42" t="str">
        <f>IFERROR(VLOOKUP($J39,'Project Reference'!$B$2:$C$41,2)," ")</f>
        <v xml:space="preserve"> </v>
      </c>
      <c r="Q39" s="42" t="str">
        <f>IFERROR(VLOOKUP($J39,'Project Reference'!$B$2:$D$41,3)," ")</f>
        <v xml:space="preserve"> </v>
      </c>
      <c r="R39" s="42" t="str">
        <f>IFERROR(VLOOKUP($J39,'Project Reference'!$B$2:$E$41,4)," ")</f>
        <v xml:space="preserve"> </v>
      </c>
      <c r="S39" s="42" t="str">
        <f>IFERROR(VLOOKUP($J39,'Project Reference'!$B$2:$F$41,5,FALSE)," ")</f>
        <v xml:space="preserve"> </v>
      </c>
      <c r="T39" s="42" t="str">
        <f>IFERROR(VLOOKUP($J39,'Project Reference'!$B$2:$G$41,6,FALSE)," ")</f>
        <v xml:space="preserve"> </v>
      </c>
      <c r="U39" s="42" t="str">
        <f>IFERROR(VLOOKUP($J39,'Project Reference'!$B$2:$H$41,7,FALSE)," ")</f>
        <v xml:space="preserve"> </v>
      </c>
      <c r="V39" s="42" t="str">
        <f>IFERROR(VLOOKUP($J39,'Project Reference'!$B$2:$I$41,8,FALSE)," ")</f>
        <v xml:space="preserve"> </v>
      </c>
      <c r="W39" s="42" t="str">
        <f>IFERROR(VLOOKUP($J39,'Project Reference'!$B$2:$J$41,9,FALSE)," ")</f>
        <v xml:space="preserve"> </v>
      </c>
      <c r="X39" s="42" t="str">
        <f>IFERROR(VLOOKUP($J39,'Project Reference'!$B$2:$K$41,10)," ")</f>
        <v xml:space="preserve"> </v>
      </c>
      <c r="Y39" s="42" t="str">
        <f>IFERROR(VLOOKUP($J39,'Project Reference'!$B$2:$L$41,11)," ")</f>
        <v xml:space="preserve"> </v>
      </c>
      <c r="Z39" s="42" t="str">
        <f>IFERROR(VLOOKUP($J39,'Project Reference'!$B$2:$M$41,12)," ")</f>
        <v xml:space="preserve"> </v>
      </c>
      <c r="AA39" s="42" t="str">
        <f>IFERROR(VLOOKUP($J39,'Project Reference'!$B$2:$N$41,13)," ")</f>
        <v xml:space="preserve"> </v>
      </c>
    </row>
    <row r="40" spans="1:27" s="1" customFormat="1" x14ac:dyDescent="0.45">
      <c r="A40" s="43"/>
      <c r="B40" s="205"/>
      <c r="C40"/>
      <c r="D40" s="72"/>
      <c r="E40" s="72"/>
      <c r="F40" s="72"/>
      <c r="G40" s="72"/>
      <c r="H40" s="17"/>
      <c r="I40" s="41" t="str" cm="1">
        <f t="array" ref="I40">IFERROR(_xlfn.IFS(H40="Hard (Cash)","N/A",H40="Soft (In-Kind)", "Enter Source"),"Select Type")</f>
        <v>Select Type</v>
      </c>
      <c r="J40" s="124"/>
      <c r="K40" s="41" t="str">
        <f>IFERROR(VLOOKUP($J40,'Project Reference'!$S$2:$T$41,2),"Enter Project Number")</f>
        <v>Enter Project Number</v>
      </c>
      <c r="L40" s="41"/>
      <c r="M40" s="41"/>
      <c r="N40" s="15">
        <f t="shared" si="0"/>
        <v>0</v>
      </c>
      <c r="O40" s="19"/>
      <c r="P40" s="42" t="str">
        <f>IFERROR(VLOOKUP($J40,'Project Reference'!$B$2:$C$41,2)," ")</f>
        <v xml:space="preserve"> </v>
      </c>
      <c r="Q40" s="42" t="str">
        <f>IFERROR(VLOOKUP($J40,'Project Reference'!$B$2:$D$41,3)," ")</f>
        <v xml:space="preserve"> </v>
      </c>
      <c r="R40" s="42" t="str">
        <f>IFERROR(VLOOKUP($J40,'Project Reference'!$B$2:$E$41,4)," ")</f>
        <v xml:space="preserve"> </v>
      </c>
      <c r="S40" s="42" t="str">
        <f>IFERROR(VLOOKUP($J40,'Project Reference'!$B$2:$F$41,5,FALSE)," ")</f>
        <v xml:space="preserve"> </v>
      </c>
      <c r="T40" s="42" t="str">
        <f>IFERROR(VLOOKUP($J40,'Project Reference'!$B$2:$G$41,6,FALSE)," ")</f>
        <v xml:space="preserve"> </v>
      </c>
      <c r="U40" s="42" t="str">
        <f>IFERROR(VLOOKUP($J40,'Project Reference'!$B$2:$H$41,7,FALSE)," ")</f>
        <v xml:space="preserve"> </v>
      </c>
      <c r="V40" s="42" t="str">
        <f>IFERROR(VLOOKUP($J40,'Project Reference'!$B$2:$I$41,8,FALSE)," ")</f>
        <v xml:space="preserve"> </v>
      </c>
      <c r="W40" s="42" t="str">
        <f>IFERROR(VLOOKUP($J40,'Project Reference'!$B$2:$J$41,9,FALSE)," ")</f>
        <v xml:space="preserve"> </v>
      </c>
      <c r="X40" s="42" t="str">
        <f>IFERROR(VLOOKUP($J40,'Project Reference'!$B$2:$K$41,10)," ")</f>
        <v xml:space="preserve"> </v>
      </c>
      <c r="Y40" s="42" t="str">
        <f>IFERROR(VLOOKUP($J40,'Project Reference'!$B$2:$L$41,11)," ")</f>
        <v xml:space="preserve"> </v>
      </c>
      <c r="Z40" s="42" t="str">
        <f>IFERROR(VLOOKUP($J40,'Project Reference'!$B$2:$M$41,12)," ")</f>
        <v xml:space="preserve"> </v>
      </c>
      <c r="AA40" s="42" t="str">
        <f>IFERROR(VLOOKUP($J40,'Project Reference'!$B$2:$N$41,13)," ")</f>
        <v xml:space="preserve"> </v>
      </c>
    </row>
    <row r="41" spans="1:27" s="1" customFormat="1" x14ac:dyDescent="0.45">
      <c r="A41" s="43"/>
      <c r="B41" s="205"/>
      <c r="C41"/>
      <c r="D41" s="72"/>
      <c r="E41" s="72"/>
      <c r="F41" s="72"/>
      <c r="G41" s="72"/>
      <c r="H41" s="17"/>
      <c r="I41" s="41" t="str" cm="1">
        <f t="array" ref="I41">IFERROR(_xlfn.IFS(H41="Hard (Cash)","N/A",H41="Soft (In-Kind)", "Enter Source"),"Select Type")</f>
        <v>Select Type</v>
      </c>
      <c r="J41" s="124"/>
      <c r="K41" s="41" t="str">
        <f>IFERROR(VLOOKUP($J41,'Project Reference'!$S$2:$T$41,2),"Enter Project Number")</f>
        <v>Enter Project Number</v>
      </c>
      <c r="L41" s="41"/>
      <c r="M41" s="41"/>
      <c r="N41" s="15">
        <f t="shared" si="0"/>
        <v>0</v>
      </c>
      <c r="O41" s="19"/>
      <c r="P41" s="42" t="str">
        <f>IFERROR(VLOOKUP($J41,'Project Reference'!$B$2:$C$41,2)," ")</f>
        <v xml:space="preserve"> </v>
      </c>
      <c r="Q41" s="42" t="str">
        <f>IFERROR(VLOOKUP($J41,'Project Reference'!$B$2:$D$41,3)," ")</f>
        <v xml:space="preserve"> </v>
      </c>
      <c r="R41" s="42" t="str">
        <f>IFERROR(VLOOKUP($J41,'Project Reference'!$B$2:$E$41,4)," ")</f>
        <v xml:space="preserve"> </v>
      </c>
      <c r="S41" s="42" t="str">
        <f>IFERROR(VLOOKUP($J41,'Project Reference'!$B$2:$F$41,5,FALSE)," ")</f>
        <v xml:space="preserve"> </v>
      </c>
      <c r="T41" s="42" t="str">
        <f>IFERROR(VLOOKUP($J41,'Project Reference'!$B$2:$G$41,6,FALSE)," ")</f>
        <v xml:space="preserve"> </v>
      </c>
      <c r="U41" s="42" t="str">
        <f>IFERROR(VLOOKUP($J41,'Project Reference'!$B$2:$H$41,7,FALSE)," ")</f>
        <v xml:space="preserve"> </v>
      </c>
      <c r="V41" s="42" t="str">
        <f>IFERROR(VLOOKUP($J41,'Project Reference'!$B$2:$I$41,8,FALSE)," ")</f>
        <v xml:space="preserve"> </v>
      </c>
      <c r="W41" s="42" t="str">
        <f>IFERROR(VLOOKUP($J41,'Project Reference'!$B$2:$J$41,9,FALSE)," ")</f>
        <v xml:space="preserve"> </v>
      </c>
      <c r="X41" s="42" t="str">
        <f>IFERROR(VLOOKUP($J41,'Project Reference'!$B$2:$K$41,10)," ")</f>
        <v xml:space="preserve"> </v>
      </c>
      <c r="Y41" s="42" t="str">
        <f>IFERROR(VLOOKUP($J41,'Project Reference'!$B$2:$L$41,11)," ")</f>
        <v xml:space="preserve"> </v>
      </c>
      <c r="Z41" s="42" t="str">
        <f>IFERROR(VLOOKUP($J41,'Project Reference'!$B$2:$M$41,12)," ")</f>
        <v xml:space="preserve"> </v>
      </c>
      <c r="AA41" s="42" t="str">
        <f>IFERROR(VLOOKUP($J41,'Project Reference'!$B$2:$N$41,13)," ")</f>
        <v xml:space="preserve"> </v>
      </c>
    </row>
    <row r="42" spans="1:27" s="1" customFormat="1" x14ac:dyDescent="0.45">
      <c r="A42" s="43"/>
      <c r="B42" s="205"/>
      <c r="C42"/>
      <c r="D42" s="72"/>
      <c r="E42" s="72"/>
      <c r="F42" s="72"/>
      <c r="G42" s="72"/>
      <c r="H42" s="17"/>
      <c r="I42" s="41" t="str" cm="1">
        <f t="array" ref="I42">IFERROR(_xlfn.IFS(H42="Hard (Cash)","N/A",H42="Soft (In-Kind)", "Enter Source"),"Select Type")</f>
        <v>Select Type</v>
      </c>
      <c r="J42" s="124"/>
      <c r="K42" s="41" t="str">
        <f>IFERROR(VLOOKUP($J42,'Project Reference'!$S$2:$T$41,2),"Enter Project Number")</f>
        <v>Enter Project Number</v>
      </c>
      <c r="L42" s="41"/>
      <c r="M42" s="41"/>
      <c r="N42" s="15">
        <f t="shared" si="0"/>
        <v>0</v>
      </c>
      <c r="O42" s="19"/>
      <c r="P42" s="42" t="str">
        <f>IFERROR(VLOOKUP($J42,'Project Reference'!$B$2:$C$41,2)," ")</f>
        <v xml:space="preserve"> </v>
      </c>
      <c r="Q42" s="42" t="str">
        <f>IFERROR(VLOOKUP($J42,'Project Reference'!$B$2:$D$41,3)," ")</f>
        <v xml:space="preserve"> </v>
      </c>
      <c r="R42" s="42" t="str">
        <f>IFERROR(VLOOKUP($J42,'Project Reference'!$B$2:$E$41,4)," ")</f>
        <v xml:space="preserve"> </v>
      </c>
      <c r="S42" s="42" t="str">
        <f>IFERROR(VLOOKUP($J42,'Project Reference'!$B$2:$F$41,5,FALSE)," ")</f>
        <v xml:space="preserve"> </v>
      </c>
      <c r="T42" s="42" t="str">
        <f>IFERROR(VLOOKUP($J42,'Project Reference'!$B$2:$G$41,6,FALSE)," ")</f>
        <v xml:space="preserve"> </v>
      </c>
      <c r="U42" s="42" t="str">
        <f>IFERROR(VLOOKUP($J42,'Project Reference'!$B$2:$H$41,7,FALSE)," ")</f>
        <v xml:space="preserve"> </v>
      </c>
      <c r="V42" s="42" t="str">
        <f>IFERROR(VLOOKUP($J42,'Project Reference'!$B$2:$I$41,8,FALSE)," ")</f>
        <v xml:space="preserve"> </v>
      </c>
      <c r="W42" s="42" t="str">
        <f>IFERROR(VLOOKUP($J42,'Project Reference'!$B$2:$J$41,9,FALSE)," ")</f>
        <v xml:space="preserve"> </v>
      </c>
      <c r="X42" s="42" t="str">
        <f>IFERROR(VLOOKUP($J42,'Project Reference'!$B$2:$K$41,10)," ")</f>
        <v xml:space="preserve"> </v>
      </c>
      <c r="Y42" s="42" t="str">
        <f>IFERROR(VLOOKUP($J42,'Project Reference'!$B$2:$L$41,11)," ")</f>
        <v xml:space="preserve"> </v>
      </c>
      <c r="Z42" s="42" t="str">
        <f>IFERROR(VLOOKUP($J42,'Project Reference'!$B$2:$M$41,12)," ")</f>
        <v xml:space="preserve"> </v>
      </c>
      <c r="AA42" s="42" t="str">
        <f>IFERROR(VLOOKUP($J42,'Project Reference'!$B$2:$N$41,13)," ")</f>
        <v xml:space="preserve"> </v>
      </c>
    </row>
    <row r="43" spans="1:27" s="1" customFormat="1" x14ac:dyDescent="0.45">
      <c r="A43" s="43"/>
      <c r="B43" s="205"/>
      <c r="C43"/>
      <c r="D43" s="72"/>
      <c r="E43" s="72"/>
      <c r="F43" s="72"/>
      <c r="G43" s="72"/>
      <c r="H43" s="17"/>
      <c r="I43" s="41" t="str" cm="1">
        <f t="array" ref="I43">IFERROR(_xlfn.IFS(H43="Hard (Cash)","N/A",H43="Soft (In-Kind)", "Enter Source"),"Select Type")</f>
        <v>Select Type</v>
      </c>
      <c r="J43" s="124"/>
      <c r="K43" s="41" t="str">
        <f>IFERROR(VLOOKUP($J43,'Project Reference'!$S$2:$T$41,2),"Enter Project Number")</f>
        <v>Enter Project Number</v>
      </c>
      <c r="L43" s="41"/>
      <c r="M43" s="41"/>
      <c r="N43" s="15">
        <f t="shared" si="0"/>
        <v>0</v>
      </c>
      <c r="O43" s="19"/>
      <c r="P43" s="42" t="str">
        <f>IFERROR(VLOOKUP($J43,'Project Reference'!$B$2:$C$41,2)," ")</f>
        <v xml:space="preserve"> </v>
      </c>
      <c r="Q43" s="42" t="str">
        <f>IFERROR(VLOOKUP($J43,'Project Reference'!$B$2:$D$41,3)," ")</f>
        <v xml:space="preserve"> </v>
      </c>
      <c r="R43" s="42" t="str">
        <f>IFERROR(VLOOKUP($J43,'Project Reference'!$B$2:$E$41,4)," ")</f>
        <v xml:space="preserve"> </v>
      </c>
      <c r="S43" s="42" t="str">
        <f>IFERROR(VLOOKUP($J43,'Project Reference'!$B$2:$F$41,5,FALSE)," ")</f>
        <v xml:space="preserve"> </v>
      </c>
      <c r="T43" s="42" t="str">
        <f>IFERROR(VLOOKUP($J43,'Project Reference'!$B$2:$G$41,6,FALSE)," ")</f>
        <v xml:space="preserve"> </v>
      </c>
      <c r="U43" s="42" t="str">
        <f>IFERROR(VLOOKUP($J43,'Project Reference'!$B$2:$H$41,7,FALSE)," ")</f>
        <v xml:space="preserve"> </v>
      </c>
      <c r="V43" s="42" t="str">
        <f>IFERROR(VLOOKUP($J43,'Project Reference'!$B$2:$I$41,8,FALSE)," ")</f>
        <v xml:space="preserve"> </v>
      </c>
      <c r="W43" s="42" t="str">
        <f>IFERROR(VLOOKUP($J43,'Project Reference'!$B$2:$J$41,9,FALSE)," ")</f>
        <v xml:space="preserve"> </v>
      </c>
      <c r="X43" s="42" t="str">
        <f>IFERROR(VLOOKUP($J43,'Project Reference'!$B$2:$K$41,10)," ")</f>
        <v xml:space="preserve"> </v>
      </c>
      <c r="Y43" s="42" t="str">
        <f>IFERROR(VLOOKUP($J43,'Project Reference'!$B$2:$L$41,11)," ")</f>
        <v xml:space="preserve"> </v>
      </c>
      <c r="Z43" s="42" t="str">
        <f>IFERROR(VLOOKUP($J43,'Project Reference'!$B$2:$M$41,12)," ")</f>
        <v xml:space="preserve"> </v>
      </c>
      <c r="AA43" s="42" t="str">
        <f>IFERROR(VLOOKUP($J43,'Project Reference'!$B$2:$N$41,13)," ")</f>
        <v xml:space="preserve"> </v>
      </c>
    </row>
    <row r="44" spans="1:27" s="1" customFormat="1" x14ac:dyDescent="0.45">
      <c r="A44" s="43"/>
      <c r="B44" s="205"/>
      <c r="C44"/>
      <c r="D44" s="72"/>
      <c r="E44" s="72"/>
      <c r="F44" s="72"/>
      <c r="G44" s="72"/>
      <c r="H44" s="17"/>
      <c r="I44" s="41" t="str" cm="1">
        <f t="array" ref="I44">IFERROR(_xlfn.IFS(H44="Hard (Cash)","N/A",H44="Soft (In-Kind)", "Enter Source"),"Select Type")</f>
        <v>Select Type</v>
      </c>
      <c r="J44" s="124"/>
      <c r="K44" s="41" t="str">
        <f>IFERROR(VLOOKUP($J44,'Project Reference'!$S$2:$T$41,2),"Enter Project Number")</f>
        <v>Enter Project Number</v>
      </c>
      <c r="L44" s="41"/>
      <c r="M44" s="41"/>
      <c r="N44" s="15">
        <f t="shared" si="0"/>
        <v>0</v>
      </c>
      <c r="O44" s="19"/>
      <c r="P44" s="42" t="str">
        <f>IFERROR(VLOOKUP($J44,'Project Reference'!$B$2:$C$41,2)," ")</f>
        <v xml:space="preserve"> </v>
      </c>
      <c r="Q44" s="42" t="str">
        <f>IFERROR(VLOOKUP($J44,'Project Reference'!$B$2:$D$41,3)," ")</f>
        <v xml:space="preserve"> </v>
      </c>
      <c r="R44" s="42" t="str">
        <f>IFERROR(VLOOKUP($J44,'Project Reference'!$B$2:$E$41,4)," ")</f>
        <v xml:space="preserve"> </v>
      </c>
      <c r="S44" s="42" t="str">
        <f>IFERROR(VLOOKUP($J44,'Project Reference'!$B$2:$F$41,5,FALSE)," ")</f>
        <v xml:space="preserve"> </v>
      </c>
      <c r="T44" s="42" t="str">
        <f>IFERROR(VLOOKUP($J44,'Project Reference'!$B$2:$G$41,6,FALSE)," ")</f>
        <v xml:space="preserve"> </v>
      </c>
      <c r="U44" s="42" t="str">
        <f>IFERROR(VLOOKUP($J44,'Project Reference'!$B$2:$H$41,7,FALSE)," ")</f>
        <v xml:space="preserve"> </v>
      </c>
      <c r="V44" s="42" t="str">
        <f>IFERROR(VLOOKUP($J44,'Project Reference'!$B$2:$I$41,8,FALSE)," ")</f>
        <v xml:space="preserve"> </v>
      </c>
      <c r="W44" s="42" t="str">
        <f>IFERROR(VLOOKUP($J44,'Project Reference'!$B$2:$J$41,9,FALSE)," ")</f>
        <v xml:space="preserve"> </v>
      </c>
      <c r="X44" s="42" t="str">
        <f>IFERROR(VLOOKUP($J44,'Project Reference'!$B$2:$K$41,10)," ")</f>
        <v xml:space="preserve"> </v>
      </c>
      <c r="Y44" s="42" t="str">
        <f>IFERROR(VLOOKUP($J44,'Project Reference'!$B$2:$L$41,11)," ")</f>
        <v xml:space="preserve"> </v>
      </c>
      <c r="Z44" s="42" t="str">
        <f>IFERROR(VLOOKUP($J44,'Project Reference'!$B$2:$M$41,12)," ")</f>
        <v xml:space="preserve"> </v>
      </c>
      <c r="AA44" s="42" t="str">
        <f>IFERROR(VLOOKUP($J44,'Project Reference'!$B$2:$N$41,13)," ")</f>
        <v xml:space="preserve"> </v>
      </c>
    </row>
    <row r="45" spans="1:27" s="1" customFormat="1" x14ac:dyDescent="0.45">
      <c r="A45" s="43"/>
      <c r="B45" s="205"/>
      <c r="C45"/>
      <c r="D45" s="72"/>
      <c r="E45" s="72"/>
      <c r="F45" s="72"/>
      <c r="G45" s="72"/>
      <c r="H45" s="17"/>
      <c r="I45" s="41" t="str" cm="1">
        <f t="array" ref="I45">IFERROR(_xlfn.IFS(H45="Hard (Cash)","N/A",H45="Soft (In-Kind)", "Enter Source"),"Select Type")</f>
        <v>Select Type</v>
      </c>
      <c r="J45" s="124"/>
      <c r="K45" s="41" t="str">
        <f>IFERROR(VLOOKUP($J45,'Project Reference'!$S$2:$T$41,2),"Enter Project Number")</f>
        <v>Enter Project Number</v>
      </c>
      <c r="L45" s="41"/>
      <c r="M45" s="41"/>
      <c r="N45" s="15">
        <f t="shared" si="0"/>
        <v>0</v>
      </c>
      <c r="O45" s="19"/>
      <c r="P45" s="42" t="str">
        <f>IFERROR(VLOOKUP($J45,'Project Reference'!$B$2:$C$41,2)," ")</f>
        <v xml:space="preserve"> </v>
      </c>
      <c r="Q45" s="42" t="str">
        <f>IFERROR(VLOOKUP($J45,'Project Reference'!$B$2:$D$41,3)," ")</f>
        <v xml:space="preserve"> </v>
      </c>
      <c r="R45" s="42" t="str">
        <f>IFERROR(VLOOKUP($J45,'Project Reference'!$B$2:$E$41,4)," ")</f>
        <v xml:space="preserve"> </v>
      </c>
      <c r="S45" s="42" t="str">
        <f>IFERROR(VLOOKUP($J45,'Project Reference'!$B$2:$F$41,5,FALSE)," ")</f>
        <v xml:space="preserve"> </v>
      </c>
      <c r="T45" s="42" t="str">
        <f>IFERROR(VLOOKUP($J45,'Project Reference'!$B$2:$G$41,6,FALSE)," ")</f>
        <v xml:space="preserve"> </v>
      </c>
      <c r="U45" s="42" t="str">
        <f>IFERROR(VLOOKUP($J45,'Project Reference'!$B$2:$H$41,7,FALSE)," ")</f>
        <v xml:space="preserve"> </v>
      </c>
      <c r="V45" s="42" t="str">
        <f>IFERROR(VLOOKUP($J45,'Project Reference'!$B$2:$I$41,8,FALSE)," ")</f>
        <v xml:space="preserve"> </v>
      </c>
      <c r="W45" s="42" t="str">
        <f>IFERROR(VLOOKUP($J45,'Project Reference'!$B$2:$J$41,9,FALSE)," ")</f>
        <v xml:space="preserve"> </v>
      </c>
      <c r="X45" s="42" t="str">
        <f>IFERROR(VLOOKUP($J45,'Project Reference'!$B$2:$K$41,10)," ")</f>
        <v xml:space="preserve"> </v>
      </c>
      <c r="Y45" s="42" t="str">
        <f>IFERROR(VLOOKUP($J45,'Project Reference'!$B$2:$L$41,11)," ")</f>
        <v xml:space="preserve"> </v>
      </c>
      <c r="Z45" s="42" t="str">
        <f>IFERROR(VLOOKUP($J45,'Project Reference'!$B$2:$M$41,12)," ")</f>
        <v xml:space="preserve"> </v>
      </c>
      <c r="AA45" s="42" t="str">
        <f>IFERROR(VLOOKUP($J45,'Project Reference'!$B$2:$N$41,13)," ")</f>
        <v xml:space="preserve"> </v>
      </c>
    </row>
    <row r="46" spans="1:27" s="1" customFormat="1" x14ac:dyDescent="0.45">
      <c r="A46" s="43"/>
      <c r="B46" s="205"/>
      <c r="C46"/>
      <c r="D46" s="72"/>
      <c r="E46" s="72"/>
      <c r="F46" s="72"/>
      <c r="G46" s="72"/>
      <c r="H46" s="17"/>
      <c r="I46" s="41" t="str" cm="1">
        <f t="array" ref="I46">IFERROR(_xlfn.IFS(H46="Hard (Cash)","N/A",H46="Soft (In-Kind)", "Enter Source"),"Select Type")</f>
        <v>Select Type</v>
      </c>
      <c r="J46" s="124"/>
      <c r="K46" s="41" t="str">
        <f>IFERROR(VLOOKUP($J46,'Project Reference'!$S$2:$T$41,2),"Enter Project Number")</f>
        <v>Enter Project Number</v>
      </c>
      <c r="L46" s="41"/>
      <c r="M46" s="41"/>
      <c r="N46" s="15">
        <f t="shared" si="0"/>
        <v>0</v>
      </c>
      <c r="O46" s="19"/>
      <c r="P46" s="42" t="str">
        <f>IFERROR(VLOOKUP($J46,'Project Reference'!$B$2:$C$41,2)," ")</f>
        <v xml:space="preserve"> </v>
      </c>
      <c r="Q46" s="42" t="str">
        <f>IFERROR(VLOOKUP($J46,'Project Reference'!$B$2:$D$41,3)," ")</f>
        <v xml:space="preserve"> </v>
      </c>
      <c r="R46" s="42" t="str">
        <f>IFERROR(VLOOKUP($J46,'Project Reference'!$B$2:$E$41,4)," ")</f>
        <v xml:space="preserve"> </v>
      </c>
      <c r="S46" s="42" t="str">
        <f>IFERROR(VLOOKUP($J46,'Project Reference'!$B$2:$F$41,5,FALSE)," ")</f>
        <v xml:space="preserve"> </v>
      </c>
      <c r="T46" s="42" t="str">
        <f>IFERROR(VLOOKUP($J46,'Project Reference'!$B$2:$G$41,6,FALSE)," ")</f>
        <v xml:space="preserve"> </v>
      </c>
      <c r="U46" s="42" t="str">
        <f>IFERROR(VLOOKUP($J46,'Project Reference'!$B$2:$H$41,7,FALSE)," ")</f>
        <v xml:space="preserve"> </v>
      </c>
      <c r="V46" s="42" t="str">
        <f>IFERROR(VLOOKUP($J46,'Project Reference'!$B$2:$I$41,8,FALSE)," ")</f>
        <v xml:space="preserve"> </v>
      </c>
      <c r="W46" s="42" t="str">
        <f>IFERROR(VLOOKUP($J46,'Project Reference'!$B$2:$J$41,9,FALSE)," ")</f>
        <v xml:space="preserve"> </v>
      </c>
      <c r="X46" s="42" t="str">
        <f>IFERROR(VLOOKUP($J46,'Project Reference'!$B$2:$K$41,10)," ")</f>
        <v xml:space="preserve"> </v>
      </c>
      <c r="Y46" s="42" t="str">
        <f>IFERROR(VLOOKUP($J46,'Project Reference'!$B$2:$L$41,11)," ")</f>
        <v xml:space="preserve"> </v>
      </c>
      <c r="Z46" s="42" t="str">
        <f>IFERROR(VLOOKUP($J46,'Project Reference'!$B$2:$M$41,12)," ")</f>
        <v xml:space="preserve"> </v>
      </c>
      <c r="AA46" s="42" t="str">
        <f>IFERROR(VLOOKUP($J46,'Project Reference'!$B$2:$N$41,13)," ")</f>
        <v xml:space="preserve"> </v>
      </c>
    </row>
    <row r="47" spans="1:27" s="1" customFormat="1" x14ac:dyDescent="0.45">
      <c r="A47" s="43"/>
      <c r="B47" s="205"/>
      <c r="C47"/>
      <c r="D47" s="72"/>
      <c r="E47" s="72"/>
      <c r="F47" s="72"/>
      <c r="G47" s="72"/>
      <c r="H47" s="17"/>
      <c r="I47" s="41" t="str" cm="1">
        <f t="array" ref="I47">IFERROR(_xlfn.IFS(H47="Hard (Cash)","N/A",H47="Soft (In-Kind)", "Enter Source"),"Select Type")</f>
        <v>Select Type</v>
      </c>
      <c r="J47" s="124"/>
      <c r="K47" s="41" t="str">
        <f>IFERROR(VLOOKUP($J47,'Project Reference'!$S$2:$T$41,2),"Enter Project Number")</f>
        <v>Enter Project Number</v>
      </c>
      <c r="L47" s="41"/>
      <c r="M47" s="41"/>
      <c r="N47" s="15">
        <f t="shared" si="0"/>
        <v>0</v>
      </c>
      <c r="O47" s="19"/>
      <c r="P47" s="42" t="str">
        <f>IFERROR(VLOOKUP($J47,'Project Reference'!$B$2:$C$41,2)," ")</f>
        <v xml:space="preserve"> </v>
      </c>
      <c r="Q47" s="42" t="str">
        <f>IFERROR(VLOOKUP($J47,'Project Reference'!$B$2:$D$41,3)," ")</f>
        <v xml:space="preserve"> </v>
      </c>
      <c r="R47" s="42" t="str">
        <f>IFERROR(VLOOKUP($J47,'Project Reference'!$B$2:$E$41,4)," ")</f>
        <v xml:space="preserve"> </v>
      </c>
      <c r="S47" s="42" t="str">
        <f>IFERROR(VLOOKUP($J47,'Project Reference'!$B$2:$F$41,5,FALSE)," ")</f>
        <v xml:space="preserve"> </v>
      </c>
      <c r="T47" s="42" t="str">
        <f>IFERROR(VLOOKUP($J47,'Project Reference'!$B$2:$G$41,6,FALSE)," ")</f>
        <v xml:space="preserve"> </v>
      </c>
      <c r="U47" s="42" t="str">
        <f>IFERROR(VLOOKUP($J47,'Project Reference'!$B$2:$H$41,7,FALSE)," ")</f>
        <v xml:space="preserve"> </v>
      </c>
      <c r="V47" s="42" t="str">
        <f>IFERROR(VLOOKUP($J47,'Project Reference'!$B$2:$I$41,8,FALSE)," ")</f>
        <v xml:space="preserve"> </v>
      </c>
      <c r="W47" s="42" t="str">
        <f>IFERROR(VLOOKUP($J47,'Project Reference'!$B$2:$J$41,9,FALSE)," ")</f>
        <v xml:space="preserve"> </v>
      </c>
      <c r="X47" s="42" t="str">
        <f>IFERROR(VLOOKUP($J47,'Project Reference'!$B$2:$K$41,10)," ")</f>
        <v xml:space="preserve"> </v>
      </c>
      <c r="Y47" s="42" t="str">
        <f>IFERROR(VLOOKUP($J47,'Project Reference'!$B$2:$L$41,11)," ")</f>
        <v xml:space="preserve"> </v>
      </c>
      <c r="Z47" s="42" t="str">
        <f>IFERROR(VLOOKUP($J47,'Project Reference'!$B$2:$M$41,12)," ")</f>
        <v xml:space="preserve"> </v>
      </c>
      <c r="AA47" s="42" t="str">
        <f>IFERROR(VLOOKUP($J47,'Project Reference'!$B$2:$N$41,13)," ")</f>
        <v xml:space="preserve"> </v>
      </c>
    </row>
    <row r="48" spans="1:27" s="1" customFormat="1" x14ac:dyDescent="0.45">
      <c r="A48" s="43"/>
      <c r="B48" s="205"/>
      <c r="C48"/>
      <c r="D48" s="72"/>
      <c r="E48" s="72"/>
      <c r="F48" s="72"/>
      <c r="G48" s="72"/>
      <c r="H48" s="17"/>
      <c r="I48" s="41" t="str" cm="1">
        <f t="array" ref="I48">IFERROR(_xlfn.IFS(H48="Hard (Cash)","N/A",H48="Soft (In-Kind)", "Enter Source"),"Select Type")</f>
        <v>Select Type</v>
      </c>
      <c r="J48" s="124"/>
      <c r="K48" s="41" t="str">
        <f>IFERROR(VLOOKUP($J48,'Project Reference'!$S$2:$T$41,2),"Enter Project Number")</f>
        <v>Enter Project Number</v>
      </c>
      <c r="L48" s="41"/>
      <c r="M48" s="41"/>
      <c r="N48" s="15">
        <f t="shared" si="0"/>
        <v>0</v>
      </c>
      <c r="O48" s="19"/>
      <c r="P48" s="42" t="str">
        <f>IFERROR(VLOOKUP($J48,'Project Reference'!$B$2:$C$41,2)," ")</f>
        <v xml:space="preserve"> </v>
      </c>
      <c r="Q48" s="42" t="str">
        <f>IFERROR(VLOOKUP($J48,'Project Reference'!$B$2:$D$41,3)," ")</f>
        <v xml:space="preserve"> </v>
      </c>
      <c r="R48" s="42" t="str">
        <f>IFERROR(VLOOKUP($J48,'Project Reference'!$B$2:$E$41,4)," ")</f>
        <v xml:space="preserve"> </v>
      </c>
      <c r="S48" s="42" t="str">
        <f>IFERROR(VLOOKUP($J48,'Project Reference'!$B$2:$F$41,5,FALSE)," ")</f>
        <v xml:space="preserve"> </v>
      </c>
      <c r="T48" s="42" t="str">
        <f>IFERROR(VLOOKUP($J48,'Project Reference'!$B$2:$G$41,6,FALSE)," ")</f>
        <v xml:space="preserve"> </v>
      </c>
      <c r="U48" s="42" t="str">
        <f>IFERROR(VLOOKUP($J48,'Project Reference'!$B$2:$H$41,7,FALSE)," ")</f>
        <v xml:space="preserve"> </v>
      </c>
      <c r="V48" s="42" t="str">
        <f>IFERROR(VLOOKUP($J48,'Project Reference'!$B$2:$I$41,8,FALSE)," ")</f>
        <v xml:space="preserve"> </v>
      </c>
      <c r="W48" s="42" t="str">
        <f>IFERROR(VLOOKUP($J48,'Project Reference'!$B$2:$J$41,9,FALSE)," ")</f>
        <v xml:space="preserve"> </v>
      </c>
      <c r="X48" s="42" t="str">
        <f>IFERROR(VLOOKUP($J48,'Project Reference'!$B$2:$K$41,10)," ")</f>
        <v xml:space="preserve"> </v>
      </c>
      <c r="Y48" s="42" t="str">
        <f>IFERROR(VLOOKUP($J48,'Project Reference'!$B$2:$L$41,11)," ")</f>
        <v xml:space="preserve"> </v>
      </c>
      <c r="Z48" s="42" t="str">
        <f>IFERROR(VLOOKUP($J48,'Project Reference'!$B$2:$M$41,12)," ")</f>
        <v xml:space="preserve"> </v>
      </c>
      <c r="AA48" s="42" t="str">
        <f>IFERROR(VLOOKUP($J48,'Project Reference'!$B$2:$N$41,13)," ")</f>
        <v xml:space="preserve"> </v>
      </c>
    </row>
    <row r="49" spans="1:27" s="1" customFormat="1" x14ac:dyDescent="0.45">
      <c r="A49" s="43"/>
      <c r="B49" s="205"/>
      <c r="C49"/>
      <c r="D49" s="72"/>
      <c r="E49" s="72"/>
      <c r="F49" s="72"/>
      <c r="G49" s="72"/>
      <c r="H49" s="17"/>
      <c r="I49" s="41" t="str" cm="1">
        <f t="array" ref="I49">IFERROR(_xlfn.IFS(H49="Hard (Cash)","N/A",H49="Soft (In-Kind)", "Enter Source"),"Select Type")</f>
        <v>Select Type</v>
      </c>
      <c r="J49" s="124"/>
      <c r="K49" s="41" t="str">
        <f>IFERROR(VLOOKUP($J49,'Project Reference'!$S$2:$T$41,2),"Enter Project Number")</f>
        <v>Enter Project Number</v>
      </c>
      <c r="L49" s="41"/>
      <c r="M49" s="41"/>
      <c r="N49" s="15">
        <f t="shared" si="0"/>
        <v>0</v>
      </c>
      <c r="O49" s="19"/>
      <c r="P49" s="42" t="str">
        <f>IFERROR(VLOOKUP($J49,'Project Reference'!$B$2:$C$41,2)," ")</f>
        <v xml:space="preserve"> </v>
      </c>
      <c r="Q49" s="42" t="str">
        <f>IFERROR(VLOOKUP($J49,'Project Reference'!$B$2:$D$41,3)," ")</f>
        <v xml:space="preserve"> </v>
      </c>
      <c r="R49" s="42" t="str">
        <f>IFERROR(VLOOKUP($J49,'Project Reference'!$B$2:$E$41,4)," ")</f>
        <v xml:space="preserve"> </v>
      </c>
      <c r="S49" s="42" t="str">
        <f>IFERROR(VLOOKUP($J49,'Project Reference'!$B$2:$F$41,5,FALSE)," ")</f>
        <v xml:space="preserve"> </v>
      </c>
      <c r="T49" s="42" t="str">
        <f>IFERROR(VLOOKUP($J49,'Project Reference'!$B$2:$G$41,6,FALSE)," ")</f>
        <v xml:space="preserve"> </v>
      </c>
      <c r="U49" s="42" t="str">
        <f>IFERROR(VLOOKUP($J49,'Project Reference'!$B$2:$H$41,7,FALSE)," ")</f>
        <v xml:space="preserve"> </v>
      </c>
      <c r="V49" s="42" t="str">
        <f>IFERROR(VLOOKUP($J49,'Project Reference'!$B$2:$I$41,8,FALSE)," ")</f>
        <v xml:space="preserve"> </v>
      </c>
      <c r="W49" s="42" t="str">
        <f>IFERROR(VLOOKUP($J49,'Project Reference'!$B$2:$J$41,9,FALSE)," ")</f>
        <v xml:space="preserve"> </v>
      </c>
      <c r="X49" s="42" t="str">
        <f>IFERROR(VLOOKUP($J49,'Project Reference'!$B$2:$K$41,10)," ")</f>
        <v xml:space="preserve"> </v>
      </c>
      <c r="Y49" s="42" t="str">
        <f>IFERROR(VLOOKUP($J49,'Project Reference'!$B$2:$L$41,11)," ")</f>
        <v xml:space="preserve"> </v>
      </c>
      <c r="Z49" s="42" t="str">
        <f>IFERROR(VLOOKUP($J49,'Project Reference'!$B$2:$M$41,12)," ")</f>
        <v xml:space="preserve"> </v>
      </c>
      <c r="AA49" s="42" t="str">
        <f>IFERROR(VLOOKUP($J49,'Project Reference'!$B$2:$N$41,13)," ")</f>
        <v xml:space="preserve"> </v>
      </c>
    </row>
    <row r="50" spans="1:27" s="1" customFormat="1" x14ac:dyDescent="0.45">
      <c r="A50" s="43"/>
      <c r="B50" s="205"/>
      <c r="C50"/>
      <c r="D50" s="72"/>
      <c r="E50" s="72"/>
      <c r="F50" s="72"/>
      <c r="G50" s="72"/>
      <c r="H50" s="17"/>
      <c r="I50" s="41" t="str" cm="1">
        <f t="array" ref="I50">IFERROR(_xlfn.IFS(H50="Hard (Cash)","N/A",H50="Soft (In-Kind)", "Enter Source"),"Select Type")</f>
        <v>Select Type</v>
      </c>
      <c r="J50" s="124"/>
      <c r="K50" s="41" t="str">
        <f>IFERROR(VLOOKUP($J50,'Project Reference'!$S$2:$T$41,2),"Enter Project Number")</f>
        <v>Enter Project Number</v>
      </c>
      <c r="L50" s="41"/>
      <c r="M50" s="41"/>
      <c r="N50" s="15">
        <f t="shared" si="0"/>
        <v>0</v>
      </c>
      <c r="O50" s="19"/>
      <c r="P50" s="42" t="str">
        <f>IFERROR(VLOOKUP($J50,'Project Reference'!$B$2:$C$41,2)," ")</f>
        <v xml:space="preserve"> </v>
      </c>
      <c r="Q50" s="42" t="str">
        <f>IFERROR(VLOOKUP($J50,'Project Reference'!$B$2:$D$41,3)," ")</f>
        <v xml:space="preserve"> </v>
      </c>
      <c r="R50" s="42" t="str">
        <f>IFERROR(VLOOKUP($J50,'Project Reference'!$B$2:$E$41,4)," ")</f>
        <v xml:space="preserve"> </v>
      </c>
      <c r="S50" s="42" t="str">
        <f>IFERROR(VLOOKUP($J50,'Project Reference'!$B$2:$F$41,5,FALSE)," ")</f>
        <v xml:space="preserve"> </v>
      </c>
      <c r="T50" s="42" t="str">
        <f>IFERROR(VLOOKUP($J50,'Project Reference'!$B$2:$G$41,6,FALSE)," ")</f>
        <v xml:space="preserve"> </v>
      </c>
      <c r="U50" s="42" t="str">
        <f>IFERROR(VLOOKUP($J50,'Project Reference'!$B$2:$H$41,7,FALSE)," ")</f>
        <v xml:space="preserve"> </v>
      </c>
      <c r="V50" s="42" t="str">
        <f>IFERROR(VLOOKUP($J50,'Project Reference'!$B$2:$I$41,8,FALSE)," ")</f>
        <v xml:space="preserve"> </v>
      </c>
      <c r="W50" s="42" t="str">
        <f>IFERROR(VLOOKUP($J50,'Project Reference'!$B$2:$J$41,9,FALSE)," ")</f>
        <v xml:space="preserve"> </v>
      </c>
      <c r="X50" s="42" t="str">
        <f>IFERROR(VLOOKUP($J50,'Project Reference'!$B$2:$K$41,10)," ")</f>
        <v xml:space="preserve"> </v>
      </c>
      <c r="Y50" s="42" t="str">
        <f>IFERROR(VLOOKUP($J50,'Project Reference'!$B$2:$L$41,11)," ")</f>
        <v xml:space="preserve"> </v>
      </c>
      <c r="Z50" s="42" t="str">
        <f>IFERROR(VLOOKUP($J50,'Project Reference'!$B$2:$M$41,12)," ")</f>
        <v xml:space="preserve"> </v>
      </c>
      <c r="AA50" s="42" t="str">
        <f>IFERROR(VLOOKUP($J50,'Project Reference'!$B$2:$N$41,13)," ")</f>
        <v xml:space="preserve"> </v>
      </c>
    </row>
    <row r="51" spans="1:27" s="1" customFormat="1" x14ac:dyDescent="0.45">
      <c r="A51" s="43"/>
      <c r="B51" s="205"/>
      <c r="C51"/>
      <c r="D51" s="72"/>
      <c r="E51" s="72"/>
      <c r="F51" s="72"/>
      <c r="G51" s="72"/>
      <c r="H51" s="17"/>
      <c r="I51" s="41" t="str" cm="1">
        <f t="array" ref="I51">IFERROR(_xlfn.IFS(H51="Hard (Cash)","N/A",H51="Soft (In-Kind)", "Enter Source"),"Select Type")</f>
        <v>Select Type</v>
      </c>
      <c r="J51" s="124"/>
      <c r="K51" s="41" t="str">
        <f>IFERROR(VLOOKUP($J51,'Project Reference'!$S$2:$T$41,2),"Enter Project Number")</f>
        <v>Enter Project Number</v>
      </c>
      <c r="L51" s="41"/>
      <c r="M51" s="41"/>
      <c r="N51" s="15">
        <f t="shared" si="0"/>
        <v>0</v>
      </c>
      <c r="O51" s="19"/>
      <c r="P51" s="42" t="str">
        <f>IFERROR(VLOOKUP($J51,'Project Reference'!$B$2:$C$41,2)," ")</f>
        <v xml:space="preserve"> </v>
      </c>
      <c r="Q51" s="42" t="str">
        <f>IFERROR(VLOOKUP($J51,'Project Reference'!$B$2:$D$41,3)," ")</f>
        <v xml:space="preserve"> </v>
      </c>
      <c r="R51" s="42" t="str">
        <f>IFERROR(VLOOKUP($J51,'Project Reference'!$B$2:$E$41,4)," ")</f>
        <v xml:space="preserve"> </v>
      </c>
      <c r="S51" s="42" t="str">
        <f>IFERROR(VLOOKUP($J51,'Project Reference'!$B$2:$F$41,5,FALSE)," ")</f>
        <v xml:space="preserve"> </v>
      </c>
      <c r="T51" s="42" t="str">
        <f>IFERROR(VLOOKUP($J51,'Project Reference'!$B$2:$G$41,6,FALSE)," ")</f>
        <v xml:space="preserve"> </v>
      </c>
      <c r="U51" s="42" t="str">
        <f>IFERROR(VLOOKUP($J51,'Project Reference'!$B$2:$H$41,7,FALSE)," ")</f>
        <v xml:space="preserve"> </v>
      </c>
      <c r="V51" s="42" t="str">
        <f>IFERROR(VLOOKUP($J51,'Project Reference'!$B$2:$I$41,8,FALSE)," ")</f>
        <v xml:space="preserve"> </v>
      </c>
      <c r="W51" s="42" t="str">
        <f>IFERROR(VLOOKUP($J51,'Project Reference'!$B$2:$J$41,9,FALSE)," ")</f>
        <v xml:space="preserve"> </v>
      </c>
      <c r="X51" s="42" t="str">
        <f>IFERROR(VLOOKUP($J51,'Project Reference'!$B$2:$K$41,10)," ")</f>
        <v xml:space="preserve"> </v>
      </c>
      <c r="Y51" s="42" t="str">
        <f>IFERROR(VLOOKUP($J51,'Project Reference'!$B$2:$L$41,11)," ")</f>
        <v xml:space="preserve"> </v>
      </c>
      <c r="Z51" s="42" t="str">
        <f>IFERROR(VLOOKUP($J51,'Project Reference'!$B$2:$M$41,12)," ")</f>
        <v xml:space="preserve"> </v>
      </c>
      <c r="AA51" s="42" t="str">
        <f>IFERROR(VLOOKUP($J51,'Project Reference'!$B$2:$N$41,13)," ")</f>
        <v xml:space="preserve"> </v>
      </c>
    </row>
    <row r="52" spans="1:27" s="1" customFormat="1" x14ac:dyDescent="0.45">
      <c r="A52" s="43"/>
      <c r="B52" s="205"/>
      <c r="C52"/>
      <c r="D52" s="72"/>
      <c r="E52" s="72"/>
      <c r="F52" s="72"/>
      <c r="G52" s="72"/>
      <c r="H52" s="17"/>
      <c r="I52" s="41" t="str" cm="1">
        <f t="array" ref="I52">IFERROR(_xlfn.IFS(H52="Hard (Cash)","N/A",H52="Soft (In-Kind)", "Enter Source"),"Select Type")</f>
        <v>Select Type</v>
      </c>
      <c r="J52" s="124"/>
      <c r="K52" s="41" t="str">
        <f>IFERROR(VLOOKUP($J52,'Project Reference'!$S$2:$T$41,2),"Enter Project Number")</f>
        <v>Enter Project Number</v>
      </c>
      <c r="L52" s="41"/>
      <c r="M52" s="41"/>
      <c r="N52" s="15">
        <f t="shared" si="0"/>
        <v>0</v>
      </c>
      <c r="O52" s="19"/>
      <c r="P52" s="42" t="str">
        <f>IFERROR(VLOOKUP($J52,'Project Reference'!$B$2:$C$41,2)," ")</f>
        <v xml:space="preserve"> </v>
      </c>
      <c r="Q52" s="42" t="str">
        <f>IFERROR(VLOOKUP($J52,'Project Reference'!$B$2:$D$41,3)," ")</f>
        <v xml:space="preserve"> </v>
      </c>
      <c r="R52" s="42" t="str">
        <f>IFERROR(VLOOKUP($J52,'Project Reference'!$B$2:$E$41,4)," ")</f>
        <v xml:space="preserve"> </v>
      </c>
      <c r="S52" s="42" t="str">
        <f>IFERROR(VLOOKUP($J52,'Project Reference'!$B$2:$F$41,5,FALSE)," ")</f>
        <v xml:space="preserve"> </v>
      </c>
      <c r="T52" s="42" t="str">
        <f>IFERROR(VLOOKUP($J52,'Project Reference'!$B$2:$G$41,6,FALSE)," ")</f>
        <v xml:space="preserve"> </v>
      </c>
      <c r="U52" s="42" t="str">
        <f>IFERROR(VLOOKUP($J52,'Project Reference'!$B$2:$H$41,7,FALSE)," ")</f>
        <v xml:space="preserve"> </v>
      </c>
      <c r="V52" s="42" t="str">
        <f>IFERROR(VLOOKUP($J52,'Project Reference'!$B$2:$I$41,8,FALSE)," ")</f>
        <v xml:space="preserve"> </v>
      </c>
      <c r="W52" s="42" t="str">
        <f>IFERROR(VLOOKUP($J52,'Project Reference'!$B$2:$J$41,9,FALSE)," ")</f>
        <v xml:space="preserve"> </v>
      </c>
      <c r="X52" s="42" t="str">
        <f>IFERROR(VLOOKUP($J52,'Project Reference'!$B$2:$K$41,10)," ")</f>
        <v xml:space="preserve"> </v>
      </c>
      <c r="Y52" s="42" t="str">
        <f>IFERROR(VLOOKUP($J52,'Project Reference'!$B$2:$L$41,11)," ")</f>
        <v xml:space="preserve"> </v>
      </c>
      <c r="Z52" s="42" t="str">
        <f>IFERROR(VLOOKUP($J52,'Project Reference'!$B$2:$M$41,12)," ")</f>
        <v xml:space="preserve"> </v>
      </c>
      <c r="AA52" s="42" t="str">
        <f>IFERROR(VLOOKUP($J52,'Project Reference'!$B$2:$N$41,13)," ")</f>
        <v xml:space="preserve"> </v>
      </c>
    </row>
    <row r="53" spans="1:27" s="1" customFormat="1" x14ac:dyDescent="0.45">
      <c r="A53" s="43"/>
      <c r="B53" s="205"/>
      <c r="C53"/>
      <c r="D53" s="72"/>
      <c r="E53" s="72"/>
      <c r="F53" s="72"/>
      <c r="G53" s="72"/>
      <c r="H53" s="17"/>
      <c r="I53" s="41" t="str" cm="1">
        <f t="array" ref="I53">IFERROR(_xlfn.IFS(H53="Hard (Cash)","N/A",H53="Soft (In-Kind)", "Enter Source"),"Select Type")</f>
        <v>Select Type</v>
      </c>
      <c r="J53" s="124"/>
      <c r="K53" s="41" t="str">
        <f>IFERROR(VLOOKUP($J53,'Project Reference'!$S$2:$T$41,2),"Enter Project Number")</f>
        <v>Enter Project Number</v>
      </c>
      <c r="L53" s="41"/>
      <c r="M53" s="41"/>
      <c r="N53" s="15">
        <f t="shared" si="0"/>
        <v>0</v>
      </c>
      <c r="O53" s="19"/>
      <c r="P53" s="42" t="str">
        <f>IFERROR(VLOOKUP($J53,'Project Reference'!$B$2:$C$41,2)," ")</f>
        <v xml:space="preserve"> </v>
      </c>
      <c r="Q53" s="42" t="str">
        <f>IFERROR(VLOOKUP($J53,'Project Reference'!$B$2:$D$41,3)," ")</f>
        <v xml:space="preserve"> </v>
      </c>
      <c r="R53" s="42" t="str">
        <f>IFERROR(VLOOKUP($J53,'Project Reference'!$B$2:$E$41,4)," ")</f>
        <v xml:space="preserve"> </v>
      </c>
      <c r="S53" s="42" t="str">
        <f>IFERROR(VLOOKUP($J53,'Project Reference'!$B$2:$F$41,5,FALSE)," ")</f>
        <v xml:space="preserve"> </v>
      </c>
      <c r="T53" s="42" t="str">
        <f>IFERROR(VLOOKUP($J53,'Project Reference'!$B$2:$G$41,6,FALSE)," ")</f>
        <v xml:space="preserve"> </v>
      </c>
      <c r="U53" s="42" t="str">
        <f>IFERROR(VLOOKUP($J53,'Project Reference'!$B$2:$H$41,7,FALSE)," ")</f>
        <v xml:space="preserve"> </v>
      </c>
      <c r="V53" s="42" t="str">
        <f>IFERROR(VLOOKUP($J53,'Project Reference'!$B$2:$I$41,8,FALSE)," ")</f>
        <v xml:space="preserve"> </v>
      </c>
      <c r="W53" s="42" t="str">
        <f>IFERROR(VLOOKUP($J53,'Project Reference'!$B$2:$J$41,9,FALSE)," ")</f>
        <v xml:space="preserve"> </v>
      </c>
      <c r="X53" s="42" t="str">
        <f>IFERROR(VLOOKUP($J53,'Project Reference'!$B$2:$K$41,10)," ")</f>
        <v xml:space="preserve"> </v>
      </c>
      <c r="Y53" s="42" t="str">
        <f>IFERROR(VLOOKUP($J53,'Project Reference'!$B$2:$L$41,11)," ")</f>
        <v xml:space="preserve"> </v>
      </c>
      <c r="Z53" s="42" t="str">
        <f>IFERROR(VLOOKUP($J53,'Project Reference'!$B$2:$M$41,12)," ")</f>
        <v xml:space="preserve"> </v>
      </c>
      <c r="AA53" s="42" t="str">
        <f>IFERROR(VLOOKUP($J53,'Project Reference'!$B$2:$N$41,13)," ")</f>
        <v xml:space="preserve"> </v>
      </c>
    </row>
    <row r="54" spans="1:27" s="1" customFormat="1" x14ac:dyDescent="0.45">
      <c r="A54" s="43"/>
      <c r="B54" s="205"/>
      <c r="C54"/>
      <c r="D54" s="72"/>
      <c r="E54" s="72"/>
      <c r="F54" s="72"/>
      <c r="G54" s="72"/>
      <c r="H54" s="17"/>
      <c r="I54" s="41" t="str" cm="1">
        <f t="array" ref="I54">IFERROR(_xlfn.IFS(H54="Hard (Cash)","N/A",H54="Soft (In-Kind)", "Enter Source"),"Select Type")</f>
        <v>Select Type</v>
      </c>
      <c r="J54" s="124"/>
      <c r="K54" s="41" t="str">
        <f>IFERROR(VLOOKUP($J54,'Project Reference'!$S$2:$T$41,2),"Enter Project Number")</f>
        <v>Enter Project Number</v>
      </c>
      <c r="L54" s="41"/>
      <c r="M54" s="41"/>
      <c r="N54" s="15">
        <f t="shared" si="0"/>
        <v>0</v>
      </c>
      <c r="O54" s="19"/>
      <c r="P54" s="42" t="str">
        <f>IFERROR(VLOOKUP($J54,'Project Reference'!$B$2:$C$41,2)," ")</f>
        <v xml:space="preserve"> </v>
      </c>
      <c r="Q54" s="42" t="str">
        <f>IFERROR(VLOOKUP($J54,'Project Reference'!$B$2:$D$41,3)," ")</f>
        <v xml:space="preserve"> </v>
      </c>
      <c r="R54" s="42" t="str">
        <f>IFERROR(VLOOKUP($J54,'Project Reference'!$B$2:$E$41,4)," ")</f>
        <v xml:space="preserve"> </v>
      </c>
      <c r="S54" s="42" t="str">
        <f>IFERROR(VLOOKUP($J54,'Project Reference'!$B$2:$F$41,5,FALSE)," ")</f>
        <v xml:space="preserve"> </v>
      </c>
      <c r="T54" s="42" t="str">
        <f>IFERROR(VLOOKUP($J54,'Project Reference'!$B$2:$G$41,6,FALSE)," ")</f>
        <v xml:space="preserve"> </v>
      </c>
      <c r="U54" s="42" t="str">
        <f>IFERROR(VLOOKUP($J54,'Project Reference'!$B$2:$H$41,7,FALSE)," ")</f>
        <v xml:space="preserve"> </v>
      </c>
      <c r="V54" s="42" t="str">
        <f>IFERROR(VLOOKUP($J54,'Project Reference'!$B$2:$I$41,8,FALSE)," ")</f>
        <v xml:space="preserve"> </v>
      </c>
      <c r="W54" s="42" t="str">
        <f>IFERROR(VLOOKUP($J54,'Project Reference'!$B$2:$J$41,9,FALSE)," ")</f>
        <v xml:space="preserve"> </v>
      </c>
      <c r="X54" s="42" t="str">
        <f>IFERROR(VLOOKUP($J54,'Project Reference'!$B$2:$K$41,10)," ")</f>
        <v xml:space="preserve"> </v>
      </c>
      <c r="Y54" s="42" t="str">
        <f>IFERROR(VLOOKUP($J54,'Project Reference'!$B$2:$L$41,11)," ")</f>
        <v xml:space="preserve"> </v>
      </c>
      <c r="Z54" s="42" t="str">
        <f>IFERROR(VLOOKUP($J54,'Project Reference'!$B$2:$M$41,12)," ")</f>
        <v xml:space="preserve"> </v>
      </c>
      <c r="AA54" s="42" t="str">
        <f>IFERROR(VLOOKUP($J54,'Project Reference'!$B$2:$N$41,13)," ")</f>
        <v xml:space="preserve"> </v>
      </c>
    </row>
    <row r="55" spans="1:27" s="1" customFormat="1" x14ac:dyDescent="0.45">
      <c r="A55" s="43"/>
      <c r="B55" s="205"/>
      <c r="C55"/>
      <c r="D55" s="72"/>
      <c r="E55" s="72"/>
      <c r="F55" s="72"/>
      <c r="G55" s="72"/>
      <c r="H55" s="17"/>
      <c r="I55" s="41" t="str" cm="1">
        <f t="array" ref="I55">IFERROR(_xlfn.IFS(H55="Hard (Cash)","N/A",H55="Soft (In-Kind)", "Enter Source"),"Select Type")</f>
        <v>Select Type</v>
      </c>
      <c r="J55" s="124"/>
      <c r="K55" s="41" t="str">
        <f>IFERROR(VLOOKUP($J55,'Project Reference'!$S$2:$T$41,2),"Enter Project Number")</f>
        <v>Enter Project Number</v>
      </c>
      <c r="L55" s="41"/>
      <c r="M55" s="41"/>
      <c r="N55" s="15">
        <f t="shared" si="0"/>
        <v>0</v>
      </c>
      <c r="O55" s="19"/>
      <c r="P55" s="42" t="str">
        <f>IFERROR(VLOOKUP($J55,'Project Reference'!$B$2:$C$41,2)," ")</f>
        <v xml:space="preserve"> </v>
      </c>
      <c r="Q55" s="42" t="str">
        <f>IFERROR(VLOOKUP($J55,'Project Reference'!$B$2:$D$41,3)," ")</f>
        <v xml:space="preserve"> </v>
      </c>
      <c r="R55" s="42" t="str">
        <f>IFERROR(VLOOKUP($J55,'Project Reference'!$B$2:$E$41,4)," ")</f>
        <v xml:space="preserve"> </v>
      </c>
      <c r="S55" s="42" t="str">
        <f>IFERROR(VLOOKUP($J55,'Project Reference'!$B$2:$F$41,5,FALSE)," ")</f>
        <v xml:space="preserve"> </v>
      </c>
      <c r="T55" s="42" t="str">
        <f>IFERROR(VLOOKUP($J55,'Project Reference'!$B$2:$G$41,6,FALSE)," ")</f>
        <v xml:space="preserve"> </v>
      </c>
      <c r="U55" s="42" t="str">
        <f>IFERROR(VLOOKUP($J55,'Project Reference'!$B$2:$H$41,7,FALSE)," ")</f>
        <v xml:space="preserve"> </v>
      </c>
      <c r="V55" s="42" t="str">
        <f>IFERROR(VLOOKUP($J55,'Project Reference'!$B$2:$I$41,8,FALSE)," ")</f>
        <v xml:space="preserve"> </v>
      </c>
      <c r="W55" s="42" t="str">
        <f>IFERROR(VLOOKUP($J55,'Project Reference'!$B$2:$J$41,9,FALSE)," ")</f>
        <v xml:space="preserve"> </v>
      </c>
      <c r="X55" s="42" t="str">
        <f>IFERROR(VLOOKUP($J55,'Project Reference'!$B$2:$K$41,10)," ")</f>
        <v xml:space="preserve"> </v>
      </c>
      <c r="Y55" s="42" t="str">
        <f>IFERROR(VLOOKUP($J55,'Project Reference'!$B$2:$L$41,11)," ")</f>
        <v xml:space="preserve"> </v>
      </c>
      <c r="Z55" s="42" t="str">
        <f>IFERROR(VLOOKUP($J55,'Project Reference'!$B$2:$M$41,12)," ")</f>
        <v xml:space="preserve"> </v>
      </c>
      <c r="AA55" s="42" t="str">
        <f>IFERROR(VLOOKUP($J55,'Project Reference'!$B$2:$N$41,13)," ")</f>
        <v xml:space="preserve"> </v>
      </c>
    </row>
    <row r="56" spans="1:27" s="1" customFormat="1" x14ac:dyDescent="0.45">
      <c r="A56" s="43"/>
      <c r="B56" s="205"/>
      <c r="C56"/>
      <c r="D56" s="72"/>
      <c r="E56" s="72"/>
      <c r="F56" s="72"/>
      <c r="G56" s="72"/>
      <c r="H56" s="17"/>
      <c r="I56" s="41" t="str" cm="1">
        <f t="array" ref="I56">IFERROR(_xlfn.IFS(H56="Hard (Cash)","N/A",H56="Soft (In-Kind)", "Enter Source"),"Select Type")</f>
        <v>Select Type</v>
      </c>
      <c r="J56" s="124"/>
      <c r="K56" s="41" t="str">
        <f>IFERROR(VLOOKUP($J56,'Project Reference'!$S$2:$T$41,2),"Enter Project Number")</f>
        <v>Enter Project Number</v>
      </c>
      <c r="L56" s="41"/>
      <c r="M56" s="41"/>
      <c r="N56" s="15">
        <f t="shared" si="0"/>
        <v>0</v>
      </c>
      <c r="O56" s="19"/>
      <c r="P56" s="42" t="str">
        <f>IFERROR(VLOOKUP($J56,'Project Reference'!$B$2:$C$41,2)," ")</f>
        <v xml:space="preserve"> </v>
      </c>
      <c r="Q56" s="42" t="str">
        <f>IFERROR(VLOOKUP($J56,'Project Reference'!$B$2:$D$41,3)," ")</f>
        <v xml:space="preserve"> </v>
      </c>
      <c r="R56" s="42" t="str">
        <f>IFERROR(VLOOKUP($J56,'Project Reference'!$B$2:$E$41,4)," ")</f>
        <v xml:space="preserve"> </v>
      </c>
      <c r="S56" s="42" t="str">
        <f>IFERROR(VLOOKUP($J56,'Project Reference'!$B$2:$F$41,5,FALSE)," ")</f>
        <v xml:space="preserve"> </v>
      </c>
      <c r="T56" s="42" t="str">
        <f>IFERROR(VLOOKUP($J56,'Project Reference'!$B$2:$G$41,6,FALSE)," ")</f>
        <v xml:space="preserve"> </v>
      </c>
      <c r="U56" s="42" t="str">
        <f>IFERROR(VLOOKUP($J56,'Project Reference'!$B$2:$H$41,7,FALSE)," ")</f>
        <v xml:space="preserve"> </v>
      </c>
      <c r="V56" s="42" t="str">
        <f>IFERROR(VLOOKUP($J56,'Project Reference'!$B$2:$I$41,8,FALSE)," ")</f>
        <v xml:space="preserve"> </v>
      </c>
      <c r="W56" s="42" t="str">
        <f>IFERROR(VLOOKUP($J56,'Project Reference'!$B$2:$J$41,9,FALSE)," ")</f>
        <v xml:space="preserve"> </v>
      </c>
      <c r="X56" s="42" t="str">
        <f>IFERROR(VLOOKUP($J56,'Project Reference'!$B$2:$K$41,10)," ")</f>
        <v xml:space="preserve"> </v>
      </c>
      <c r="Y56" s="42" t="str">
        <f>IFERROR(VLOOKUP($J56,'Project Reference'!$B$2:$L$41,11)," ")</f>
        <v xml:space="preserve"> </v>
      </c>
      <c r="Z56" s="42" t="str">
        <f>IFERROR(VLOOKUP($J56,'Project Reference'!$B$2:$M$41,12)," ")</f>
        <v xml:space="preserve"> </v>
      </c>
      <c r="AA56" s="42" t="str">
        <f>IFERROR(VLOOKUP($J56,'Project Reference'!$B$2:$N$41,13)," ")</f>
        <v xml:space="preserve"> </v>
      </c>
    </row>
    <row r="57" spans="1:27" s="1" customFormat="1" x14ac:dyDescent="0.45">
      <c r="A57" s="43"/>
      <c r="B57" s="205"/>
      <c r="C57"/>
      <c r="D57" s="72"/>
      <c r="E57" s="72"/>
      <c r="F57" s="72"/>
      <c r="G57" s="72"/>
      <c r="H57" s="17"/>
      <c r="I57" s="41" t="str" cm="1">
        <f t="array" ref="I57">IFERROR(_xlfn.IFS(H57="Hard (Cash)","N/A",H57="Soft (In-Kind)", "Enter Source"),"Select Type")</f>
        <v>Select Type</v>
      </c>
      <c r="J57" s="124"/>
      <c r="K57" s="41" t="str">
        <f>IFERROR(VLOOKUP($J57,'Project Reference'!$S$2:$T$41,2),"Enter Project Number")</f>
        <v>Enter Project Number</v>
      </c>
      <c r="L57" s="41"/>
      <c r="M57" s="41"/>
      <c r="N57" s="15">
        <f t="shared" si="0"/>
        <v>0</v>
      </c>
      <c r="O57" s="19"/>
      <c r="P57" s="42" t="str">
        <f>IFERROR(VLOOKUP($J57,'Project Reference'!$B$2:$C$41,2)," ")</f>
        <v xml:space="preserve"> </v>
      </c>
      <c r="Q57" s="42" t="str">
        <f>IFERROR(VLOOKUP($J57,'Project Reference'!$B$2:$D$41,3)," ")</f>
        <v xml:space="preserve"> </v>
      </c>
      <c r="R57" s="42" t="str">
        <f>IFERROR(VLOOKUP($J57,'Project Reference'!$B$2:$E$41,4)," ")</f>
        <v xml:space="preserve"> </v>
      </c>
      <c r="S57" s="42" t="str">
        <f>IFERROR(VLOOKUP($J57,'Project Reference'!$B$2:$F$41,5,FALSE)," ")</f>
        <v xml:space="preserve"> </v>
      </c>
      <c r="T57" s="42" t="str">
        <f>IFERROR(VLOOKUP($J57,'Project Reference'!$B$2:$G$41,6,FALSE)," ")</f>
        <v xml:space="preserve"> </v>
      </c>
      <c r="U57" s="42" t="str">
        <f>IFERROR(VLOOKUP($J57,'Project Reference'!$B$2:$H$41,7,FALSE)," ")</f>
        <v xml:space="preserve"> </v>
      </c>
      <c r="V57" s="42" t="str">
        <f>IFERROR(VLOOKUP($J57,'Project Reference'!$B$2:$I$41,8,FALSE)," ")</f>
        <v xml:space="preserve"> </v>
      </c>
      <c r="W57" s="42" t="str">
        <f>IFERROR(VLOOKUP($J57,'Project Reference'!$B$2:$J$41,9,FALSE)," ")</f>
        <v xml:space="preserve"> </v>
      </c>
      <c r="X57" s="42" t="str">
        <f>IFERROR(VLOOKUP($J57,'Project Reference'!$B$2:$K$41,10)," ")</f>
        <v xml:space="preserve"> </v>
      </c>
      <c r="Y57" s="42" t="str">
        <f>IFERROR(VLOOKUP($J57,'Project Reference'!$B$2:$L$41,11)," ")</f>
        <v xml:space="preserve"> </v>
      </c>
      <c r="Z57" s="42" t="str">
        <f>IFERROR(VLOOKUP($J57,'Project Reference'!$B$2:$M$41,12)," ")</f>
        <v xml:space="preserve"> </v>
      </c>
      <c r="AA57" s="42" t="str">
        <f>IFERROR(VLOOKUP($J57,'Project Reference'!$B$2:$N$41,13)," ")</f>
        <v xml:space="preserve"> </v>
      </c>
    </row>
    <row r="58" spans="1:27" s="1" customFormat="1" x14ac:dyDescent="0.45">
      <c r="A58" s="43"/>
      <c r="B58" s="205"/>
      <c r="C58"/>
      <c r="D58" s="72"/>
      <c r="E58" s="72"/>
      <c r="F58" s="72"/>
      <c r="G58" s="72"/>
      <c r="H58" s="17"/>
      <c r="I58" s="41" t="str" cm="1">
        <f t="array" ref="I58">IFERROR(_xlfn.IFS(H58="Hard (Cash)","N/A",H58="Soft (In-Kind)", "Enter Source"),"Select Type")</f>
        <v>Select Type</v>
      </c>
      <c r="J58" s="124"/>
      <c r="K58" s="41" t="str">
        <f>IFERROR(VLOOKUP($J58,'Project Reference'!$S$2:$T$41,2),"Enter Project Number")</f>
        <v>Enter Project Number</v>
      </c>
      <c r="L58" s="41"/>
      <c r="M58" s="41"/>
      <c r="N58" s="15">
        <f t="shared" si="0"/>
        <v>0</v>
      </c>
      <c r="O58" s="19"/>
      <c r="P58" s="42" t="str">
        <f>IFERROR(VLOOKUP($J58,'Project Reference'!$B$2:$C$41,2)," ")</f>
        <v xml:space="preserve"> </v>
      </c>
      <c r="Q58" s="42" t="str">
        <f>IFERROR(VLOOKUP($J58,'Project Reference'!$B$2:$D$41,3)," ")</f>
        <v xml:space="preserve"> </v>
      </c>
      <c r="R58" s="42" t="str">
        <f>IFERROR(VLOOKUP($J58,'Project Reference'!$B$2:$E$41,4)," ")</f>
        <v xml:space="preserve"> </v>
      </c>
      <c r="S58" s="42" t="str">
        <f>IFERROR(VLOOKUP($J58,'Project Reference'!$B$2:$F$41,5,FALSE)," ")</f>
        <v xml:space="preserve"> </v>
      </c>
      <c r="T58" s="42" t="str">
        <f>IFERROR(VLOOKUP($J58,'Project Reference'!$B$2:$G$41,6,FALSE)," ")</f>
        <v xml:space="preserve"> </v>
      </c>
      <c r="U58" s="42" t="str">
        <f>IFERROR(VLOOKUP($J58,'Project Reference'!$B$2:$H$41,7,FALSE)," ")</f>
        <v xml:space="preserve"> </v>
      </c>
      <c r="V58" s="42" t="str">
        <f>IFERROR(VLOOKUP($J58,'Project Reference'!$B$2:$I$41,8,FALSE)," ")</f>
        <v xml:space="preserve"> </v>
      </c>
      <c r="W58" s="42" t="str">
        <f>IFERROR(VLOOKUP($J58,'Project Reference'!$B$2:$J$41,9,FALSE)," ")</f>
        <v xml:space="preserve"> </v>
      </c>
      <c r="X58" s="42" t="str">
        <f>IFERROR(VLOOKUP($J58,'Project Reference'!$B$2:$K$41,10)," ")</f>
        <v xml:space="preserve"> </v>
      </c>
      <c r="Y58" s="42" t="str">
        <f>IFERROR(VLOOKUP($J58,'Project Reference'!$B$2:$L$41,11)," ")</f>
        <v xml:space="preserve"> </v>
      </c>
      <c r="Z58" s="42" t="str">
        <f>IFERROR(VLOOKUP($J58,'Project Reference'!$B$2:$M$41,12)," ")</f>
        <v xml:space="preserve"> </v>
      </c>
      <c r="AA58" s="42" t="str">
        <f>IFERROR(VLOOKUP($J58,'Project Reference'!$B$2:$N$41,13)," ")</f>
        <v xml:space="preserve"> </v>
      </c>
    </row>
    <row r="59" spans="1:27" s="1" customFormat="1" x14ac:dyDescent="0.45">
      <c r="A59" s="43"/>
      <c r="B59" s="205"/>
      <c r="C59"/>
      <c r="D59" s="72"/>
      <c r="E59" s="72"/>
      <c r="F59" s="72"/>
      <c r="G59" s="72"/>
      <c r="H59" s="17"/>
      <c r="I59" s="41" t="str" cm="1">
        <f t="array" ref="I59">IFERROR(_xlfn.IFS(H59="Hard (Cash)","N/A",H59="Soft (In-Kind)", "Enter Source"),"Select Type")</f>
        <v>Select Type</v>
      </c>
      <c r="J59" s="124"/>
      <c r="K59" s="41" t="str">
        <f>IFERROR(VLOOKUP($J59,'Project Reference'!$S$2:$T$41,2),"Enter Project Number")</f>
        <v>Enter Project Number</v>
      </c>
      <c r="L59" s="41"/>
      <c r="M59" s="41"/>
      <c r="N59" s="15">
        <f t="shared" si="0"/>
        <v>0</v>
      </c>
      <c r="O59" s="19"/>
      <c r="P59" s="42" t="str">
        <f>IFERROR(VLOOKUP($J59,'Project Reference'!$B$2:$C$41,2)," ")</f>
        <v xml:space="preserve"> </v>
      </c>
      <c r="Q59" s="42" t="str">
        <f>IFERROR(VLOOKUP($J59,'Project Reference'!$B$2:$D$41,3)," ")</f>
        <v xml:space="preserve"> </v>
      </c>
      <c r="R59" s="42" t="str">
        <f>IFERROR(VLOOKUP($J59,'Project Reference'!$B$2:$E$41,4)," ")</f>
        <v xml:space="preserve"> </v>
      </c>
      <c r="S59" s="42" t="str">
        <f>IFERROR(VLOOKUP($J59,'Project Reference'!$B$2:$F$41,5,FALSE)," ")</f>
        <v xml:space="preserve"> </v>
      </c>
      <c r="T59" s="42" t="str">
        <f>IFERROR(VLOOKUP($J59,'Project Reference'!$B$2:$G$41,6,FALSE)," ")</f>
        <v xml:space="preserve"> </v>
      </c>
      <c r="U59" s="42" t="str">
        <f>IFERROR(VLOOKUP($J59,'Project Reference'!$B$2:$H$41,7,FALSE)," ")</f>
        <v xml:space="preserve"> </v>
      </c>
      <c r="V59" s="42" t="str">
        <f>IFERROR(VLOOKUP($J59,'Project Reference'!$B$2:$I$41,8,FALSE)," ")</f>
        <v xml:space="preserve"> </v>
      </c>
      <c r="W59" s="42" t="str">
        <f>IFERROR(VLOOKUP($J59,'Project Reference'!$B$2:$J$41,9,FALSE)," ")</f>
        <v xml:space="preserve"> </v>
      </c>
      <c r="X59" s="42" t="str">
        <f>IFERROR(VLOOKUP($J59,'Project Reference'!$B$2:$K$41,10)," ")</f>
        <v xml:space="preserve"> </v>
      </c>
      <c r="Y59" s="42" t="str">
        <f>IFERROR(VLOOKUP($J59,'Project Reference'!$B$2:$L$41,11)," ")</f>
        <v xml:space="preserve"> </v>
      </c>
      <c r="Z59" s="42" t="str">
        <f>IFERROR(VLOOKUP($J59,'Project Reference'!$B$2:$M$41,12)," ")</f>
        <v xml:space="preserve"> </v>
      </c>
      <c r="AA59" s="42" t="str">
        <f>IFERROR(VLOOKUP($J59,'Project Reference'!$B$2:$N$41,13)," ")</f>
        <v xml:space="preserve"> </v>
      </c>
    </row>
    <row r="60" spans="1:27" s="1" customFormat="1" x14ac:dyDescent="0.45">
      <c r="A60" s="43"/>
      <c r="B60" s="205"/>
      <c r="C60"/>
      <c r="D60" s="72"/>
      <c r="E60" s="72"/>
      <c r="F60" s="72"/>
      <c r="G60" s="72"/>
      <c r="H60" s="17"/>
      <c r="I60" s="41" t="str" cm="1">
        <f t="array" ref="I60">IFERROR(_xlfn.IFS(H60="Hard (Cash)","N/A",H60="Soft (In-Kind)", "Enter Source"),"Select Type")</f>
        <v>Select Type</v>
      </c>
      <c r="J60" s="124"/>
      <c r="K60" s="41" t="str">
        <f>IFERROR(VLOOKUP($J60,'Project Reference'!$S$2:$T$41,2),"Enter Project Number")</f>
        <v>Enter Project Number</v>
      </c>
      <c r="L60" s="41"/>
      <c r="M60" s="41"/>
      <c r="N60" s="15">
        <f t="shared" si="0"/>
        <v>0</v>
      </c>
      <c r="O60" s="19"/>
      <c r="P60" s="42" t="str">
        <f>IFERROR(VLOOKUP($J60,'Project Reference'!$B$2:$C$41,2)," ")</f>
        <v xml:space="preserve"> </v>
      </c>
      <c r="Q60" s="42" t="str">
        <f>IFERROR(VLOOKUP($J60,'Project Reference'!$B$2:$D$41,3)," ")</f>
        <v xml:space="preserve"> </v>
      </c>
      <c r="R60" s="42" t="str">
        <f>IFERROR(VLOOKUP($J60,'Project Reference'!$B$2:$E$41,4)," ")</f>
        <v xml:space="preserve"> </v>
      </c>
      <c r="S60" s="42" t="str">
        <f>IFERROR(VLOOKUP($J60,'Project Reference'!$B$2:$F$41,5,FALSE)," ")</f>
        <v xml:space="preserve"> </v>
      </c>
      <c r="T60" s="42" t="str">
        <f>IFERROR(VLOOKUP($J60,'Project Reference'!$B$2:$G$41,6,FALSE)," ")</f>
        <v xml:space="preserve"> </v>
      </c>
      <c r="U60" s="42" t="str">
        <f>IFERROR(VLOOKUP($J60,'Project Reference'!$B$2:$H$41,7,FALSE)," ")</f>
        <v xml:space="preserve"> </v>
      </c>
      <c r="V60" s="42" t="str">
        <f>IFERROR(VLOOKUP($J60,'Project Reference'!$B$2:$I$41,8,FALSE)," ")</f>
        <v xml:space="preserve"> </v>
      </c>
      <c r="W60" s="42" t="str">
        <f>IFERROR(VLOOKUP($J60,'Project Reference'!$B$2:$J$41,9,FALSE)," ")</f>
        <v xml:space="preserve"> </v>
      </c>
      <c r="X60" s="42" t="str">
        <f>IFERROR(VLOOKUP($J60,'Project Reference'!$B$2:$K$41,10)," ")</f>
        <v xml:space="preserve"> </v>
      </c>
      <c r="Y60" s="42" t="str">
        <f>IFERROR(VLOOKUP($J60,'Project Reference'!$B$2:$L$41,11)," ")</f>
        <v xml:space="preserve"> </v>
      </c>
      <c r="Z60" s="42" t="str">
        <f>IFERROR(VLOOKUP($J60,'Project Reference'!$B$2:$M$41,12)," ")</f>
        <v xml:space="preserve"> </v>
      </c>
      <c r="AA60" s="42" t="str">
        <f>IFERROR(VLOOKUP($J60,'Project Reference'!$B$2:$N$41,13)," ")</f>
        <v xml:space="preserve"> </v>
      </c>
    </row>
    <row r="61" spans="1:27" s="1" customFormat="1" x14ac:dyDescent="0.45">
      <c r="A61" s="43"/>
      <c r="B61" s="205"/>
      <c r="C61"/>
      <c r="D61" s="72"/>
      <c r="E61" s="72"/>
      <c r="F61" s="72"/>
      <c r="G61" s="72"/>
      <c r="H61" s="17"/>
      <c r="I61" s="41" t="str" cm="1">
        <f t="array" ref="I61">IFERROR(_xlfn.IFS(H61="Hard (Cash)","N/A",H61="Soft (In-Kind)", "Enter Source"),"Select Type")</f>
        <v>Select Type</v>
      </c>
      <c r="J61" s="124"/>
      <c r="K61" s="41" t="str">
        <f>IFERROR(VLOOKUP($J61,'Project Reference'!$S$2:$T$41,2),"Enter Project Number")</f>
        <v>Enter Project Number</v>
      </c>
      <c r="L61" s="41"/>
      <c r="M61" s="41"/>
      <c r="N61" s="15">
        <f t="shared" si="0"/>
        <v>0</v>
      </c>
      <c r="O61" s="19"/>
      <c r="P61" s="42" t="str">
        <f>IFERROR(VLOOKUP($J61,'Project Reference'!$B$2:$C$41,2)," ")</f>
        <v xml:space="preserve"> </v>
      </c>
      <c r="Q61" s="42" t="str">
        <f>IFERROR(VLOOKUP($J61,'Project Reference'!$B$2:$D$41,3)," ")</f>
        <v xml:space="preserve"> </v>
      </c>
      <c r="R61" s="42" t="str">
        <f>IFERROR(VLOOKUP($J61,'Project Reference'!$B$2:$E$41,4)," ")</f>
        <v xml:space="preserve"> </v>
      </c>
      <c r="S61" s="42" t="str">
        <f>IFERROR(VLOOKUP($J61,'Project Reference'!$B$2:$F$41,5,FALSE)," ")</f>
        <v xml:space="preserve"> </v>
      </c>
      <c r="T61" s="42" t="str">
        <f>IFERROR(VLOOKUP($J61,'Project Reference'!$B$2:$G$41,6,FALSE)," ")</f>
        <v xml:space="preserve"> </v>
      </c>
      <c r="U61" s="42" t="str">
        <f>IFERROR(VLOOKUP($J61,'Project Reference'!$B$2:$H$41,7,FALSE)," ")</f>
        <v xml:space="preserve"> </v>
      </c>
      <c r="V61" s="42" t="str">
        <f>IFERROR(VLOOKUP($J61,'Project Reference'!$B$2:$I$41,8,FALSE)," ")</f>
        <v xml:space="preserve"> </v>
      </c>
      <c r="W61" s="42" t="str">
        <f>IFERROR(VLOOKUP($J61,'Project Reference'!$B$2:$J$41,9,FALSE)," ")</f>
        <v xml:space="preserve"> </v>
      </c>
      <c r="X61" s="42" t="str">
        <f>IFERROR(VLOOKUP($J61,'Project Reference'!$B$2:$K$41,10)," ")</f>
        <v xml:space="preserve"> </v>
      </c>
      <c r="Y61" s="42" t="str">
        <f>IFERROR(VLOOKUP($J61,'Project Reference'!$B$2:$L$41,11)," ")</f>
        <v xml:space="preserve"> </v>
      </c>
      <c r="Z61" s="42" t="str">
        <f>IFERROR(VLOOKUP($J61,'Project Reference'!$B$2:$M$41,12)," ")</f>
        <v xml:space="preserve"> </v>
      </c>
      <c r="AA61" s="42" t="str">
        <f>IFERROR(VLOOKUP($J61,'Project Reference'!$B$2:$N$41,13)," ")</f>
        <v xml:space="preserve"> </v>
      </c>
    </row>
    <row r="62" spans="1:27" s="1" customFormat="1" x14ac:dyDescent="0.45">
      <c r="A62" s="43"/>
      <c r="B62" s="205"/>
      <c r="C62"/>
      <c r="D62" s="72"/>
      <c r="E62" s="72"/>
      <c r="F62" s="72"/>
      <c r="G62" s="72"/>
      <c r="H62" s="17"/>
      <c r="I62" s="41" t="str" cm="1">
        <f t="array" ref="I62">IFERROR(_xlfn.IFS(H62="Hard (Cash)","N/A",H62="Soft (In-Kind)", "Enter Source"),"Select Type")</f>
        <v>Select Type</v>
      </c>
      <c r="J62" s="124"/>
      <c r="K62" s="41" t="str">
        <f>IFERROR(VLOOKUP($J62,'Project Reference'!$S$2:$T$41,2),"Enter Project Number")</f>
        <v>Enter Project Number</v>
      </c>
      <c r="L62" s="41"/>
      <c r="M62" s="41"/>
      <c r="N62" s="15">
        <f t="shared" si="0"/>
        <v>0</v>
      </c>
      <c r="O62" s="19"/>
      <c r="P62" s="42" t="str">
        <f>IFERROR(VLOOKUP($J62,'Project Reference'!$B$2:$C$41,2)," ")</f>
        <v xml:space="preserve"> </v>
      </c>
      <c r="Q62" s="42" t="str">
        <f>IFERROR(VLOOKUP($J62,'Project Reference'!$B$2:$D$41,3)," ")</f>
        <v xml:space="preserve"> </v>
      </c>
      <c r="R62" s="42" t="str">
        <f>IFERROR(VLOOKUP($J62,'Project Reference'!$B$2:$E$41,4)," ")</f>
        <v xml:space="preserve"> </v>
      </c>
      <c r="S62" s="42" t="str">
        <f>IFERROR(VLOOKUP($J62,'Project Reference'!$B$2:$F$41,5,FALSE)," ")</f>
        <v xml:space="preserve"> </v>
      </c>
      <c r="T62" s="42" t="str">
        <f>IFERROR(VLOOKUP($J62,'Project Reference'!$B$2:$G$41,6,FALSE)," ")</f>
        <v xml:space="preserve"> </v>
      </c>
      <c r="U62" s="42" t="str">
        <f>IFERROR(VLOOKUP($J62,'Project Reference'!$B$2:$H$41,7,FALSE)," ")</f>
        <v xml:space="preserve"> </v>
      </c>
      <c r="V62" s="42" t="str">
        <f>IFERROR(VLOOKUP($J62,'Project Reference'!$B$2:$I$41,8,FALSE)," ")</f>
        <v xml:space="preserve"> </v>
      </c>
      <c r="W62" s="42" t="str">
        <f>IFERROR(VLOOKUP($J62,'Project Reference'!$B$2:$J$41,9,FALSE)," ")</f>
        <v xml:space="preserve"> </v>
      </c>
      <c r="X62" s="42" t="str">
        <f>IFERROR(VLOOKUP($J62,'Project Reference'!$B$2:$K$41,10)," ")</f>
        <v xml:space="preserve"> </v>
      </c>
      <c r="Y62" s="42" t="str">
        <f>IFERROR(VLOOKUP($J62,'Project Reference'!$B$2:$L$41,11)," ")</f>
        <v xml:space="preserve"> </v>
      </c>
      <c r="Z62" s="42" t="str">
        <f>IFERROR(VLOOKUP($J62,'Project Reference'!$B$2:$M$41,12)," ")</f>
        <v xml:space="preserve"> </v>
      </c>
      <c r="AA62" s="42" t="str">
        <f>IFERROR(VLOOKUP($J62,'Project Reference'!$B$2:$N$41,13)," ")</f>
        <v xml:space="preserve"> </v>
      </c>
    </row>
    <row r="63" spans="1:27" s="1" customFormat="1" x14ac:dyDescent="0.45">
      <c r="A63" s="43"/>
      <c r="B63" s="205"/>
      <c r="C63"/>
      <c r="D63" s="72"/>
      <c r="E63" s="72"/>
      <c r="F63" s="72"/>
      <c r="G63" s="72"/>
      <c r="H63" s="17"/>
      <c r="I63" s="41" t="str" cm="1">
        <f t="array" ref="I63">IFERROR(_xlfn.IFS(H63="Hard (Cash)","N/A",H63="Soft (In-Kind)", "Enter Source"),"Select Type")</f>
        <v>Select Type</v>
      </c>
      <c r="J63" s="124"/>
      <c r="K63" s="41" t="str">
        <f>IFERROR(VLOOKUP($J63,'Project Reference'!$S$2:$T$41,2),"Enter Project Number")</f>
        <v>Enter Project Number</v>
      </c>
      <c r="L63" s="41"/>
      <c r="M63" s="41"/>
      <c r="N63" s="15">
        <f t="shared" si="0"/>
        <v>0</v>
      </c>
      <c r="O63" s="19"/>
      <c r="P63" s="42" t="str">
        <f>IFERROR(VLOOKUP($J63,'Project Reference'!$B$2:$C$41,2)," ")</f>
        <v xml:space="preserve"> </v>
      </c>
      <c r="Q63" s="42" t="str">
        <f>IFERROR(VLOOKUP($J63,'Project Reference'!$B$2:$D$41,3)," ")</f>
        <v xml:space="preserve"> </v>
      </c>
      <c r="R63" s="42" t="str">
        <f>IFERROR(VLOOKUP($J63,'Project Reference'!$B$2:$E$41,4)," ")</f>
        <v xml:space="preserve"> </v>
      </c>
      <c r="S63" s="42" t="str">
        <f>IFERROR(VLOOKUP($J63,'Project Reference'!$B$2:$F$41,5,FALSE)," ")</f>
        <v xml:space="preserve"> </v>
      </c>
      <c r="T63" s="42" t="str">
        <f>IFERROR(VLOOKUP($J63,'Project Reference'!$B$2:$G$41,6,FALSE)," ")</f>
        <v xml:space="preserve"> </v>
      </c>
      <c r="U63" s="42" t="str">
        <f>IFERROR(VLOOKUP($J63,'Project Reference'!$B$2:$H$41,7,FALSE)," ")</f>
        <v xml:space="preserve"> </v>
      </c>
      <c r="V63" s="42" t="str">
        <f>IFERROR(VLOOKUP($J63,'Project Reference'!$B$2:$I$41,8,FALSE)," ")</f>
        <v xml:space="preserve"> </v>
      </c>
      <c r="W63" s="42" t="str">
        <f>IFERROR(VLOOKUP($J63,'Project Reference'!$B$2:$J$41,9,FALSE)," ")</f>
        <v xml:space="preserve"> </v>
      </c>
      <c r="X63" s="42" t="str">
        <f>IFERROR(VLOOKUP($J63,'Project Reference'!$B$2:$K$41,10)," ")</f>
        <v xml:space="preserve"> </v>
      </c>
      <c r="Y63" s="42" t="str">
        <f>IFERROR(VLOOKUP($J63,'Project Reference'!$B$2:$L$41,11)," ")</f>
        <v xml:space="preserve"> </v>
      </c>
      <c r="Z63" s="42" t="str">
        <f>IFERROR(VLOOKUP($J63,'Project Reference'!$B$2:$M$41,12)," ")</f>
        <v xml:space="preserve"> </v>
      </c>
      <c r="AA63" s="42" t="str">
        <f>IFERROR(VLOOKUP($J63,'Project Reference'!$B$2:$N$41,13)," ")</f>
        <v xml:space="preserve"> </v>
      </c>
    </row>
    <row r="64" spans="1:27" s="1" customFormat="1" x14ac:dyDescent="0.45">
      <c r="A64" s="43"/>
      <c r="B64" s="205"/>
      <c r="C64"/>
      <c r="D64" s="72"/>
      <c r="E64" s="72"/>
      <c r="F64" s="72"/>
      <c r="G64" s="72"/>
      <c r="H64" s="17"/>
      <c r="I64" s="41" t="str" cm="1">
        <f t="array" ref="I64">IFERROR(_xlfn.IFS(H64="Hard (Cash)","N/A",H64="Soft (In-Kind)", "Enter Source"),"Select Type")</f>
        <v>Select Type</v>
      </c>
      <c r="J64" s="124"/>
      <c r="K64" s="41" t="str">
        <f>IFERROR(VLOOKUP($J64,'Project Reference'!$S$2:$T$41,2),"Enter Project Number")</f>
        <v>Enter Project Number</v>
      </c>
      <c r="L64" s="41"/>
      <c r="M64" s="41"/>
      <c r="N64" s="15">
        <f t="shared" si="0"/>
        <v>0</v>
      </c>
      <c r="O64" s="19"/>
      <c r="P64" s="42" t="str">
        <f>IFERROR(VLOOKUP($J64,'Project Reference'!$B$2:$C$41,2)," ")</f>
        <v xml:space="preserve"> </v>
      </c>
      <c r="Q64" s="42" t="str">
        <f>IFERROR(VLOOKUP($J64,'Project Reference'!$B$2:$D$41,3)," ")</f>
        <v xml:space="preserve"> </v>
      </c>
      <c r="R64" s="42" t="str">
        <f>IFERROR(VLOOKUP($J64,'Project Reference'!$B$2:$E$41,4)," ")</f>
        <v xml:space="preserve"> </v>
      </c>
      <c r="S64" s="42" t="str">
        <f>IFERROR(VLOOKUP($J64,'Project Reference'!$B$2:$F$41,5,FALSE)," ")</f>
        <v xml:space="preserve"> </v>
      </c>
      <c r="T64" s="42" t="str">
        <f>IFERROR(VLOOKUP($J64,'Project Reference'!$B$2:$G$41,6,FALSE)," ")</f>
        <v xml:space="preserve"> </v>
      </c>
      <c r="U64" s="42" t="str">
        <f>IFERROR(VLOOKUP($J64,'Project Reference'!$B$2:$H$41,7,FALSE)," ")</f>
        <v xml:space="preserve"> </v>
      </c>
      <c r="V64" s="42" t="str">
        <f>IFERROR(VLOOKUP($J64,'Project Reference'!$B$2:$I$41,8,FALSE)," ")</f>
        <v xml:space="preserve"> </v>
      </c>
      <c r="W64" s="42" t="str">
        <f>IFERROR(VLOOKUP($J64,'Project Reference'!$B$2:$J$41,9,FALSE)," ")</f>
        <v xml:space="preserve"> </v>
      </c>
      <c r="X64" s="42" t="str">
        <f>IFERROR(VLOOKUP($J64,'Project Reference'!$B$2:$K$41,10)," ")</f>
        <v xml:space="preserve"> </v>
      </c>
      <c r="Y64" s="42" t="str">
        <f>IFERROR(VLOOKUP($J64,'Project Reference'!$B$2:$L$41,11)," ")</f>
        <v xml:space="preserve"> </v>
      </c>
      <c r="Z64" s="42" t="str">
        <f>IFERROR(VLOOKUP($J64,'Project Reference'!$B$2:$M$41,12)," ")</f>
        <v xml:space="preserve"> </v>
      </c>
      <c r="AA64" s="42" t="str">
        <f>IFERROR(VLOOKUP($J64,'Project Reference'!$B$2:$N$41,13)," ")</f>
        <v xml:space="preserve"> </v>
      </c>
    </row>
    <row r="65" spans="1:27" s="1" customFormat="1" x14ac:dyDescent="0.45">
      <c r="A65" s="43"/>
      <c r="B65" s="205"/>
      <c r="C65"/>
      <c r="D65" s="72"/>
      <c r="E65" s="72"/>
      <c r="F65" s="72"/>
      <c r="G65" s="72"/>
      <c r="H65" s="17"/>
      <c r="I65" s="41" t="str" cm="1">
        <f t="array" ref="I65">IFERROR(_xlfn.IFS(H65="Hard (Cash)","N/A",H65="Soft (In-Kind)", "Enter Source"),"Select Type")</f>
        <v>Select Type</v>
      </c>
      <c r="J65" s="124"/>
      <c r="K65" s="41" t="str">
        <f>IFERROR(VLOOKUP($J65,'Project Reference'!$S$2:$T$41,2),"Enter Project Number")</f>
        <v>Enter Project Number</v>
      </c>
      <c r="L65" s="41"/>
      <c r="M65" s="41"/>
      <c r="N65" s="15">
        <f t="shared" si="0"/>
        <v>0</v>
      </c>
      <c r="O65" s="19"/>
      <c r="P65" s="42" t="str">
        <f>IFERROR(VLOOKUP($J65,'Project Reference'!$B$2:$C$41,2)," ")</f>
        <v xml:space="preserve"> </v>
      </c>
      <c r="Q65" s="42" t="str">
        <f>IFERROR(VLOOKUP($J65,'Project Reference'!$B$2:$D$41,3)," ")</f>
        <v xml:space="preserve"> </v>
      </c>
      <c r="R65" s="42" t="str">
        <f>IFERROR(VLOOKUP($J65,'Project Reference'!$B$2:$E$41,4)," ")</f>
        <v xml:space="preserve"> </v>
      </c>
      <c r="S65" s="42" t="str">
        <f>IFERROR(VLOOKUP($J65,'Project Reference'!$B$2:$F$41,5,FALSE)," ")</f>
        <v xml:space="preserve"> </v>
      </c>
      <c r="T65" s="42" t="str">
        <f>IFERROR(VLOOKUP($J65,'Project Reference'!$B$2:$G$41,6,FALSE)," ")</f>
        <v xml:space="preserve"> </v>
      </c>
      <c r="U65" s="42" t="str">
        <f>IFERROR(VLOOKUP($J65,'Project Reference'!$B$2:$H$41,7,FALSE)," ")</f>
        <v xml:space="preserve"> </v>
      </c>
      <c r="V65" s="42" t="str">
        <f>IFERROR(VLOOKUP($J65,'Project Reference'!$B$2:$I$41,8,FALSE)," ")</f>
        <v xml:space="preserve"> </v>
      </c>
      <c r="W65" s="42" t="str">
        <f>IFERROR(VLOOKUP($J65,'Project Reference'!$B$2:$J$41,9,FALSE)," ")</f>
        <v xml:space="preserve"> </v>
      </c>
      <c r="X65" s="42" t="str">
        <f>IFERROR(VLOOKUP($J65,'Project Reference'!$B$2:$K$41,10)," ")</f>
        <v xml:space="preserve"> </v>
      </c>
      <c r="Y65" s="42" t="str">
        <f>IFERROR(VLOOKUP($J65,'Project Reference'!$B$2:$L$41,11)," ")</f>
        <v xml:space="preserve"> </v>
      </c>
      <c r="Z65" s="42" t="str">
        <f>IFERROR(VLOOKUP($J65,'Project Reference'!$B$2:$M$41,12)," ")</f>
        <v xml:space="preserve"> </v>
      </c>
      <c r="AA65" s="42" t="str">
        <f>IFERROR(VLOOKUP($J65,'Project Reference'!$B$2:$N$41,13)," ")</f>
        <v xml:space="preserve"> </v>
      </c>
    </row>
    <row r="66" spans="1:27" s="1" customFormat="1" x14ac:dyDescent="0.45">
      <c r="A66" s="43"/>
      <c r="B66" s="205"/>
      <c r="C66"/>
      <c r="D66" s="72"/>
      <c r="E66" s="72"/>
      <c r="F66" s="72"/>
      <c r="G66" s="72"/>
      <c r="H66" s="17"/>
      <c r="I66" s="41" t="str" cm="1">
        <f t="array" ref="I66">IFERROR(_xlfn.IFS(H66="Hard (Cash)","N/A",H66="Soft (In-Kind)", "Enter Source"),"Select Type")</f>
        <v>Select Type</v>
      </c>
      <c r="J66" s="124"/>
      <c r="K66" s="41" t="str">
        <f>IFERROR(VLOOKUP($J66,'Project Reference'!$S$2:$T$41,2),"Enter Project Number")</f>
        <v>Enter Project Number</v>
      </c>
      <c r="L66" s="41"/>
      <c r="M66" s="41"/>
      <c r="N66" s="15">
        <f t="shared" si="0"/>
        <v>0</v>
      </c>
      <c r="O66" s="19"/>
      <c r="P66" s="42" t="str">
        <f>IFERROR(VLOOKUP($J66,'Project Reference'!$B$2:$C$41,2)," ")</f>
        <v xml:space="preserve"> </v>
      </c>
      <c r="Q66" s="42" t="str">
        <f>IFERROR(VLOOKUP($J66,'Project Reference'!$B$2:$D$41,3)," ")</f>
        <v xml:space="preserve"> </v>
      </c>
      <c r="R66" s="42" t="str">
        <f>IFERROR(VLOOKUP($J66,'Project Reference'!$B$2:$E$41,4)," ")</f>
        <v xml:space="preserve"> </v>
      </c>
      <c r="S66" s="42" t="str">
        <f>IFERROR(VLOOKUP($J66,'Project Reference'!$B$2:$F$41,5,FALSE)," ")</f>
        <v xml:space="preserve"> </v>
      </c>
      <c r="T66" s="42" t="str">
        <f>IFERROR(VLOOKUP($J66,'Project Reference'!$B$2:$G$41,6,FALSE)," ")</f>
        <v xml:space="preserve"> </v>
      </c>
      <c r="U66" s="42" t="str">
        <f>IFERROR(VLOOKUP($J66,'Project Reference'!$B$2:$H$41,7,FALSE)," ")</f>
        <v xml:space="preserve"> </v>
      </c>
      <c r="V66" s="42" t="str">
        <f>IFERROR(VLOOKUP($J66,'Project Reference'!$B$2:$I$41,8,FALSE)," ")</f>
        <v xml:space="preserve"> </v>
      </c>
      <c r="W66" s="42" t="str">
        <f>IFERROR(VLOOKUP($J66,'Project Reference'!$B$2:$J$41,9,FALSE)," ")</f>
        <v xml:space="preserve"> </v>
      </c>
      <c r="X66" s="42" t="str">
        <f>IFERROR(VLOOKUP($J66,'Project Reference'!$B$2:$K$41,10)," ")</f>
        <v xml:space="preserve"> </v>
      </c>
      <c r="Y66" s="42" t="str">
        <f>IFERROR(VLOOKUP($J66,'Project Reference'!$B$2:$L$41,11)," ")</f>
        <v xml:space="preserve"> </v>
      </c>
      <c r="Z66" s="42" t="str">
        <f>IFERROR(VLOOKUP($J66,'Project Reference'!$B$2:$M$41,12)," ")</f>
        <v xml:space="preserve"> </v>
      </c>
      <c r="AA66" s="42" t="str">
        <f>IFERROR(VLOOKUP($J66,'Project Reference'!$B$2:$N$41,13)," ")</f>
        <v xml:space="preserve"> </v>
      </c>
    </row>
    <row r="67" spans="1:27" s="1" customFormat="1" x14ac:dyDescent="0.45">
      <c r="A67" s="43"/>
      <c r="B67" s="205"/>
      <c r="C67"/>
      <c r="D67" s="72"/>
      <c r="E67" s="72"/>
      <c r="F67" s="72"/>
      <c r="G67" s="72"/>
      <c r="H67" s="17"/>
      <c r="I67" s="41" t="str" cm="1">
        <f t="array" ref="I67">IFERROR(_xlfn.IFS(H67="Hard (Cash)","N/A",H67="Soft (In-Kind)", "Enter Source"),"Select Type")</f>
        <v>Select Type</v>
      </c>
      <c r="J67" s="124"/>
      <c r="K67" s="41" t="str">
        <f>IFERROR(VLOOKUP($J67,'Project Reference'!$S$2:$T$41,2),"Enter Project Number")</f>
        <v>Enter Project Number</v>
      </c>
      <c r="L67" s="41"/>
      <c r="M67" s="41"/>
      <c r="N67" s="15">
        <f t="shared" si="0"/>
        <v>0</v>
      </c>
      <c r="O67" s="19"/>
      <c r="P67" s="42" t="str">
        <f>IFERROR(VLOOKUP($J67,'Project Reference'!$B$2:$C$41,2)," ")</f>
        <v xml:space="preserve"> </v>
      </c>
      <c r="Q67" s="42" t="str">
        <f>IFERROR(VLOOKUP($J67,'Project Reference'!$B$2:$D$41,3)," ")</f>
        <v xml:space="preserve"> </v>
      </c>
      <c r="R67" s="42" t="str">
        <f>IFERROR(VLOOKUP($J67,'Project Reference'!$B$2:$E$41,4)," ")</f>
        <v xml:space="preserve"> </v>
      </c>
      <c r="S67" s="42" t="str">
        <f>IFERROR(VLOOKUP($J67,'Project Reference'!$B$2:$F$41,5,FALSE)," ")</f>
        <v xml:space="preserve"> </v>
      </c>
      <c r="T67" s="42" t="str">
        <f>IFERROR(VLOOKUP($J67,'Project Reference'!$B$2:$G$41,6,FALSE)," ")</f>
        <v xml:space="preserve"> </v>
      </c>
      <c r="U67" s="42" t="str">
        <f>IFERROR(VLOOKUP($J67,'Project Reference'!$B$2:$H$41,7,FALSE)," ")</f>
        <v xml:space="preserve"> </v>
      </c>
      <c r="V67" s="42" t="str">
        <f>IFERROR(VLOOKUP($J67,'Project Reference'!$B$2:$I$41,8,FALSE)," ")</f>
        <v xml:space="preserve"> </v>
      </c>
      <c r="W67" s="42" t="str">
        <f>IFERROR(VLOOKUP($J67,'Project Reference'!$B$2:$J$41,9,FALSE)," ")</f>
        <v xml:space="preserve"> </v>
      </c>
      <c r="X67" s="42" t="str">
        <f>IFERROR(VLOOKUP($J67,'Project Reference'!$B$2:$K$41,10)," ")</f>
        <v xml:space="preserve"> </v>
      </c>
      <c r="Y67" s="42" t="str">
        <f>IFERROR(VLOOKUP($J67,'Project Reference'!$B$2:$L$41,11)," ")</f>
        <v xml:space="preserve"> </v>
      </c>
      <c r="Z67" s="42" t="str">
        <f>IFERROR(VLOOKUP($J67,'Project Reference'!$B$2:$M$41,12)," ")</f>
        <v xml:space="preserve"> </v>
      </c>
      <c r="AA67" s="42" t="str">
        <f>IFERROR(VLOOKUP($J67,'Project Reference'!$B$2:$N$41,13)," ")</f>
        <v xml:space="preserve"> </v>
      </c>
    </row>
    <row r="68" spans="1:27" s="1" customFormat="1" x14ac:dyDescent="0.45">
      <c r="A68" s="43"/>
      <c r="B68" s="205"/>
      <c r="C68"/>
      <c r="D68" s="72"/>
      <c r="E68" s="72"/>
      <c r="F68" s="72"/>
      <c r="G68" s="72"/>
      <c r="H68" s="17"/>
      <c r="I68" s="41" t="str" cm="1">
        <f t="array" ref="I68">IFERROR(_xlfn.IFS(H68="Hard (Cash)","N/A",H68="Soft (In-Kind)", "Enter Source"),"Select Type")</f>
        <v>Select Type</v>
      </c>
      <c r="J68" s="124"/>
      <c r="K68" s="41" t="str">
        <f>IFERROR(VLOOKUP($J68,'Project Reference'!$S$2:$T$41,2),"Enter Project Number")</f>
        <v>Enter Project Number</v>
      </c>
      <c r="L68" s="41"/>
      <c r="M68" s="41"/>
      <c r="N68" s="15">
        <f t="shared" si="0"/>
        <v>0</v>
      </c>
      <c r="O68" s="19"/>
      <c r="P68" s="42" t="str">
        <f>IFERROR(VLOOKUP($J68,'Project Reference'!$B$2:$C$41,2)," ")</f>
        <v xml:space="preserve"> </v>
      </c>
      <c r="Q68" s="42" t="str">
        <f>IFERROR(VLOOKUP($J68,'Project Reference'!$B$2:$D$41,3)," ")</f>
        <v xml:space="preserve"> </v>
      </c>
      <c r="R68" s="42" t="str">
        <f>IFERROR(VLOOKUP($J68,'Project Reference'!$B$2:$E$41,4)," ")</f>
        <v xml:space="preserve"> </v>
      </c>
      <c r="S68" s="42" t="str">
        <f>IFERROR(VLOOKUP($J68,'Project Reference'!$B$2:$F$41,5,FALSE)," ")</f>
        <v xml:space="preserve"> </v>
      </c>
      <c r="T68" s="42" t="str">
        <f>IFERROR(VLOOKUP($J68,'Project Reference'!$B$2:$G$41,6,FALSE)," ")</f>
        <v xml:space="preserve"> </v>
      </c>
      <c r="U68" s="42" t="str">
        <f>IFERROR(VLOOKUP($J68,'Project Reference'!$B$2:$H$41,7,FALSE)," ")</f>
        <v xml:space="preserve"> </v>
      </c>
      <c r="V68" s="42" t="str">
        <f>IFERROR(VLOOKUP($J68,'Project Reference'!$B$2:$I$41,8,FALSE)," ")</f>
        <v xml:space="preserve"> </v>
      </c>
      <c r="W68" s="42" t="str">
        <f>IFERROR(VLOOKUP($J68,'Project Reference'!$B$2:$J$41,9,FALSE)," ")</f>
        <v xml:space="preserve"> </v>
      </c>
      <c r="X68" s="42" t="str">
        <f>IFERROR(VLOOKUP($J68,'Project Reference'!$B$2:$K$41,10)," ")</f>
        <v xml:space="preserve"> </v>
      </c>
      <c r="Y68" s="42" t="str">
        <f>IFERROR(VLOOKUP($J68,'Project Reference'!$B$2:$L$41,11)," ")</f>
        <v xml:space="preserve"> </v>
      </c>
      <c r="Z68" s="42" t="str">
        <f>IFERROR(VLOOKUP($J68,'Project Reference'!$B$2:$M$41,12)," ")</f>
        <v xml:space="preserve"> </v>
      </c>
      <c r="AA68" s="42" t="str">
        <f>IFERROR(VLOOKUP($J68,'Project Reference'!$B$2:$N$41,13)," ")</f>
        <v xml:space="preserve"> </v>
      </c>
    </row>
    <row r="69" spans="1:27" s="1" customFormat="1" x14ac:dyDescent="0.45">
      <c r="A69" s="43"/>
      <c r="B69" s="205"/>
      <c r="C69"/>
      <c r="D69" s="72"/>
      <c r="E69" s="72"/>
      <c r="F69" s="72"/>
      <c r="G69" s="72"/>
      <c r="H69" s="17"/>
      <c r="I69" s="41" t="str" cm="1">
        <f t="array" ref="I69">IFERROR(_xlfn.IFS(H69="Hard (Cash)","N/A",H69="Soft (In-Kind)", "Enter Source"),"Select Type")</f>
        <v>Select Type</v>
      </c>
      <c r="J69" s="124"/>
      <c r="K69" s="41" t="str">
        <f>IFERROR(VLOOKUP($J69,'Project Reference'!$S$2:$T$41,2),"Enter Project Number")</f>
        <v>Enter Project Number</v>
      </c>
      <c r="L69" s="41"/>
      <c r="M69" s="41"/>
      <c r="N69" s="15">
        <f t="shared" si="0"/>
        <v>0</v>
      </c>
      <c r="O69" s="19"/>
      <c r="P69" s="42" t="str">
        <f>IFERROR(VLOOKUP($J69,'Project Reference'!$B$2:$C$41,2)," ")</f>
        <v xml:space="preserve"> </v>
      </c>
      <c r="Q69" s="42" t="str">
        <f>IFERROR(VLOOKUP($J69,'Project Reference'!$B$2:$D$41,3)," ")</f>
        <v xml:space="preserve"> </v>
      </c>
      <c r="R69" s="42" t="str">
        <f>IFERROR(VLOOKUP($J69,'Project Reference'!$B$2:$E$41,4)," ")</f>
        <v xml:space="preserve"> </v>
      </c>
      <c r="S69" s="42" t="str">
        <f>IFERROR(VLOOKUP($J69,'Project Reference'!$B$2:$F$41,5,FALSE)," ")</f>
        <v xml:space="preserve"> </v>
      </c>
      <c r="T69" s="42" t="str">
        <f>IFERROR(VLOOKUP($J69,'Project Reference'!$B$2:$G$41,6,FALSE)," ")</f>
        <v xml:space="preserve"> </v>
      </c>
      <c r="U69" s="42" t="str">
        <f>IFERROR(VLOOKUP($J69,'Project Reference'!$B$2:$H$41,7,FALSE)," ")</f>
        <v xml:space="preserve"> </v>
      </c>
      <c r="V69" s="42" t="str">
        <f>IFERROR(VLOOKUP($J69,'Project Reference'!$B$2:$I$41,8,FALSE)," ")</f>
        <v xml:space="preserve"> </v>
      </c>
      <c r="W69" s="42" t="str">
        <f>IFERROR(VLOOKUP($J69,'Project Reference'!$B$2:$J$41,9,FALSE)," ")</f>
        <v xml:space="preserve"> </v>
      </c>
      <c r="X69" s="42" t="str">
        <f>IFERROR(VLOOKUP($J69,'Project Reference'!$B$2:$K$41,10)," ")</f>
        <v xml:space="preserve"> </v>
      </c>
      <c r="Y69" s="42" t="str">
        <f>IFERROR(VLOOKUP($J69,'Project Reference'!$B$2:$L$41,11)," ")</f>
        <v xml:space="preserve"> </v>
      </c>
      <c r="Z69" s="42" t="str">
        <f>IFERROR(VLOOKUP($J69,'Project Reference'!$B$2:$M$41,12)," ")</f>
        <v xml:space="preserve"> </v>
      </c>
      <c r="AA69" s="42" t="str">
        <f>IFERROR(VLOOKUP($J69,'Project Reference'!$B$2:$N$41,13)," ")</f>
        <v xml:space="preserve"> </v>
      </c>
    </row>
    <row r="70" spans="1:27" s="1" customFormat="1" x14ac:dyDescent="0.45">
      <c r="A70" s="43"/>
      <c r="B70" s="205"/>
      <c r="C70"/>
      <c r="D70" s="72"/>
      <c r="E70" s="72"/>
      <c r="F70" s="72"/>
      <c r="G70" s="72"/>
      <c r="H70" s="17"/>
      <c r="I70" s="41" t="str" cm="1">
        <f t="array" ref="I70">IFERROR(_xlfn.IFS(H70="Hard (Cash)","N/A",H70="Soft (In-Kind)", "Enter Source"),"Select Type")</f>
        <v>Select Type</v>
      </c>
      <c r="J70" s="124"/>
      <c r="K70" s="41" t="str">
        <f>IFERROR(VLOOKUP($J70,'Project Reference'!$S$2:$T$41,2),"Enter Project Number")</f>
        <v>Enter Project Number</v>
      </c>
      <c r="L70" s="41"/>
      <c r="M70" s="41"/>
      <c r="N70" s="15">
        <f t="shared" si="0"/>
        <v>0</v>
      </c>
      <c r="O70" s="19"/>
      <c r="P70" s="42" t="str">
        <f>IFERROR(VLOOKUP($J70,'Project Reference'!$B$2:$C$41,2)," ")</f>
        <v xml:space="preserve"> </v>
      </c>
      <c r="Q70" s="42" t="str">
        <f>IFERROR(VLOOKUP($J70,'Project Reference'!$B$2:$D$41,3)," ")</f>
        <v xml:space="preserve"> </v>
      </c>
      <c r="R70" s="42" t="str">
        <f>IFERROR(VLOOKUP($J70,'Project Reference'!$B$2:$E$41,4)," ")</f>
        <v xml:space="preserve"> </v>
      </c>
      <c r="S70" s="42" t="str">
        <f>IFERROR(VLOOKUP($J70,'Project Reference'!$B$2:$F$41,5,FALSE)," ")</f>
        <v xml:space="preserve"> </v>
      </c>
      <c r="T70" s="42" t="str">
        <f>IFERROR(VLOOKUP($J70,'Project Reference'!$B$2:$G$41,6,FALSE)," ")</f>
        <v xml:space="preserve"> </v>
      </c>
      <c r="U70" s="42" t="str">
        <f>IFERROR(VLOOKUP($J70,'Project Reference'!$B$2:$H$41,7,FALSE)," ")</f>
        <v xml:space="preserve"> </v>
      </c>
      <c r="V70" s="42" t="str">
        <f>IFERROR(VLOOKUP($J70,'Project Reference'!$B$2:$I$41,8,FALSE)," ")</f>
        <v xml:space="preserve"> </v>
      </c>
      <c r="W70" s="42" t="str">
        <f>IFERROR(VLOOKUP($J70,'Project Reference'!$B$2:$J$41,9,FALSE)," ")</f>
        <v xml:space="preserve"> </v>
      </c>
      <c r="X70" s="42" t="str">
        <f>IFERROR(VLOOKUP($J70,'Project Reference'!$B$2:$K$41,10)," ")</f>
        <v xml:space="preserve"> </v>
      </c>
      <c r="Y70" s="42" t="str">
        <f>IFERROR(VLOOKUP($J70,'Project Reference'!$B$2:$L$41,11)," ")</f>
        <v xml:space="preserve"> </v>
      </c>
      <c r="Z70" s="42" t="str">
        <f>IFERROR(VLOOKUP($J70,'Project Reference'!$B$2:$M$41,12)," ")</f>
        <v xml:space="preserve"> </v>
      </c>
      <c r="AA70" s="42" t="str">
        <f>IFERROR(VLOOKUP($J70,'Project Reference'!$B$2:$N$41,13)," ")</f>
        <v xml:space="preserve"> </v>
      </c>
    </row>
    <row r="71" spans="1:27" s="1" customFormat="1" x14ac:dyDescent="0.45">
      <c r="A71" s="43"/>
      <c r="B71" s="205"/>
      <c r="C71"/>
      <c r="D71" s="72"/>
      <c r="E71" s="72"/>
      <c r="F71" s="72"/>
      <c r="G71" s="72"/>
      <c r="H71" s="17"/>
      <c r="I71" s="41" t="str" cm="1">
        <f t="array" ref="I71">IFERROR(_xlfn.IFS(H71="Hard (Cash)","N/A",H71="Soft (In-Kind)", "Enter Source"),"Select Type")</f>
        <v>Select Type</v>
      </c>
      <c r="J71" s="124"/>
      <c r="K71" s="41" t="str">
        <f>IFERROR(VLOOKUP($J71,'Project Reference'!$S$2:$T$41,2),"Enter Project Number")</f>
        <v>Enter Project Number</v>
      </c>
      <c r="L71" s="41"/>
      <c r="M71" s="41"/>
      <c r="N71" s="15">
        <f t="shared" si="0"/>
        <v>0</v>
      </c>
      <c r="O71" s="19"/>
      <c r="P71" s="42" t="str">
        <f>IFERROR(VLOOKUP($J71,'Project Reference'!$B$2:$C$41,2)," ")</f>
        <v xml:space="preserve"> </v>
      </c>
      <c r="Q71" s="42" t="str">
        <f>IFERROR(VLOOKUP($J71,'Project Reference'!$B$2:$D$41,3)," ")</f>
        <v xml:space="preserve"> </v>
      </c>
      <c r="R71" s="42" t="str">
        <f>IFERROR(VLOOKUP($J71,'Project Reference'!$B$2:$E$41,4)," ")</f>
        <v xml:space="preserve"> </v>
      </c>
      <c r="S71" s="42" t="str">
        <f>IFERROR(VLOOKUP($J71,'Project Reference'!$B$2:$F$41,5,FALSE)," ")</f>
        <v xml:space="preserve"> </v>
      </c>
      <c r="T71" s="42" t="str">
        <f>IFERROR(VLOOKUP($J71,'Project Reference'!$B$2:$G$41,6,FALSE)," ")</f>
        <v xml:space="preserve"> </v>
      </c>
      <c r="U71" s="42" t="str">
        <f>IFERROR(VLOOKUP($J71,'Project Reference'!$B$2:$H$41,7,FALSE)," ")</f>
        <v xml:space="preserve"> </v>
      </c>
      <c r="V71" s="42" t="str">
        <f>IFERROR(VLOOKUP($J71,'Project Reference'!$B$2:$I$41,8,FALSE)," ")</f>
        <v xml:space="preserve"> </v>
      </c>
      <c r="W71" s="42" t="str">
        <f>IFERROR(VLOOKUP($J71,'Project Reference'!$B$2:$J$41,9,FALSE)," ")</f>
        <v xml:space="preserve"> </v>
      </c>
      <c r="X71" s="42" t="str">
        <f>IFERROR(VLOOKUP($J71,'Project Reference'!$B$2:$K$41,10)," ")</f>
        <v xml:space="preserve"> </v>
      </c>
      <c r="Y71" s="42" t="str">
        <f>IFERROR(VLOOKUP($J71,'Project Reference'!$B$2:$L$41,11)," ")</f>
        <v xml:space="preserve"> </v>
      </c>
      <c r="Z71" s="42" t="str">
        <f>IFERROR(VLOOKUP($J71,'Project Reference'!$B$2:$M$41,12)," ")</f>
        <v xml:space="preserve"> </v>
      </c>
      <c r="AA71" s="42" t="str">
        <f>IFERROR(VLOOKUP($J71,'Project Reference'!$B$2:$N$41,13)," ")</f>
        <v xml:space="preserve"> </v>
      </c>
    </row>
    <row r="72" spans="1:27" s="1" customFormat="1" x14ac:dyDescent="0.45">
      <c r="A72" s="43"/>
      <c r="B72" s="205"/>
      <c r="C72"/>
      <c r="D72" s="72"/>
      <c r="E72" s="72"/>
      <c r="F72" s="72"/>
      <c r="G72" s="72"/>
      <c r="H72" s="17"/>
      <c r="I72" s="41" t="str" cm="1">
        <f t="array" ref="I72">IFERROR(_xlfn.IFS(H72="Hard (Cash)","N/A",H72="Soft (In-Kind)", "Enter Source"),"Select Type")</f>
        <v>Select Type</v>
      </c>
      <c r="J72" s="124"/>
      <c r="K72" s="41" t="str">
        <f>IFERROR(VLOOKUP($J72,'Project Reference'!$S$2:$T$41,2),"Enter Project Number")</f>
        <v>Enter Project Number</v>
      </c>
      <c r="L72" s="41"/>
      <c r="M72" s="41"/>
      <c r="N72" s="15">
        <f t="shared" si="0"/>
        <v>0</v>
      </c>
      <c r="O72" s="19"/>
      <c r="P72" s="42" t="str">
        <f>IFERROR(VLOOKUP($J72,'Project Reference'!$B$2:$C$41,2)," ")</f>
        <v xml:space="preserve"> </v>
      </c>
      <c r="Q72" s="42" t="str">
        <f>IFERROR(VLOOKUP($J72,'Project Reference'!$B$2:$D$41,3)," ")</f>
        <v xml:space="preserve"> </v>
      </c>
      <c r="R72" s="42" t="str">
        <f>IFERROR(VLOOKUP($J72,'Project Reference'!$B$2:$E$41,4)," ")</f>
        <v xml:space="preserve"> </v>
      </c>
      <c r="S72" s="42" t="str">
        <f>IFERROR(VLOOKUP($J72,'Project Reference'!$B$2:$F$41,5,FALSE)," ")</f>
        <v xml:space="preserve"> </v>
      </c>
      <c r="T72" s="42" t="str">
        <f>IFERROR(VLOOKUP($J72,'Project Reference'!$B$2:$G$41,6,FALSE)," ")</f>
        <v xml:space="preserve"> </v>
      </c>
      <c r="U72" s="42" t="str">
        <f>IFERROR(VLOOKUP($J72,'Project Reference'!$B$2:$H$41,7,FALSE)," ")</f>
        <v xml:space="preserve"> </v>
      </c>
      <c r="V72" s="42" t="str">
        <f>IFERROR(VLOOKUP($J72,'Project Reference'!$B$2:$I$41,8,FALSE)," ")</f>
        <v xml:space="preserve"> </v>
      </c>
      <c r="W72" s="42" t="str">
        <f>IFERROR(VLOOKUP($J72,'Project Reference'!$B$2:$J$41,9,FALSE)," ")</f>
        <v xml:space="preserve"> </v>
      </c>
      <c r="X72" s="42" t="str">
        <f>IFERROR(VLOOKUP($J72,'Project Reference'!$B$2:$K$41,10)," ")</f>
        <v xml:space="preserve"> </v>
      </c>
      <c r="Y72" s="42" t="str">
        <f>IFERROR(VLOOKUP($J72,'Project Reference'!$B$2:$L$41,11)," ")</f>
        <v xml:space="preserve"> </v>
      </c>
      <c r="Z72" s="42" t="str">
        <f>IFERROR(VLOOKUP($J72,'Project Reference'!$B$2:$M$41,12)," ")</f>
        <v xml:space="preserve"> </v>
      </c>
      <c r="AA72" s="42" t="str">
        <f>IFERROR(VLOOKUP($J72,'Project Reference'!$B$2:$N$41,13)," ")</f>
        <v xml:space="preserve"> </v>
      </c>
    </row>
    <row r="73" spans="1:27" s="1" customFormat="1" x14ac:dyDescent="0.45">
      <c r="A73" s="43"/>
      <c r="B73" s="205"/>
      <c r="C73"/>
      <c r="D73" s="72"/>
      <c r="E73" s="72"/>
      <c r="F73" s="72"/>
      <c r="G73" s="72"/>
      <c r="H73" s="17"/>
      <c r="I73" s="41" t="str" cm="1">
        <f t="array" ref="I73">IFERROR(_xlfn.IFS(H73="Hard (Cash)","N/A",H73="Soft (In-Kind)", "Enter Source"),"Select Type")</f>
        <v>Select Type</v>
      </c>
      <c r="J73" s="124"/>
      <c r="K73" s="41" t="str">
        <f>IFERROR(VLOOKUP($J73,'Project Reference'!$S$2:$T$41,2),"Enter Project Number")</f>
        <v>Enter Project Number</v>
      </c>
      <c r="L73" s="41"/>
      <c r="M73" s="41"/>
      <c r="N73" s="15">
        <f t="shared" si="0"/>
        <v>0</v>
      </c>
      <c r="O73" s="19"/>
      <c r="P73" s="42" t="str">
        <f>IFERROR(VLOOKUP($J73,'Project Reference'!$B$2:$C$41,2)," ")</f>
        <v xml:space="preserve"> </v>
      </c>
      <c r="Q73" s="42" t="str">
        <f>IFERROR(VLOOKUP($J73,'Project Reference'!$B$2:$D$41,3)," ")</f>
        <v xml:space="preserve"> </v>
      </c>
      <c r="R73" s="42" t="str">
        <f>IFERROR(VLOOKUP($J73,'Project Reference'!$B$2:$E$41,4)," ")</f>
        <v xml:space="preserve"> </v>
      </c>
      <c r="S73" s="42" t="str">
        <f>IFERROR(VLOOKUP($J73,'Project Reference'!$B$2:$F$41,5,FALSE)," ")</f>
        <v xml:space="preserve"> </v>
      </c>
      <c r="T73" s="42" t="str">
        <f>IFERROR(VLOOKUP($J73,'Project Reference'!$B$2:$G$41,6,FALSE)," ")</f>
        <v xml:space="preserve"> </v>
      </c>
      <c r="U73" s="42" t="str">
        <f>IFERROR(VLOOKUP($J73,'Project Reference'!$B$2:$H$41,7,FALSE)," ")</f>
        <v xml:space="preserve"> </v>
      </c>
      <c r="V73" s="42" t="str">
        <f>IFERROR(VLOOKUP($J73,'Project Reference'!$B$2:$I$41,8,FALSE)," ")</f>
        <v xml:space="preserve"> </v>
      </c>
      <c r="W73" s="42" t="str">
        <f>IFERROR(VLOOKUP($J73,'Project Reference'!$B$2:$J$41,9,FALSE)," ")</f>
        <v xml:space="preserve"> </v>
      </c>
      <c r="X73" s="42" t="str">
        <f>IFERROR(VLOOKUP($J73,'Project Reference'!$B$2:$K$41,10)," ")</f>
        <v xml:space="preserve"> </v>
      </c>
      <c r="Y73" s="42" t="str">
        <f>IFERROR(VLOOKUP($J73,'Project Reference'!$B$2:$L$41,11)," ")</f>
        <v xml:space="preserve"> </v>
      </c>
      <c r="Z73" s="42" t="str">
        <f>IFERROR(VLOOKUP($J73,'Project Reference'!$B$2:$M$41,12)," ")</f>
        <v xml:space="preserve"> </v>
      </c>
      <c r="AA73" s="42" t="str">
        <f>IFERROR(VLOOKUP($J73,'Project Reference'!$B$2:$N$41,13)," ")</f>
        <v xml:space="preserve"> </v>
      </c>
    </row>
    <row r="74" spans="1:27" s="1" customFormat="1" x14ac:dyDescent="0.45">
      <c r="A74" s="43"/>
      <c r="B74" s="205"/>
      <c r="C74"/>
      <c r="D74" s="72"/>
      <c r="E74" s="72"/>
      <c r="F74" s="72"/>
      <c r="G74" s="72"/>
      <c r="H74" s="17"/>
      <c r="I74" s="41" t="str" cm="1">
        <f t="array" ref="I74">IFERROR(_xlfn.IFS(H74="Hard (Cash)","N/A",H74="Soft (In-Kind)", "Enter Source"),"Select Type")</f>
        <v>Select Type</v>
      </c>
      <c r="J74" s="124"/>
      <c r="K74" s="41" t="str">
        <f>IFERROR(VLOOKUP($J74,'Project Reference'!$S$2:$T$41,2),"Enter Project Number")</f>
        <v>Enter Project Number</v>
      </c>
      <c r="L74" s="41"/>
      <c r="M74" s="41"/>
      <c r="N74" s="15">
        <f t="shared" si="0"/>
        <v>0</v>
      </c>
      <c r="O74" s="19"/>
      <c r="P74" s="42" t="str">
        <f>IFERROR(VLOOKUP($J74,'Project Reference'!$B$2:$C$41,2)," ")</f>
        <v xml:space="preserve"> </v>
      </c>
      <c r="Q74" s="42" t="str">
        <f>IFERROR(VLOOKUP($J74,'Project Reference'!$B$2:$D$41,3)," ")</f>
        <v xml:space="preserve"> </v>
      </c>
      <c r="R74" s="42" t="str">
        <f>IFERROR(VLOOKUP($J74,'Project Reference'!$B$2:$E$41,4)," ")</f>
        <v xml:space="preserve"> </v>
      </c>
      <c r="S74" s="42" t="str">
        <f>IFERROR(VLOOKUP($J74,'Project Reference'!$B$2:$F$41,5,FALSE)," ")</f>
        <v xml:space="preserve"> </v>
      </c>
      <c r="T74" s="42" t="str">
        <f>IFERROR(VLOOKUP($J74,'Project Reference'!$B$2:$G$41,6,FALSE)," ")</f>
        <v xml:space="preserve"> </v>
      </c>
      <c r="U74" s="42" t="str">
        <f>IFERROR(VLOOKUP($J74,'Project Reference'!$B$2:$H$41,7,FALSE)," ")</f>
        <v xml:space="preserve"> </v>
      </c>
      <c r="V74" s="42" t="str">
        <f>IFERROR(VLOOKUP($J74,'Project Reference'!$B$2:$I$41,8,FALSE)," ")</f>
        <v xml:space="preserve"> </v>
      </c>
      <c r="W74" s="42" t="str">
        <f>IFERROR(VLOOKUP($J74,'Project Reference'!$B$2:$J$41,9,FALSE)," ")</f>
        <v xml:space="preserve"> </v>
      </c>
      <c r="X74" s="42" t="str">
        <f>IFERROR(VLOOKUP($J74,'Project Reference'!$B$2:$K$41,10)," ")</f>
        <v xml:space="preserve"> </v>
      </c>
      <c r="Y74" s="42" t="str">
        <f>IFERROR(VLOOKUP($J74,'Project Reference'!$B$2:$L$41,11)," ")</f>
        <v xml:space="preserve"> </v>
      </c>
      <c r="Z74" s="42" t="str">
        <f>IFERROR(VLOOKUP($J74,'Project Reference'!$B$2:$M$41,12)," ")</f>
        <v xml:space="preserve"> </v>
      </c>
      <c r="AA74" s="42" t="str">
        <f>IFERROR(VLOOKUP($J74,'Project Reference'!$B$2:$N$41,13)," ")</f>
        <v xml:space="preserve"> </v>
      </c>
    </row>
    <row r="75" spans="1:27" s="1" customFormat="1" x14ac:dyDescent="0.45">
      <c r="A75" s="43"/>
      <c r="B75" s="205"/>
      <c r="C75"/>
      <c r="D75" s="72"/>
      <c r="E75" s="72"/>
      <c r="F75" s="72"/>
      <c r="G75" s="72"/>
      <c r="H75" s="17"/>
      <c r="I75" s="41" t="str" cm="1">
        <f t="array" ref="I75">IFERROR(_xlfn.IFS(H75="Hard (Cash)","N/A",H75="Soft (In-Kind)", "Enter Source"),"Select Type")</f>
        <v>Select Type</v>
      </c>
      <c r="J75" s="124"/>
      <c r="K75" s="41" t="str">
        <f>IFERROR(VLOOKUP($J75,'Project Reference'!$S$2:$T$41,2),"Enter Project Number")</f>
        <v>Enter Project Number</v>
      </c>
      <c r="L75" s="41"/>
      <c r="M75" s="41"/>
      <c r="N75" s="15">
        <f t="shared" ref="N75:N138" si="1">SUM(D75:G75)</f>
        <v>0</v>
      </c>
      <c r="O75" s="19"/>
      <c r="P75" s="42" t="str">
        <f>IFERROR(VLOOKUP($J75,'Project Reference'!$B$2:$C$41,2)," ")</f>
        <v xml:space="preserve"> </v>
      </c>
      <c r="Q75" s="42" t="str">
        <f>IFERROR(VLOOKUP($J75,'Project Reference'!$B$2:$D$41,3)," ")</f>
        <v xml:space="preserve"> </v>
      </c>
      <c r="R75" s="42" t="str">
        <f>IFERROR(VLOOKUP($J75,'Project Reference'!$B$2:$E$41,4)," ")</f>
        <v xml:space="preserve"> </v>
      </c>
      <c r="S75" s="42" t="str">
        <f>IFERROR(VLOOKUP($J75,'Project Reference'!$B$2:$F$41,5,FALSE)," ")</f>
        <v xml:space="preserve"> </v>
      </c>
      <c r="T75" s="42" t="str">
        <f>IFERROR(VLOOKUP($J75,'Project Reference'!$B$2:$G$41,6,FALSE)," ")</f>
        <v xml:space="preserve"> </v>
      </c>
      <c r="U75" s="42" t="str">
        <f>IFERROR(VLOOKUP($J75,'Project Reference'!$B$2:$H$41,7,FALSE)," ")</f>
        <v xml:space="preserve"> </v>
      </c>
      <c r="V75" s="42" t="str">
        <f>IFERROR(VLOOKUP($J75,'Project Reference'!$B$2:$I$41,8,FALSE)," ")</f>
        <v xml:space="preserve"> </v>
      </c>
      <c r="W75" s="42" t="str">
        <f>IFERROR(VLOOKUP($J75,'Project Reference'!$B$2:$J$41,9,FALSE)," ")</f>
        <v xml:space="preserve"> </v>
      </c>
      <c r="X75" s="42" t="str">
        <f>IFERROR(VLOOKUP($J75,'Project Reference'!$B$2:$K$41,10)," ")</f>
        <v xml:space="preserve"> </v>
      </c>
      <c r="Y75" s="42" t="str">
        <f>IFERROR(VLOOKUP($J75,'Project Reference'!$B$2:$L$41,11)," ")</f>
        <v xml:space="preserve"> </v>
      </c>
      <c r="Z75" s="42" t="str">
        <f>IFERROR(VLOOKUP($J75,'Project Reference'!$B$2:$M$41,12)," ")</f>
        <v xml:space="preserve"> </v>
      </c>
      <c r="AA75" s="42" t="str">
        <f>IFERROR(VLOOKUP($J75,'Project Reference'!$B$2:$N$41,13)," ")</f>
        <v xml:space="preserve"> </v>
      </c>
    </row>
    <row r="76" spans="1:27" s="1" customFormat="1" x14ac:dyDescent="0.45">
      <c r="A76" s="43"/>
      <c r="B76" s="205"/>
      <c r="C76"/>
      <c r="D76" s="72"/>
      <c r="E76" s="72"/>
      <c r="F76" s="72"/>
      <c r="G76" s="72"/>
      <c r="H76" s="17"/>
      <c r="I76" s="41" t="str" cm="1">
        <f t="array" ref="I76">IFERROR(_xlfn.IFS(H76="Hard (Cash)","N/A",H76="Soft (In-Kind)", "Enter Source"),"Select Type")</f>
        <v>Select Type</v>
      </c>
      <c r="J76" s="124"/>
      <c r="K76" s="41" t="str">
        <f>IFERROR(VLOOKUP($J76,'Project Reference'!$S$2:$T$41,2),"Enter Project Number")</f>
        <v>Enter Project Number</v>
      </c>
      <c r="L76" s="41"/>
      <c r="M76" s="41"/>
      <c r="N76" s="15">
        <f t="shared" si="1"/>
        <v>0</v>
      </c>
      <c r="O76" s="19"/>
      <c r="P76" s="42" t="str">
        <f>IFERROR(VLOOKUP($J76,'Project Reference'!$B$2:$C$41,2)," ")</f>
        <v xml:space="preserve"> </v>
      </c>
      <c r="Q76" s="42" t="str">
        <f>IFERROR(VLOOKUP($J76,'Project Reference'!$B$2:$D$41,3)," ")</f>
        <v xml:space="preserve"> </v>
      </c>
      <c r="R76" s="42" t="str">
        <f>IFERROR(VLOOKUP($J76,'Project Reference'!$B$2:$E$41,4)," ")</f>
        <v xml:space="preserve"> </v>
      </c>
      <c r="S76" s="42" t="str">
        <f>IFERROR(VLOOKUP($J76,'Project Reference'!$B$2:$F$41,5,FALSE)," ")</f>
        <v xml:space="preserve"> </v>
      </c>
      <c r="T76" s="42" t="str">
        <f>IFERROR(VLOOKUP($J76,'Project Reference'!$B$2:$G$41,6,FALSE)," ")</f>
        <v xml:space="preserve"> </v>
      </c>
      <c r="U76" s="42" t="str">
        <f>IFERROR(VLOOKUP($J76,'Project Reference'!$B$2:$H$41,7,FALSE)," ")</f>
        <v xml:space="preserve"> </v>
      </c>
      <c r="V76" s="42" t="str">
        <f>IFERROR(VLOOKUP($J76,'Project Reference'!$B$2:$I$41,8,FALSE)," ")</f>
        <v xml:space="preserve"> </v>
      </c>
      <c r="W76" s="42" t="str">
        <f>IFERROR(VLOOKUP($J76,'Project Reference'!$B$2:$J$41,9,FALSE)," ")</f>
        <v xml:space="preserve"> </v>
      </c>
      <c r="X76" s="42" t="str">
        <f>IFERROR(VLOOKUP($J76,'Project Reference'!$B$2:$K$41,10)," ")</f>
        <v xml:space="preserve"> </v>
      </c>
      <c r="Y76" s="42" t="str">
        <f>IFERROR(VLOOKUP($J76,'Project Reference'!$B$2:$L$41,11)," ")</f>
        <v xml:space="preserve"> </v>
      </c>
      <c r="Z76" s="42" t="str">
        <f>IFERROR(VLOOKUP($J76,'Project Reference'!$B$2:$M$41,12)," ")</f>
        <v xml:space="preserve"> </v>
      </c>
      <c r="AA76" s="42" t="str">
        <f>IFERROR(VLOOKUP($J76,'Project Reference'!$B$2:$N$41,13)," ")</f>
        <v xml:space="preserve"> </v>
      </c>
    </row>
    <row r="77" spans="1:27" s="1" customFormat="1" x14ac:dyDescent="0.45">
      <c r="A77" s="43"/>
      <c r="B77" s="205"/>
      <c r="C77"/>
      <c r="D77" s="72"/>
      <c r="E77" s="72"/>
      <c r="F77" s="72"/>
      <c r="G77" s="72"/>
      <c r="H77" s="17"/>
      <c r="I77" s="41" t="str" cm="1">
        <f t="array" ref="I77">IFERROR(_xlfn.IFS(H77="Hard (Cash)","N/A",H77="Soft (In-Kind)", "Enter Source"),"Select Type")</f>
        <v>Select Type</v>
      </c>
      <c r="J77" s="124"/>
      <c r="K77" s="41" t="str">
        <f>IFERROR(VLOOKUP($J77,'Project Reference'!$S$2:$T$41,2),"Enter Project Number")</f>
        <v>Enter Project Number</v>
      </c>
      <c r="L77" s="41"/>
      <c r="M77" s="41"/>
      <c r="N77" s="15">
        <f t="shared" si="1"/>
        <v>0</v>
      </c>
      <c r="O77" s="19"/>
      <c r="P77" s="42" t="str">
        <f>IFERROR(VLOOKUP($J77,'Project Reference'!$B$2:$C$41,2)," ")</f>
        <v xml:space="preserve"> </v>
      </c>
      <c r="Q77" s="42" t="str">
        <f>IFERROR(VLOOKUP($J77,'Project Reference'!$B$2:$D$41,3)," ")</f>
        <v xml:space="preserve"> </v>
      </c>
      <c r="R77" s="42" t="str">
        <f>IFERROR(VLOOKUP($J77,'Project Reference'!$B$2:$E$41,4)," ")</f>
        <v xml:space="preserve"> </v>
      </c>
      <c r="S77" s="42" t="str">
        <f>IFERROR(VLOOKUP($J77,'Project Reference'!$B$2:$F$41,5,FALSE)," ")</f>
        <v xml:space="preserve"> </v>
      </c>
      <c r="T77" s="42" t="str">
        <f>IFERROR(VLOOKUP($J77,'Project Reference'!$B$2:$G$41,6,FALSE)," ")</f>
        <v xml:space="preserve"> </v>
      </c>
      <c r="U77" s="42" t="str">
        <f>IFERROR(VLOOKUP($J77,'Project Reference'!$B$2:$H$41,7,FALSE)," ")</f>
        <v xml:space="preserve"> </v>
      </c>
      <c r="V77" s="42" t="str">
        <f>IFERROR(VLOOKUP($J77,'Project Reference'!$B$2:$I$41,8,FALSE)," ")</f>
        <v xml:space="preserve"> </v>
      </c>
      <c r="W77" s="42" t="str">
        <f>IFERROR(VLOOKUP($J77,'Project Reference'!$B$2:$J$41,9,FALSE)," ")</f>
        <v xml:space="preserve"> </v>
      </c>
      <c r="X77" s="42" t="str">
        <f>IFERROR(VLOOKUP($J77,'Project Reference'!$B$2:$K$41,10)," ")</f>
        <v xml:space="preserve"> </v>
      </c>
      <c r="Y77" s="42" t="str">
        <f>IFERROR(VLOOKUP($J77,'Project Reference'!$B$2:$L$41,11)," ")</f>
        <v xml:space="preserve"> </v>
      </c>
      <c r="Z77" s="42" t="str">
        <f>IFERROR(VLOOKUP($J77,'Project Reference'!$B$2:$M$41,12)," ")</f>
        <v xml:space="preserve"> </v>
      </c>
      <c r="AA77" s="42" t="str">
        <f>IFERROR(VLOOKUP($J77,'Project Reference'!$B$2:$N$41,13)," ")</f>
        <v xml:space="preserve"> </v>
      </c>
    </row>
    <row r="78" spans="1:27" s="1" customFormat="1" x14ac:dyDescent="0.45">
      <c r="A78" s="43"/>
      <c r="B78" s="205"/>
      <c r="C78"/>
      <c r="D78" s="72"/>
      <c r="E78" s="72"/>
      <c r="F78" s="72"/>
      <c r="G78" s="72"/>
      <c r="H78" s="17"/>
      <c r="I78" s="41" t="str" cm="1">
        <f t="array" ref="I78">IFERROR(_xlfn.IFS(H78="Hard (Cash)","N/A",H78="Soft (In-Kind)", "Enter Source"),"Select Type")</f>
        <v>Select Type</v>
      </c>
      <c r="J78" s="124"/>
      <c r="K78" s="41" t="str">
        <f>IFERROR(VLOOKUP($J78,'Project Reference'!$S$2:$T$41,2),"Enter Project Number")</f>
        <v>Enter Project Number</v>
      </c>
      <c r="L78" s="41"/>
      <c r="M78" s="41"/>
      <c r="N78" s="15">
        <f t="shared" si="1"/>
        <v>0</v>
      </c>
      <c r="O78" s="19"/>
      <c r="P78" s="42" t="str">
        <f>IFERROR(VLOOKUP($J78,'Project Reference'!$B$2:$C$41,2)," ")</f>
        <v xml:space="preserve"> </v>
      </c>
      <c r="Q78" s="42" t="str">
        <f>IFERROR(VLOOKUP($J78,'Project Reference'!$B$2:$D$41,3)," ")</f>
        <v xml:space="preserve"> </v>
      </c>
      <c r="R78" s="42" t="str">
        <f>IFERROR(VLOOKUP($J78,'Project Reference'!$B$2:$E$41,4)," ")</f>
        <v xml:space="preserve"> </v>
      </c>
      <c r="S78" s="42" t="str">
        <f>IFERROR(VLOOKUP($J78,'Project Reference'!$B$2:$F$41,5,FALSE)," ")</f>
        <v xml:space="preserve"> </v>
      </c>
      <c r="T78" s="42" t="str">
        <f>IFERROR(VLOOKUP($J78,'Project Reference'!$B$2:$G$41,6,FALSE)," ")</f>
        <v xml:space="preserve"> </v>
      </c>
      <c r="U78" s="42" t="str">
        <f>IFERROR(VLOOKUP($J78,'Project Reference'!$B$2:$H$41,7,FALSE)," ")</f>
        <v xml:space="preserve"> </v>
      </c>
      <c r="V78" s="42" t="str">
        <f>IFERROR(VLOOKUP($J78,'Project Reference'!$B$2:$I$41,8,FALSE)," ")</f>
        <v xml:space="preserve"> </v>
      </c>
      <c r="W78" s="42" t="str">
        <f>IFERROR(VLOOKUP($J78,'Project Reference'!$B$2:$J$41,9,FALSE)," ")</f>
        <v xml:space="preserve"> </v>
      </c>
      <c r="X78" s="42" t="str">
        <f>IFERROR(VLOOKUP($J78,'Project Reference'!$B$2:$K$41,10)," ")</f>
        <v xml:space="preserve"> </v>
      </c>
      <c r="Y78" s="42" t="str">
        <f>IFERROR(VLOOKUP($J78,'Project Reference'!$B$2:$L$41,11)," ")</f>
        <v xml:space="preserve"> </v>
      </c>
      <c r="Z78" s="42" t="str">
        <f>IFERROR(VLOOKUP($J78,'Project Reference'!$B$2:$M$41,12)," ")</f>
        <v xml:space="preserve"> </v>
      </c>
      <c r="AA78" s="42" t="str">
        <f>IFERROR(VLOOKUP($J78,'Project Reference'!$B$2:$N$41,13)," ")</f>
        <v xml:space="preserve"> </v>
      </c>
    </row>
    <row r="79" spans="1:27" s="1" customFormat="1" x14ac:dyDescent="0.45">
      <c r="A79" s="43"/>
      <c r="B79" s="205"/>
      <c r="C79"/>
      <c r="D79" s="72"/>
      <c r="E79" s="72"/>
      <c r="F79" s="72"/>
      <c r="G79" s="72"/>
      <c r="H79" s="17"/>
      <c r="I79" s="41" t="str" cm="1">
        <f t="array" ref="I79">IFERROR(_xlfn.IFS(H79="Hard (Cash)","N/A",H79="Soft (In-Kind)", "Enter Source"),"Select Type")</f>
        <v>Select Type</v>
      </c>
      <c r="J79" s="124"/>
      <c r="K79" s="41" t="str">
        <f>IFERROR(VLOOKUP($J79,'Project Reference'!$S$2:$T$41,2),"Enter Project Number")</f>
        <v>Enter Project Number</v>
      </c>
      <c r="L79" s="41"/>
      <c r="M79" s="41"/>
      <c r="N79" s="15">
        <f t="shared" si="1"/>
        <v>0</v>
      </c>
      <c r="O79" s="19"/>
      <c r="P79" s="42" t="str">
        <f>IFERROR(VLOOKUP($J79,'Project Reference'!$B$2:$C$41,2)," ")</f>
        <v xml:space="preserve"> </v>
      </c>
      <c r="Q79" s="42" t="str">
        <f>IFERROR(VLOOKUP($J79,'Project Reference'!$B$2:$D$41,3)," ")</f>
        <v xml:space="preserve"> </v>
      </c>
      <c r="R79" s="42" t="str">
        <f>IFERROR(VLOOKUP($J79,'Project Reference'!$B$2:$E$41,4)," ")</f>
        <v xml:space="preserve"> </v>
      </c>
      <c r="S79" s="42" t="str">
        <f>IFERROR(VLOOKUP($J79,'Project Reference'!$B$2:$F$41,5,FALSE)," ")</f>
        <v xml:space="preserve"> </v>
      </c>
      <c r="T79" s="42" t="str">
        <f>IFERROR(VLOOKUP($J79,'Project Reference'!$B$2:$G$41,6,FALSE)," ")</f>
        <v xml:space="preserve"> </v>
      </c>
      <c r="U79" s="42" t="str">
        <f>IFERROR(VLOOKUP($J79,'Project Reference'!$B$2:$H$41,7,FALSE)," ")</f>
        <v xml:space="preserve"> </v>
      </c>
      <c r="V79" s="42" t="str">
        <f>IFERROR(VLOOKUP($J79,'Project Reference'!$B$2:$I$41,8,FALSE)," ")</f>
        <v xml:space="preserve"> </v>
      </c>
      <c r="W79" s="42" t="str">
        <f>IFERROR(VLOOKUP($J79,'Project Reference'!$B$2:$J$41,9,FALSE)," ")</f>
        <v xml:space="preserve"> </v>
      </c>
      <c r="X79" s="42" t="str">
        <f>IFERROR(VLOOKUP($J79,'Project Reference'!$B$2:$K$41,10)," ")</f>
        <v xml:space="preserve"> </v>
      </c>
      <c r="Y79" s="42" t="str">
        <f>IFERROR(VLOOKUP($J79,'Project Reference'!$B$2:$L$41,11)," ")</f>
        <v xml:space="preserve"> </v>
      </c>
      <c r="Z79" s="42" t="str">
        <f>IFERROR(VLOOKUP($J79,'Project Reference'!$B$2:$M$41,12)," ")</f>
        <v xml:space="preserve"> </v>
      </c>
      <c r="AA79" s="42" t="str">
        <f>IFERROR(VLOOKUP($J79,'Project Reference'!$B$2:$N$41,13)," ")</f>
        <v xml:space="preserve"> </v>
      </c>
    </row>
    <row r="80" spans="1:27" s="1" customFormat="1" x14ac:dyDescent="0.45">
      <c r="A80" s="43"/>
      <c r="B80" s="205"/>
      <c r="C80"/>
      <c r="D80" s="72"/>
      <c r="E80" s="72"/>
      <c r="F80" s="72"/>
      <c r="G80" s="72"/>
      <c r="H80" s="17"/>
      <c r="I80" s="41" t="str" cm="1">
        <f t="array" ref="I80">IFERROR(_xlfn.IFS(H80="Hard (Cash)","N/A",H80="Soft (In-Kind)", "Enter Source"),"Select Type")</f>
        <v>Select Type</v>
      </c>
      <c r="J80" s="124"/>
      <c r="K80" s="41" t="str">
        <f>IFERROR(VLOOKUP($J80,'Project Reference'!$S$2:$T$41,2),"Enter Project Number")</f>
        <v>Enter Project Number</v>
      </c>
      <c r="L80" s="41"/>
      <c r="M80" s="41"/>
      <c r="N80" s="15">
        <f t="shared" si="1"/>
        <v>0</v>
      </c>
      <c r="O80" s="19"/>
      <c r="P80" s="42" t="str">
        <f>IFERROR(VLOOKUP($J80,'Project Reference'!$B$2:$C$41,2)," ")</f>
        <v xml:space="preserve"> </v>
      </c>
      <c r="Q80" s="42" t="str">
        <f>IFERROR(VLOOKUP($J80,'Project Reference'!$B$2:$D$41,3)," ")</f>
        <v xml:space="preserve"> </v>
      </c>
      <c r="R80" s="42" t="str">
        <f>IFERROR(VLOOKUP($J80,'Project Reference'!$B$2:$E$41,4)," ")</f>
        <v xml:space="preserve"> </v>
      </c>
      <c r="S80" s="42" t="str">
        <f>IFERROR(VLOOKUP($J80,'Project Reference'!$B$2:$F$41,5,FALSE)," ")</f>
        <v xml:space="preserve"> </v>
      </c>
      <c r="T80" s="42" t="str">
        <f>IFERROR(VLOOKUP($J80,'Project Reference'!$B$2:$G$41,6,FALSE)," ")</f>
        <v xml:space="preserve"> </v>
      </c>
      <c r="U80" s="42" t="str">
        <f>IFERROR(VLOOKUP($J80,'Project Reference'!$B$2:$H$41,7,FALSE)," ")</f>
        <v xml:space="preserve"> </v>
      </c>
      <c r="V80" s="42" t="str">
        <f>IFERROR(VLOOKUP($J80,'Project Reference'!$B$2:$I$41,8,FALSE)," ")</f>
        <v xml:space="preserve"> </v>
      </c>
      <c r="W80" s="42" t="str">
        <f>IFERROR(VLOOKUP($J80,'Project Reference'!$B$2:$J$41,9,FALSE)," ")</f>
        <v xml:space="preserve"> </v>
      </c>
      <c r="X80" s="42" t="str">
        <f>IFERROR(VLOOKUP($J80,'Project Reference'!$B$2:$K$41,10)," ")</f>
        <v xml:space="preserve"> </v>
      </c>
      <c r="Y80" s="42" t="str">
        <f>IFERROR(VLOOKUP($J80,'Project Reference'!$B$2:$L$41,11)," ")</f>
        <v xml:space="preserve"> </v>
      </c>
      <c r="Z80" s="42" t="str">
        <f>IFERROR(VLOOKUP($J80,'Project Reference'!$B$2:$M$41,12)," ")</f>
        <v xml:space="preserve"> </v>
      </c>
      <c r="AA80" s="42" t="str">
        <f>IFERROR(VLOOKUP($J80,'Project Reference'!$B$2:$N$41,13)," ")</f>
        <v xml:space="preserve"> </v>
      </c>
    </row>
    <row r="81" spans="1:27" s="1" customFormat="1" x14ac:dyDescent="0.45">
      <c r="A81" s="43"/>
      <c r="B81" s="205"/>
      <c r="C81"/>
      <c r="D81" s="72"/>
      <c r="E81" s="72"/>
      <c r="F81" s="72"/>
      <c r="G81" s="72"/>
      <c r="H81" s="17"/>
      <c r="I81" s="41" t="str" cm="1">
        <f t="array" ref="I81">IFERROR(_xlfn.IFS(H81="Hard (Cash)","N/A",H81="Soft (In-Kind)", "Enter Source"),"Select Type")</f>
        <v>Select Type</v>
      </c>
      <c r="J81" s="124"/>
      <c r="K81" s="41" t="str">
        <f>IFERROR(VLOOKUP($J81,'Project Reference'!$S$2:$T$41,2),"Enter Project Number")</f>
        <v>Enter Project Number</v>
      </c>
      <c r="L81" s="41"/>
      <c r="M81" s="41"/>
      <c r="N81" s="15">
        <f t="shared" si="1"/>
        <v>0</v>
      </c>
      <c r="O81" s="19"/>
      <c r="P81" s="42" t="str">
        <f>IFERROR(VLOOKUP($J81,'Project Reference'!$B$2:$C$41,2)," ")</f>
        <v xml:space="preserve"> </v>
      </c>
      <c r="Q81" s="42" t="str">
        <f>IFERROR(VLOOKUP($J81,'Project Reference'!$B$2:$D$41,3)," ")</f>
        <v xml:space="preserve"> </v>
      </c>
      <c r="R81" s="42" t="str">
        <f>IFERROR(VLOOKUP($J81,'Project Reference'!$B$2:$E$41,4)," ")</f>
        <v xml:space="preserve"> </v>
      </c>
      <c r="S81" s="42" t="str">
        <f>IFERROR(VLOOKUP($J81,'Project Reference'!$B$2:$F$41,5,FALSE)," ")</f>
        <v xml:space="preserve"> </v>
      </c>
      <c r="T81" s="42" t="str">
        <f>IFERROR(VLOOKUP($J81,'Project Reference'!$B$2:$G$41,6,FALSE)," ")</f>
        <v xml:space="preserve"> </v>
      </c>
      <c r="U81" s="42" t="str">
        <f>IFERROR(VLOOKUP($J81,'Project Reference'!$B$2:$H$41,7,FALSE)," ")</f>
        <v xml:space="preserve"> </v>
      </c>
      <c r="V81" s="42" t="str">
        <f>IFERROR(VLOOKUP($J81,'Project Reference'!$B$2:$I$41,8,FALSE)," ")</f>
        <v xml:space="preserve"> </v>
      </c>
      <c r="W81" s="42" t="str">
        <f>IFERROR(VLOOKUP($J81,'Project Reference'!$B$2:$J$41,9,FALSE)," ")</f>
        <v xml:space="preserve"> </v>
      </c>
      <c r="X81" s="42" t="str">
        <f>IFERROR(VLOOKUP($J81,'Project Reference'!$B$2:$K$41,10)," ")</f>
        <v xml:space="preserve"> </v>
      </c>
      <c r="Y81" s="42" t="str">
        <f>IFERROR(VLOOKUP($J81,'Project Reference'!$B$2:$L$41,11)," ")</f>
        <v xml:space="preserve"> </v>
      </c>
      <c r="Z81" s="42" t="str">
        <f>IFERROR(VLOOKUP($J81,'Project Reference'!$B$2:$M$41,12)," ")</f>
        <v xml:space="preserve"> </v>
      </c>
      <c r="AA81" s="42" t="str">
        <f>IFERROR(VLOOKUP($J81,'Project Reference'!$B$2:$N$41,13)," ")</f>
        <v xml:space="preserve"> </v>
      </c>
    </row>
    <row r="82" spans="1:27" s="1" customFormat="1" x14ac:dyDescent="0.45">
      <c r="A82" s="43"/>
      <c r="B82" s="205"/>
      <c r="C82"/>
      <c r="D82" s="72"/>
      <c r="E82" s="72"/>
      <c r="F82" s="72"/>
      <c r="G82" s="72"/>
      <c r="H82" s="17"/>
      <c r="I82" s="41" t="str" cm="1">
        <f t="array" ref="I82">IFERROR(_xlfn.IFS(H82="Hard (Cash)","N/A",H82="Soft (In-Kind)", "Enter Source"),"Select Type")</f>
        <v>Select Type</v>
      </c>
      <c r="J82" s="124"/>
      <c r="K82" s="41" t="str">
        <f>IFERROR(VLOOKUP($J82,'Project Reference'!$S$2:$T$41,2),"Enter Project Number")</f>
        <v>Enter Project Number</v>
      </c>
      <c r="L82" s="41"/>
      <c r="M82" s="41"/>
      <c r="N82" s="15">
        <f t="shared" si="1"/>
        <v>0</v>
      </c>
      <c r="O82" s="19"/>
      <c r="P82" s="42" t="str">
        <f>IFERROR(VLOOKUP($J82,'Project Reference'!$B$2:$C$41,2)," ")</f>
        <v xml:space="preserve"> </v>
      </c>
      <c r="Q82" s="42" t="str">
        <f>IFERROR(VLOOKUP($J82,'Project Reference'!$B$2:$D$41,3)," ")</f>
        <v xml:space="preserve"> </v>
      </c>
      <c r="R82" s="42" t="str">
        <f>IFERROR(VLOOKUP($J82,'Project Reference'!$B$2:$E$41,4)," ")</f>
        <v xml:space="preserve"> </v>
      </c>
      <c r="S82" s="42" t="str">
        <f>IFERROR(VLOOKUP($J82,'Project Reference'!$B$2:$F$41,5,FALSE)," ")</f>
        <v xml:space="preserve"> </v>
      </c>
      <c r="T82" s="42" t="str">
        <f>IFERROR(VLOOKUP($J82,'Project Reference'!$B$2:$G$41,6,FALSE)," ")</f>
        <v xml:space="preserve"> </v>
      </c>
      <c r="U82" s="42" t="str">
        <f>IFERROR(VLOOKUP($J82,'Project Reference'!$B$2:$H$41,7,FALSE)," ")</f>
        <v xml:space="preserve"> </v>
      </c>
      <c r="V82" s="42" t="str">
        <f>IFERROR(VLOOKUP($J82,'Project Reference'!$B$2:$I$41,8,FALSE)," ")</f>
        <v xml:space="preserve"> </v>
      </c>
      <c r="W82" s="42" t="str">
        <f>IFERROR(VLOOKUP($J82,'Project Reference'!$B$2:$J$41,9,FALSE)," ")</f>
        <v xml:space="preserve"> </v>
      </c>
      <c r="X82" s="42" t="str">
        <f>IFERROR(VLOOKUP($J82,'Project Reference'!$B$2:$K$41,10)," ")</f>
        <v xml:space="preserve"> </v>
      </c>
      <c r="Y82" s="42" t="str">
        <f>IFERROR(VLOOKUP($J82,'Project Reference'!$B$2:$L$41,11)," ")</f>
        <v xml:space="preserve"> </v>
      </c>
      <c r="Z82" s="42" t="str">
        <f>IFERROR(VLOOKUP($J82,'Project Reference'!$B$2:$M$41,12)," ")</f>
        <v xml:space="preserve"> </v>
      </c>
      <c r="AA82" s="42" t="str">
        <f>IFERROR(VLOOKUP($J82,'Project Reference'!$B$2:$N$41,13)," ")</f>
        <v xml:space="preserve"> </v>
      </c>
    </row>
    <row r="83" spans="1:27" s="1" customFormat="1" x14ac:dyDescent="0.45">
      <c r="A83" s="43"/>
      <c r="B83" s="205"/>
      <c r="C83"/>
      <c r="D83" s="72"/>
      <c r="E83" s="72"/>
      <c r="F83" s="72"/>
      <c r="G83" s="72"/>
      <c r="H83" s="17"/>
      <c r="I83" s="41" t="str" cm="1">
        <f t="array" ref="I83">IFERROR(_xlfn.IFS(H83="Hard (Cash)","N/A",H83="Soft (In-Kind)", "Enter Source"),"Select Type")</f>
        <v>Select Type</v>
      </c>
      <c r="J83" s="124"/>
      <c r="K83" s="41" t="str">
        <f>IFERROR(VLOOKUP($J83,'Project Reference'!$S$2:$T$41,2),"Enter Project Number")</f>
        <v>Enter Project Number</v>
      </c>
      <c r="L83" s="41"/>
      <c r="M83" s="41"/>
      <c r="N83" s="15">
        <f t="shared" si="1"/>
        <v>0</v>
      </c>
      <c r="O83" s="19"/>
      <c r="P83" s="42" t="str">
        <f>IFERROR(VLOOKUP($J83,'Project Reference'!$B$2:$C$41,2)," ")</f>
        <v xml:space="preserve"> </v>
      </c>
      <c r="Q83" s="42" t="str">
        <f>IFERROR(VLOOKUP($J83,'Project Reference'!$B$2:$D$41,3)," ")</f>
        <v xml:space="preserve"> </v>
      </c>
      <c r="R83" s="42" t="str">
        <f>IFERROR(VLOOKUP($J83,'Project Reference'!$B$2:$E$41,4)," ")</f>
        <v xml:space="preserve"> </v>
      </c>
      <c r="S83" s="42" t="str">
        <f>IFERROR(VLOOKUP($J83,'Project Reference'!$B$2:$F$41,5,FALSE)," ")</f>
        <v xml:space="preserve"> </v>
      </c>
      <c r="T83" s="42" t="str">
        <f>IFERROR(VLOOKUP($J83,'Project Reference'!$B$2:$G$41,6,FALSE)," ")</f>
        <v xml:space="preserve"> </v>
      </c>
      <c r="U83" s="42" t="str">
        <f>IFERROR(VLOOKUP($J83,'Project Reference'!$B$2:$H$41,7,FALSE)," ")</f>
        <v xml:space="preserve"> </v>
      </c>
      <c r="V83" s="42" t="str">
        <f>IFERROR(VLOOKUP($J83,'Project Reference'!$B$2:$I$41,8,FALSE)," ")</f>
        <v xml:space="preserve"> </v>
      </c>
      <c r="W83" s="42" t="str">
        <f>IFERROR(VLOOKUP($J83,'Project Reference'!$B$2:$J$41,9,FALSE)," ")</f>
        <v xml:space="preserve"> </v>
      </c>
      <c r="X83" s="42" t="str">
        <f>IFERROR(VLOOKUP($J83,'Project Reference'!$B$2:$K$41,10)," ")</f>
        <v xml:space="preserve"> </v>
      </c>
      <c r="Y83" s="42" t="str">
        <f>IFERROR(VLOOKUP($J83,'Project Reference'!$B$2:$L$41,11)," ")</f>
        <v xml:space="preserve"> </v>
      </c>
      <c r="Z83" s="42" t="str">
        <f>IFERROR(VLOOKUP($J83,'Project Reference'!$B$2:$M$41,12)," ")</f>
        <v xml:space="preserve"> </v>
      </c>
      <c r="AA83" s="42" t="str">
        <f>IFERROR(VLOOKUP($J83,'Project Reference'!$B$2:$N$41,13)," ")</f>
        <v xml:space="preserve"> </v>
      </c>
    </row>
    <row r="84" spans="1:27" s="1" customFormat="1" x14ac:dyDescent="0.45">
      <c r="A84" s="43"/>
      <c r="B84" s="205"/>
      <c r="C84"/>
      <c r="D84" s="72"/>
      <c r="E84" s="72"/>
      <c r="F84" s="72"/>
      <c r="G84" s="72"/>
      <c r="H84" s="17"/>
      <c r="I84" s="41" t="str" cm="1">
        <f t="array" ref="I84">IFERROR(_xlfn.IFS(H84="Hard (Cash)","N/A",H84="Soft (In-Kind)", "Enter Source"),"Select Type")</f>
        <v>Select Type</v>
      </c>
      <c r="J84" s="124"/>
      <c r="K84" s="41" t="str">
        <f>IFERROR(VLOOKUP($J84,'Project Reference'!$S$2:$T$41,2),"Enter Project Number")</f>
        <v>Enter Project Number</v>
      </c>
      <c r="L84" s="41"/>
      <c r="M84" s="41"/>
      <c r="N84" s="15">
        <f t="shared" si="1"/>
        <v>0</v>
      </c>
      <c r="O84" s="19"/>
      <c r="P84" s="42" t="str">
        <f>IFERROR(VLOOKUP($J84,'Project Reference'!$B$2:$C$41,2)," ")</f>
        <v xml:space="preserve"> </v>
      </c>
      <c r="Q84" s="42" t="str">
        <f>IFERROR(VLOOKUP($J84,'Project Reference'!$B$2:$D$41,3)," ")</f>
        <v xml:space="preserve"> </v>
      </c>
      <c r="R84" s="42" t="str">
        <f>IFERROR(VLOOKUP($J84,'Project Reference'!$B$2:$E$41,4)," ")</f>
        <v xml:space="preserve"> </v>
      </c>
      <c r="S84" s="42" t="str">
        <f>IFERROR(VLOOKUP($J84,'Project Reference'!$B$2:$F$41,5,FALSE)," ")</f>
        <v xml:space="preserve"> </v>
      </c>
      <c r="T84" s="42" t="str">
        <f>IFERROR(VLOOKUP($J84,'Project Reference'!$B$2:$G$41,6,FALSE)," ")</f>
        <v xml:space="preserve"> </v>
      </c>
      <c r="U84" s="42" t="str">
        <f>IFERROR(VLOOKUP($J84,'Project Reference'!$B$2:$H$41,7,FALSE)," ")</f>
        <v xml:space="preserve"> </v>
      </c>
      <c r="V84" s="42" t="str">
        <f>IFERROR(VLOOKUP($J84,'Project Reference'!$B$2:$I$41,8,FALSE)," ")</f>
        <v xml:space="preserve"> </v>
      </c>
      <c r="W84" s="42" t="str">
        <f>IFERROR(VLOOKUP($J84,'Project Reference'!$B$2:$J$41,9,FALSE)," ")</f>
        <v xml:space="preserve"> </v>
      </c>
      <c r="X84" s="42" t="str">
        <f>IFERROR(VLOOKUP($J84,'Project Reference'!$B$2:$K$41,10)," ")</f>
        <v xml:space="preserve"> </v>
      </c>
      <c r="Y84" s="42" t="str">
        <f>IFERROR(VLOOKUP($J84,'Project Reference'!$B$2:$L$41,11)," ")</f>
        <v xml:space="preserve"> </v>
      </c>
      <c r="Z84" s="42" t="str">
        <f>IFERROR(VLOOKUP($J84,'Project Reference'!$B$2:$M$41,12)," ")</f>
        <v xml:space="preserve"> </v>
      </c>
      <c r="AA84" s="42" t="str">
        <f>IFERROR(VLOOKUP($J84,'Project Reference'!$B$2:$N$41,13)," ")</f>
        <v xml:space="preserve"> </v>
      </c>
    </row>
    <row r="85" spans="1:27" s="1" customFormat="1" x14ac:dyDescent="0.45">
      <c r="A85" s="43"/>
      <c r="B85" s="205"/>
      <c r="C85"/>
      <c r="D85" s="72"/>
      <c r="E85" s="72"/>
      <c r="F85" s="72"/>
      <c r="G85" s="72"/>
      <c r="H85" s="17"/>
      <c r="I85" s="41" t="str" cm="1">
        <f t="array" ref="I85">IFERROR(_xlfn.IFS(H85="Hard (Cash)","N/A",H85="Soft (In-Kind)", "Enter Source"),"Select Type")</f>
        <v>Select Type</v>
      </c>
      <c r="J85" s="124"/>
      <c r="K85" s="41" t="str">
        <f>IFERROR(VLOOKUP($J85,'Project Reference'!$S$2:$T$41,2),"Enter Project Number")</f>
        <v>Enter Project Number</v>
      </c>
      <c r="L85" s="41"/>
      <c r="M85" s="41"/>
      <c r="N85" s="15">
        <f t="shared" si="1"/>
        <v>0</v>
      </c>
      <c r="O85" s="19"/>
      <c r="P85" s="42" t="str">
        <f>IFERROR(VLOOKUP($J85,'Project Reference'!$B$2:$C$41,2)," ")</f>
        <v xml:space="preserve"> </v>
      </c>
      <c r="Q85" s="42" t="str">
        <f>IFERROR(VLOOKUP($J85,'Project Reference'!$B$2:$D$41,3)," ")</f>
        <v xml:space="preserve"> </v>
      </c>
      <c r="R85" s="42" t="str">
        <f>IFERROR(VLOOKUP($J85,'Project Reference'!$B$2:$E$41,4)," ")</f>
        <v xml:space="preserve"> </v>
      </c>
      <c r="S85" s="42" t="str">
        <f>IFERROR(VLOOKUP($J85,'Project Reference'!$B$2:$F$41,5,FALSE)," ")</f>
        <v xml:space="preserve"> </v>
      </c>
      <c r="T85" s="42" t="str">
        <f>IFERROR(VLOOKUP($J85,'Project Reference'!$B$2:$G$41,6,FALSE)," ")</f>
        <v xml:space="preserve"> </v>
      </c>
      <c r="U85" s="42" t="str">
        <f>IFERROR(VLOOKUP($J85,'Project Reference'!$B$2:$H$41,7,FALSE)," ")</f>
        <v xml:space="preserve"> </v>
      </c>
      <c r="V85" s="42" t="str">
        <f>IFERROR(VLOOKUP($J85,'Project Reference'!$B$2:$I$41,8,FALSE)," ")</f>
        <v xml:space="preserve"> </v>
      </c>
      <c r="W85" s="42" t="str">
        <f>IFERROR(VLOOKUP($J85,'Project Reference'!$B$2:$J$41,9,FALSE)," ")</f>
        <v xml:space="preserve"> </v>
      </c>
      <c r="X85" s="42" t="str">
        <f>IFERROR(VLOOKUP($J85,'Project Reference'!$B$2:$K$41,10)," ")</f>
        <v xml:space="preserve"> </v>
      </c>
      <c r="Y85" s="42" t="str">
        <f>IFERROR(VLOOKUP($J85,'Project Reference'!$B$2:$L$41,11)," ")</f>
        <v xml:space="preserve"> </v>
      </c>
      <c r="Z85" s="42" t="str">
        <f>IFERROR(VLOOKUP($J85,'Project Reference'!$B$2:$M$41,12)," ")</f>
        <v xml:space="preserve"> </v>
      </c>
      <c r="AA85" s="42" t="str">
        <f>IFERROR(VLOOKUP($J85,'Project Reference'!$B$2:$N$41,13)," ")</f>
        <v xml:space="preserve"> </v>
      </c>
    </row>
    <row r="86" spans="1:27" s="1" customFormat="1" x14ac:dyDescent="0.45">
      <c r="A86" s="43"/>
      <c r="B86" s="205"/>
      <c r="C86"/>
      <c r="D86" s="72"/>
      <c r="E86" s="72"/>
      <c r="F86" s="72"/>
      <c r="G86" s="72"/>
      <c r="H86" s="17"/>
      <c r="I86" s="41" t="str" cm="1">
        <f t="array" ref="I86">IFERROR(_xlfn.IFS(H86="Hard (Cash)","N/A",H86="Soft (In-Kind)", "Enter Source"),"Select Type")</f>
        <v>Select Type</v>
      </c>
      <c r="J86" s="124"/>
      <c r="K86" s="41" t="str">
        <f>IFERROR(VLOOKUP($J86,'Project Reference'!$S$2:$T$41,2),"Enter Project Number")</f>
        <v>Enter Project Number</v>
      </c>
      <c r="L86" s="41"/>
      <c r="M86" s="41"/>
      <c r="N86" s="15">
        <f t="shared" si="1"/>
        <v>0</v>
      </c>
      <c r="O86" s="19"/>
      <c r="P86" s="42" t="str">
        <f>IFERROR(VLOOKUP($J86,'Project Reference'!$B$2:$C$41,2)," ")</f>
        <v xml:space="preserve"> </v>
      </c>
      <c r="Q86" s="42" t="str">
        <f>IFERROR(VLOOKUP($J86,'Project Reference'!$B$2:$D$41,3)," ")</f>
        <v xml:space="preserve"> </v>
      </c>
      <c r="R86" s="42" t="str">
        <f>IFERROR(VLOOKUP($J86,'Project Reference'!$B$2:$E$41,4)," ")</f>
        <v xml:space="preserve"> </v>
      </c>
      <c r="S86" s="42" t="str">
        <f>IFERROR(VLOOKUP($J86,'Project Reference'!$B$2:$F$41,5,FALSE)," ")</f>
        <v xml:space="preserve"> </v>
      </c>
      <c r="T86" s="42" t="str">
        <f>IFERROR(VLOOKUP($J86,'Project Reference'!$B$2:$G$41,6,FALSE)," ")</f>
        <v xml:space="preserve"> </v>
      </c>
      <c r="U86" s="42" t="str">
        <f>IFERROR(VLOOKUP($J86,'Project Reference'!$B$2:$H$41,7,FALSE)," ")</f>
        <v xml:space="preserve"> </v>
      </c>
      <c r="V86" s="42" t="str">
        <f>IFERROR(VLOOKUP($J86,'Project Reference'!$B$2:$I$41,8,FALSE)," ")</f>
        <v xml:space="preserve"> </v>
      </c>
      <c r="W86" s="42" t="str">
        <f>IFERROR(VLOOKUP($J86,'Project Reference'!$B$2:$J$41,9,FALSE)," ")</f>
        <v xml:space="preserve"> </v>
      </c>
      <c r="X86" s="42" t="str">
        <f>IFERROR(VLOOKUP($J86,'Project Reference'!$B$2:$K$41,10)," ")</f>
        <v xml:space="preserve"> </v>
      </c>
      <c r="Y86" s="42" t="str">
        <f>IFERROR(VLOOKUP($J86,'Project Reference'!$B$2:$L$41,11)," ")</f>
        <v xml:space="preserve"> </v>
      </c>
      <c r="Z86" s="42" t="str">
        <f>IFERROR(VLOOKUP($J86,'Project Reference'!$B$2:$M$41,12)," ")</f>
        <v xml:space="preserve"> </v>
      </c>
      <c r="AA86" s="42" t="str">
        <f>IFERROR(VLOOKUP($J86,'Project Reference'!$B$2:$N$41,13)," ")</f>
        <v xml:space="preserve"> </v>
      </c>
    </row>
    <row r="87" spans="1:27" s="1" customFormat="1" x14ac:dyDescent="0.45">
      <c r="A87" s="43"/>
      <c r="B87" s="205"/>
      <c r="C87"/>
      <c r="D87" s="72"/>
      <c r="E87" s="72"/>
      <c r="F87" s="72"/>
      <c r="G87" s="72"/>
      <c r="H87" s="17"/>
      <c r="I87" s="41" t="str" cm="1">
        <f t="array" ref="I87">IFERROR(_xlfn.IFS(H87="Hard (Cash)","N/A",H87="Soft (In-Kind)", "Enter Source"),"Select Type")</f>
        <v>Select Type</v>
      </c>
      <c r="J87" s="124"/>
      <c r="K87" s="41" t="str">
        <f>IFERROR(VLOOKUP($J87,'Project Reference'!$S$2:$T$41,2),"Enter Project Number")</f>
        <v>Enter Project Number</v>
      </c>
      <c r="L87" s="41"/>
      <c r="M87" s="41"/>
      <c r="N87" s="15">
        <f t="shared" si="1"/>
        <v>0</v>
      </c>
      <c r="O87" s="19"/>
      <c r="P87" s="42" t="str">
        <f>IFERROR(VLOOKUP($J87,'Project Reference'!$B$2:$C$41,2)," ")</f>
        <v xml:space="preserve"> </v>
      </c>
      <c r="Q87" s="42" t="str">
        <f>IFERROR(VLOOKUP($J87,'Project Reference'!$B$2:$D$41,3)," ")</f>
        <v xml:space="preserve"> </v>
      </c>
      <c r="R87" s="42" t="str">
        <f>IFERROR(VLOOKUP($J87,'Project Reference'!$B$2:$E$41,4)," ")</f>
        <v xml:space="preserve"> </v>
      </c>
      <c r="S87" s="42" t="str">
        <f>IFERROR(VLOOKUP($J87,'Project Reference'!$B$2:$F$41,5,FALSE)," ")</f>
        <v xml:space="preserve"> </v>
      </c>
      <c r="T87" s="42" t="str">
        <f>IFERROR(VLOOKUP($J87,'Project Reference'!$B$2:$G$41,6,FALSE)," ")</f>
        <v xml:space="preserve"> </v>
      </c>
      <c r="U87" s="42" t="str">
        <f>IFERROR(VLOOKUP($J87,'Project Reference'!$B$2:$H$41,7,FALSE)," ")</f>
        <v xml:space="preserve"> </v>
      </c>
      <c r="V87" s="42" t="str">
        <f>IFERROR(VLOOKUP($J87,'Project Reference'!$B$2:$I$41,8,FALSE)," ")</f>
        <v xml:space="preserve"> </v>
      </c>
      <c r="W87" s="42" t="str">
        <f>IFERROR(VLOOKUP($J87,'Project Reference'!$B$2:$J$41,9,FALSE)," ")</f>
        <v xml:space="preserve"> </v>
      </c>
      <c r="X87" s="42" t="str">
        <f>IFERROR(VLOOKUP($J87,'Project Reference'!$B$2:$K$41,10)," ")</f>
        <v xml:space="preserve"> </v>
      </c>
      <c r="Y87" s="42" t="str">
        <f>IFERROR(VLOOKUP($J87,'Project Reference'!$B$2:$L$41,11)," ")</f>
        <v xml:space="preserve"> </v>
      </c>
      <c r="Z87" s="42" t="str">
        <f>IFERROR(VLOOKUP($J87,'Project Reference'!$B$2:$M$41,12)," ")</f>
        <v xml:space="preserve"> </v>
      </c>
      <c r="AA87" s="42" t="str">
        <f>IFERROR(VLOOKUP($J87,'Project Reference'!$B$2:$N$41,13)," ")</f>
        <v xml:space="preserve"> </v>
      </c>
    </row>
    <row r="88" spans="1:27" s="1" customFormat="1" x14ac:dyDescent="0.45">
      <c r="A88" s="43"/>
      <c r="B88" s="205"/>
      <c r="C88"/>
      <c r="D88" s="72"/>
      <c r="E88" s="72"/>
      <c r="F88" s="72"/>
      <c r="G88" s="72"/>
      <c r="H88" s="17"/>
      <c r="I88" s="41" t="str" cm="1">
        <f t="array" ref="I88">IFERROR(_xlfn.IFS(H88="Hard (Cash)","N/A",H88="Soft (In-Kind)", "Enter Source"),"Select Type")</f>
        <v>Select Type</v>
      </c>
      <c r="J88" s="124"/>
      <c r="K88" s="41" t="str">
        <f>IFERROR(VLOOKUP($J88,'Project Reference'!$S$2:$T$41,2),"Enter Project Number")</f>
        <v>Enter Project Number</v>
      </c>
      <c r="L88" s="41"/>
      <c r="M88" s="41"/>
      <c r="N88" s="15">
        <f t="shared" si="1"/>
        <v>0</v>
      </c>
      <c r="O88" s="19"/>
      <c r="P88" s="42" t="str">
        <f>IFERROR(VLOOKUP($J88,'Project Reference'!$B$2:$C$41,2)," ")</f>
        <v xml:space="preserve"> </v>
      </c>
      <c r="Q88" s="42" t="str">
        <f>IFERROR(VLOOKUP($J88,'Project Reference'!$B$2:$D$41,3)," ")</f>
        <v xml:space="preserve"> </v>
      </c>
      <c r="R88" s="42" t="str">
        <f>IFERROR(VLOOKUP($J88,'Project Reference'!$B$2:$E$41,4)," ")</f>
        <v xml:space="preserve"> </v>
      </c>
      <c r="S88" s="42" t="str">
        <f>IFERROR(VLOOKUP($J88,'Project Reference'!$B$2:$F$41,5,FALSE)," ")</f>
        <v xml:space="preserve"> </v>
      </c>
      <c r="T88" s="42" t="str">
        <f>IFERROR(VLOOKUP($J88,'Project Reference'!$B$2:$G$41,6,FALSE)," ")</f>
        <v xml:space="preserve"> </v>
      </c>
      <c r="U88" s="42" t="str">
        <f>IFERROR(VLOOKUP($J88,'Project Reference'!$B$2:$H$41,7,FALSE)," ")</f>
        <v xml:space="preserve"> </v>
      </c>
      <c r="V88" s="42" t="str">
        <f>IFERROR(VLOOKUP($J88,'Project Reference'!$B$2:$I$41,8,FALSE)," ")</f>
        <v xml:space="preserve"> </v>
      </c>
      <c r="W88" s="42" t="str">
        <f>IFERROR(VLOOKUP($J88,'Project Reference'!$B$2:$J$41,9,FALSE)," ")</f>
        <v xml:space="preserve"> </v>
      </c>
      <c r="X88" s="42" t="str">
        <f>IFERROR(VLOOKUP($J88,'Project Reference'!$B$2:$K$41,10)," ")</f>
        <v xml:space="preserve"> </v>
      </c>
      <c r="Y88" s="42" t="str">
        <f>IFERROR(VLOOKUP($J88,'Project Reference'!$B$2:$L$41,11)," ")</f>
        <v xml:space="preserve"> </v>
      </c>
      <c r="Z88" s="42" t="str">
        <f>IFERROR(VLOOKUP($J88,'Project Reference'!$B$2:$M$41,12)," ")</f>
        <v xml:space="preserve"> </v>
      </c>
      <c r="AA88" s="42" t="str">
        <f>IFERROR(VLOOKUP($J88,'Project Reference'!$B$2:$N$41,13)," ")</f>
        <v xml:space="preserve"> </v>
      </c>
    </row>
    <row r="89" spans="1:27" s="1" customFormat="1" x14ac:dyDescent="0.45">
      <c r="A89" s="43"/>
      <c r="B89" s="205"/>
      <c r="C89"/>
      <c r="D89" s="72"/>
      <c r="E89" s="72"/>
      <c r="F89" s="72"/>
      <c r="G89" s="72"/>
      <c r="H89" s="17"/>
      <c r="I89" s="41" t="str" cm="1">
        <f t="array" ref="I89">IFERROR(_xlfn.IFS(H89="Hard (Cash)","N/A",H89="Soft (In-Kind)", "Enter Source"),"Select Type")</f>
        <v>Select Type</v>
      </c>
      <c r="J89" s="124"/>
      <c r="K89" s="41" t="str">
        <f>IFERROR(VLOOKUP($J89,'Project Reference'!$S$2:$T$41,2),"Enter Project Number")</f>
        <v>Enter Project Number</v>
      </c>
      <c r="L89" s="41"/>
      <c r="M89" s="41"/>
      <c r="N89" s="15">
        <f t="shared" si="1"/>
        <v>0</v>
      </c>
      <c r="O89" s="19"/>
      <c r="P89" s="42" t="str">
        <f>IFERROR(VLOOKUP($J89,'Project Reference'!$B$2:$C$41,2)," ")</f>
        <v xml:space="preserve"> </v>
      </c>
      <c r="Q89" s="42" t="str">
        <f>IFERROR(VLOOKUP($J89,'Project Reference'!$B$2:$D$41,3)," ")</f>
        <v xml:space="preserve"> </v>
      </c>
      <c r="R89" s="42" t="str">
        <f>IFERROR(VLOOKUP($J89,'Project Reference'!$B$2:$E$41,4)," ")</f>
        <v xml:space="preserve"> </v>
      </c>
      <c r="S89" s="42" t="str">
        <f>IFERROR(VLOOKUP($J89,'Project Reference'!$B$2:$F$41,5,FALSE)," ")</f>
        <v xml:space="preserve"> </v>
      </c>
      <c r="T89" s="42" t="str">
        <f>IFERROR(VLOOKUP($J89,'Project Reference'!$B$2:$G$41,6,FALSE)," ")</f>
        <v xml:space="preserve"> </v>
      </c>
      <c r="U89" s="42" t="str">
        <f>IFERROR(VLOOKUP($J89,'Project Reference'!$B$2:$H$41,7,FALSE)," ")</f>
        <v xml:space="preserve"> </v>
      </c>
      <c r="V89" s="42" t="str">
        <f>IFERROR(VLOOKUP($J89,'Project Reference'!$B$2:$I$41,8,FALSE)," ")</f>
        <v xml:space="preserve"> </v>
      </c>
      <c r="W89" s="42" t="str">
        <f>IFERROR(VLOOKUP($J89,'Project Reference'!$B$2:$J$41,9,FALSE)," ")</f>
        <v xml:space="preserve"> </v>
      </c>
      <c r="X89" s="42" t="str">
        <f>IFERROR(VLOOKUP($J89,'Project Reference'!$B$2:$K$41,10)," ")</f>
        <v xml:space="preserve"> </v>
      </c>
      <c r="Y89" s="42" t="str">
        <f>IFERROR(VLOOKUP($J89,'Project Reference'!$B$2:$L$41,11)," ")</f>
        <v xml:space="preserve"> </v>
      </c>
      <c r="Z89" s="42" t="str">
        <f>IFERROR(VLOOKUP($J89,'Project Reference'!$B$2:$M$41,12)," ")</f>
        <v xml:space="preserve"> </v>
      </c>
      <c r="AA89" s="42" t="str">
        <f>IFERROR(VLOOKUP($J89,'Project Reference'!$B$2:$N$41,13)," ")</f>
        <v xml:space="preserve"> </v>
      </c>
    </row>
    <row r="90" spans="1:27" s="1" customFormat="1" x14ac:dyDescent="0.45">
      <c r="A90" s="43"/>
      <c r="B90" s="205"/>
      <c r="C90"/>
      <c r="D90" s="72"/>
      <c r="E90" s="72"/>
      <c r="F90" s="72"/>
      <c r="G90" s="72"/>
      <c r="H90" s="17"/>
      <c r="I90" s="41" t="str" cm="1">
        <f t="array" ref="I90">IFERROR(_xlfn.IFS(H90="Hard (Cash)","N/A",H90="Soft (In-Kind)", "Enter Source"),"Select Type")</f>
        <v>Select Type</v>
      </c>
      <c r="J90" s="124"/>
      <c r="K90" s="41" t="str">
        <f>IFERROR(VLOOKUP($J90,'Project Reference'!$S$2:$T$41,2),"Enter Project Number")</f>
        <v>Enter Project Number</v>
      </c>
      <c r="L90" s="41"/>
      <c r="M90" s="41"/>
      <c r="N90" s="15">
        <f t="shared" si="1"/>
        <v>0</v>
      </c>
      <c r="O90" s="19"/>
      <c r="P90" s="42" t="str">
        <f>IFERROR(VLOOKUP($J90,'Project Reference'!$B$2:$C$41,2)," ")</f>
        <v xml:space="preserve"> </v>
      </c>
      <c r="Q90" s="42" t="str">
        <f>IFERROR(VLOOKUP($J90,'Project Reference'!$B$2:$D$41,3)," ")</f>
        <v xml:space="preserve"> </v>
      </c>
      <c r="R90" s="42" t="str">
        <f>IFERROR(VLOOKUP($J90,'Project Reference'!$B$2:$E$41,4)," ")</f>
        <v xml:space="preserve"> </v>
      </c>
      <c r="S90" s="42" t="str">
        <f>IFERROR(VLOOKUP($J90,'Project Reference'!$B$2:$F$41,5,FALSE)," ")</f>
        <v xml:space="preserve"> </v>
      </c>
      <c r="T90" s="42" t="str">
        <f>IFERROR(VLOOKUP($J90,'Project Reference'!$B$2:$G$41,6,FALSE)," ")</f>
        <v xml:space="preserve"> </v>
      </c>
      <c r="U90" s="42" t="str">
        <f>IFERROR(VLOOKUP($J90,'Project Reference'!$B$2:$H$41,7,FALSE)," ")</f>
        <v xml:space="preserve"> </v>
      </c>
      <c r="V90" s="42" t="str">
        <f>IFERROR(VLOOKUP($J90,'Project Reference'!$B$2:$I$41,8,FALSE)," ")</f>
        <v xml:space="preserve"> </v>
      </c>
      <c r="W90" s="42" t="str">
        <f>IFERROR(VLOOKUP($J90,'Project Reference'!$B$2:$J$41,9,FALSE)," ")</f>
        <v xml:space="preserve"> </v>
      </c>
      <c r="X90" s="42" t="str">
        <f>IFERROR(VLOOKUP($J90,'Project Reference'!$B$2:$K$41,10)," ")</f>
        <v xml:space="preserve"> </v>
      </c>
      <c r="Y90" s="42" t="str">
        <f>IFERROR(VLOOKUP($J90,'Project Reference'!$B$2:$L$41,11)," ")</f>
        <v xml:space="preserve"> </v>
      </c>
      <c r="Z90" s="42" t="str">
        <f>IFERROR(VLOOKUP($J90,'Project Reference'!$B$2:$M$41,12)," ")</f>
        <v xml:space="preserve"> </v>
      </c>
      <c r="AA90" s="42" t="str">
        <f>IFERROR(VLOOKUP($J90,'Project Reference'!$B$2:$N$41,13)," ")</f>
        <v xml:space="preserve"> </v>
      </c>
    </row>
    <row r="91" spans="1:27" s="1" customFormat="1" x14ac:dyDescent="0.45">
      <c r="A91" s="43"/>
      <c r="B91" s="205"/>
      <c r="C91"/>
      <c r="D91" s="72"/>
      <c r="E91" s="72"/>
      <c r="F91" s="72"/>
      <c r="G91" s="72"/>
      <c r="H91" s="17"/>
      <c r="I91" s="41" t="str" cm="1">
        <f t="array" ref="I91">IFERROR(_xlfn.IFS(H91="Hard (Cash)","N/A",H91="Soft (In-Kind)", "Enter Source"),"Select Type")</f>
        <v>Select Type</v>
      </c>
      <c r="J91" s="124"/>
      <c r="K91" s="41" t="str">
        <f>IFERROR(VLOOKUP($J91,'Project Reference'!$S$2:$T$41,2),"Enter Project Number")</f>
        <v>Enter Project Number</v>
      </c>
      <c r="L91" s="41"/>
      <c r="M91" s="41"/>
      <c r="N91" s="15">
        <f t="shared" si="1"/>
        <v>0</v>
      </c>
      <c r="O91" s="19"/>
      <c r="P91" s="42" t="str">
        <f>IFERROR(VLOOKUP($J91,'Project Reference'!$B$2:$C$41,2)," ")</f>
        <v xml:space="preserve"> </v>
      </c>
      <c r="Q91" s="42" t="str">
        <f>IFERROR(VLOOKUP($J91,'Project Reference'!$B$2:$D$41,3)," ")</f>
        <v xml:space="preserve"> </v>
      </c>
      <c r="R91" s="42" t="str">
        <f>IFERROR(VLOOKUP($J91,'Project Reference'!$B$2:$E$41,4)," ")</f>
        <v xml:space="preserve"> </v>
      </c>
      <c r="S91" s="42" t="str">
        <f>IFERROR(VLOOKUP($J91,'Project Reference'!$B$2:$F$41,5,FALSE)," ")</f>
        <v xml:space="preserve"> </v>
      </c>
      <c r="T91" s="42" t="str">
        <f>IFERROR(VLOOKUP($J91,'Project Reference'!$B$2:$G$41,6,FALSE)," ")</f>
        <v xml:space="preserve"> </v>
      </c>
      <c r="U91" s="42" t="str">
        <f>IFERROR(VLOOKUP($J91,'Project Reference'!$B$2:$H$41,7,FALSE)," ")</f>
        <v xml:space="preserve"> </v>
      </c>
      <c r="V91" s="42" t="str">
        <f>IFERROR(VLOOKUP($J91,'Project Reference'!$B$2:$I$41,8,FALSE)," ")</f>
        <v xml:space="preserve"> </v>
      </c>
      <c r="W91" s="42" t="str">
        <f>IFERROR(VLOOKUP($J91,'Project Reference'!$B$2:$J$41,9,FALSE)," ")</f>
        <v xml:space="preserve"> </v>
      </c>
      <c r="X91" s="42" t="str">
        <f>IFERROR(VLOOKUP($J91,'Project Reference'!$B$2:$K$41,10)," ")</f>
        <v xml:space="preserve"> </v>
      </c>
      <c r="Y91" s="42" t="str">
        <f>IFERROR(VLOOKUP($J91,'Project Reference'!$B$2:$L$41,11)," ")</f>
        <v xml:space="preserve"> </v>
      </c>
      <c r="Z91" s="42" t="str">
        <f>IFERROR(VLOOKUP($J91,'Project Reference'!$B$2:$M$41,12)," ")</f>
        <v xml:space="preserve"> </v>
      </c>
      <c r="AA91" s="42" t="str">
        <f>IFERROR(VLOOKUP($J91,'Project Reference'!$B$2:$N$41,13)," ")</f>
        <v xml:space="preserve"> </v>
      </c>
    </row>
    <row r="92" spans="1:27" s="1" customFormat="1" x14ac:dyDescent="0.45">
      <c r="A92" s="43"/>
      <c r="B92" s="205"/>
      <c r="C92"/>
      <c r="D92" s="72"/>
      <c r="E92" s="72"/>
      <c r="F92" s="72"/>
      <c r="G92" s="72"/>
      <c r="H92" s="17"/>
      <c r="I92" s="41" t="str" cm="1">
        <f t="array" ref="I92">IFERROR(_xlfn.IFS(H92="Hard (Cash)","N/A",H92="Soft (In-Kind)", "Enter Source"),"Select Type")</f>
        <v>Select Type</v>
      </c>
      <c r="J92" s="124"/>
      <c r="K92" s="41" t="str">
        <f>IFERROR(VLOOKUP($J92,'Project Reference'!$S$2:$T$41,2),"Enter Project Number")</f>
        <v>Enter Project Number</v>
      </c>
      <c r="L92" s="41"/>
      <c r="M92" s="41"/>
      <c r="N92" s="15">
        <f t="shared" si="1"/>
        <v>0</v>
      </c>
      <c r="O92" s="19"/>
      <c r="P92" s="42" t="str">
        <f>IFERROR(VLOOKUP($J92,'Project Reference'!$B$2:$C$41,2)," ")</f>
        <v xml:space="preserve"> </v>
      </c>
      <c r="Q92" s="42" t="str">
        <f>IFERROR(VLOOKUP($J92,'Project Reference'!$B$2:$D$41,3)," ")</f>
        <v xml:space="preserve"> </v>
      </c>
      <c r="R92" s="42" t="str">
        <f>IFERROR(VLOOKUP($J92,'Project Reference'!$B$2:$E$41,4)," ")</f>
        <v xml:space="preserve"> </v>
      </c>
      <c r="S92" s="42" t="str">
        <f>IFERROR(VLOOKUP($J92,'Project Reference'!$B$2:$F$41,5,FALSE)," ")</f>
        <v xml:space="preserve"> </v>
      </c>
      <c r="T92" s="42" t="str">
        <f>IFERROR(VLOOKUP($J92,'Project Reference'!$B$2:$G$41,6,FALSE)," ")</f>
        <v xml:space="preserve"> </v>
      </c>
      <c r="U92" s="42" t="str">
        <f>IFERROR(VLOOKUP($J92,'Project Reference'!$B$2:$H$41,7,FALSE)," ")</f>
        <v xml:space="preserve"> </v>
      </c>
      <c r="V92" s="42" t="str">
        <f>IFERROR(VLOOKUP($J92,'Project Reference'!$B$2:$I$41,8,FALSE)," ")</f>
        <v xml:space="preserve"> </v>
      </c>
      <c r="W92" s="42" t="str">
        <f>IFERROR(VLOOKUP($J92,'Project Reference'!$B$2:$J$41,9,FALSE)," ")</f>
        <v xml:space="preserve"> </v>
      </c>
      <c r="X92" s="42" t="str">
        <f>IFERROR(VLOOKUP($J92,'Project Reference'!$B$2:$K$41,10)," ")</f>
        <v xml:space="preserve"> </v>
      </c>
      <c r="Y92" s="42" t="str">
        <f>IFERROR(VLOOKUP($J92,'Project Reference'!$B$2:$L$41,11)," ")</f>
        <v xml:space="preserve"> </v>
      </c>
      <c r="Z92" s="42" t="str">
        <f>IFERROR(VLOOKUP($J92,'Project Reference'!$B$2:$M$41,12)," ")</f>
        <v xml:space="preserve"> </v>
      </c>
      <c r="AA92" s="42" t="str">
        <f>IFERROR(VLOOKUP($J92,'Project Reference'!$B$2:$N$41,13)," ")</f>
        <v xml:space="preserve"> </v>
      </c>
    </row>
    <row r="93" spans="1:27" s="1" customFormat="1" x14ac:dyDescent="0.45">
      <c r="A93" s="43"/>
      <c r="B93" s="205"/>
      <c r="C93"/>
      <c r="D93" s="72"/>
      <c r="E93" s="72"/>
      <c r="F93" s="72"/>
      <c r="G93" s="72"/>
      <c r="H93" s="17"/>
      <c r="I93" s="41" t="str" cm="1">
        <f t="array" ref="I93">IFERROR(_xlfn.IFS(H93="Hard (Cash)","N/A",H93="Soft (In-Kind)", "Enter Source"),"Select Type")</f>
        <v>Select Type</v>
      </c>
      <c r="J93" s="124"/>
      <c r="K93" s="41" t="str">
        <f>IFERROR(VLOOKUP($J93,'Project Reference'!$S$2:$T$41,2),"Enter Project Number")</f>
        <v>Enter Project Number</v>
      </c>
      <c r="L93" s="41"/>
      <c r="M93" s="41"/>
      <c r="N93" s="15">
        <f t="shared" si="1"/>
        <v>0</v>
      </c>
      <c r="O93" s="19"/>
      <c r="P93" s="42" t="str">
        <f>IFERROR(VLOOKUP($J93,'Project Reference'!$B$2:$C$41,2)," ")</f>
        <v xml:space="preserve"> </v>
      </c>
      <c r="Q93" s="42" t="str">
        <f>IFERROR(VLOOKUP($J93,'Project Reference'!$B$2:$D$41,3)," ")</f>
        <v xml:space="preserve"> </v>
      </c>
      <c r="R93" s="42" t="str">
        <f>IFERROR(VLOOKUP($J93,'Project Reference'!$B$2:$E$41,4)," ")</f>
        <v xml:space="preserve"> </v>
      </c>
      <c r="S93" s="42" t="str">
        <f>IFERROR(VLOOKUP($J93,'Project Reference'!$B$2:$F$41,5,FALSE)," ")</f>
        <v xml:space="preserve"> </v>
      </c>
      <c r="T93" s="42" t="str">
        <f>IFERROR(VLOOKUP($J93,'Project Reference'!$B$2:$G$41,6,FALSE)," ")</f>
        <v xml:space="preserve"> </v>
      </c>
      <c r="U93" s="42" t="str">
        <f>IFERROR(VLOOKUP($J93,'Project Reference'!$B$2:$H$41,7,FALSE)," ")</f>
        <v xml:space="preserve"> </v>
      </c>
      <c r="V93" s="42" t="str">
        <f>IFERROR(VLOOKUP($J93,'Project Reference'!$B$2:$I$41,8,FALSE)," ")</f>
        <v xml:space="preserve"> </v>
      </c>
      <c r="W93" s="42" t="str">
        <f>IFERROR(VLOOKUP($J93,'Project Reference'!$B$2:$J$41,9,FALSE)," ")</f>
        <v xml:space="preserve"> </v>
      </c>
      <c r="X93" s="42" t="str">
        <f>IFERROR(VLOOKUP($J93,'Project Reference'!$B$2:$K$41,10)," ")</f>
        <v xml:space="preserve"> </v>
      </c>
      <c r="Y93" s="42" t="str">
        <f>IFERROR(VLOOKUP($J93,'Project Reference'!$B$2:$L$41,11)," ")</f>
        <v xml:space="preserve"> </v>
      </c>
      <c r="Z93" s="42" t="str">
        <f>IFERROR(VLOOKUP($J93,'Project Reference'!$B$2:$M$41,12)," ")</f>
        <v xml:space="preserve"> </v>
      </c>
      <c r="AA93" s="42" t="str">
        <f>IFERROR(VLOOKUP($J93,'Project Reference'!$B$2:$N$41,13)," ")</f>
        <v xml:space="preserve"> </v>
      </c>
    </row>
    <row r="94" spans="1:27" s="1" customFormat="1" x14ac:dyDescent="0.45">
      <c r="A94" s="43"/>
      <c r="B94" s="205"/>
      <c r="C94"/>
      <c r="D94" s="72"/>
      <c r="E94" s="72"/>
      <c r="F94" s="72"/>
      <c r="G94" s="72"/>
      <c r="H94" s="17"/>
      <c r="I94" s="41" t="str" cm="1">
        <f t="array" ref="I94">IFERROR(_xlfn.IFS(H94="Hard (Cash)","N/A",H94="Soft (In-Kind)", "Enter Source"),"Select Type")</f>
        <v>Select Type</v>
      </c>
      <c r="J94" s="124"/>
      <c r="K94" s="41" t="str">
        <f>IFERROR(VLOOKUP($J94,'Project Reference'!$S$2:$T$41,2),"Enter Project Number")</f>
        <v>Enter Project Number</v>
      </c>
      <c r="L94" s="41"/>
      <c r="M94" s="41"/>
      <c r="N94" s="15">
        <f t="shared" si="1"/>
        <v>0</v>
      </c>
      <c r="O94" s="19"/>
      <c r="P94" s="42" t="str">
        <f>IFERROR(VLOOKUP($J94,'Project Reference'!$B$2:$C$41,2)," ")</f>
        <v xml:space="preserve"> </v>
      </c>
      <c r="Q94" s="42" t="str">
        <f>IFERROR(VLOOKUP($J94,'Project Reference'!$B$2:$D$41,3)," ")</f>
        <v xml:space="preserve"> </v>
      </c>
      <c r="R94" s="42" t="str">
        <f>IFERROR(VLOOKUP($J94,'Project Reference'!$B$2:$E$41,4)," ")</f>
        <v xml:space="preserve"> </v>
      </c>
      <c r="S94" s="42" t="str">
        <f>IFERROR(VLOOKUP($J94,'Project Reference'!$B$2:$F$41,5,FALSE)," ")</f>
        <v xml:space="preserve"> </v>
      </c>
      <c r="T94" s="42" t="str">
        <f>IFERROR(VLOOKUP($J94,'Project Reference'!$B$2:$G$41,6,FALSE)," ")</f>
        <v xml:space="preserve"> </v>
      </c>
      <c r="U94" s="42" t="str">
        <f>IFERROR(VLOOKUP($J94,'Project Reference'!$B$2:$H$41,7,FALSE)," ")</f>
        <v xml:space="preserve"> </v>
      </c>
      <c r="V94" s="42" t="str">
        <f>IFERROR(VLOOKUP($J94,'Project Reference'!$B$2:$I$41,8,FALSE)," ")</f>
        <v xml:space="preserve"> </v>
      </c>
      <c r="W94" s="42" t="str">
        <f>IFERROR(VLOOKUP($J94,'Project Reference'!$B$2:$J$41,9,FALSE)," ")</f>
        <v xml:space="preserve"> </v>
      </c>
      <c r="X94" s="42" t="str">
        <f>IFERROR(VLOOKUP($J94,'Project Reference'!$B$2:$K$41,10)," ")</f>
        <v xml:space="preserve"> </v>
      </c>
      <c r="Y94" s="42" t="str">
        <f>IFERROR(VLOOKUP($J94,'Project Reference'!$B$2:$L$41,11)," ")</f>
        <v xml:space="preserve"> </v>
      </c>
      <c r="Z94" s="42" t="str">
        <f>IFERROR(VLOOKUP($J94,'Project Reference'!$B$2:$M$41,12)," ")</f>
        <v xml:space="preserve"> </v>
      </c>
      <c r="AA94" s="42" t="str">
        <f>IFERROR(VLOOKUP($J94,'Project Reference'!$B$2:$N$41,13)," ")</f>
        <v xml:space="preserve"> </v>
      </c>
    </row>
    <row r="95" spans="1:27" s="1" customFormat="1" x14ac:dyDescent="0.45">
      <c r="A95" s="43"/>
      <c r="B95" s="205"/>
      <c r="C95"/>
      <c r="D95" s="72"/>
      <c r="E95" s="72"/>
      <c r="F95" s="72"/>
      <c r="G95" s="72"/>
      <c r="H95" s="17"/>
      <c r="I95" s="41" t="str" cm="1">
        <f t="array" ref="I95">IFERROR(_xlfn.IFS(H95="Hard (Cash)","N/A",H95="Soft (In-Kind)", "Enter Source"),"Select Type")</f>
        <v>Select Type</v>
      </c>
      <c r="J95" s="124"/>
      <c r="K95" s="41" t="str">
        <f>IFERROR(VLOOKUP($J95,'Project Reference'!$S$2:$T$41,2),"Enter Project Number")</f>
        <v>Enter Project Number</v>
      </c>
      <c r="L95" s="41"/>
      <c r="M95" s="41"/>
      <c r="N95" s="15">
        <f t="shared" si="1"/>
        <v>0</v>
      </c>
      <c r="O95" s="19"/>
      <c r="P95" s="42" t="str">
        <f>IFERROR(VLOOKUP($J95,'Project Reference'!$B$2:$C$41,2)," ")</f>
        <v xml:space="preserve"> </v>
      </c>
      <c r="Q95" s="42" t="str">
        <f>IFERROR(VLOOKUP($J95,'Project Reference'!$B$2:$D$41,3)," ")</f>
        <v xml:space="preserve"> </v>
      </c>
      <c r="R95" s="42" t="str">
        <f>IFERROR(VLOOKUP($J95,'Project Reference'!$B$2:$E$41,4)," ")</f>
        <v xml:space="preserve"> </v>
      </c>
      <c r="S95" s="42" t="str">
        <f>IFERROR(VLOOKUP($J95,'Project Reference'!$B$2:$F$41,5,FALSE)," ")</f>
        <v xml:space="preserve"> </v>
      </c>
      <c r="T95" s="42" t="str">
        <f>IFERROR(VLOOKUP($J95,'Project Reference'!$B$2:$G$41,6,FALSE)," ")</f>
        <v xml:space="preserve"> </v>
      </c>
      <c r="U95" s="42" t="str">
        <f>IFERROR(VLOOKUP($J95,'Project Reference'!$B$2:$H$41,7,FALSE)," ")</f>
        <v xml:space="preserve"> </v>
      </c>
      <c r="V95" s="42" t="str">
        <f>IFERROR(VLOOKUP($J95,'Project Reference'!$B$2:$I$41,8,FALSE)," ")</f>
        <v xml:space="preserve"> </v>
      </c>
      <c r="W95" s="42" t="str">
        <f>IFERROR(VLOOKUP($J95,'Project Reference'!$B$2:$J$41,9,FALSE)," ")</f>
        <v xml:space="preserve"> </v>
      </c>
      <c r="X95" s="42" t="str">
        <f>IFERROR(VLOOKUP($J95,'Project Reference'!$B$2:$K$41,10)," ")</f>
        <v xml:space="preserve"> </v>
      </c>
      <c r="Y95" s="42" t="str">
        <f>IFERROR(VLOOKUP($J95,'Project Reference'!$B$2:$L$41,11)," ")</f>
        <v xml:space="preserve"> </v>
      </c>
      <c r="Z95" s="42" t="str">
        <f>IFERROR(VLOOKUP($J95,'Project Reference'!$B$2:$M$41,12)," ")</f>
        <v xml:space="preserve"> </v>
      </c>
      <c r="AA95" s="42" t="str">
        <f>IFERROR(VLOOKUP($J95,'Project Reference'!$B$2:$N$41,13)," ")</f>
        <v xml:space="preserve"> </v>
      </c>
    </row>
    <row r="96" spans="1:27" s="1" customFormat="1" x14ac:dyDescent="0.45">
      <c r="A96" s="43"/>
      <c r="B96" s="205"/>
      <c r="C96"/>
      <c r="D96" s="72"/>
      <c r="E96" s="72"/>
      <c r="F96" s="72"/>
      <c r="G96" s="72"/>
      <c r="H96" s="17"/>
      <c r="I96" s="41" t="str" cm="1">
        <f t="array" ref="I96">IFERROR(_xlfn.IFS(H96="Hard (Cash)","N/A",H96="Soft (In-Kind)", "Enter Source"),"Select Type")</f>
        <v>Select Type</v>
      </c>
      <c r="J96" s="124"/>
      <c r="K96" s="41" t="str">
        <f>IFERROR(VLOOKUP($J96,'Project Reference'!$S$2:$T$41,2),"Enter Project Number")</f>
        <v>Enter Project Number</v>
      </c>
      <c r="L96" s="41"/>
      <c r="M96" s="41"/>
      <c r="N96" s="15">
        <f t="shared" si="1"/>
        <v>0</v>
      </c>
      <c r="O96" s="19"/>
      <c r="P96" s="42" t="str">
        <f>IFERROR(VLOOKUP($J96,'Project Reference'!$B$2:$C$41,2)," ")</f>
        <v xml:space="preserve"> </v>
      </c>
      <c r="Q96" s="42" t="str">
        <f>IFERROR(VLOOKUP($J96,'Project Reference'!$B$2:$D$41,3)," ")</f>
        <v xml:space="preserve"> </v>
      </c>
      <c r="R96" s="42" t="str">
        <f>IFERROR(VLOOKUP($J96,'Project Reference'!$B$2:$E$41,4)," ")</f>
        <v xml:space="preserve"> </v>
      </c>
      <c r="S96" s="42" t="str">
        <f>IFERROR(VLOOKUP($J96,'Project Reference'!$B$2:$F$41,5,FALSE)," ")</f>
        <v xml:space="preserve"> </v>
      </c>
      <c r="T96" s="42" t="str">
        <f>IFERROR(VLOOKUP($J96,'Project Reference'!$B$2:$G$41,6,FALSE)," ")</f>
        <v xml:space="preserve"> </v>
      </c>
      <c r="U96" s="42" t="str">
        <f>IFERROR(VLOOKUP($J96,'Project Reference'!$B$2:$H$41,7,FALSE)," ")</f>
        <v xml:space="preserve"> </v>
      </c>
      <c r="V96" s="42" t="str">
        <f>IFERROR(VLOOKUP($J96,'Project Reference'!$B$2:$I$41,8,FALSE)," ")</f>
        <v xml:space="preserve"> </v>
      </c>
      <c r="W96" s="42" t="str">
        <f>IFERROR(VLOOKUP($J96,'Project Reference'!$B$2:$J$41,9,FALSE)," ")</f>
        <v xml:space="preserve"> </v>
      </c>
      <c r="X96" s="42" t="str">
        <f>IFERROR(VLOOKUP($J96,'Project Reference'!$B$2:$K$41,10)," ")</f>
        <v xml:space="preserve"> </v>
      </c>
      <c r="Y96" s="42" t="str">
        <f>IFERROR(VLOOKUP($J96,'Project Reference'!$B$2:$L$41,11)," ")</f>
        <v xml:space="preserve"> </v>
      </c>
      <c r="Z96" s="42" t="str">
        <f>IFERROR(VLOOKUP($J96,'Project Reference'!$B$2:$M$41,12)," ")</f>
        <v xml:space="preserve"> </v>
      </c>
      <c r="AA96" s="42" t="str">
        <f>IFERROR(VLOOKUP($J96,'Project Reference'!$B$2:$N$41,13)," ")</f>
        <v xml:space="preserve"> </v>
      </c>
    </row>
    <row r="97" spans="1:27" s="1" customFormat="1" x14ac:dyDescent="0.45">
      <c r="A97" s="43"/>
      <c r="B97" s="205"/>
      <c r="C97"/>
      <c r="D97" s="72"/>
      <c r="E97" s="72"/>
      <c r="F97" s="72"/>
      <c r="G97" s="72"/>
      <c r="H97" s="17"/>
      <c r="I97" s="41" t="str" cm="1">
        <f t="array" ref="I97">IFERROR(_xlfn.IFS(H97="Hard (Cash)","N/A",H97="Soft (In-Kind)", "Enter Source"),"Select Type")</f>
        <v>Select Type</v>
      </c>
      <c r="J97" s="124"/>
      <c r="K97" s="41" t="str">
        <f>IFERROR(VLOOKUP($J97,'Project Reference'!$S$2:$T$41,2),"Enter Project Number")</f>
        <v>Enter Project Number</v>
      </c>
      <c r="L97" s="41"/>
      <c r="M97" s="41"/>
      <c r="N97" s="15">
        <f t="shared" si="1"/>
        <v>0</v>
      </c>
      <c r="O97" s="19"/>
      <c r="P97" s="42" t="str">
        <f>IFERROR(VLOOKUP($J97,'Project Reference'!$B$2:$C$41,2)," ")</f>
        <v xml:space="preserve"> </v>
      </c>
      <c r="Q97" s="42" t="str">
        <f>IFERROR(VLOOKUP($J97,'Project Reference'!$B$2:$D$41,3)," ")</f>
        <v xml:space="preserve"> </v>
      </c>
      <c r="R97" s="42" t="str">
        <f>IFERROR(VLOOKUP($J97,'Project Reference'!$B$2:$E$41,4)," ")</f>
        <v xml:space="preserve"> </v>
      </c>
      <c r="S97" s="42" t="str">
        <f>IFERROR(VLOOKUP($J97,'Project Reference'!$B$2:$F$41,5,FALSE)," ")</f>
        <v xml:space="preserve"> </v>
      </c>
      <c r="T97" s="42" t="str">
        <f>IFERROR(VLOOKUP($J97,'Project Reference'!$B$2:$G$41,6,FALSE)," ")</f>
        <v xml:space="preserve"> </v>
      </c>
      <c r="U97" s="42" t="str">
        <f>IFERROR(VLOOKUP($J97,'Project Reference'!$B$2:$H$41,7,FALSE)," ")</f>
        <v xml:space="preserve"> </v>
      </c>
      <c r="V97" s="42" t="str">
        <f>IFERROR(VLOOKUP($J97,'Project Reference'!$B$2:$I$41,8,FALSE)," ")</f>
        <v xml:space="preserve"> </v>
      </c>
      <c r="W97" s="42" t="str">
        <f>IFERROR(VLOOKUP($J97,'Project Reference'!$B$2:$J$41,9,FALSE)," ")</f>
        <v xml:space="preserve"> </v>
      </c>
      <c r="X97" s="42" t="str">
        <f>IFERROR(VLOOKUP($J97,'Project Reference'!$B$2:$K$41,10)," ")</f>
        <v xml:space="preserve"> </v>
      </c>
      <c r="Y97" s="42" t="str">
        <f>IFERROR(VLOOKUP($J97,'Project Reference'!$B$2:$L$41,11)," ")</f>
        <v xml:space="preserve"> </v>
      </c>
      <c r="Z97" s="42" t="str">
        <f>IFERROR(VLOOKUP($J97,'Project Reference'!$B$2:$M$41,12)," ")</f>
        <v xml:space="preserve"> </v>
      </c>
      <c r="AA97" s="42" t="str">
        <f>IFERROR(VLOOKUP($J97,'Project Reference'!$B$2:$N$41,13)," ")</f>
        <v xml:space="preserve"> </v>
      </c>
    </row>
    <row r="98" spans="1:27" s="1" customFormat="1" x14ac:dyDescent="0.45">
      <c r="A98" s="43"/>
      <c r="B98" s="205"/>
      <c r="C98"/>
      <c r="D98" s="72"/>
      <c r="E98" s="72"/>
      <c r="F98" s="72"/>
      <c r="G98" s="72"/>
      <c r="H98" s="17"/>
      <c r="I98" s="41" t="str" cm="1">
        <f t="array" ref="I98">IFERROR(_xlfn.IFS(H98="Hard (Cash)","N/A",H98="Soft (In-Kind)", "Enter Source"),"Select Type")</f>
        <v>Select Type</v>
      </c>
      <c r="J98" s="124"/>
      <c r="K98" s="41" t="str">
        <f>IFERROR(VLOOKUP($J98,'Project Reference'!$S$2:$T$41,2),"Enter Project Number")</f>
        <v>Enter Project Number</v>
      </c>
      <c r="L98" s="41"/>
      <c r="M98" s="41"/>
      <c r="N98" s="15">
        <f t="shared" si="1"/>
        <v>0</v>
      </c>
      <c r="O98" s="19"/>
      <c r="P98" s="42" t="str">
        <f>IFERROR(VLOOKUP($J98,'Project Reference'!$B$2:$C$41,2)," ")</f>
        <v xml:space="preserve"> </v>
      </c>
      <c r="Q98" s="42" t="str">
        <f>IFERROR(VLOOKUP($J98,'Project Reference'!$B$2:$D$41,3)," ")</f>
        <v xml:space="preserve"> </v>
      </c>
      <c r="R98" s="42" t="str">
        <f>IFERROR(VLOOKUP($J98,'Project Reference'!$B$2:$E$41,4)," ")</f>
        <v xml:space="preserve"> </v>
      </c>
      <c r="S98" s="42" t="str">
        <f>IFERROR(VLOOKUP($J98,'Project Reference'!$B$2:$F$41,5,FALSE)," ")</f>
        <v xml:space="preserve"> </v>
      </c>
      <c r="T98" s="42" t="str">
        <f>IFERROR(VLOOKUP($J98,'Project Reference'!$B$2:$G$41,6,FALSE)," ")</f>
        <v xml:space="preserve"> </v>
      </c>
      <c r="U98" s="42" t="str">
        <f>IFERROR(VLOOKUP($J98,'Project Reference'!$B$2:$H$41,7,FALSE)," ")</f>
        <v xml:space="preserve"> </v>
      </c>
      <c r="V98" s="42" t="str">
        <f>IFERROR(VLOOKUP($J98,'Project Reference'!$B$2:$I$41,8,FALSE)," ")</f>
        <v xml:space="preserve"> </v>
      </c>
      <c r="W98" s="42" t="str">
        <f>IFERROR(VLOOKUP($J98,'Project Reference'!$B$2:$J$41,9,FALSE)," ")</f>
        <v xml:space="preserve"> </v>
      </c>
      <c r="X98" s="42" t="str">
        <f>IFERROR(VLOOKUP($J98,'Project Reference'!$B$2:$K$41,10)," ")</f>
        <v xml:space="preserve"> </v>
      </c>
      <c r="Y98" s="42" t="str">
        <f>IFERROR(VLOOKUP($J98,'Project Reference'!$B$2:$L$41,11)," ")</f>
        <v xml:space="preserve"> </v>
      </c>
      <c r="Z98" s="42" t="str">
        <f>IFERROR(VLOOKUP($J98,'Project Reference'!$B$2:$M$41,12)," ")</f>
        <v xml:space="preserve"> </v>
      </c>
      <c r="AA98" s="42" t="str">
        <f>IFERROR(VLOOKUP($J98,'Project Reference'!$B$2:$N$41,13)," ")</f>
        <v xml:space="preserve"> </v>
      </c>
    </row>
    <row r="99" spans="1:27" s="1" customFormat="1" x14ac:dyDescent="0.45">
      <c r="A99" s="43"/>
      <c r="B99" s="205"/>
      <c r="C99"/>
      <c r="D99" s="72"/>
      <c r="E99" s="72"/>
      <c r="F99" s="72"/>
      <c r="G99" s="72"/>
      <c r="H99" s="17"/>
      <c r="I99" s="41" t="str" cm="1">
        <f t="array" ref="I99">IFERROR(_xlfn.IFS(H99="Hard (Cash)","N/A",H99="Soft (In-Kind)", "Enter Source"),"Select Type")</f>
        <v>Select Type</v>
      </c>
      <c r="J99" s="124"/>
      <c r="K99" s="41" t="str">
        <f>IFERROR(VLOOKUP($J99,'Project Reference'!$S$2:$T$41,2),"Enter Project Number")</f>
        <v>Enter Project Number</v>
      </c>
      <c r="L99" s="41"/>
      <c r="M99" s="41"/>
      <c r="N99" s="15">
        <f t="shared" si="1"/>
        <v>0</v>
      </c>
      <c r="O99" s="19"/>
      <c r="P99" s="42" t="str">
        <f>IFERROR(VLOOKUP($J99,'Project Reference'!$B$2:$C$41,2)," ")</f>
        <v xml:space="preserve"> </v>
      </c>
      <c r="Q99" s="42" t="str">
        <f>IFERROR(VLOOKUP($J99,'Project Reference'!$B$2:$D$41,3)," ")</f>
        <v xml:space="preserve"> </v>
      </c>
      <c r="R99" s="42" t="str">
        <f>IFERROR(VLOOKUP($J99,'Project Reference'!$B$2:$E$41,4)," ")</f>
        <v xml:space="preserve"> </v>
      </c>
      <c r="S99" s="42" t="str">
        <f>IFERROR(VLOOKUP($J99,'Project Reference'!$B$2:$F$41,5,FALSE)," ")</f>
        <v xml:space="preserve"> </v>
      </c>
      <c r="T99" s="42" t="str">
        <f>IFERROR(VLOOKUP($J99,'Project Reference'!$B$2:$G$41,6,FALSE)," ")</f>
        <v xml:space="preserve"> </v>
      </c>
      <c r="U99" s="42" t="str">
        <f>IFERROR(VLOOKUP($J99,'Project Reference'!$B$2:$H$41,7,FALSE)," ")</f>
        <v xml:space="preserve"> </v>
      </c>
      <c r="V99" s="42" t="str">
        <f>IFERROR(VLOOKUP($J99,'Project Reference'!$B$2:$I$41,8,FALSE)," ")</f>
        <v xml:space="preserve"> </v>
      </c>
      <c r="W99" s="42" t="str">
        <f>IFERROR(VLOOKUP($J99,'Project Reference'!$B$2:$J$41,9,FALSE)," ")</f>
        <v xml:space="preserve"> </v>
      </c>
      <c r="X99" s="42" t="str">
        <f>IFERROR(VLOOKUP($J99,'Project Reference'!$B$2:$K$41,10)," ")</f>
        <v xml:space="preserve"> </v>
      </c>
      <c r="Y99" s="42" t="str">
        <f>IFERROR(VLOOKUP($J99,'Project Reference'!$B$2:$L$41,11)," ")</f>
        <v xml:space="preserve"> </v>
      </c>
      <c r="Z99" s="42" t="str">
        <f>IFERROR(VLOOKUP($J99,'Project Reference'!$B$2:$M$41,12)," ")</f>
        <v xml:space="preserve"> </v>
      </c>
      <c r="AA99" s="42" t="str">
        <f>IFERROR(VLOOKUP($J99,'Project Reference'!$B$2:$N$41,13)," ")</f>
        <v xml:space="preserve"> </v>
      </c>
    </row>
    <row r="100" spans="1:27" s="1" customFormat="1" x14ac:dyDescent="0.45">
      <c r="A100" s="43"/>
      <c r="B100" s="205"/>
      <c r="C100"/>
      <c r="D100" s="72"/>
      <c r="E100" s="72"/>
      <c r="F100" s="72"/>
      <c r="G100" s="72"/>
      <c r="H100" s="17"/>
      <c r="I100" s="41" t="str" cm="1">
        <f t="array" ref="I100">IFERROR(_xlfn.IFS(H100="Hard (Cash)","N/A",H100="Soft (In-Kind)", "Enter Source"),"Select Type")</f>
        <v>Select Type</v>
      </c>
      <c r="J100" s="124"/>
      <c r="K100" s="41" t="str">
        <f>IFERROR(VLOOKUP($J100,'Project Reference'!$S$2:$T$41,2),"Enter Project Number")</f>
        <v>Enter Project Number</v>
      </c>
      <c r="L100" s="41"/>
      <c r="M100" s="41"/>
      <c r="N100" s="15">
        <f t="shared" si="1"/>
        <v>0</v>
      </c>
      <c r="O100" s="19"/>
      <c r="P100" s="42" t="str">
        <f>IFERROR(VLOOKUP($J100,'Project Reference'!$B$2:$C$41,2)," ")</f>
        <v xml:space="preserve"> </v>
      </c>
      <c r="Q100" s="42" t="str">
        <f>IFERROR(VLOOKUP($J100,'Project Reference'!$B$2:$D$41,3)," ")</f>
        <v xml:space="preserve"> </v>
      </c>
      <c r="R100" s="42" t="str">
        <f>IFERROR(VLOOKUP($J100,'Project Reference'!$B$2:$E$41,4)," ")</f>
        <v xml:space="preserve"> </v>
      </c>
      <c r="S100" s="42" t="str">
        <f>IFERROR(VLOOKUP($J100,'Project Reference'!$B$2:$F$41,5,FALSE)," ")</f>
        <v xml:space="preserve"> </v>
      </c>
      <c r="T100" s="42" t="str">
        <f>IFERROR(VLOOKUP($J100,'Project Reference'!$B$2:$G$41,6,FALSE)," ")</f>
        <v xml:space="preserve"> </v>
      </c>
      <c r="U100" s="42" t="str">
        <f>IFERROR(VLOOKUP($J100,'Project Reference'!$B$2:$H$41,7,FALSE)," ")</f>
        <v xml:space="preserve"> </v>
      </c>
      <c r="V100" s="42" t="str">
        <f>IFERROR(VLOOKUP($J100,'Project Reference'!$B$2:$I$41,8,FALSE)," ")</f>
        <v xml:space="preserve"> </v>
      </c>
      <c r="W100" s="42" t="str">
        <f>IFERROR(VLOOKUP($J100,'Project Reference'!$B$2:$J$41,9,FALSE)," ")</f>
        <v xml:space="preserve"> </v>
      </c>
      <c r="X100" s="42" t="str">
        <f>IFERROR(VLOOKUP($J100,'Project Reference'!$B$2:$K$41,10)," ")</f>
        <v xml:space="preserve"> </v>
      </c>
      <c r="Y100" s="42" t="str">
        <f>IFERROR(VLOOKUP($J100,'Project Reference'!$B$2:$L$41,11)," ")</f>
        <v xml:space="preserve"> </v>
      </c>
      <c r="Z100" s="42" t="str">
        <f>IFERROR(VLOOKUP($J100,'Project Reference'!$B$2:$M$41,12)," ")</f>
        <v xml:space="preserve"> </v>
      </c>
      <c r="AA100" s="42" t="str">
        <f>IFERROR(VLOOKUP($J100,'Project Reference'!$B$2:$N$41,13)," ")</f>
        <v xml:space="preserve"> </v>
      </c>
    </row>
    <row r="101" spans="1:27" s="1" customFormat="1" x14ac:dyDescent="0.45">
      <c r="A101" s="43"/>
      <c r="B101" s="205"/>
      <c r="C101"/>
      <c r="D101" s="72"/>
      <c r="E101" s="72"/>
      <c r="F101" s="72"/>
      <c r="G101" s="72"/>
      <c r="H101" s="17"/>
      <c r="I101" s="41" t="str" cm="1">
        <f t="array" ref="I101">IFERROR(_xlfn.IFS(H101="Hard (Cash)","N/A",H101="Soft (In-Kind)", "Enter Source"),"Select Type")</f>
        <v>Select Type</v>
      </c>
      <c r="J101" s="124"/>
      <c r="K101" s="41" t="str">
        <f>IFERROR(VLOOKUP($J101,'Project Reference'!$S$2:$T$41,2),"Enter Project Number")</f>
        <v>Enter Project Number</v>
      </c>
      <c r="L101" s="41"/>
      <c r="M101" s="41"/>
      <c r="N101" s="15">
        <f t="shared" si="1"/>
        <v>0</v>
      </c>
      <c r="O101" s="19"/>
      <c r="P101" s="42" t="str">
        <f>IFERROR(VLOOKUP($J101,'Project Reference'!$B$2:$C$41,2)," ")</f>
        <v xml:space="preserve"> </v>
      </c>
      <c r="Q101" s="42" t="str">
        <f>IFERROR(VLOOKUP($J101,'Project Reference'!$B$2:$D$41,3)," ")</f>
        <v xml:space="preserve"> </v>
      </c>
      <c r="R101" s="42" t="str">
        <f>IFERROR(VLOOKUP($J101,'Project Reference'!$B$2:$E$41,4)," ")</f>
        <v xml:space="preserve"> </v>
      </c>
      <c r="S101" s="42" t="str">
        <f>IFERROR(VLOOKUP($J101,'Project Reference'!$B$2:$F$41,5,FALSE)," ")</f>
        <v xml:space="preserve"> </v>
      </c>
      <c r="T101" s="42" t="str">
        <f>IFERROR(VLOOKUP($J101,'Project Reference'!$B$2:$G$41,6,FALSE)," ")</f>
        <v xml:space="preserve"> </v>
      </c>
      <c r="U101" s="42" t="str">
        <f>IFERROR(VLOOKUP($J101,'Project Reference'!$B$2:$H$41,7,FALSE)," ")</f>
        <v xml:space="preserve"> </v>
      </c>
      <c r="V101" s="42" t="str">
        <f>IFERROR(VLOOKUP($J101,'Project Reference'!$B$2:$I$41,8,FALSE)," ")</f>
        <v xml:space="preserve"> </v>
      </c>
      <c r="W101" s="42" t="str">
        <f>IFERROR(VLOOKUP($J101,'Project Reference'!$B$2:$J$41,9,FALSE)," ")</f>
        <v xml:space="preserve"> </v>
      </c>
      <c r="X101" s="42" t="str">
        <f>IFERROR(VLOOKUP($J101,'Project Reference'!$B$2:$K$41,10)," ")</f>
        <v xml:space="preserve"> </v>
      </c>
      <c r="Y101" s="42" t="str">
        <f>IFERROR(VLOOKUP($J101,'Project Reference'!$B$2:$L$41,11)," ")</f>
        <v xml:space="preserve"> </v>
      </c>
      <c r="Z101" s="42" t="str">
        <f>IFERROR(VLOOKUP($J101,'Project Reference'!$B$2:$M$41,12)," ")</f>
        <v xml:space="preserve"> </v>
      </c>
      <c r="AA101" s="42" t="str">
        <f>IFERROR(VLOOKUP($J101,'Project Reference'!$B$2:$N$41,13)," ")</f>
        <v xml:space="preserve"> </v>
      </c>
    </row>
    <row r="102" spans="1:27" s="1" customFormat="1" x14ac:dyDescent="0.45">
      <c r="A102" s="43"/>
      <c r="B102" s="205"/>
      <c r="C102"/>
      <c r="D102" s="72"/>
      <c r="E102" s="72"/>
      <c r="F102" s="72"/>
      <c r="G102" s="72"/>
      <c r="H102" s="17"/>
      <c r="I102" s="41" t="str" cm="1">
        <f t="array" ref="I102">IFERROR(_xlfn.IFS(H102="Hard (Cash)","N/A",H102="Soft (In-Kind)", "Enter Source"),"Select Type")</f>
        <v>Select Type</v>
      </c>
      <c r="J102" s="124"/>
      <c r="K102" s="41" t="str">
        <f>IFERROR(VLOOKUP($J102,'Project Reference'!$S$2:$T$41,2),"Enter Project Number")</f>
        <v>Enter Project Number</v>
      </c>
      <c r="L102" s="41"/>
      <c r="M102" s="41"/>
      <c r="N102" s="15">
        <f t="shared" si="1"/>
        <v>0</v>
      </c>
      <c r="O102" s="19"/>
      <c r="P102" s="42" t="str">
        <f>IFERROR(VLOOKUP($J102,'Project Reference'!$B$2:$C$41,2)," ")</f>
        <v xml:space="preserve"> </v>
      </c>
      <c r="Q102" s="42" t="str">
        <f>IFERROR(VLOOKUP($J102,'Project Reference'!$B$2:$D$41,3)," ")</f>
        <v xml:space="preserve"> </v>
      </c>
      <c r="R102" s="42" t="str">
        <f>IFERROR(VLOOKUP($J102,'Project Reference'!$B$2:$E$41,4)," ")</f>
        <v xml:space="preserve"> </v>
      </c>
      <c r="S102" s="42" t="str">
        <f>IFERROR(VLOOKUP($J102,'Project Reference'!$B$2:$F$41,5,FALSE)," ")</f>
        <v xml:space="preserve"> </v>
      </c>
      <c r="T102" s="42" t="str">
        <f>IFERROR(VLOOKUP($J102,'Project Reference'!$B$2:$G$41,6,FALSE)," ")</f>
        <v xml:space="preserve"> </v>
      </c>
      <c r="U102" s="42" t="str">
        <f>IFERROR(VLOOKUP($J102,'Project Reference'!$B$2:$H$41,7,FALSE)," ")</f>
        <v xml:space="preserve"> </v>
      </c>
      <c r="V102" s="42" t="str">
        <f>IFERROR(VLOOKUP($J102,'Project Reference'!$B$2:$I$41,8,FALSE)," ")</f>
        <v xml:space="preserve"> </v>
      </c>
      <c r="W102" s="42" t="str">
        <f>IFERROR(VLOOKUP($J102,'Project Reference'!$B$2:$J$41,9,FALSE)," ")</f>
        <v xml:space="preserve"> </v>
      </c>
      <c r="X102" s="42" t="str">
        <f>IFERROR(VLOOKUP($J102,'Project Reference'!$B$2:$K$41,10)," ")</f>
        <v xml:space="preserve"> </v>
      </c>
      <c r="Y102" s="42" t="str">
        <f>IFERROR(VLOOKUP($J102,'Project Reference'!$B$2:$L$41,11)," ")</f>
        <v xml:space="preserve"> </v>
      </c>
      <c r="Z102" s="42" t="str">
        <f>IFERROR(VLOOKUP($J102,'Project Reference'!$B$2:$M$41,12)," ")</f>
        <v xml:space="preserve"> </v>
      </c>
      <c r="AA102" s="42" t="str">
        <f>IFERROR(VLOOKUP($J102,'Project Reference'!$B$2:$N$41,13)," ")</f>
        <v xml:space="preserve"> </v>
      </c>
    </row>
    <row r="103" spans="1:27" s="1" customFormat="1" x14ac:dyDescent="0.45">
      <c r="A103" s="43"/>
      <c r="B103" s="205"/>
      <c r="C103"/>
      <c r="D103" s="72"/>
      <c r="E103" s="72"/>
      <c r="F103" s="72"/>
      <c r="G103" s="72"/>
      <c r="H103" s="17"/>
      <c r="I103" s="41" t="str" cm="1">
        <f t="array" ref="I103">IFERROR(_xlfn.IFS(H103="Hard (Cash)","N/A",H103="Soft (In-Kind)", "Enter Source"),"Select Type")</f>
        <v>Select Type</v>
      </c>
      <c r="J103" s="124"/>
      <c r="K103" s="41" t="str">
        <f>IFERROR(VLOOKUP($J103,'Project Reference'!$S$2:$T$41,2),"Enter Project Number")</f>
        <v>Enter Project Number</v>
      </c>
      <c r="L103" s="41"/>
      <c r="M103" s="41"/>
      <c r="N103" s="15">
        <f t="shared" si="1"/>
        <v>0</v>
      </c>
      <c r="O103" s="19"/>
      <c r="P103" s="42" t="str">
        <f>IFERROR(VLOOKUP($J103,'Project Reference'!$B$2:$C$41,2)," ")</f>
        <v xml:space="preserve"> </v>
      </c>
      <c r="Q103" s="42" t="str">
        <f>IFERROR(VLOOKUP($J103,'Project Reference'!$B$2:$D$41,3)," ")</f>
        <v xml:space="preserve"> </v>
      </c>
      <c r="R103" s="42" t="str">
        <f>IFERROR(VLOOKUP($J103,'Project Reference'!$B$2:$E$41,4)," ")</f>
        <v xml:space="preserve"> </v>
      </c>
      <c r="S103" s="42" t="str">
        <f>IFERROR(VLOOKUP($J103,'Project Reference'!$B$2:$F$41,5,FALSE)," ")</f>
        <v xml:space="preserve"> </v>
      </c>
      <c r="T103" s="42" t="str">
        <f>IFERROR(VLOOKUP($J103,'Project Reference'!$B$2:$G$41,6,FALSE)," ")</f>
        <v xml:space="preserve"> </v>
      </c>
      <c r="U103" s="42" t="str">
        <f>IFERROR(VLOOKUP($J103,'Project Reference'!$B$2:$H$41,7,FALSE)," ")</f>
        <v xml:space="preserve"> </v>
      </c>
      <c r="V103" s="42" t="str">
        <f>IFERROR(VLOOKUP($J103,'Project Reference'!$B$2:$I$41,8,FALSE)," ")</f>
        <v xml:space="preserve"> </v>
      </c>
      <c r="W103" s="42" t="str">
        <f>IFERROR(VLOOKUP($J103,'Project Reference'!$B$2:$J$41,9,FALSE)," ")</f>
        <v xml:space="preserve"> </v>
      </c>
      <c r="X103" s="42" t="str">
        <f>IFERROR(VLOOKUP($J103,'Project Reference'!$B$2:$K$41,10)," ")</f>
        <v xml:space="preserve"> </v>
      </c>
      <c r="Y103" s="42" t="str">
        <f>IFERROR(VLOOKUP($J103,'Project Reference'!$B$2:$L$41,11)," ")</f>
        <v xml:space="preserve"> </v>
      </c>
      <c r="Z103" s="42" t="str">
        <f>IFERROR(VLOOKUP($J103,'Project Reference'!$B$2:$M$41,12)," ")</f>
        <v xml:space="preserve"> </v>
      </c>
      <c r="AA103" s="42" t="str">
        <f>IFERROR(VLOOKUP($J103,'Project Reference'!$B$2:$N$41,13)," ")</f>
        <v xml:space="preserve"> </v>
      </c>
    </row>
    <row r="104" spans="1:27" s="1" customFormat="1" x14ac:dyDescent="0.45">
      <c r="A104" s="43"/>
      <c r="B104" s="205"/>
      <c r="C104"/>
      <c r="D104" s="72"/>
      <c r="E104" s="72"/>
      <c r="F104" s="72"/>
      <c r="G104" s="72"/>
      <c r="H104" s="17"/>
      <c r="I104" s="41" t="str" cm="1">
        <f t="array" ref="I104">IFERROR(_xlfn.IFS(H104="Hard (Cash)","N/A",H104="Soft (In-Kind)", "Enter Source"),"Select Type")</f>
        <v>Select Type</v>
      </c>
      <c r="J104" s="124"/>
      <c r="K104" s="41" t="str">
        <f>IFERROR(VLOOKUP($J104,'Project Reference'!$S$2:$T$41,2),"Enter Project Number")</f>
        <v>Enter Project Number</v>
      </c>
      <c r="L104" s="41"/>
      <c r="M104" s="41"/>
      <c r="N104" s="15">
        <f t="shared" si="1"/>
        <v>0</v>
      </c>
      <c r="O104" s="19"/>
      <c r="P104" s="42" t="str">
        <f>IFERROR(VLOOKUP($J104,'Project Reference'!$B$2:$C$41,2)," ")</f>
        <v xml:space="preserve"> </v>
      </c>
      <c r="Q104" s="42" t="str">
        <f>IFERROR(VLOOKUP($J104,'Project Reference'!$B$2:$D$41,3)," ")</f>
        <v xml:space="preserve"> </v>
      </c>
      <c r="R104" s="42" t="str">
        <f>IFERROR(VLOOKUP($J104,'Project Reference'!$B$2:$E$41,4)," ")</f>
        <v xml:space="preserve"> </v>
      </c>
      <c r="S104" s="42" t="str">
        <f>IFERROR(VLOOKUP($J104,'Project Reference'!$B$2:$F$41,5,FALSE)," ")</f>
        <v xml:space="preserve"> </v>
      </c>
      <c r="T104" s="42" t="str">
        <f>IFERROR(VLOOKUP($J104,'Project Reference'!$B$2:$G$41,6,FALSE)," ")</f>
        <v xml:space="preserve"> </v>
      </c>
      <c r="U104" s="42" t="str">
        <f>IFERROR(VLOOKUP($J104,'Project Reference'!$B$2:$H$41,7,FALSE)," ")</f>
        <v xml:space="preserve"> </v>
      </c>
      <c r="V104" s="42" t="str">
        <f>IFERROR(VLOOKUP($J104,'Project Reference'!$B$2:$I$41,8,FALSE)," ")</f>
        <v xml:space="preserve"> </v>
      </c>
      <c r="W104" s="42" t="str">
        <f>IFERROR(VLOOKUP($J104,'Project Reference'!$B$2:$J$41,9,FALSE)," ")</f>
        <v xml:space="preserve"> </v>
      </c>
      <c r="X104" s="42" t="str">
        <f>IFERROR(VLOOKUP($J104,'Project Reference'!$B$2:$K$41,10)," ")</f>
        <v xml:space="preserve"> </v>
      </c>
      <c r="Y104" s="42" t="str">
        <f>IFERROR(VLOOKUP($J104,'Project Reference'!$B$2:$L$41,11)," ")</f>
        <v xml:space="preserve"> </v>
      </c>
      <c r="Z104" s="42" t="str">
        <f>IFERROR(VLOOKUP($J104,'Project Reference'!$B$2:$M$41,12)," ")</f>
        <v xml:space="preserve"> </v>
      </c>
      <c r="AA104" s="42" t="str">
        <f>IFERROR(VLOOKUP($J104,'Project Reference'!$B$2:$N$41,13)," ")</f>
        <v xml:space="preserve"> </v>
      </c>
    </row>
    <row r="105" spans="1:27" s="1" customFormat="1" x14ac:dyDescent="0.45">
      <c r="A105" s="43"/>
      <c r="B105" s="205"/>
      <c r="C105"/>
      <c r="D105" s="72"/>
      <c r="E105" s="72"/>
      <c r="F105" s="72"/>
      <c r="G105" s="72"/>
      <c r="H105" s="17"/>
      <c r="I105" s="41" t="str" cm="1">
        <f t="array" ref="I105">IFERROR(_xlfn.IFS(H105="Hard (Cash)","N/A",H105="Soft (In-Kind)", "Enter Source"),"Select Type")</f>
        <v>Select Type</v>
      </c>
      <c r="J105" s="124"/>
      <c r="K105" s="41" t="str">
        <f>IFERROR(VLOOKUP($J105,'Project Reference'!$S$2:$T$41,2),"Enter Project Number")</f>
        <v>Enter Project Number</v>
      </c>
      <c r="L105" s="41"/>
      <c r="M105" s="41"/>
      <c r="N105" s="15">
        <f t="shared" si="1"/>
        <v>0</v>
      </c>
      <c r="O105" s="19"/>
      <c r="P105" s="42" t="str">
        <f>IFERROR(VLOOKUP($J105,'Project Reference'!$B$2:$C$41,2)," ")</f>
        <v xml:space="preserve"> </v>
      </c>
      <c r="Q105" s="42" t="str">
        <f>IFERROR(VLOOKUP($J105,'Project Reference'!$B$2:$D$41,3)," ")</f>
        <v xml:space="preserve"> </v>
      </c>
      <c r="R105" s="42" t="str">
        <f>IFERROR(VLOOKUP($J105,'Project Reference'!$B$2:$E$41,4)," ")</f>
        <v xml:space="preserve"> </v>
      </c>
      <c r="S105" s="42" t="str">
        <f>IFERROR(VLOOKUP($J105,'Project Reference'!$B$2:$F$41,5,FALSE)," ")</f>
        <v xml:space="preserve"> </v>
      </c>
      <c r="T105" s="42" t="str">
        <f>IFERROR(VLOOKUP($J105,'Project Reference'!$B$2:$G$41,6,FALSE)," ")</f>
        <v xml:space="preserve"> </v>
      </c>
      <c r="U105" s="42" t="str">
        <f>IFERROR(VLOOKUP($J105,'Project Reference'!$B$2:$H$41,7,FALSE)," ")</f>
        <v xml:space="preserve"> </v>
      </c>
      <c r="V105" s="42" t="str">
        <f>IFERROR(VLOOKUP($J105,'Project Reference'!$B$2:$I$41,8,FALSE)," ")</f>
        <v xml:space="preserve"> </v>
      </c>
      <c r="W105" s="42" t="str">
        <f>IFERROR(VLOOKUP($J105,'Project Reference'!$B$2:$J$41,9,FALSE)," ")</f>
        <v xml:space="preserve"> </v>
      </c>
      <c r="X105" s="42" t="str">
        <f>IFERROR(VLOOKUP($J105,'Project Reference'!$B$2:$K$41,10)," ")</f>
        <v xml:space="preserve"> </v>
      </c>
      <c r="Y105" s="42" t="str">
        <f>IFERROR(VLOOKUP($J105,'Project Reference'!$B$2:$L$41,11)," ")</f>
        <v xml:space="preserve"> </v>
      </c>
      <c r="Z105" s="42" t="str">
        <f>IFERROR(VLOOKUP($J105,'Project Reference'!$B$2:$M$41,12)," ")</f>
        <v xml:space="preserve"> </v>
      </c>
      <c r="AA105" s="42" t="str">
        <f>IFERROR(VLOOKUP($J105,'Project Reference'!$B$2:$N$41,13)," ")</f>
        <v xml:space="preserve"> </v>
      </c>
    </row>
    <row r="106" spans="1:27" s="1" customFormat="1" x14ac:dyDescent="0.45">
      <c r="A106" s="43"/>
      <c r="B106" s="205"/>
      <c r="C106"/>
      <c r="D106" s="72"/>
      <c r="E106" s="72"/>
      <c r="F106" s="72"/>
      <c r="G106" s="72"/>
      <c r="H106" s="17"/>
      <c r="I106" s="41" t="str" cm="1">
        <f t="array" ref="I106">IFERROR(_xlfn.IFS(H106="Hard (Cash)","N/A",H106="Soft (In-Kind)", "Enter Source"),"Select Type")</f>
        <v>Select Type</v>
      </c>
      <c r="J106" s="124"/>
      <c r="K106" s="41" t="str">
        <f>IFERROR(VLOOKUP($J106,'Project Reference'!$S$2:$T$41,2),"Enter Project Number")</f>
        <v>Enter Project Number</v>
      </c>
      <c r="L106" s="41"/>
      <c r="M106" s="41"/>
      <c r="N106" s="15">
        <f t="shared" si="1"/>
        <v>0</v>
      </c>
      <c r="O106" s="19"/>
      <c r="P106" s="42" t="str">
        <f>IFERROR(VLOOKUP($J106,'Project Reference'!$B$2:$C$41,2)," ")</f>
        <v xml:space="preserve"> </v>
      </c>
      <c r="Q106" s="42" t="str">
        <f>IFERROR(VLOOKUP($J106,'Project Reference'!$B$2:$D$41,3)," ")</f>
        <v xml:space="preserve"> </v>
      </c>
      <c r="R106" s="42" t="str">
        <f>IFERROR(VLOOKUP($J106,'Project Reference'!$B$2:$E$41,4)," ")</f>
        <v xml:space="preserve"> </v>
      </c>
      <c r="S106" s="42" t="str">
        <f>IFERROR(VLOOKUP($J106,'Project Reference'!$B$2:$F$41,5,FALSE)," ")</f>
        <v xml:space="preserve"> </v>
      </c>
      <c r="T106" s="42" t="str">
        <f>IFERROR(VLOOKUP($J106,'Project Reference'!$B$2:$G$41,6,FALSE)," ")</f>
        <v xml:space="preserve"> </v>
      </c>
      <c r="U106" s="42" t="str">
        <f>IFERROR(VLOOKUP($J106,'Project Reference'!$B$2:$H$41,7,FALSE)," ")</f>
        <v xml:space="preserve"> </v>
      </c>
      <c r="V106" s="42" t="str">
        <f>IFERROR(VLOOKUP($J106,'Project Reference'!$B$2:$I$41,8,FALSE)," ")</f>
        <v xml:space="preserve"> </v>
      </c>
      <c r="W106" s="42" t="str">
        <f>IFERROR(VLOOKUP($J106,'Project Reference'!$B$2:$J$41,9,FALSE)," ")</f>
        <v xml:space="preserve"> </v>
      </c>
      <c r="X106" s="42" t="str">
        <f>IFERROR(VLOOKUP($J106,'Project Reference'!$B$2:$K$41,10)," ")</f>
        <v xml:space="preserve"> </v>
      </c>
      <c r="Y106" s="42" t="str">
        <f>IFERROR(VLOOKUP($J106,'Project Reference'!$B$2:$L$41,11)," ")</f>
        <v xml:space="preserve"> </v>
      </c>
      <c r="Z106" s="42" t="str">
        <f>IFERROR(VLOOKUP($J106,'Project Reference'!$B$2:$M$41,12)," ")</f>
        <v xml:space="preserve"> </v>
      </c>
      <c r="AA106" s="42" t="str">
        <f>IFERROR(VLOOKUP($J106,'Project Reference'!$B$2:$N$41,13)," ")</f>
        <v xml:space="preserve"> </v>
      </c>
    </row>
    <row r="107" spans="1:27" s="1" customFormat="1" x14ac:dyDescent="0.45">
      <c r="A107" s="43"/>
      <c r="B107" s="205"/>
      <c r="C107"/>
      <c r="D107" s="72"/>
      <c r="E107" s="72"/>
      <c r="F107" s="72"/>
      <c r="G107" s="72"/>
      <c r="H107" s="17"/>
      <c r="I107" s="41" t="str" cm="1">
        <f t="array" ref="I107">IFERROR(_xlfn.IFS(H107="Hard (Cash)","N/A",H107="Soft (In-Kind)", "Enter Source"),"Select Type")</f>
        <v>Select Type</v>
      </c>
      <c r="J107" s="124"/>
      <c r="K107" s="41" t="str">
        <f>IFERROR(VLOOKUP($J107,'Project Reference'!$S$2:$T$41,2),"Enter Project Number")</f>
        <v>Enter Project Number</v>
      </c>
      <c r="L107" s="41"/>
      <c r="M107" s="41"/>
      <c r="N107" s="15">
        <f t="shared" si="1"/>
        <v>0</v>
      </c>
      <c r="O107" s="19"/>
      <c r="P107" s="42" t="str">
        <f>IFERROR(VLOOKUP($J107,'Project Reference'!$B$2:$C$41,2)," ")</f>
        <v xml:space="preserve"> </v>
      </c>
      <c r="Q107" s="42" t="str">
        <f>IFERROR(VLOOKUP($J107,'Project Reference'!$B$2:$D$41,3)," ")</f>
        <v xml:space="preserve"> </v>
      </c>
      <c r="R107" s="42" t="str">
        <f>IFERROR(VLOOKUP($J107,'Project Reference'!$B$2:$E$41,4)," ")</f>
        <v xml:space="preserve"> </v>
      </c>
      <c r="S107" s="42" t="str">
        <f>IFERROR(VLOOKUP($J107,'Project Reference'!$B$2:$F$41,5,FALSE)," ")</f>
        <v xml:space="preserve"> </v>
      </c>
      <c r="T107" s="42" t="str">
        <f>IFERROR(VLOOKUP($J107,'Project Reference'!$B$2:$G$41,6,FALSE)," ")</f>
        <v xml:space="preserve"> </v>
      </c>
      <c r="U107" s="42" t="str">
        <f>IFERROR(VLOOKUP($J107,'Project Reference'!$B$2:$H$41,7,FALSE)," ")</f>
        <v xml:space="preserve"> </v>
      </c>
      <c r="V107" s="42" t="str">
        <f>IFERROR(VLOOKUP($J107,'Project Reference'!$B$2:$I$41,8,FALSE)," ")</f>
        <v xml:space="preserve"> </v>
      </c>
      <c r="W107" s="42" t="str">
        <f>IFERROR(VLOOKUP($J107,'Project Reference'!$B$2:$J$41,9,FALSE)," ")</f>
        <v xml:space="preserve"> </v>
      </c>
      <c r="X107" s="42" t="str">
        <f>IFERROR(VLOOKUP($J107,'Project Reference'!$B$2:$K$41,10)," ")</f>
        <v xml:space="preserve"> </v>
      </c>
      <c r="Y107" s="42" t="str">
        <f>IFERROR(VLOOKUP($J107,'Project Reference'!$B$2:$L$41,11)," ")</f>
        <v xml:space="preserve"> </v>
      </c>
      <c r="Z107" s="42" t="str">
        <f>IFERROR(VLOOKUP($J107,'Project Reference'!$B$2:$M$41,12)," ")</f>
        <v xml:space="preserve"> </v>
      </c>
      <c r="AA107" s="42" t="str">
        <f>IFERROR(VLOOKUP($J107,'Project Reference'!$B$2:$N$41,13)," ")</f>
        <v xml:space="preserve"> </v>
      </c>
    </row>
    <row r="108" spans="1:27" s="1" customFormat="1" x14ac:dyDescent="0.45">
      <c r="A108" s="43"/>
      <c r="B108" s="205"/>
      <c r="C108"/>
      <c r="D108" s="72"/>
      <c r="E108" s="72"/>
      <c r="F108" s="72"/>
      <c r="G108" s="72"/>
      <c r="H108" s="17"/>
      <c r="I108" s="41" t="str" cm="1">
        <f t="array" ref="I108">IFERROR(_xlfn.IFS(H108="Hard (Cash)","N/A",H108="Soft (In-Kind)", "Enter Source"),"Select Type")</f>
        <v>Select Type</v>
      </c>
      <c r="J108" s="124"/>
      <c r="K108" s="41" t="str">
        <f>IFERROR(VLOOKUP($J108,'Project Reference'!$S$2:$T$41,2),"Enter Project Number")</f>
        <v>Enter Project Number</v>
      </c>
      <c r="L108" s="41"/>
      <c r="M108" s="41"/>
      <c r="N108" s="15">
        <f t="shared" si="1"/>
        <v>0</v>
      </c>
      <c r="O108" s="19"/>
      <c r="P108" s="42" t="str">
        <f>IFERROR(VLOOKUP($J108,'Project Reference'!$B$2:$C$41,2)," ")</f>
        <v xml:space="preserve"> </v>
      </c>
      <c r="Q108" s="42" t="str">
        <f>IFERROR(VLOOKUP($J108,'Project Reference'!$B$2:$D$41,3)," ")</f>
        <v xml:space="preserve"> </v>
      </c>
      <c r="R108" s="42" t="str">
        <f>IFERROR(VLOOKUP($J108,'Project Reference'!$B$2:$E$41,4)," ")</f>
        <v xml:space="preserve"> </v>
      </c>
      <c r="S108" s="42" t="str">
        <f>IFERROR(VLOOKUP($J108,'Project Reference'!$B$2:$F$41,5,FALSE)," ")</f>
        <v xml:space="preserve"> </v>
      </c>
      <c r="T108" s="42" t="str">
        <f>IFERROR(VLOOKUP($J108,'Project Reference'!$B$2:$G$41,6,FALSE)," ")</f>
        <v xml:space="preserve"> </v>
      </c>
      <c r="U108" s="42" t="str">
        <f>IFERROR(VLOOKUP($J108,'Project Reference'!$B$2:$H$41,7,FALSE)," ")</f>
        <v xml:space="preserve"> </v>
      </c>
      <c r="V108" s="42" t="str">
        <f>IFERROR(VLOOKUP($J108,'Project Reference'!$B$2:$I$41,8,FALSE)," ")</f>
        <v xml:space="preserve"> </v>
      </c>
      <c r="W108" s="42" t="str">
        <f>IFERROR(VLOOKUP($J108,'Project Reference'!$B$2:$J$41,9,FALSE)," ")</f>
        <v xml:space="preserve"> </v>
      </c>
      <c r="X108" s="42" t="str">
        <f>IFERROR(VLOOKUP($J108,'Project Reference'!$B$2:$K$41,10)," ")</f>
        <v xml:space="preserve"> </v>
      </c>
      <c r="Y108" s="42" t="str">
        <f>IFERROR(VLOOKUP($J108,'Project Reference'!$B$2:$L$41,11)," ")</f>
        <v xml:space="preserve"> </v>
      </c>
      <c r="Z108" s="42" t="str">
        <f>IFERROR(VLOOKUP($J108,'Project Reference'!$B$2:$M$41,12)," ")</f>
        <v xml:space="preserve"> </v>
      </c>
      <c r="AA108" s="42" t="str">
        <f>IFERROR(VLOOKUP($J108,'Project Reference'!$B$2:$N$41,13)," ")</f>
        <v xml:space="preserve"> </v>
      </c>
    </row>
    <row r="109" spans="1:27" s="1" customFormat="1" x14ac:dyDescent="0.45">
      <c r="A109" s="43"/>
      <c r="B109" s="205"/>
      <c r="C109"/>
      <c r="D109" s="72"/>
      <c r="E109" s="72"/>
      <c r="F109" s="72"/>
      <c r="G109" s="72"/>
      <c r="H109" s="17"/>
      <c r="I109" s="41" t="str" cm="1">
        <f t="array" ref="I109">IFERROR(_xlfn.IFS(H109="Hard (Cash)","N/A",H109="Soft (In-Kind)", "Enter Source"),"Select Type")</f>
        <v>Select Type</v>
      </c>
      <c r="J109" s="124"/>
      <c r="K109" s="41" t="str">
        <f>IFERROR(VLOOKUP($J109,'Project Reference'!$S$2:$T$41,2),"Enter Project Number")</f>
        <v>Enter Project Number</v>
      </c>
      <c r="L109" s="41"/>
      <c r="M109" s="41"/>
      <c r="N109" s="15">
        <f t="shared" si="1"/>
        <v>0</v>
      </c>
      <c r="O109" s="19"/>
      <c r="P109" s="42" t="str">
        <f>IFERROR(VLOOKUP($J109,'Project Reference'!$B$2:$C$41,2)," ")</f>
        <v xml:space="preserve"> </v>
      </c>
      <c r="Q109" s="42" t="str">
        <f>IFERROR(VLOOKUP($J109,'Project Reference'!$B$2:$D$41,3)," ")</f>
        <v xml:space="preserve"> </v>
      </c>
      <c r="R109" s="42" t="str">
        <f>IFERROR(VLOOKUP($J109,'Project Reference'!$B$2:$E$41,4)," ")</f>
        <v xml:space="preserve"> </v>
      </c>
      <c r="S109" s="42" t="str">
        <f>IFERROR(VLOOKUP($J109,'Project Reference'!$B$2:$F$41,5,FALSE)," ")</f>
        <v xml:space="preserve"> </v>
      </c>
      <c r="T109" s="42" t="str">
        <f>IFERROR(VLOOKUP($J109,'Project Reference'!$B$2:$G$41,6,FALSE)," ")</f>
        <v xml:space="preserve"> </v>
      </c>
      <c r="U109" s="42" t="str">
        <f>IFERROR(VLOOKUP($J109,'Project Reference'!$B$2:$H$41,7,FALSE)," ")</f>
        <v xml:space="preserve"> </v>
      </c>
      <c r="V109" s="42" t="str">
        <f>IFERROR(VLOOKUP($J109,'Project Reference'!$B$2:$I$41,8,FALSE)," ")</f>
        <v xml:space="preserve"> </v>
      </c>
      <c r="W109" s="42" t="str">
        <f>IFERROR(VLOOKUP($J109,'Project Reference'!$B$2:$J$41,9,FALSE)," ")</f>
        <v xml:space="preserve"> </v>
      </c>
      <c r="X109" s="42" t="str">
        <f>IFERROR(VLOOKUP($J109,'Project Reference'!$B$2:$K$41,10)," ")</f>
        <v xml:space="preserve"> </v>
      </c>
      <c r="Y109" s="42" t="str">
        <f>IFERROR(VLOOKUP($J109,'Project Reference'!$B$2:$L$41,11)," ")</f>
        <v xml:space="preserve"> </v>
      </c>
      <c r="Z109" s="42" t="str">
        <f>IFERROR(VLOOKUP($J109,'Project Reference'!$B$2:$M$41,12)," ")</f>
        <v xml:space="preserve"> </v>
      </c>
      <c r="AA109" s="42" t="str">
        <f>IFERROR(VLOOKUP($J109,'Project Reference'!$B$2:$N$41,13)," ")</f>
        <v xml:space="preserve"> </v>
      </c>
    </row>
    <row r="110" spans="1:27" s="1" customFormat="1" x14ac:dyDescent="0.45">
      <c r="A110" s="43"/>
      <c r="B110" s="205"/>
      <c r="C110"/>
      <c r="D110" s="72"/>
      <c r="E110" s="72"/>
      <c r="F110" s="72"/>
      <c r="G110" s="72"/>
      <c r="H110" s="17"/>
      <c r="I110" s="41" t="str" cm="1">
        <f t="array" ref="I110">IFERROR(_xlfn.IFS(H110="Hard (Cash)","N/A",H110="Soft (In-Kind)", "Enter Source"),"Select Type")</f>
        <v>Select Type</v>
      </c>
      <c r="J110" s="124"/>
      <c r="K110" s="41" t="str">
        <f>IFERROR(VLOOKUP($J110,'Project Reference'!$S$2:$T$41,2),"Enter Project Number")</f>
        <v>Enter Project Number</v>
      </c>
      <c r="L110" s="41"/>
      <c r="M110" s="41"/>
      <c r="N110" s="15">
        <f t="shared" si="1"/>
        <v>0</v>
      </c>
      <c r="O110" s="19"/>
      <c r="P110" s="42" t="str">
        <f>IFERROR(VLOOKUP($J110,'Project Reference'!$B$2:$C$41,2)," ")</f>
        <v xml:space="preserve"> </v>
      </c>
      <c r="Q110" s="42" t="str">
        <f>IFERROR(VLOOKUP($J110,'Project Reference'!$B$2:$D$41,3)," ")</f>
        <v xml:space="preserve"> </v>
      </c>
      <c r="R110" s="42" t="str">
        <f>IFERROR(VLOOKUP($J110,'Project Reference'!$B$2:$E$41,4)," ")</f>
        <v xml:space="preserve"> </v>
      </c>
      <c r="S110" s="42" t="str">
        <f>IFERROR(VLOOKUP($J110,'Project Reference'!$B$2:$F$41,5,FALSE)," ")</f>
        <v xml:space="preserve"> </v>
      </c>
      <c r="T110" s="42" t="str">
        <f>IFERROR(VLOOKUP($J110,'Project Reference'!$B$2:$G$41,6,FALSE)," ")</f>
        <v xml:space="preserve"> </v>
      </c>
      <c r="U110" s="42" t="str">
        <f>IFERROR(VLOOKUP($J110,'Project Reference'!$B$2:$H$41,7,FALSE)," ")</f>
        <v xml:space="preserve"> </v>
      </c>
      <c r="V110" s="42" t="str">
        <f>IFERROR(VLOOKUP($J110,'Project Reference'!$B$2:$I$41,8,FALSE)," ")</f>
        <v xml:space="preserve"> </v>
      </c>
      <c r="W110" s="42" t="str">
        <f>IFERROR(VLOOKUP($J110,'Project Reference'!$B$2:$J$41,9,FALSE)," ")</f>
        <v xml:space="preserve"> </v>
      </c>
      <c r="X110" s="42" t="str">
        <f>IFERROR(VLOOKUP($J110,'Project Reference'!$B$2:$K$41,10)," ")</f>
        <v xml:space="preserve"> </v>
      </c>
      <c r="Y110" s="42" t="str">
        <f>IFERROR(VLOOKUP($J110,'Project Reference'!$B$2:$L$41,11)," ")</f>
        <v xml:space="preserve"> </v>
      </c>
      <c r="Z110" s="42" t="str">
        <f>IFERROR(VLOOKUP($J110,'Project Reference'!$B$2:$M$41,12)," ")</f>
        <v xml:space="preserve"> </v>
      </c>
      <c r="AA110" s="42" t="str">
        <f>IFERROR(VLOOKUP($J110,'Project Reference'!$B$2:$N$41,13)," ")</f>
        <v xml:space="preserve"> </v>
      </c>
    </row>
    <row r="111" spans="1:27" s="1" customFormat="1" x14ac:dyDescent="0.45">
      <c r="A111" s="43"/>
      <c r="B111" s="205"/>
      <c r="C111"/>
      <c r="D111" s="72"/>
      <c r="E111" s="72"/>
      <c r="F111" s="72"/>
      <c r="G111" s="72"/>
      <c r="H111" s="17"/>
      <c r="I111" s="41" t="str" cm="1">
        <f t="array" ref="I111">IFERROR(_xlfn.IFS(H111="Hard (Cash)","N/A",H111="Soft (In-Kind)", "Enter Source"),"Select Type")</f>
        <v>Select Type</v>
      </c>
      <c r="J111" s="124"/>
      <c r="K111" s="41" t="str">
        <f>IFERROR(VLOOKUP($J111,'Project Reference'!$S$2:$T$41,2),"Enter Project Number")</f>
        <v>Enter Project Number</v>
      </c>
      <c r="L111" s="41"/>
      <c r="M111" s="41"/>
      <c r="N111" s="15">
        <f t="shared" si="1"/>
        <v>0</v>
      </c>
      <c r="O111" s="19"/>
      <c r="P111" s="42" t="str">
        <f>IFERROR(VLOOKUP($J111,'Project Reference'!$B$2:$C$41,2)," ")</f>
        <v xml:space="preserve"> </v>
      </c>
      <c r="Q111" s="42" t="str">
        <f>IFERROR(VLOOKUP($J111,'Project Reference'!$B$2:$D$41,3)," ")</f>
        <v xml:space="preserve"> </v>
      </c>
      <c r="R111" s="42" t="str">
        <f>IFERROR(VLOOKUP($J111,'Project Reference'!$B$2:$E$41,4)," ")</f>
        <v xml:space="preserve"> </v>
      </c>
      <c r="S111" s="42" t="str">
        <f>IFERROR(VLOOKUP($J111,'Project Reference'!$B$2:$F$41,5,FALSE)," ")</f>
        <v xml:space="preserve"> </v>
      </c>
      <c r="T111" s="42" t="str">
        <f>IFERROR(VLOOKUP($J111,'Project Reference'!$B$2:$G$41,6,FALSE)," ")</f>
        <v xml:space="preserve"> </v>
      </c>
      <c r="U111" s="42" t="str">
        <f>IFERROR(VLOOKUP($J111,'Project Reference'!$B$2:$H$41,7,FALSE)," ")</f>
        <v xml:space="preserve"> </v>
      </c>
      <c r="V111" s="42" t="str">
        <f>IFERROR(VLOOKUP($J111,'Project Reference'!$B$2:$I$41,8,FALSE)," ")</f>
        <v xml:space="preserve"> </v>
      </c>
      <c r="W111" s="42" t="str">
        <f>IFERROR(VLOOKUP($J111,'Project Reference'!$B$2:$J$41,9,FALSE)," ")</f>
        <v xml:space="preserve"> </v>
      </c>
      <c r="X111" s="42" t="str">
        <f>IFERROR(VLOOKUP($J111,'Project Reference'!$B$2:$K$41,10)," ")</f>
        <v xml:space="preserve"> </v>
      </c>
      <c r="Y111" s="42" t="str">
        <f>IFERROR(VLOOKUP($J111,'Project Reference'!$B$2:$L$41,11)," ")</f>
        <v xml:space="preserve"> </v>
      </c>
      <c r="Z111" s="42" t="str">
        <f>IFERROR(VLOOKUP($J111,'Project Reference'!$B$2:$M$41,12)," ")</f>
        <v xml:space="preserve"> </v>
      </c>
      <c r="AA111" s="42" t="str">
        <f>IFERROR(VLOOKUP($J111,'Project Reference'!$B$2:$N$41,13)," ")</f>
        <v xml:space="preserve"> </v>
      </c>
    </row>
    <row r="112" spans="1:27" s="1" customFormat="1" x14ac:dyDescent="0.45">
      <c r="A112" s="43"/>
      <c r="B112" s="205"/>
      <c r="C112"/>
      <c r="D112" s="72"/>
      <c r="E112" s="72"/>
      <c r="F112" s="72"/>
      <c r="G112" s="72"/>
      <c r="H112" s="17"/>
      <c r="I112" s="41" t="str" cm="1">
        <f t="array" ref="I112">IFERROR(_xlfn.IFS(H112="Hard (Cash)","N/A",H112="Soft (In-Kind)", "Enter Source"),"Select Type")</f>
        <v>Select Type</v>
      </c>
      <c r="J112" s="124"/>
      <c r="K112" s="41" t="str">
        <f>IFERROR(VLOOKUP($J112,'Project Reference'!$S$2:$T$41,2),"Enter Project Number")</f>
        <v>Enter Project Number</v>
      </c>
      <c r="L112" s="41"/>
      <c r="M112" s="41"/>
      <c r="N112" s="15">
        <f t="shared" si="1"/>
        <v>0</v>
      </c>
      <c r="O112" s="19"/>
      <c r="P112" s="42" t="str">
        <f>IFERROR(VLOOKUP($J112,'Project Reference'!$B$2:$C$41,2)," ")</f>
        <v xml:space="preserve"> </v>
      </c>
      <c r="Q112" s="42" t="str">
        <f>IFERROR(VLOOKUP($J112,'Project Reference'!$B$2:$D$41,3)," ")</f>
        <v xml:space="preserve"> </v>
      </c>
      <c r="R112" s="42" t="str">
        <f>IFERROR(VLOOKUP($J112,'Project Reference'!$B$2:$E$41,4)," ")</f>
        <v xml:space="preserve"> </v>
      </c>
      <c r="S112" s="42" t="str">
        <f>IFERROR(VLOOKUP($J112,'Project Reference'!$B$2:$F$41,5,FALSE)," ")</f>
        <v xml:space="preserve"> </v>
      </c>
      <c r="T112" s="42" t="str">
        <f>IFERROR(VLOOKUP($J112,'Project Reference'!$B$2:$G$41,6,FALSE)," ")</f>
        <v xml:space="preserve"> </v>
      </c>
      <c r="U112" s="42" t="str">
        <f>IFERROR(VLOOKUP($J112,'Project Reference'!$B$2:$H$41,7,FALSE)," ")</f>
        <v xml:space="preserve"> </v>
      </c>
      <c r="V112" s="42" t="str">
        <f>IFERROR(VLOOKUP($J112,'Project Reference'!$B$2:$I$41,8,FALSE)," ")</f>
        <v xml:space="preserve"> </v>
      </c>
      <c r="W112" s="42" t="str">
        <f>IFERROR(VLOOKUP($J112,'Project Reference'!$B$2:$J$41,9,FALSE)," ")</f>
        <v xml:space="preserve"> </v>
      </c>
      <c r="X112" s="42" t="str">
        <f>IFERROR(VLOOKUP($J112,'Project Reference'!$B$2:$K$41,10)," ")</f>
        <v xml:space="preserve"> </v>
      </c>
      <c r="Y112" s="42" t="str">
        <f>IFERROR(VLOOKUP($J112,'Project Reference'!$B$2:$L$41,11)," ")</f>
        <v xml:space="preserve"> </v>
      </c>
      <c r="Z112" s="42" t="str">
        <f>IFERROR(VLOOKUP($J112,'Project Reference'!$B$2:$M$41,12)," ")</f>
        <v xml:space="preserve"> </v>
      </c>
      <c r="AA112" s="42" t="str">
        <f>IFERROR(VLOOKUP($J112,'Project Reference'!$B$2:$N$41,13)," ")</f>
        <v xml:space="preserve"> </v>
      </c>
    </row>
    <row r="113" spans="1:27" s="1" customFormat="1" x14ac:dyDescent="0.45">
      <c r="A113" s="43"/>
      <c r="B113" s="205"/>
      <c r="C113"/>
      <c r="D113" s="72"/>
      <c r="E113" s="72"/>
      <c r="F113" s="72"/>
      <c r="G113" s="72"/>
      <c r="H113" s="17"/>
      <c r="I113" s="41" t="str" cm="1">
        <f t="array" ref="I113">IFERROR(_xlfn.IFS(H113="Hard (Cash)","N/A",H113="Soft (In-Kind)", "Enter Source"),"Select Type")</f>
        <v>Select Type</v>
      </c>
      <c r="J113" s="124"/>
      <c r="K113" s="41" t="str">
        <f>IFERROR(VLOOKUP($J113,'Project Reference'!$S$2:$T$41,2),"Enter Project Number")</f>
        <v>Enter Project Number</v>
      </c>
      <c r="L113" s="41"/>
      <c r="M113" s="41"/>
      <c r="N113" s="15">
        <f t="shared" si="1"/>
        <v>0</v>
      </c>
      <c r="O113" s="19"/>
      <c r="P113" s="42" t="str">
        <f>IFERROR(VLOOKUP($J113,'Project Reference'!$B$2:$C$41,2)," ")</f>
        <v xml:space="preserve"> </v>
      </c>
      <c r="Q113" s="42" t="str">
        <f>IFERROR(VLOOKUP($J113,'Project Reference'!$B$2:$D$41,3)," ")</f>
        <v xml:space="preserve"> </v>
      </c>
      <c r="R113" s="42" t="str">
        <f>IFERROR(VLOOKUP($J113,'Project Reference'!$B$2:$E$41,4)," ")</f>
        <v xml:space="preserve"> </v>
      </c>
      <c r="S113" s="42" t="str">
        <f>IFERROR(VLOOKUP($J113,'Project Reference'!$B$2:$F$41,5,FALSE)," ")</f>
        <v xml:space="preserve"> </v>
      </c>
      <c r="T113" s="42" t="str">
        <f>IFERROR(VLOOKUP($J113,'Project Reference'!$B$2:$G$41,6,FALSE)," ")</f>
        <v xml:space="preserve"> </v>
      </c>
      <c r="U113" s="42" t="str">
        <f>IFERROR(VLOOKUP($J113,'Project Reference'!$B$2:$H$41,7,FALSE)," ")</f>
        <v xml:space="preserve"> </v>
      </c>
      <c r="V113" s="42" t="str">
        <f>IFERROR(VLOOKUP($J113,'Project Reference'!$B$2:$I$41,8,FALSE)," ")</f>
        <v xml:space="preserve"> </v>
      </c>
      <c r="W113" s="42" t="str">
        <f>IFERROR(VLOOKUP($J113,'Project Reference'!$B$2:$J$41,9,FALSE)," ")</f>
        <v xml:space="preserve"> </v>
      </c>
      <c r="X113" s="42" t="str">
        <f>IFERROR(VLOOKUP($J113,'Project Reference'!$B$2:$K$41,10)," ")</f>
        <v xml:space="preserve"> </v>
      </c>
      <c r="Y113" s="42" t="str">
        <f>IFERROR(VLOOKUP($J113,'Project Reference'!$B$2:$L$41,11)," ")</f>
        <v xml:space="preserve"> </v>
      </c>
      <c r="Z113" s="42" t="str">
        <f>IFERROR(VLOOKUP($J113,'Project Reference'!$B$2:$M$41,12)," ")</f>
        <v xml:space="preserve"> </v>
      </c>
      <c r="AA113" s="42" t="str">
        <f>IFERROR(VLOOKUP($J113,'Project Reference'!$B$2:$N$41,13)," ")</f>
        <v xml:space="preserve"> </v>
      </c>
    </row>
    <row r="114" spans="1:27" s="1" customFormat="1" x14ac:dyDescent="0.45">
      <c r="A114" s="43"/>
      <c r="B114" s="205"/>
      <c r="C114"/>
      <c r="D114" s="72"/>
      <c r="E114" s="72"/>
      <c r="F114" s="72"/>
      <c r="G114" s="72"/>
      <c r="H114" s="17"/>
      <c r="I114" s="41" t="str" cm="1">
        <f t="array" ref="I114">IFERROR(_xlfn.IFS(H114="Hard (Cash)","N/A",H114="Soft (In-Kind)", "Enter Source"),"Select Type")</f>
        <v>Select Type</v>
      </c>
      <c r="J114" s="124"/>
      <c r="K114" s="41" t="str">
        <f>IFERROR(VLOOKUP($J114,'Project Reference'!$S$2:$T$41,2),"Enter Project Number")</f>
        <v>Enter Project Number</v>
      </c>
      <c r="L114" s="41"/>
      <c r="M114" s="41"/>
      <c r="N114" s="15">
        <f t="shared" si="1"/>
        <v>0</v>
      </c>
      <c r="O114" s="19"/>
      <c r="P114" s="42" t="str">
        <f>IFERROR(VLOOKUP($J114,'Project Reference'!$B$2:$C$41,2)," ")</f>
        <v xml:space="preserve"> </v>
      </c>
      <c r="Q114" s="42" t="str">
        <f>IFERROR(VLOOKUP($J114,'Project Reference'!$B$2:$D$41,3)," ")</f>
        <v xml:space="preserve"> </v>
      </c>
      <c r="R114" s="42" t="str">
        <f>IFERROR(VLOOKUP($J114,'Project Reference'!$B$2:$E$41,4)," ")</f>
        <v xml:space="preserve"> </v>
      </c>
      <c r="S114" s="42" t="str">
        <f>IFERROR(VLOOKUP($J114,'Project Reference'!$B$2:$F$41,5,FALSE)," ")</f>
        <v xml:space="preserve"> </v>
      </c>
      <c r="T114" s="42" t="str">
        <f>IFERROR(VLOOKUP($J114,'Project Reference'!$B$2:$G$41,6,FALSE)," ")</f>
        <v xml:space="preserve"> </v>
      </c>
      <c r="U114" s="42" t="str">
        <f>IFERROR(VLOOKUP($J114,'Project Reference'!$B$2:$H$41,7,FALSE)," ")</f>
        <v xml:space="preserve"> </v>
      </c>
      <c r="V114" s="42" t="str">
        <f>IFERROR(VLOOKUP($J114,'Project Reference'!$B$2:$I$41,8,FALSE)," ")</f>
        <v xml:space="preserve"> </v>
      </c>
      <c r="W114" s="42" t="str">
        <f>IFERROR(VLOOKUP($J114,'Project Reference'!$B$2:$J$41,9,FALSE)," ")</f>
        <v xml:space="preserve"> </v>
      </c>
      <c r="X114" s="42" t="str">
        <f>IFERROR(VLOOKUP($J114,'Project Reference'!$B$2:$K$41,10)," ")</f>
        <v xml:space="preserve"> </v>
      </c>
      <c r="Y114" s="42" t="str">
        <f>IFERROR(VLOOKUP($J114,'Project Reference'!$B$2:$L$41,11)," ")</f>
        <v xml:space="preserve"> </v>
      </c>
      <c r="Z114" s="42" t="str">
        <f>IFERROR(VLOOKUP($J114,'Project Reference'!$B$2:$M$41,12)," ")</f>
        <v xml:space="preserve"> </v>
      </c>
      <c r="AA114" s="42" t="str">
        <f>IFERROR(VLOOKUP($J114,'Project Reference'!$B$2:$N$41,13)," ")</f>
        <v xml:space="preserve"> </v>
      </c>
    </row>
    <row r="115" spans="1:27" s="1" customFormat="1" x14ac:dyDescent="0.45">
      <c r="A115" s="43"/>
      <c r="B115" s="205"/>
      <c r="C115"/>
      <c r="D115" s="72"/>
      <c r="E115" s="72"/>
      <c r="F115" s="72"/>
      <c r="G115" s="72"/>
      <c r="H115" s="17"/>
      <c r="I115" s="41" t="str" cm="1">
        <f t="array" ref="I115">IFERROR(_xlfn.IFS(H115="Hard (Cash)","N/A",H115="Soft (In-Kind)", "Enter Source"),"Select Type")</f>
        <v>Select Type</v>
      </c>
      <c r="J115" s="124"/>
      <c r="K115" s="41" t="str">
        <f>IFERROR(VLOOKUP($J115,'Project Reference'!$S$2:$T$41,2),"Enter Project Number")</f>
        <v>Enter Project Number</v>
      </c>
      <c r="L115" s="41"/>
      <c r="M115" s="41"/>
      <c r="N115" s="15">
        <f t="shared" si="1"/>
        <v>0</v>
      </c>
      <c r="O115" s="19"/>
      <c r="P115" s="42" t="str">
        <f>IFERROR(VLOOKUP($J115,'Project Reference'!$B$2:$C$41,2)," ")</f>
        <v xml:space="preserve"> </v>
      </c>
      <c r="Q115" s="42" t="str">
        <f>IFERROR(VLOOKUP($J115,'Project Reference'!$B$2:$D$41,3)," ")</f>
        <v xml:space="preserve"> </v>
      </c>
      <c r="R115" s="42" t="str">
        <f>IFERROR(VLOOKUP($J115,'Project Reference'!$B$2:$E$41,4)," ")</f>
        <v xml:space="preserve"> </v>
      </c>
      <c r="S115" s="42" t="str">
        <f>IFERROR(VLOOKUP($J115,'Project Reference'!$B$2:$F$41,5,FALSE)," ")</f>
        <v xml:space="preserve"> </v>
      </c>
      <c r="T115" s="42" t="str">
        <f>IFERROR(VLOOKUP($J115,'Project Reference'!$B$2:$G$41,6,FALSE)," ")</f>
        <v xml:space="preserve"> </v>
      </c>
      <c r="U115" s="42" t="str">
        <f>IFERROR(VLOOKUP($J115,'Project Reference'!$B$2:$H$41,7,FALSE)," ")</f>
        <v xml:space="preserve"> </v>
      </c>
      <c r="V115" s="42" t="str">
        <f>IFERROR(VLOOKUP($J115,'Project Reference'!$B$2:$I$41,8,FALSE)," ")</f>
        <v xml:space="preserve"> </v>
      </c>
      <c r="W115" s="42" t="str">
        <f>IFERROR(VLOOKUP($J115,'Project Reference'!$B$2:$J$41,9,FALSE)," ")</f>
        <v xml:space="preserve"> </v>
      </c>
      <c r="X115" s="42" t="str">
        <f>IFERROR(VLOOKUP($J115,'Project Reference'!$B$2:$K$41,10)," ")</f>
        <v xml:space="preserve"> </v>
      </c>
      <c r="Y115" s="42" t="str">
        <f>IFERROR(VLOOKUP($J115,'Project Reference'!$B$2:$L$41,11)," ")</f>
        <v xml:space="preserve"> </v>
      </c>
      <c r="Z115" s="42" t="str">
        <f>IFERROR(VLOOKUP($J115,'Project Reference'!$B$2:$M$41,12)," ")</f>
        <v xml:space="preserve"> </v>
      </c>
      <c r="AA115" s="42" t="str">
        <f>IFERROR(VLOOKUP($J115,'Project Reference'!$B$2:$N$41,13)," ")</f>
        <v xml:space="preserve"> </v>
      </c>
    </row>
    <row r="116" spans="1:27" s="1" customFormat="1" x14ac:dyDescent="0.45">
      <c r="A116" s="43"/>
      <c r="B116" s="205"/>
      <c r="C116"/>
      <c r="D116" s="72"/>
      <c r="E116" s="72"/>
      <c r="F116" s="72"/>
      <c r="G116" s="72"/>
      <c r="H116" s="17"/>
      <c r="I116" s="41" t="str" cm="1">
        <f t="array" ref="I116">IFERROR(_xlfn.IFS(H116="Hard (Cash)","N/A",H116="Soft (In-Kind)", "Enter Source"),"Select Type")</f>
        <v>Select Type</v>
      </c>
      <c r="J116" s="124"/>
      <c r="K116" s="41" t="str">
        <f>IFERROR(VLOOKUP($J116,'Project Reference'!$S$2:$T$41,2),"Enter Project Number")</f>
        <v>Enter Project Number</v>
      </c>
      <c r="L116" s="41"/>
      <c r="M116" s="41"/>
      <c r="N116" s="15">
        <f t="shared" si="1"/>
        <v>0</v>
      </c>
      <c r="O116" s="19"/>
      <c r="P116" s="42" t="str">
        <f>IFERROR(VLOOKUP($J116,'Project Reference'!$B$2:$C$41,2)," ")</f>
        <v xml:space="preserve"> </v>
      </c>
      <c r="Q116" s="42" t="str">
        <f>IFERROR(VLOOKUP($J116,'Project Reference'!$B$2:$D$41,3)," ")</f>
        <v xml:space="preserve"> </v>
      </c>
      <c r="R116" s="42" t="str">
        <f>IFERROR(VLOOKUP($J116,'Project Reference'!$B$2:$E$41,4)," ")</f>
        <v xml:space="preserve"> </v>
      </c>
      <c r="S116" s="42" t="str">
        <f>IFERROR(VLOOKUP($J116,'Project Reference'!$B$2:$F$41,5,FALSE)," ")</f>
        <v xml:space="preserve"> </v>
      </c>
      <c r="T116" s="42" t="str">
        <f>IFERROR(VLOOKUP($J116,'Project Reference'!$B$2:$G$41,6,FALSE)," ")</f>
        <v xml:space="preserve"> </v>
      </c>
      <c r="U116" s="42" t="str">
        <f>IFERROR(VLOOKUP($J116,'Project Reference'!$B$2:$H$41,7,FALSE)," ")</f>
        <v xml:space="preserve"> </v>
      </c>
      <c r="V116" s="42" t="str">
        <f>IFERROR(VLOOKUP($J116,'Project Reference'!$B$2:$I$41,8,FALSE)," ")</f>
        <v xml:space="preserve"> </v>
      </c>
      <c r="W116" s="42" t="str">
        <f>IFERROR(VLOOKUP($J116,'Project Reference'!$B$2:$J$41,9,FALSE)," ")</f>
        <v xml:space="preserve"> </v>
      </c>
      <c r="X116" s="42" t="str">
        <f>IFERROR(VLOOKUP($J116,'Project Reference'!$B$2:$K$41,10)," ")</f>
        <v xml:space="preserve"> </v>
      </c>
      <c r="Y116" s="42" t="str">
        <f>IFERROR(VLOOKUP($J116,'Project Reference'!$B$2:$L$41,11)," ")</f>
        <v xml:space="preserve"> </v>
      </c>
      <c r="Z116" s="42" t="str">
        <f>IFERROR(VLOOKUP($J116,'Project Reference'!$B$2:$M$41,12)," ")</f>
        <v xml:space="preserve"> </v>
      </c>
      <c r="AA116" s="42" t="str">
        <f>IFERROR(VLOOKUP($J116,'Project Reference'!$B$2:$N$41,13)," ")</f>
        <v xml:space="preserve"> </v>
      </c>
    </row>
    <row r="117" spans="1:27" s="1" customFormat="1" x14ac:dyDescent="0.45">
      <c r="A117" s="43"/>
      <c r="B117" s="205"/>
      <c r="C117"/>
      <c r="D117" s="72"/>
      <c r="E117" s="72"/>
      <c r="F117" s="72"/>
      <c r="G117" s="72"/>
      <c r="H117" s="17"/>
      <c r="I117" s="41" t="str" cm="1">
        <f t="array" ref="I117">IFERROR(_xlfn.IFS(H117="Hard (Cash)","N/A",H117="Soft (In-Kind)", "Enter Source"),"Select Type")</f>
        <v>Select Type</v>
      </c>
      <c r="J117" s="124"/>
      <c r="K117" s="41" t="str">
        <f>IFERROR(VLOOKUP($J117,'Project Reference'!$S$2:$T$41,2),"Enter Project Number")</f>
        <v>Enter Project Number</v>
      </c>
      <c r="L117" s="41"/>
      <c r="M117" s="41"/>
      <c r="N117" s="15">
        <f t="shared" si="1"/>
        <v>0</v>
      </c>
      <c r="O117" s="19"/>
      <c r="P117" s="42" t="str">
        <f>IFERROR(VLOOKUP($J117,'Project Reference'!$B$2:$C$41,2)," ")</f>
        <v xml:space="preserve"> </v>
      </c>
      <c r="Q117" s="42" t="str">
        <f>IFERROR(VLOOKUP($J117,'Project Reference'!$B$2:$D$41,3)," ")</f>
        <v xml:space="preserve"> </v>
      </c>
      <c r="R117" s="42" t="str">
        <f>IFERROR(VLOOKUP($J117,'Project Reference'!$B$2:$E$41,4)," ")</f>
        <v xml:space="preserve"> </v>
      </c>
      <c r="S117" s="42" t="str">
        <f>IFERROR(VLOOKUP($J117,'Project Reference'!$B$2:$F$41,5,FALSE)," ")</f>
        <v xml:space="preserve"> </v>
      </c>
      <c r="T117" s="42" t="str">
        <f>IFERROR(VLOOKUP($J117,'Project Reference'!$B$2:$G$41,6,FALSE)," ")</f>
        <v xml:space="preserve"> </v>
      </c>
      <c r="U117" s="42" t="str">
        <f>IFERROR(VLOOKUP($J117,'Project Reference'!$B$2:$H$41,7,FALSE)," ")</f>
        <v xml:space="preserve"> </v>
      </c>
      <c r="V117" s="42" t="str">
        <f>IFERROR(VLOOKUP($J117,'Project Reference'!$B$2:$I$41,8,FALSE)," ")</f>
        <v xml:space="preserve"> </v>
      </c>
      <c r="W117" s="42" t="str">
        <f>IFERROR(VLOOKUP($J117,'Project Reference'!$B$2:$J$41,9,FALSE)," ")</f>
        <v xml:space="preserve"> </v>
      </c>
      <c r="X117" s="42" t="str">
        <f>IFERROR(VLOOKUP($J117,'Project Reference'!$B$2:$K$41,10)," ")</f>
        <v xml:space="preserve"> </v>
      </c>
      <c r="Y117" s="42" t="str">
        <f>IFERROR(VLOOKUP($J117,'Project Reference'!$B$2:$L$41,11)," ")</f>
        <v xml:space="preserve"> </v>
      </c>
      <c r="Z117" s="42" t="str">
        <f>IFERROR(VLOOKUP($J117,'Project Reference'!$B$2:$M$41,12)," ")</f>
        <v xml:space="preserve"> </v>
      </c>
      <c r="AA117" s="42" t="str">
        <f>IFERROR(VLOOKUP($J117,'Project Reference'!$B$2:$N$41,13)," ")</f>
        <v xml:space="preserve"> </v>
      </c>
    </row>
    <row r="118" spans="1:27" s="1" customFormat="1" x14ac:dyDescent="0.45">
      <c r="A118" s="43"/>
      <c r="B118" s="205"/>
      <c r="C118"/>
      <c r="D118" s="72"/>
      <c r="E118" s="72"/>
      <c r="F118" s="72"/>
      <c r="G118" s="72"/>
      <c r="H118" s="17"/>
      <c r="I118" s="41" t="str" cm="1">
        <f t="array" ref="I118">IFERROR(_xlfn.IFS(H118="Hard (Cash)","N/A",H118="Soft (In-Kind)", "Enter Source"),"Select Type")</f>
        <v>Select Type</v>
      </c>
      <c r="J118" s="124"/>
      <c r="K118" s="41" t="str">
        <f>IFERROR(VLOOKUP($J118,'Project Reference'!$S$2:$T$41,2),"Enter Project Number")</f>
        <v>Enter Project Number</v>
      </c>
      <c r="L118" s="41"/>
      <c r="M118" s="41"/>
      <c r="N118" s="15">
        <f t="shared" si="1"/>
        <v>0</v>
      </c>
      <c r="O118" s="19"/>
      <c r="P118" s="42" t="str">
        <f>IFERROR(VLOOKUP($J118,'Project Reference'!$B$2:$C$41,2)," ")</f>
        <v xml:space="preserve"> </v>
      </c>
      <c r="Q118" s="42" t="str">
        <f>IFERROR(VLOOKUP($J118,'Project Reference'!$B$2:$D$41,3)," ")</f>
        <v xml:space="preserve"> </v>
      </c>
      <c r="R118" s="42" t="str">
        <f>IFERROR(VLOOKUP($J118,'Project Reference'!$B$2:$E$41,4)," ")</f>
        <v xml:space="preserve"> </v>
      </c>
      <c r="S118" s="42" t="str">
        <f>IFERROR(VLOOKUP($J118,'Project Reference'!$B$2:$F$41,5,FALSE)," ")</f>
        <v xml:space="preserve"> </v>
      </c>
      <c r="T118" s="42" t="str">
        <f>IFERROR(VLOOKUP($J118,'Project Reference'!$B$2:$G$41,6,FALSE)," ")</f>
        <v xml:space="preserve"> </v>
      </c>
      <c r="U118" s="42" t="str">
        <f>IFERROR(VLOOKUP($J118,'Project Reference'!$B$2:$H$41,7,FALSE)," ")</f>
        <v xml:space="preserve"> </v>
      </c>
      <c r="V118" s="42" t="str">
        <f>IFERROR(VLOOKUP($J118,'Project Reference'!$B$2:$I$41,8,FALSE)," ")</f>
        <v xml:space="preserve"> </v>
      </c>
      <c r="W118" s="42" t="str">
        <f>IFERROR(VLOOKUP($J118,'Project Reference'!$B$2:$J$41,9,FALSE)," ")</f>
        <v xml:space="preserve"> </v>
      </c>
      <c r="X118" s="42" t="str">
        <f>IFERROR(VLOOKUP($J118,'Project Reference'!$B$2:$K$41,10)," ")</f>
        <v xml:space="preserve"> </v>
      </c>
      <c r="Y118" s="42" t="str">
        <f>IFERROR(VLOOKUP($J118,'Project Reference'!$B$2:$L$41,11)," ")</f>
        <v xml:space="preserve"> </v>
      </c>
      <c r="Z118" s="42" t="str">
        <f>IFERROR(VLOOKUP($J118,'Project Reference'!$B$2:$M$41,12)," ")</f>
        <v xml:space="preserve"> </v>
      </c>
      <c r="AA118" s="42" t="str">
        <f>IFERROR(VLOOKUP($J118,'Project Reference'!$B$2:$N$41,13)," ")</f>
        <v xml:space="preserve"> </v>
      </c>
    </row>
    <row r="119" spans="1:27" s="1" customFormat="1" x14ac:dyDescent="0.45">
      <c r="A119" s="43"/>
      <c r="B119" s="205"/>
      <c r="C119"/>
      <c r="D119" s="72"/>
      <c r="E119" s="72"/>
      <c r="F119" s="72"/>
      <c r="G119" s="72"/>
      <c r="H119" s="17"/>
      <c r="I119" s="41" t="str" cm="1">
        <f t="array" ref="I119">IFERROR(_xlfn.IFS(H119="Hard (Cash)","N/A",H119="Soft (In-Kind)", "Enter Source"),"Select Type")</f>
        <v>Select Type</v>
      </c>
      <c r="J119" s="124"/>
      <c r="K119" s="41" t="str">
        <f>IFERROR(VLOOKUP($J119,'Project Reference'!$S$2:$T$41,2),"Enter Project Number")</f>
        <v>Enter Project Number</v>
      </c>
      <c r="L119" s="41"/>
      <c r="M119" s="41"/>
      <c r="N119" s="15">
        <f t="shared" si="1"/>
        <v>0</v>
      </c>
      <c r="O119" s="19"/>
      <c r="P119" s="42" t="str">
        <f>IFERROR(VLOOKUP($J119,'Project Reference'!$B$2:$C$41,2)," ")</f>
        <v xml:space="preserve"> </v>
      </c>
      <c r="Q119" s="42" t="str">
        <f>IFERROR(VLOOKUP($J119,'Project Reference'!$B$2:$D$41,3)," ")</f>
        <v xml:space="preserve"> </v>
      </c>
      <c r="R119" s="42" t="str">
        <f>IFERROR(VLOOKUP($J119,'Project Reference'!$B$2:$E$41,4)," ")</f>
        <v xml:space="preserve"> </v>
      </c>
      <c r="S119" s="42" t="str">
        <f>IFERROR(VLOOKUP($J119,'Project Reference'!$B$2:$F$41,5,FALSE)," ")</f>
        <v xml:space="preserve"> </v>
      </c>
      <c r="T119" s="42" t="str">
        <f>IFERROR(VLOOKUP($J119,'Project Reference'!$B$2:$G$41,6,FALSE)," ")</f>
        <v xml:space="preserve"> </v>
      </c>
      <c r="U119" s="42" t="str">
        <f>IFERROR(VLOOKUP($J119,'Project Reference'!$B$2:$H$41,7,FALSE)," ")</f>
        <v xml:space="preserve"> </v>
      </c>
      <c r="V119" s="42" t="str">
        <f>IFERROR(VLOOKUP($J119,'Project Reference'!$B$2:$I$41,8,FALSE)," ")</f>
        <v xml:space="preserve"> </v>
      </c>
      <c r="W119" s="42" t="str">
        <f>IFERROR(VLOOKUP($J119,'Project Reference'!$B$2:$J$41,9,FALSE)," ")</f>
        <v xml:space="preserve"> </v>
      </c>
      <c r="X119" s="42" t="str">
        <f>IFERROR(VLOOKUP($J119,'Project Reference'!$B$2:$K$41,10)," ")</f>
        <v xml:space="preserve"> </v>
      </c>
      <c r="Y119" s="42" t="str">
        <f>IFERROR(VLOOKUP($J119,'Project Reference'!$B$2:$L$41,11)," ")</f>
        <v xml:space="preserve"> </v>
      </c>
      <c r="Z119" s="42" t="str">
        <f>IFERROR(VLOOKUP($J119,'Project Reference'!$B$2:$M$41,12)," ")</f>
        <v xml:space="preserve"> </v>
      </c>
      <c r="AA119" s="42" t="str">
        <f>IFERROR(VLOOKUP($J119,'Project Reference'!$B$2:$N$41,13)," ")</f>
        <v xml:space="preserve"> </v>
      </c>
    </row>
    <row r="120" spans="1:27" s="1" customFormat="1" x14ac:dyDescent="0.45">
      <c r="A120" s="43"/>
      <c r="B120" s="205"/>
      <c r="C120"/>
      <c r="D120" s="72"/>
      <c r="E120" s="72"/>
      <c r="F120" s="72"/>
      <c r="G120" s="72"/>
      <c r="H120" s="17"/>
      <c r="I120" s="41" t="str" cm="1">
        <f t="array" ref="I120">IFERROR(_xlfn.IFS(H120="Hard (Cash)","N/A",H120="Soft (In-Kind)", "Enter Source"),"Select Type")</f>
        <v>Select Type</v>
      </c>
      <c r="J120" s="124"/>
      <c r="K120" s="41" t="str">
        <f>IFERROR(VLOOKUP($J120,'Project Reference'!$S$2:$T$41,2),"Enter Project Number")</f>
        <v>Enter Project Number</v>
      </c>
      <c r="L120" s="41"/>
      <c r="M120" s="41"/>
      <c r="N120" s="15">
        <f t="shared" si="1"/>
        <v>0</v>
      </c>
      <c r="O120" s="19"/>
      <c r="P120" s="42" t="str">
        <f>IFERROR(VLOOKUP($J120,'Project Reference'!$B$2:$C$41,2)," ")</f>
        <v xml:space="preserve"> </v>
      </c>
      <c r="Q120" s="42" t="str">
        <f>IFERROR(VLOOKUP($J120,'Project Reference'!$B$2:$D$41,3)," ")</f>
        <v xml:space="preserve"> </v>
      </c>
      <c r="R120" s="42" t="str">
        <f>IFERROR(VLOOKUP($J120,'Project Reference'!$B$2:$E$41,4)," ")</f>
        <v xml:space="preserve"> </v>
      </c>
      <c r="S120" s="42" t="str">
        <f>IFERROR(VLOOKUP($J120,'Project Reference'!$B$2:$F$41,5,FALSE)," ")</f>
        <v xml:space="preserve"> </v>
      </c>
      <c r="T120" s="42" t="str">
        <f>IFERROR(VLOOKUP($J120,'Project Reference'!$B$2:$G$41,6,FALSE)," ")</f>
        <v xml:space="preserve"> </v>
      </c>
      <c r="U120" s="42" t="str">
        <f>IFERROR(VLOOKUP($J120,'Project Reference'!$B$2:$H$41,7,FALSE)," ")</f>
        <v xml:space="preserve"> </v>
      </c>
      <c r="V120" s="42" t="str">
        <f>IFERROR(VLOOKUP($J120,'Project Reference'!$B$2:$I$41,8,FALSE)," ")</f>
        <v xml:space="preserve"> </v>
      </c>
      <c r="W120" s="42" t="str">
        <f>IFERROR(VLOOKUP($J120,'Project Reference'!$B$2:$J$41,9,FALSE)," ")</f>
        <v xml:space="preserve"> </v>
      </c>
      <c r="X120" s="42" t="str">
        <f>IFERROR(VLOOKUP($J120,'Project Reference'!$B$2:$K$41,10)," ")</f>
        <v xml:space="preserve"> </v>
      </c>
      <c r="Y120" s="42" t="str">
        <f>IFERROR(VLOOKUP($J120,'Project Reference'!$B$2:$L$41,11)," ")</f>
        <v xml:space="preserve"> </v>
      </c>
      <c r="Z120" s="42" t="str">
        <f>IFERROR(VLOOKUP($J120,'Project Reference'!$B$2:$M$41,12)," ")</f>
        <v xml:space="preserve"> </v>
      </c>
      <c r="AA120" s="42" t="str">
        <f>IFERROR(VLOOKUP($J120,'Project Reference'!$B$2:$N$41,13)," ")</f>
        <v xml:space="preserve"> </v>
      </c>
    </row>
    <row r="121" spans="1:27" s="1" customFormat="1" x14ac:dyDescent="0.45">
      <c r="A121" s="43"/>
      <c r="B121" s="205"/>
      <c r="C121"/>
      <c r="D121" s="72"/>
      <c r="E121" s="72"/>
      <c r="F121" s="72"/>
      <c r="G121" s="72"/>
      <c r="H121" s="17"/>
      <c r="I121" s="41" t="str" cm="1">
        <f t="array" ref="I121">IFERROR(_xlfn.IFS(H121="Hard (Cash)","N/A",H121="Soft (In-Kind)", "Enter Source"),"Select Type")</f>
        <v>Select Type</v>
      </c>
      <c r="J121" s="124"/>
      <c r="K121" s="41" t="str">
        <f>IFERROR(VLOOKUP($J121,'Project Reference'!$S$2:$T$41,2),"Enter Project Number")</f>
        <v>Enter Project Number</v>
      </c>
      <c r="L121" s="41"/>
      <c r="M121" s="41"/>
      <c r="N121" s="15">
        <f t="shared" si="1"/>
        <v>0</v>
      </c>
      <c r="O121" s="19"/>
      <c r="P121" s="42" t="str">
        <f>IFERROR(VLOOKUP($J121,'Project Reference'!$B$2:$C$41,2)," ")</f>
        <v xml:space="preserve"> </v>
      </c>
      <c r="Q121" s="42" t="str">
        <f>IFERROR(VLOOKUP($J121,'Project Reference'!$B$2:$D$41,3)," ")</f>
        <v xml:space="preserve"> </v>
      </c>
      <c r="R121" s="42" t="str">
        <f>IFERROR(VLOOKUP($J121,'Project Reference'!$B$2:$E$41,4)," ")</f>
        <v xml:space="preserve"> </v>
      </c>
      <c r="S121" s="42" t="str">
        <f>IFERROR(VLOOKUP($J121,'Project Reference'!$B$2:$F$41,5,FALSE)," ")</f>
        <v xml:space="preserve"> </v>
      </c>
      <c r="T121" s="42" t="str">
        <f>IFERROR(VLOOKUP($J121,'Project Reference'!$B$2:$G$41,6,FALSE)," ")</f>
        <v xml:space="preserve"> </v>
      </c>
      <c r="U121" s="42" t="str">
        <f>IFERROR(VLOOKUP($J121,'Project Reference'!$B$2:$H$41,7,FALSE)," ")</f>
        <v xml:space="preserve"> </v>
      </c>
      <c r="V121" s="42" t="str">
        <f>IFERROR(VLOOKUP($J121,'Project Reference'!$B$2:$I$41,8,FALSE)," ")</f>
        <v xml:space="preserve"> </v>
      </c>
      <c r="W121" s="42" t="str">
        <f>IFERROR(VLOOKUP($J121,'Project Reference'!$B$2:$J$41,9,FALSE)," ")</f>
        <v xml:space="preserve"> </v>
      </c>
      <c r="X121" s="42" t="str">
        <f>IFERROR(VLOOKUP($J121,'Project Reference'!$B$2:$K$41,10)," ")</f>
        <v xml:space="preserve"> </v>
      </c>
      <c r="Y121" s="42" t="str">
        <f>IFERROR(VLOOKUP($J121,'Project Reference'!$B$2:$L$41,11)," ")</f>
        <v xml:space="preserve"> </v>
      </c>
      <c r="Z121" s="42" t="str">
        <f>IFERROR(VLOOKUP($J121,'Project Reference'!$B$2:$M$41,12)," ")</f>
        <v xml:space="preserve"> </v>
      </c>
      <c r="AA121" s="42" t="str">
        <f>IFERROR(VLOOKUP($J121,'Project Reference'!$B$2:$N$41,13)," ")</f>
        <v xml:space="preserve"> </v>
      </c>
    </row>
    <row r="122" spans="1:27" s="1" customFormat="1" x14ac:dyDescent="0.45">
      <c r="A122" s="43"/>
      <c r="B122" s="205"/>
      <c r="C122"/>
      <c r="D122" s="72"/>
      <c r="E122" s="72"/>
      <c r="F122" s="72"/>
      <c r="G122" s="72"/>
      <c r="H122" s="17"/>
      <c r="I122" s="41" t="str" cm="1">
        <f t="array" ref="I122">IFERROR(_xlfn.IFS(H122="Hard (Cash)","N/A",H122="Soft (In-Kind)", "Enter Source"),"Select Type")</f>
        <v>Select Type</v>
      </c>
      <c r="J122" s="124"/>
      <c r="K122" s="41" t="str">
        <f>IFERROR(VLOOKUP($J122,'Project Reference'!$S$2:$T$41,2),"Enter Project Number")</f>
        <v>Enter Project Number</v>
      </c>
      <c r="L122" s="41"/>
      <c r="M122" s="41"/>
      <c r="N122" s="15">
        <f t="shared" si="1"/>
        <v>0</v>
      </c>
      <c r="O122" s="19"/>
      <c r="P122" s="42" t="str">
        <f>IFERROR(VLOOKUP($J122,'Project Reference'!$B$2:$C$41,2)," ")</f>
        <v xml:space="preserve"> </v>
      </c>
      <c r="Q122" s="42" t="str">
        <f>IFERROR(VLOOKUP($J122,'Project Reference'!$B$2:$D$41,3)," ")</f>
        <v xml:space="preserve"> </v>
      </c>
      <c r="R122" s="42" t="str">
        <f>IFERROR(VLOOKUP($J122,'Project Reference'!$B$2:$E$41,4)," ")</f>
        <v xml:space="preserve"> </v>
      </c>
      <c r="S122" s="42" t="str">
        <f>IFERROR(VLOOKUP($J122,'Project Reference'!$B$2:$F$41,5,FALSE)," ")</f>
        <v xml:space="preserve"> </v>
      </c>
      <c r="T122" s="42" t="str">
        <f>IFERROR(VLOOKUP($J122,'Project Reference'!$B$2:$G$41,6,FALSE)," ")</f>
        <v xml:space="preserve"> </v>
      </c>
      <c r="U122" s="42" t="str">
        <f>IFERROR(VLOOKUP($J122,'Project Reference'!$B$2:$H$41,7,FALSE)," ")</f>
        <v xml:space="preserve"> </v>
      </c>
      <c r="V122" s="42" t="str">
        <f>IFERROR(VLOOKUP($J122,'Project Reference'!$B$2:$I$41,8,FALSE)," ")</f>
        <v xml:space="preserve"> </v>
      </c>
      <c r="W122" s="42" t="str">
        <f>IFERROR(VLOOKUP($J122,'Project Reference'!$B$2:$J$41,9,FALSE)," ")</f>
        <v xml:space="preserve"> </v>
      </c>
      <c r="X122" s="42" t="str">
        <f>IFERROR(VLOOKUP($J122,'Project Reference'!$B$2:$K$41,10)," ")</f>
        <v xml:space="preserve"> </v>
      </c>
      <c r="Y122" s="42" t="str">
        <f>IFERROR(VLOOKUP($J122,'Project Reference'!$B$2:$L$41,11)," ")</f>
        <v xml:space="preserve"> </v>
      </c>
      <c r="Z122" s="42" t="str">
        <f>IFERROR(VLOOKUP($J122,'Project Reference'!$B$2:$M$41,12)," ")</f>
        <v xml:space="preserve"> </v>
      </c>
      <c r="AA122" s="42" t="str">
        <f>IFERROR(VLOOKUP($J122,'Project Reference'!$B$2:$N$41,13)," ")</f>
        <v xml:space="preserve"> </v>
      </c>
    </row>
    <row r="123" spans="1:27" s="1" customFormat="1" x14ac:dyDescent="0.45">
      <c r="A123" s="43"/>
      <c r="B123" s="205"/>
      <c r="C123"/>
      <c r="D123" s="72"/>
      <c r="E123" s="72"/>
      <c r="F123" s="72"/>
      <c r="G123" s="72"/>
      <c r="H123" s="17"/>
      <c r="I123" s="41" t="str" cm="1">
        <f t="array" ref="I123">IFERROR(_xlfn.IFS(H123="Hard (Cash)","N/A",H123="Soft (In-Kind)", "Enter Source"),"Select Type")</f>
        <v>Select Type</v>
      </c>
      <c r="J123" s="124"/>
      <c r="K123" s="41" t="str">
        <f>IFERROR(VLOOKUP($J123,'Project Reference'!$S$2:$T$41,2),"Enter Project Number")</f>
        <v>Enter Project Number</v>
      </c>
      <c r="L123" s="41"/>
      <c r="M123" s="41"/>
      <c r="N123" s="15">
        <f t="shared" si="1"/>
        <v>0</v>
      </c>
      <c r="O123" s="19"/>
      <c r="P123" s="42" t="str">
        <f>IFERROR(VLOOKUP($J123,'Project Reference'!$B$2:$C$41,2)," ")</f>
        <v xml:space="preserve"> </v>
      </c>
      <c r="Q123" s="42" t="str">
        <f>IFERROR(VLOOKUP($J123,'Project Reference'!$B$2:$D$41,3)," ")</f>
        <v xml:space="preserve"> </v>
      </c>
      <c r="R123" s="42" t="str">
        <f>IFERROR(VLOOKUP($J123,'Project Reference'!$B$2:$E$41,4)," ")</f>
        <v xml:space="preserve"> </v>
      </c>
      <c r="S123" s="42" t="str">
        <f>IFERROR(VLOOKUP($J123,'Project Reference'!$B$2:$F$41,5,FALSE)," ")</f>
        <v xml:space="preserve"> </v>
      </c>
      <c r="T123" s="42" t="str">
        <f>IFERROR(VLOOKUP($J123,'Project Reference'!$B$2:$G$41,6,FALSE)," ")</f>
        <v xml:space="preserve"> </v>
      </c>
      <c r="U123" s="42" t="str">
        <f>IFERROR(VLOOKUP($J123,'Project Reference'!$B$2:$H$41,7,FALSE)," ")</f>
        <v xml:space="preserve"> </v>
      </c>
      <c r="V123" s="42" t="str">
        <f>IFERROR(VLOOKUP($J123,'Project Reference'!$B$2:$I$41,8,FALSE)," ")</f>
        <v xml:space="preserve"> </v>
      </c>
      <c r="W123" s="42" t="str">
        <f>IFERROR(VLOOKUP($J123,'Project Reference'!$B$2:$J$41,9,FALSE)," ")</f>
        <v xml:space="preserve"> </v>
      </c>
      <c r="X123" s="42" t="str">
        <f>IFERROR(VLOOKUP($J123,'Project Reference'!$B$2:$K$41,10)," ")</f>
        <v xml:space="preserve"> </v>
      </c>
      <c r="Y123" s="42" t="str">
        <f>IFERROR(VLOOKUP($J123,'Project Reference'!$B$2:$L$41,11)," ")</f>
        <v xml:space="preserve"> </v>
      </c>
      <c r="Z123" s="42" t="str">
        <f>IFERROR(VLOOKUP($J123,'Project Reference'!$B$2:$M$41,12)," ")</f>
        <v xml:space="preserve"> </v>
      </c>
      <c r="AA123" s="42" t="str">
        <f>IFERROR(VLOOKUP($J123,'Project Reference'!$B$2:$N$41,13)," ")</f>
        <v xml:space="preserve"> </v>
      </c>
    </row>
    <row r="124" spans="1:27" s="1" customFormat="1" x14ac:dyDescent="0.45">
      <c r="A124" s="43"/>
      <c r="B124" s="205"/>
      <c r="C124"/>
      <c r="D124" s="72"/>
      <c r="E124" s="72"/>
      <c r="F124" s="72"/>
      <c r="G124" s="72"/>
      <c r="H124" s="17"/>
      <c r="I124" s="41" t="str" cm="1">
        <f t="array" ref="I124">IFERROR(_xlfn.IFS(H124="Hard (Cash)","N/A",H124="Soft (In-Kind)", "Enter Source"),"Select Type")</f>
        <v>Select Type</v>
      </c>
      <c r="J124" s="124"/>
      <c r="K124" s="41" t="str">
        <f>IFERROR(VLOOKUP($J124,'Project Reference'!$S$2:$T$41,2),"Enter Project Number")</f>
        <v>Enter Project Number</v>
      </c>
      <c r="L124" s="41"/>
      <c r="M124" s="41"/>
      <c r="N124" s="15">
        <f t="shared" si="1"/>
        <v>0</v>
      </c>
      <c r="O124" s="19"/>
      <c r="P124" s="42" t="str">
        <f>IFERROR(VLOOKUP($J124,'Project Reference'!$B$2:$C$41,2)," ")</f>
        <v xml:space="preserve"> </v>
      </c>
      <c r="Q124" s="42" t="str">
        <f>IFERROR(VLOOKUP($J124,'Project Reference'!$B$2:$D$41,3)," ")</f>
        <v xml:space="preserve"> </v>
      </c>
      <c r="R124" s="42" t="str">
        <f>IFERROR(VLOOKUP($J124,'Project Reference'!$B$2:$E$41,4)," ")</f>
        <v xml:space="preserve"> </v>
      </c>
      <c r="S124" s="42" t="str">
        <f>IFERROR(VLOOKUP($J124,'Project Reference'!$B$2:$F$41,5,FALSE)," ")</f>
        <v xml:space="preserve"> </v>
      </c>
      <c r="T124" s="42" t="str">
        <f>IFERROR(VLOOKUP($J124,'Project Reference'!$B$2:$G$41,6,FALSE)," ")</f>
        <v xml:space="preserve"> </v>
      </c>
      <c r="U124" s="42" t="str">
        <f>IFERROR(VLOOKUP($J124,'Project Reference'!$B$2:$H$41,7,FALSE)," ")</f>
        <v xml:space="preserve"> </v>
      </c>
      <c r="V124" s="42" t="str">
        <f>IFERROR(VLOOKUP($J124,'Project Reference'!$B$2:$I$41,8,FALSE)," ")</f>
        <v xml:space="preserve"> </v>
      </c>
      <c r="W124" s="42" t="str">
        <f>IFERROR(VLOOKUP($J124,'Project Reference'!$B$2:$J$41,9,FALSE)," ")</f>
        <v xml:space="preserve"> </v>
      </c>
      <c r="X124" s="42" t="str">
        <f>IFERROR(VLOOKUP($J124,'Project Reference'!$B$2:$K$41,10)," ")</f>
        <v xml:space="preserve"> </v>
      </c>
      <c r="Y124" s="42" t="str">
        <f>IFERROR(VLOOKUP($J124,'Project Reference'!$B$2:$L$41,11)," ")</f>
        <v xml:space="preserve"> </v>
      </c>
      <c r="Z124" s="42" t="str">
        <f>IFERROR(VLOOKUP($J124,'Project Reference'!$B$2:$M$41,12)," ")</f>
        <v xml:space="preserve"> </v>
      </c>
      <c r="AA124" s="42" t="str">
        <f>IFERROR(VLOOKUP($J124,'Project Reference'!$B$2:$N$41,13)," ")</f>
        <v xml:space="preserve"> </v>
      </c>
    </row>
    <row r="125" spans="1:27" s="1" customFormat="1" x14ac:dyDescent="0.45">
      <c r="A125" s="43"/>
      <c r="B125" s="205"/>
      <c r="C125"/>
      <c r="D125" s="72"/>
      <c r="E125" s="72"/>
      <c r="F125" s="72"/>
      <c r="G125" s="72"/>
      <c r="H125" s="17"/>
      <c r="I125" s="41" t="str" cm="1">
        <f t="array" ref="I125">IFERROR(_xlfn.IFS(H125="Hard (Cash)","N/A",H125="Soft (In-Kind)", "Enter Source"),"Select Type")</f>
        <v>Select Type</v>
      </c>
      <c r="J125" s="124"/>
      <c r="K125" s="41" t="str">
        <f>IFERROR(VLOOKUP($J125,'Project Reference'!$S$2:$T$41,2),"Enter Project Number")</f>
        <v>Enter Project Number</v>
      </c>
      <c r="L125" s="41"/>
      <c r="M125" s="41"/>
      <c r="N125" s="15">
        <f t="shared" si="1"/>
        <v>0</v>
      </c>
      <c r="O125" s="19"/>
      <c r="P125" s="42" t="str">
        <f>IFERROR(VLOOKUP($J125,'Project Reference'!$B$2:$C$41,2)," ")</f>
        <v xml:space="preserve"> </v>
      </c>
      <c r="Q125" s="42" t="str">
        <f>IFERROR(VLOOKUP($J125,'Project Reference'!$B$2:$D$41,3)," ")</f>
        <v xml:space="preserve"> </v>
      </c>
      <c r="R125" s="42" t="str">
        <f>IFERROR(VLOOKUP($J125,'Project Reference'!$B$2:$E$41,4)," ")</f>
        <v xml:space="preserve"> </v>
      </c>
      <c r="S125" s="42" t="str">
        <f>IFERROR(VLOOKUP($J125,'Project Reference'!$B$2:$F$41,5,FALSE)," ")</f>
        <v xml:space="preserve"> </v>
      </c>
      <c r="T125" s="42" t="str">
        <f>IFERROR(VLOOKUP($J125,'Project Reference'!$B$2:$G$41,6,FALSE)," ")</f>
        <v xml:space="preserve"> </v>
      </c>
      <c r="U125" s="42" t="str">
        <f>IFERROR(VLOOKUP($J125,'Project Reference'!$B$2:$H$41,7,FALSE)," ")</f>
        <v xml:space="preserve"> </v>
      </c>
      <c r="V125" s="42" t="str">
        <f>IFERROR(VLOOKUP($J125,'Project Reference'!$B$2:$I$41,8,FALSE)," ")</f>
        <v xml:space="preserve"> </v>
      </c>
      <c r="W125" s="42" t="str">
        <f>IFERROR(VLOOKUP($J125,'Project Reference'!$B$2:$J$41,9,FALSE)," ")</f>
        <v xml:space="preserve"> </v>
      </c>
      <c r="X125" s="42" t="str">
        <f>IFERROR(VLOOKUP($J125,'Project Reference'!$B$2:$K$41,10)," ")</f>
        <v xml:space="preserve"> </v>
      </c>
      <c r="Y125" s="42" t="str">
        <f>IFERROR(VLOOKUP($J125,'Project Reference'!$B$2:$L$41,11)," ")</f>
        <v xml:space="preserve"> </v>
      </c>
      <c r="Z125" s="42" t="str">
        <f>IFERROR(VLOOKUP($J125,'Project Reference'!$B$2:$M$41,12)," ")</f>
        <v xml:space="preserve"> </v>
      </c>
      <c r="AA125" s="42" t="str">
        <f>IFERROR(VLOOKUP($J125,'Project Reference'!$B$2:$N$41,13)," ")</f>
        <v xml:space="preserve"> </v>
      </c>
    </row>
    <row r="126" spans="1:27" s="1" customFormat="1" x14ac:dyDescent="0.45">
      <c r="A126" s="43"/>
      <c r="B126" s="205"/>
      <c r="C126"/>
      <c r="D126" s="72"/>
      <c r="E126" s="72"/>
      <c r="F126" s="72"/>
      <c r="G126" s="72"/>
      <c r="H126" s="17"/>
      <c r="I126" s="41" t="str" cm="1">
        <f t="array" ref="I126">IFERROR(_xlfn.IFS(H126="Hard (Cash)","N/A",H126="Soft (In-Kind)", "Enter Source"),"Select Type")</f>
        <v>Select Type</v>
      </c>
      <c r="J126" s="124"/>
      <c r="K126" s="41" t="str">
        <f>IFERROR(VLOOKUP($J126,'Project Reference'!$S$2:$T$41,2),"Enter Project Number")</f>
        <v>Enter Project Number</v>
      </c>
      <c r="L126" s="41"/>
      <c r="M126" s="41"/>
      <c r="N126" s="15">
        <f t="shared" si="1"/>
        <v>0</v>
      </c>
      <c r="O126" s="19"/>
      <c r="P126" s="42" t="str">
        <f>IFERROR(VLOOKUP($J126,'Project Reference'!$B$2:$C$41,2)," ")</f>
        <v xml:space="preserve"> </v>
      </c>
      <c r="Q126" s="42" t="str">
        <f>IFERROR(VLOOKUP($J126,'Project Reference'!$B$2:$D$41,3)," ")</f>
        <v xml:space="preserve"> </v>
      </c>
      <c r="R126" s="42" t="str">
        <f>IFERROR(VLOOKUP($J126,'Project Reference'!$B$2:$E$41,4)," ")</f>
        <v xml:space="preserve"> </v>
      </c>
      <c r="S126" s="42" t="str">
        <f>IFERROR(VLOOKUP($J126,'Project Reference'!$B$2:$F$41,5,FALSE)," ")</f>
        <v xml:space="preserve"> </v>
      </c>
      <c r="T126" s="42" t="str">
        <f>IFERROR(VLOOKUP($J126,'Project Reference'!$B$2:$G$41,6,FALSE)," ")</f>
        <v xml:space="preserve"> </v>
      </c>
      <c r="U126" s="42" t="str">
        <f>IFERROR(VLOOKUP($J126,'Project Reference'!$B$2:$H$41,7,FALSE)," ")</f>
        <v xml:space="preserve"> </v>
      </c>
      <c r="V126" s="42" t="str">
        <f>IFERROR(VLOOKUP($J126,'Project Reference'!$B$2:$I$41,8,FALSE)," ")</f>
        <v xml:space="preserve"> </v>
      </c>
      <c r="W126" s="42" t="str">
        <f>IFERROR(VLOOKUP($J126,'Project Reference'!$B$2:$J$41,9,FALSE)," ")</f>
        <v xml:space="preserve"> </v>
      </c>
      <c r="X126" s="42" t="str">
        <f>IFERROR(VLOOKUP($J126,'Project Reference'!$B$2:$K$41,10)," ")</f>
        <v xml:space="preserve"> </v>
      </c>
      <c r="Y126" s="42" t="str">
        <f>IFERROR(VLOOKUP($J126,'Project Reference'!$B$2:$L$41,11)," ")</f>
        <v xml:space="preserve"> </v>
      </c>
      <c r="Z126" s="42" t="str">
        <f>IFERROR(VLOOKUP($J126,'Project Reference'!$B$2:$M$41,12)," ")</f>
        <v xml:space="preserve"> </v>
      </c>
      <c r="AA126" s="42" t="str">
        <f>IFERROR(VLOOKUP($J126,'Project Reference'!$B$2:$N$41,13)," ")</f>
        <v xml:space="preserve"> </v>
      </c>
    </row>
    <row r="127" spans="1:27" s="1" customFormat="1" x14ac:dyDescent="0.45">
      <c r="A127" s="43"/>
      <c r="B127" s="205"/>
      <c r="C127"/>
      <c r="D127" s="72"/>
      <c r="E127" s="72"/>
      <c r="F127" s="72"/>
      <c r="G127" s="72"/>
      <c r="H127" s="17"/>
      <c r="I127" s="41" t="str" cm="1">
        <f t="array" ref="I127">IFERROR(_xlfn.IFS(H127="Hard (Cash)","N/A",H127="Soft (In-Kind)", "Enter Source"),"Select Type")</f>
        <v>Select Type</v>
      </c>
      <c r="J127" s="124"/>
      <c r="K127" s="41" t="str">
        <f>IFERROR(VLOOKUP($J127,'Project Reference'!$S$2:$T$41,2),"Enter Project Number")</f>
        <v>Enter Project Number</v>
      </c>
      <c r="L127" s="41"/>
      <c r="M127" s="41"/>
      <c r="N127" s="15">
        <f t="shared" si="1"/>
        <v>0</v>
      </c>
      <c r="O127" s="19"/>
      <c r="P127" s="42" t="str">
        <f>IFERROR(VLOOKUP($J127,'Project Reference'!$B$2:$C$41,2)," ")</f>
        <v xml:space="preserve"> </v>
      </c>
      <c r="Q127" s="42" t="str">
        <f>IFERROR(VLOOKUP($J127,'Project Reference'!$B$2:$D$41,3)," ")</f>
        <v xml:space="preserve"> </v>
      </c>
      <c r="R127" s="42" t="str">
        <f>IFERROR(VLOOKUP($J127,'Project Reference'!$B$2:$E$41,4)," ")</f>
        <v xml:space="preserve"> </v>
      </c>
      <c r="S127" s="42" t="str">
        <f>IFERROR(VLOOKUP($J127,'Project Reference'!$B$2:$F$41,5,FALSE)," ")</f>
        <v xml:space="preserve"> </v>
      </c>
      <c r="T127" s="42" t="str">
        <f>IFERROR(VLOOKUP($J127,'Project Reference'!$B$2:$G$41,6,FALSE)," ")</f>
        <v xml:space="preserve"> </v>
      </c>
      <c r="U127" s="42" t="str">
        <f>IFERROR(VLOOKUP($J127,'Project Reference'!$B$2:$H$41,7,FALSE)," ")</f>
        <v xml:space="preserve"> </v>
      </c>
      <c r="V127" s="42" t="str">
        <f>IFERROR(VLOOKUP($J127,'Project Reference'!$B$2:$I$41,8,FALSE)," ")</f>
        <v xml:space="preserve"> </v>
      </c>
      <c r="W127" s="42" t="str">
        <f>IFERROR(VLOOKUP($J127,'Project Reference'!$B$2:$J$41,9,FALSE)," ")</f>
        <v xml:space="preserve"> </v>
      </c>
      <c r="X127" s="42" t="str">
        <f>IFERROR(VLOOKUP($J127,'Project Reference'!$B$2:$K$41,10)," ")</f>
        <v xml:space="preserve"> </v>
      </c>
      <c r="Y127" s="42" t="str">
        <f>IFERROR(VLOOKUP($J127,'Project Reference'!$B$2:$L$41,11)," ")</f>
        <v xml:space="preserve"> </v>
      </c>
      <c r="Z127" s="42" t="str">
        <f>IFERROR(VLOOKUP($J127,'Project Reference'!$B$2:$M$41,12)," ")</f>
        <v xml:space="preserve"> </v>
      </c>
      <c r="AA127" s="42" t="str">
        <f>IFERROR(VLOOKUP($J127,'Project Reference'!$B$2:$N$41,13)," ")</f>
        <v xml:space="preserve"> </v>
      </c>
    </row>
    <row r="128" spans="1:27" s="1" customFormat="1" x14ac:dyDescent="0.45">
      <c r="A128" s="43"/>
      <c r="B128" s="205"/>
      <c r="C128"/>
      <c r="D128" s="72"/>
      <c r="E128" s="72"/>
      <c r="F128" s="72"/>
      <c r="G128" s="72"/>
      <c r="H128" s="17"/>
      <c r="I128" s="41" t="str" cm="1">
        <f t="array" ref="I128">IFERROR(_xlfn.IFS(H128="Hard (Cash)","N/A",H128="Soft (In-Kind)", "Enter Source"),"Select Type")</f>
        <v>Select Type</v>
      </c>
      <c r="J128" s="124"/>
      <c r="K128" s="41" t="str">
        <f>IFERROR(VLOOKUP($J128,'Project Reference'!$S$2:$T$41,2),"Enter Project Number")</f>
        <v>Enter Project Number</v>
      </c>
      <c r="L128" s="41"/>
      <c r="M128" s="41"/>
      <c r="N128" s="15">
        <f t="shared" si="1"/>
        <v>0</v>
      </c>
      <c r="O128" s="19"/>
      <c r="P128" s="42" t="str">
        <f>IFERROR(VLOOKUP($J128,'Project Reference'!$B$2:$C$41,2)," ")</f>
        <v xml:space="preserve"> </v>
      </c>
      <c r="Q128" s="42" t="str">
        <f>IFERROR(VLOOKUP($J128,'Project Reference'!$B$2:$D$41,3)," ")</f>
        <v xml:space="preserve"> </v>
      </c>
      <c r="R128" s="42" t="str">
        <f>IFERROR(VLOOKUP($J128,'Project Reference'!$B$2:$E$41,4)," ")</f>
        <v xml:space="preserve"> </v>
      </c>
      <c r="S128" s="42" t="str">
        <f>IFERROR(VLOOKUP($J128,'Project Reference'!$B$2:$F$41,5,FALSE)," ")</f>
        <v xml:space="preserve"> </v>
      </c>
      <c r="T128" s="42" t="str">
        <f>IFERROR(VLOOKUP($J128,'Project Reference'!$B$2:$G$41,6,FALSE)," ")</f>
        <v xml:space="preserve"> </v>
      </c>
      <c r="U128" s="42" t="str">
        <f>IFERROR(VLOOKUP($J128,'Project Reference'!$B$2:$H$41,7,FALSE)," ")</f>
        <v xml:space="preserve"> </v>
      </c>
      <c r="V128" s="42" t="str">
        <f>IFERROR(VLOOKUP($J128,'Project Reference'!$B$2:$I$41,8,FALSE)," ")</f>
        <v xml:space="preserve"> </v>
      </c>
      <c r="W128" s="42" t="str">
        <f>IFERROR(VLOOKUP($J128,'Project Reference'!$B$2:$J$41,9,FALSE)," ")</f>
        <v xml:space="preserve"> </v>
      </c>
      <c r="X128" s="42" t="str">
        <f>IFERROR(VLOOKUP($J128,'Project Reference'!$B$2:$K$41,10)," ")</f>
        <v xml:space="preserve"> </v>
      </c>
      <c r="Y128" s="42" t="str">
        <f>IFERROR(VLOOKUP($J128,'Project Reference'!$B$2:$L$41,11)," ")</f>
        <v xml:space="preserve"> </v>
      </c>
      <c r="Z128" s="42" t="str">
        <f>IFERROR(VLOOKUP($J128,'Project Reference'!$B$2:$M$41,12)," ")</f>
        <v xml:space="preserve"> </v>
      </c>
      <c r="AA128" s="42" t="str">
        <f>IFERROR(VLOOKUP($J128,'Project Reference'!$B$2:$N$41,13)," ")</f>
        <v xml:space="preserve"> </v>
      </c>
    </row>
    <row r="129" spans="1:27" s="1" customFormat="1" x14ac:dyDescent="0.45">
      <c r="A129" s="43"/>
      <c r="B129" s="205"/>
      <c r="C129"/>
      <c r="D129" s="72"/>
      <c r="E129" s="72"/>
      <c r="F129" s="72"/>
      <c r="G129" s="72"/>
      <c r="H129" s="17"/>
      <c r="I129" s="41" t="str" cm="1">
        <f t="array" ref="I129">IFERROR(_xlfn.IFS(H129="Hard (Cash)","N/A",H129="Soft (In-Kind)", "Enter Source"),"Select Type")</f>
        <v>Select Type</v>
      </c>
      <c r="J129" s="124"/>
      <c r="K129" s="41" t="str">
        <f>IFERROR(VLOOKUP($J129,'Project Reference'!$S$2:$T$41,2),"Enter Project Number")</f>
        <v>Enter Project Number</v>
      </c>
      <c r="L129" s="41"/>
      <c r="M129" s="41"/>
      <c r="N129" s="15">
        <f t="shared" si="1"/>
        <v>0</v>
      </c>
      <c r="O129" s="19"/>
      <c r="P129" s="42" t="str">
        <f>IFERROR(VLOOKUP($J129,'Project Reference'!$B$2:$C$41,2)," ")</f>
        <v xml:space="preserve"> </v>
      </c>
      <c r="Q129" s="42" t="str">
        <f>IFERROR(VLOOKUP($J129,'Project Reference'!$B$2:$D$41,3)," ")</f>
        <v xml:space="preserve"> </v>
      </c>
      <c r="R129" s="42" t="str">
        <f>IFERROR(VLOOKUP($J129,'Project Reference'!$B$2:$E$41,4)," ")</f>
        <v xml:space="preserve"> </v>
      </c>
      <c r="S129" s="42" t="str">
        <f>IFERROR(VLOOKUP($J129,'Project Reference'!$B$2:$F$41,5,FALSE)," ")</f>
        <v xml:space="preserve"> </v>
      </c>
      <c r="T129" s="42" t="str">
        <f>IFERROR(VLOOKUP($J129,'Project Reference'!$B$2:$G$41,6,FALSE)," ")</f>
        <v xml:space="preserve"> </v>
      </c>
      <c r="U129" s="42" t="str">
        <f>IFERROR(VLOOKUP($J129,'Project Reference'!$B$2:$H$41,7,FALSE)," ")</f>
        <v xml:space="preserve"> </v>
      </c>
      <c r="V129" s="42" t="str">
        <f>IFERROR(VLOOKUP($J129,'Project Reference'!$B$2:$I$41,8,FALSE)," ")</f>
        <v xml:space="preserve"> </v>
      </c>
      <c r="W129" s="42" t="str">
        <f>IFERROR(VLOOKUP($J129,'Project Reference'!$B$2:$J$41,9,FALSE)," ")</f>
        <v xml:space="preserve"> </v>
      </c>
      <c r="X129" s="42" t="str">
        <f>IFERROR(VLOOKUP($J129,'Project Reference'!$B$2:$K$41,10)," ")</f>
        <v xml:space="preserve"> </v>
      </c>
      <c r="Y129" s="42" t="str">
        <f>IFERROR(VLOOKUP($J129,'Project Reference'!$B$2:$L$41,11)," ")</f>
        <v xml:space="preserve"> </v>
      </c>
      <c r="Z129" s="42" t="str">
        <f>IFERROR(VLOOKUP($J129,'Project Reference'!$B$2:$M$41,12)," ")</f>
        <v xml:space="preserve"> </v>
      </c>
      <c r="AA129" s="42" t="str">
        <f>IFERROR(VLOOKUP($J129,'Project Reference'!$B$2:$N$41,13)," ")</f>
        <v xml:space="preserve"> </v>
      </c>
    </row>
    <row r="130" spans="1:27" s="1" customFormat="1" x14ac:dyDescent="0.45">
      <c r="A130" s="43"/>
      <c r="B130" s="205"/>
      <c r="C130"/>
      <c r="D130" s="72"/>
      <c r="E130" s="72"/>
      <c r="F130" s="72"/>
      <c r="G130" s="72"/>
      <c r="H130" s="17"/>
      <c r="I130" s="41" t="str" cm="1">
        <f t="array" ref="I130">IFERROR(_xlfn.IFS(H130="Hard (Cash)","N/A",H130="Soft (In-Kind)", "Enter Source"),"Select Type")</f>
        <v>Select Type</v>
      </c>
      <c r="J130" s="124"/>
      <c r="K130" s="41" t="str">
        <f>IFERROR(VLOOKUP($J130,'Project Reference'!$S$2:$T$41,2),"Enter Project Number")</f>
        <v>Enter Project Number</v>
      </c>
      <c r="L130" s="41"/>
      <c r="M130" s="41"/>
      <c r="N130" s="15">
        <f t="shared" si="1"/>
        <v>0</v>
      </c>
      <c r="O130" s="19"/>
      <c r="P130" s="42" t="str">
        <f>IFERROR(VLOOKUP($J130,'Project Reference'!$B$2:$C$41,2)," ")</f>
        <v xml:space="preserve"> </v>
      </c>
      <c r="Q130" s="42" t="str">
        <f>IFERROR(VLOOKUP($J130,'Project Reference'!$B$2:$D$41,3)," ")</f>
        <v xml:space="preserve"> </v>
      </c>
      <c r="R130" s="42" t="str">
        <f>IFERROR(VLOOKUP($J130,'Project Reference'!$B$2:$E$41,4)," ")</f>
        <v xml:space="preserve"> </v>
      </c>
      <c r="S130" s="42" t="str">
        <f>IFERROR(VLOOKUP($J130,'Project Reference'!$B$2:$F$41,5,FALSE)," ")</f>
        <v xml:space="preserve"> </v>
      </c>
      <c r="T130" s="42" t="str">
        <f>IFERROR(VLOOKUP($J130,'Project Reference'!$B$2:$G$41,6,FALSE)," ")</f>
        <v xml:space="preserve"> </v>
      </c>
      <c r="U130" s="42" t="str">
        <f>IFERROR(VLOOKUP($J130,'Project Reference'!$B$2:$H$41,7,FALSE)," ")</f>
        <v xml:space="preserve"> </v>
      </c>
      <c r="V130" s="42" t="str">
        <f>IFERROR(VLOOKUP($J130,'Project Reference'!$B$2:$I$41,8,FALSE)," ")</f>
        <v xml:space="preserve"> </v>
      </c>
      <c r="W130" s="42" t="str">
        <f>IFERROR(VLOOKUP($J130,'Project Reference'!$B$2:$J$41,9,FALSE)," ")</f>
        <v xml:space="preserve"> </v>
      </c>
      <c r="X130" s="42" t="str">
        <f>IFERROR(VLOOKUP($J130,'Project Reference'!$B$2:$K$41,10)," ")</f>
        <v xml:space="preserve"> </v>
      </c>
      <c r="Y130" s="42" t="str">
        <f>IFERROR(VLOOKUP($J130,'Project Reference'!$B$2:$L$41,11)," ")</f>
        <v xml:space="preserve"> </v>
      </c>
      <c r="Z130" s="42" t="str">
        <f>IFERROR(VLOOKUP($J130,'Project Reference'!$B$2:$M$41,12)," ")</f>
        <v xml:space="preserve"> </v>
      </c>
      <c r="AA130" s="42" t="str">
        <f>IFERROR(VLOOKUP($J130,'Project Reference'!$B$2:$N$41,13)," ")</f>
        <v xml:space="preserve"> </v>
      </c>
    </row>
    <row r="131" spans="1:27" s="1" customFormat="1" x14ac:dyDescent="0.45">
      <c r="A131" s="43"/>
      <c r="B131" s="205"/>
      <c r="C131"/>
      <c r="D131" s="72"/>
      <c r="E131" s="72"/>
      <c r="F131" s="72"/>
      <c r="G131" s="72"/>
      <c r="H131" s="17"/>
      <c r="I131" s="41" t="str" cm="1">
        <f t="array" ref="I131">IFERROR(_xlfn.IFS(H131="Hard (Cash)","N/A",H131="Soft (In-Kind)", "Enter Source"),"Select Type")</f>
        <v>Select Type</v>
      </c>
      <c r="J131" s="124"/>
      <c r="K131" s="41" t="str">
        <f>IFERROR(VLOOKUP($J131,'Project Reference'!$S$2:$T$41,2),"Enter Project Number")</f>
        <v>Enter Project Number</v>
      </c>
      <c r="L131" s="41"/>
      <c r="M131" s="41"/>
      <c r="N131" s="15">
        <f t="shared" si="1"/>
        <v>0</v>
      </c>
      <c r="O131" s="19"/>
      <c r="P131" s="42" t="str">
        <f>IFERROR(VLOOKUP($J131,'Project Reference'!$B$2:$C$41,2)," ")</f>
        <v xml:space="preserve"> </v>
      </c>
      <c r="Q131" s="42" t="str">
        <f>IFERROR(VLOOKUP($J131,'Project Reference'!$B$2:$D$41,3)," ")</f>
        <v xml:space="preserve"> </v>
      </c>
      <c r="R131" s="42" t="str">
        <f>IFERROR(VLOOKUP($J131,'Project Reference'!$B$2:$E$41,4)," ")</f>
        <v xml:space="preserve"> </v>
      </c>
      <c r="S131" s="42" t="str">
        <f>IFERROR(VLOOKUP($J131,'Project Reference'!$B$2:$F$41,5,FALSE)," ")</f>
        <v xml:space="preserve"> </v>
      </c>
      <c r="T131" s="42" t="str">
        <f>IFERROR(VLOOKUP($J131,'Project Reference'!$B$2:$G$41,6,FALSE)," ")</f>
        <v xml:space="preserve"> </v>
      </c>
      <c r="U131" s="42" t="str">
        <f>IFERROR(VLOOKUP($J131,'Project Reference'!$B$2:$H$41,7,FALSE)," ")</f>
        <v xml:space="preserve"> </v>
      </c>
      <c r="V131" s="42" t="str">
        <f>IFERROR(VLOOKUP($J131,'Project Reference'!$B$2:$I$41,8,FALSE)," ")</f>
        <v xml:space="preserve"> </v>
      </c>
      <c r="W131" s="42" t="str">
        <f>IFERROR(VLOOKUP($J131,'Project Reference'!$B$2:$J$41,9,FALSE)," ")</f>
        <v xml:space="preserve"> </v>
      </c>
      <c r="X131" s="42" t="str">
        <f>IFERROR(VLOOKUP($J131,'Project Reference'!$B$2:$K$41,10)," ")</f>
        <v xml:space="preserve"> </v>
      </c>
      <c r="Y131" s="42" t="str">
        <f>IFERROR(VLOOKUP($J131,'Project Reference'!$B$2:$L$41,11)," ")</f>
        <v xml:space="preserve"> </v>
      </c>
      <c r="Z131" s="42" t="str">
        <f>IFERROR(VLOOKUP($J131,'Project Reference'!$B$2:$M$41,12)," ")</f>
        <v xml:space="preserve"> </v>
      </c>
      <c r="AA131" s="42" t="str">
        <f>IFERROR(VLOOKUP($J131,'Project Reference'!$B$2:$N$41,13)," ")</f>
        <v xml:space="preserve"> </v>
      </c>
    </row>
    <row r="132" spans="1:27" s="1" customFormat="1" x14ac:dyDescent="0.45">
      <c r="A132" s="43"/>
      <c r="B132" s="205"/>
      <c r="C132"/>
      <c r="D132" s="72"/>
      <c r="E132" s="72"/>
      <c r="F132" s="72"/>
      <c r="G132" s="72"/>
      <c r="H132" s="17"/>
      <c r="I132" s="41" t="str" cm="1">
        <f t="array" ref="I132">IFERROR(_xlfn.IFS(H132="Hard (Cash)","N/A",H132="Soft (In-Kind)", "Enter Source"),"Select Type")</f>
        <v>Select Type</v>
      </c>
      <c r="J132" s="124"/>
      <c r="K132" s="41" t="str">
        <f>IFERROR(VLOOKUP($J132,'Project Reference'!$S$2:$T$41,2),"Enter Project Number")</f>
        <v>Enter Project Number</v>
      </c>
      <c r="L132" s="41"/>
      <c r="M132" s="41"/>
      <c r="N132" s="15">
        <f t="shared" si="1"/>
        <v>0</v>
      </c>
      <c r="O132" s="19"/>
      <c r="P132" s="42" t="str">
        <f>IFERROR(VLOOKUP($J132,'Project Reference'!$B$2:$C$41,2)," ")</f>
        <v xml:space="preserve"> </v>
      </c>
      <c r="Q132" s="42" t="str">
        <f>IFERROR(VLOOKUP($J132,'Project Reference'!$B$2:$D$41,3)," ")</f>
        <v xml:space="preserve"> </v>
      </c>
      <c r="R132" s="42" t="str">
        <f>IFERROR(VLOOKUP($J132,'Project Reference'!$B$2:$E$41,4)," ")</f>
        <v xml:space="preserve"> </v>
      </c>
      <c r="S132" s="42" t="str">
        <f>IFERROR(VLOOKUP($J132,'Project Reference'!$B$2:$F$41,5,FALSE)," ")</f>
        <v xml:space="preserve"> </v>
      </c>
      <c r="T132" s="42" t="str">
        <f>IFERROR(VLOOKUP($J132,'Project Reference'!$B$2:$G$41,6,FALSE)," ")</f>
        <v xml:space="preserve"> </v>
      </c>
      <c r="U132" s="42" t="str">
        <f>IFERROR(VLOOKUP($J132,'Project Reference'!$B$2:$H$41,7,FALSE)," ")</f>
        <v xml:space="preserve"> </v>
      </c>
      <c r="V132" s="42" t="str">
        <f>IFERROR(VLOOKUP($J132,'Project Reference'!$B$2:$I$41,8,FALSE)," ")</f>
        <v xml:space="preserve"> </v>
      </c>
      <c r="W132" s="42" t="str">
        <f>IFERROR(VLOOKUP($J132,'Project Reference'!$B$2:$J$41,9,FALSE)," ")</f>
        <v xml:space="preserve"> </v>
      </c>
      <c r="X132" s="42" t="str">
        <f>IFERROR(VLOOKUP($J132,'Project Reference'!$B$2:$K$41,10)," ")</f>
        <v xml:space="preserve"> </v>
      </c>
      <c r="Y132" s="42" t="str">
        <f>IFERROR(VLOOKUP($J132,'Project Reference'!$B$2:$L$41,11)," ")</f>
        <v xml:space="preserve"> </v>
      </c>
      <c r="Z132" s="42" t="str">
        <f>IFERROR(VLOOKUP($J132,'Project Reference'!$B$2:$M$41,12)," ")</f>
        <v xml:space="preserve"> </v>
      </c>
      <c r="AA132" s="42" t="str">
        <f>IFERROR(VLOOKUP($J132,'Project Reference'!$B$2:$N$41,13)," ")</f>
        <v xml:space="preserve"> </v>
      </c>
    </row>
    <row r="133" spans="1:27" s="1" customFormat="1" x14ac:dyDescent="0.45">
      <c r="A133" s="43"/>
      <c r="B133" s="205"/>
      <c r="C133"/>
      <c r="D133" s="72"/>
      <c r="E133" s="72"/>
      <c r="F133" s="72"/>
      <c r="G133" s="72"/>
      <c r="H133" s="17"/>
      <c r="I133" s="41" t="str" cm="1">
        <f t="array" ref="I133">IFERROR(_xlfn.IFS(H133="Hard (Cash)","N/A",H133="Soft (In-Kind)", "Enter Source"),"Select Type")</f>
        <v>Select Type</v>
      </c>
      <c r="J133" s="124"/>
      <c r="K133" s="41" t="str">
        <f>IFERROR(VLOOKUP($J133,'Project Reference'!$S$2:$T$41,2),"Enter Project Number")</f>
        <v>Enter Project Number</v>
      </c>
      <c r="L133" s="41"/>
      <c r="M133" s="41"/>
      <c r="N133" s="15">
        <f t="shared" si="1"/>
        <v>0</v>
      </c>
      <c r="O133" s="19"/>
      <c r="P133" s="42" t="str">
        <f>IFERROR(VLOOKUP($J133,'Project Reference'!$B$2:$C$41,2)," ")</f>
        <v xml:space="preserve"> </v>
      </c>
      <c r="Q133" s="42" t="str">
        <f>IFERROR(VLOOKUP($J133,'Project Reference'!$B$2:$D$41,3)," ")</f>
        <v xml:space="preserve"> </v>
      </c>
      <c r="R133" s="42" t="str">
        <f>IFERROR(VLOOKUP($J133,'Project Reference'!$B$2:$E$41,4)," ")</f>
        <v xml:space="preserve"> </v>
      </c>
      <c r="S133" s="42" t="str">
        <f>IFERROR(VLOOKUP($J133,'Project Reference'!$B$2:$F$41,5,FALSE)," ")</f>
        <v xml:space="preserve"> </v>
      </c>
      <c r="T133" s="42" t="str">
        <f>IFERROR(VLOOKUP($J133,'Project Reference'!$B$2:$G$41,6,FALSE)," ")</f>
        <v xml:space="preserve"> </v>
      </c>
      <c r="U133" s="42" t="str">
        <f>IFERROR(VLOOKUP($J133,'Project Reference'!$B$2:$H$41,7,FALSE)," ")</f>
        <v xml:space="preserve"> </v>
      </c>
      <c r="V133" s="42" t="str">
        <f>IFERROR(VLOOKUP($J133,'Project Reference'!$B$2:$I$41,8,FALSE)," ")</f>
        <v xml:space="preserve"> </v>
      </c>
      <c r="W133" s="42" t="str">
        <f>IFERROR(VLOOKUP($J133,'Project Reference'!$B$2:$J$41,9,FALSE)," ")</f>
        <v xml:space="preserve"> </v>
      </c>
      <c r="X133" s="42" t="str">
        <f>IFERROR(VLOOKUP($J133,'Project Reference'!$B$2:$K$41,10)," ")</f>
        <v xml:space="preserve"> </v>
      </c>
      <c r="Y133" s="42" t="str">
        <f>IFERROR(VLOOKUP($J133,'Project Reference'!$B$2:$L$41,11)," ")</f>
        <v xml:space="preserve"> </v>
      </c>
      <c r="Z133" s="42" t="str">
        <f>IFERROR(VLOOKUP($J133,'Project Reference'!$B$2:$M$41,12)," ")</f>
        <v xml:space="preserve"> </v>
      </c>
      <c r="AA133" s="42" t="str">
        <f>IFERROR(VLOOKUP($J133,'Project Reference'!$B$2:$N$41,13)," ")</f>
        <v xml:space="preserve"> </v>
      </c>
    </row>
    <row r="134" spans="1:27" s="1" customFormat="1" x14ac:dyDescent="0.45">
      <c r="A134" s="43"/>
      <c r="B134" s="205"/>
      <c r="C134"/>
      <c r="D134" s="72"/>
      <c r="E134" s="72"/>
      <c r="F134" s="72"/>
      <c r="G134" s="72"/>
      <c r="H134" s="17"/>
      <c r="I134" s="41" t="str" cm="1">
        <f t="array" ref="I134">IFERROR(_xlfn.IFS(H134="Hard (Cash)","N/A",H134="Soft (In-Kind)", "Enter Source"),"Select Type")</f>
        <v>Select Type</v>
      </c>
      <c r="J134" s="124"/>
      <c r="K134" s="41" t="str">
        <f>IFERROR(VLOOKUP($J134,'Project Reference'!$S$2:$T$41,2),"Enter Project Number")</f>
        <v>Enter Project Number</v>
      </c>
      <c r="L134" s="41"/>
      <c r="M134" s="41"/>
      <c r="N134" s="15">
        <f t="shared" si="1"/>
        <v>0</v>
      </c>
      <c r="O134" s="19"/>
      <c r="P134" s="42" t="str">
        <f>IFERROR(VLOOKUP($J134,'Project Reference'!$B$2:$C$41,2)," ")</f>
        <v xml:space="preserve"> </v>
      </c>
      <c r="Q134" s="42" t="str">
        <f>IFERROR(VLOOKUP($J134,'Project Reference'!$B$2:$D$41,3)," ")</f>
        <v xml:space="preserve"> </v>
      </c>
      <c r="R134" s="42" t="str">
        <f>IFERROR(VLOOKUP($J134,'Project Reference'!$B$2:$E$41,4)," ")</f>
        <v xml:space="preserve"> </v>
      </c>
      <c r="S134" s="42" t="str">
        <f>IFERROR(VLOOKUP($J134,'Project Reference'!$B$2:$F$41,5,FALSE)," ")</f>
        <v xml:space="preserve"> </v>
      </c>
      <c r="T134" s="42" t="str">
        <f>IFERROR(VLOOKUP($J134,'Project Reference'!$B$2:$G$41,6,FALSE)," ")</f>
        <v xml:space="preserve"> </v>
      </c>
      <c r="U134" s="42" t="str">
        <f>IFERROR(VLOOKUP($J134,'Project Reference'!$B$2:$H$41,7,FALSE)," ")</f>
        <v xml:space="preserve"> </v>
      </c>
      <c r="V134" s="42" t="str">
        <f>IFERROR(VLOOKUP($J134,'Project Reference'!$B$2:$I$41,8,FALSE)," ")</f>
        <v xml:space="preserve"> </v>
      </c>
      <c r="W134" s="42" t="str">
        <f>IFERROR(VLOOKUP($J134,'Project Reference'!$B$2:$J$41,9,FALSE)," ")</f>
        <v xml:space="preserve"> </v>
      </c>
      <c r="X134" s="42" t="str">
        <f>IFERROR(VLOOKUP($J134,'Project Reference'!$B$2:$K$41,10)," ")</f>
        <v xml:space="preserve"> </v>
      </c>
      <c r="Y134" s="42" t="str">
        <f>IFERROR(VLOOKUP($J134,'Project Reference'!$B$2:$L$41,11)," ")</f>
        <v xml:space="preserve"> </v>
      </c>
      <c r="Z134" s="42" t="str">
        <f>IFERROR(VLOOKUP($J134,'Project Reference'!$B$2:$M$41,12)," ")</f>
        <v xml:space="preserve"> </v>
      </c>
      <c r="AA134" s="42" t="str">
        <f>IFERROR(VLOOKUP($J134,'Project Reference'!$B$2:$N$41,13)," ")</f>
        <v xml:space="preserve"> </v>
      </c>
    </row>
    <row r="135" spans="1:27" s="1" customFormat="1" x14ac:dyDescent="0.45">
      <c r="A135" s="43"/>
      <c r="B135" s="205"/>
      <c r="C135"/>
      <c r="D135" s="72"/>
      <c r="E135" s="72"/>
      <c r="F135" s="72"/>
      <c r="G135" s="72"/>
      <c r="H135" s="17"/>
      <c r="I135" s="41" t="str" cm="1">
        <f t="array" ref="I135">IFERROR(_xlfn.IFS(H135="Hard (Cash)","N/A",H135="Soft (In-Kind)", "Enter Source"),"Select Type")</f>
        <v>Select Type</v>
      </c>
      <c r="J135" s="124"/>
      <c r="K135" s="41" t="str">
        <f>IFERROR(VLOOKUP($J135,'Project Reference'!$S$2:$T$41,2),"Enter Project Number")</f>
        <v>Enter Project Number</v>
      </c>
      <c r="L135" s="41"/>
      <c r="M135" s="41"/>
      <c r="N135" s="15">
        <f t="shared" si="1"/>
        <v>0</v>
      </c>
      <c r="O135" s="19"/>
      <c r="P135" s="42" t="str">
        <f>IFERROR(VLOOKUP($J135,'Project Reference'!$B$2:$C$41,2)," ")</f>
        <v xml:space="preserve"> </v>
      </c>
      <c r="Q135" s="42" t="str">
        <f>IFERROR(VLOOKUP($J135,'Project Reference'!$B$2:$D$41,3)," ")</f>
        <v xml:space="preserve"> </v>
      </c>
      <c r="R135" s="42" t="str">
        <f>IFERROR(VLOOKUP($J135,'Project Reference'!$B$2:$E$41,4)," ")</f>
        <v xml:space="preserve"> </v>
      </c>
      <c r="S135" s="42" t="str">
        <f>IFERROR(VLOOKUP($J135,'Project Reference'!$B$2:$F$41,5,FALSE)," ")</f>
        <v xml:space="preserve"> </v>
      </c>
      <c r="T135" s="42" t="str">
        <f>IFERROR(VLOOKUP($J135,'Project Reference'!$B$2:$G$41,6,FALSE)," ")</f>
        <v xml:space="preserve"> </v>
      </c>
      <c r="U135" s="42" t="str">
        <f>IFERROR(VLOOKUP($J135,'Project Reference'!$B$2:$H$41,7,FALSE)," ")</f>
        <v xml:space="preserve"> </v>
      </c>
      <c r="V135" s="42" t="str">
        <f>IFERROR(VLOOKUP($J135,'Project Reference'!$B$2:$I$41,8,FALSE)," ")</f>
        <v xml:space="preserve"> </v>
      </c>
      <c r="W135" s="42" t="str">
        <f>IFERROR(VLOOKUP($J135,'Project Reference'!$B$2:$J$41,9,FALSE)," ")</f>
        <v xml:space="preserve"> </v>
      </c>
      <c r="X135" s="42" t="str">
        <f>IFERROR(VLOOKUP($J135,'Project Reference'!$B$2:$K$41,10)," ")</f>
        <v xml:space="preserve"> </v>
      </c>
      <c r="Y135" s="42" t="str">
        <f>IFERROR(VLOOKUP($J135,'Project Reference'!$B$2:$L$41,11)," ")</f>
        <v xml:space="preserve"> </v>
      </c>
      <c r="Z135" s="42" t="str">
        <f>IFERROR(VLOOKUP($J135,'Project Reference'!$B$2:$M$41,12)," ")</f>
        <v xml:space="preserve"> </v>
      </c>
      <c r="AA135" s="42" t="str">
        <f>IFERROR(VLOOKUP($J135,'Project Reference'!$B$2:$N$41,13)," ")</f>
        <v xml:space="preserve"> </v>
      </c>
    </row>
    <row r="136" spans="1:27" s="1" customFormat="1" x14ac:dyDescent="0.45">
      <c r="A136" s="43"/>
      <c r="B136" s="205"/>
      <c r="C136"/>
      <c r="D136" s="72"/>
      <c r="E136" s="72"/>
      <c r="F136" s="72"/>
      <c r="G136" s="72"/>
      <c r="H136" s="17"/>
      <c r="I136" s="41" t="str" cm="1">
        <f t="array" ref="I136">IFERROR(_xlfn.IFS(H136="Hard (Cash)","N/A",H136="Soft (In-Kind)", "Enter Source"),"Select Type")</f>
        <v>Select Type</v>
      </c>
      <c r="J136" s="124"/>
      <c r="K136" s="41" t="str">
        <f>IFERROR(VLOOKUP($J136,'Project Reference'!$S$2:$T$41,2),"Enter Project Number")</f>
        <v>Enter Project Number</v>
      </c>
      <c r="L136" s="41"/>
      <c r="M136" s="41"/>
      <c r="N136" s="15">
        <f t="shared" si="1"/>
        <v>0</v>
      </c>
      <c r="O136" s="19"/>
      <c r="P136" s="42" t="str">
        <f>IFERROR(VLOOKUP($J136,'Project Reference'!$B$2:$C$41,2)," ")</f>
        <v xml:space="preserve"> </v>
      </c>
      <c r="Q136" s="42" t="str">
        <f>IFERROR(VLOOKUP($J136,'Project Reference'!$B$2:$D$41,3)," ")</f>
        <v xml:space="preserve"> </v>
      </c>
      <c r="R136" s="42" t="str">
        <f>IFERROR(VLOOKUP($J136,'Project Reference'!$B$2:$E$41,4)," ")</f>
        <v xml:space="preserve"> </v>
      </c>
      <c r="S136" s="42" t="str">
        <f>IFERROR(VLOOKUP($J136,'Project Reference'!$B$2:$F$41,5,FALSE)," ")</f>
        <v xml:space="preserve"> </v>
      </c>
      <c r="T136" s="42" t="str">
        <f>IFERROR(VLOOKUP($J136,'Project Reference'!$B$2:$G$41,6,FALSE)," ")</f>
        <v xml:space="preserve"> </v>
      </c>
      <c r="U136" s="42" t="str">
        <f>IFERROR(VLOOKUP($J136,'Project Reference'!$B$2:$H$41,7,FALSE)," ")</f>
        <v xml:space="preserve"> </v>
      </c>
      <c r="V136" s="42" t="str">
        <f>IFERROR(VLOOKUP($J136,'Project Reference'!$B$2:$I$41,8,FALSE)," ")</f>
        <v xml:space="preserve"> </v>
      </c>
      <c r="W136" s="42" t="str">
        <f>IFERROR(VLOOKUP($J136,'Project Reference'!$B$2:$J$41,9,FALSE)," ")</f>
        <v xml:space="preserve"> </v>
      </c>
      <c r="X136" s="42" t="str">
        <f>IFERROR(VLOOKUP($J136,'Project Reference'!$B$2:$K$41,10)," ")</f>
        <v xml:space="preserve"> </v>
      </c>
      <c r="Y136" s="42" t="str">
        <f>IFERROR(VLOOKUP($J136,'Project Reference'!$B$2:$L$41,11)," ")</f>
        <v xml:space="preserve"> </v>
      </c>
      <c r="Z136" s="42" t="str">
        <f>IFERROR(VLOOKUP($J136,'Project Reference'!$B$2:$M$41,12)," ")</f>
        <v xml:space="preserve"> </v>
      </c>
      <c r="AA136" s="42" t="str">
        <f>IFERROR(VLOOKUP($J136,'Project Reference'!$B$2:$N$41,13)," ")</f>
        <v xml:space="preserve"> </v>
      </c>
    </row>
    <row r="137" spans="1:27" s="1" customFormat="1" x14ac:dyDescent="0.45">
      <c r="A137" s="43"/>
      <c r="B137" s="205"/>
      <c r="C137"/>
      <c r="D137" s="72"/>
      <c r="E137" s="72"/>
      <c r="F137" s="72"/>
      <c r="G137" s="72"/>
      <c r="H137" s="17"/>
      <c r="I137" s="41" t="str" cm="1">
        <f t="array" ref="I137">IFERROR(_xlfn.IFS(H137="Hard (Cash)","N/A",H137="Soft (In-Kind)", "Enter Source"),"Select Type")</f>
        <v>Select Type</v>
      </c>
      <c r="J137" s="124"/>
      <c r="K137" s="41" t="str">
        <f>IFERROR(VLOOKUP($J137,'Project Reference'!$S$2:$T$41,2),"Enter Project Number")</f>
        <v>Enter Project Number</v>
      </c>
      <c r="L137" s="41"/>
      <c r="M137" s="41"/>
      <c r="N137" s="15">
        <f t="shared" si="1"/>
        <v>0</v>
      </c>
      <c r="O137" s="19"/>
      <c r="P137" s="42" t="str">
        <f>IFERROR(VLOOKUP($J137,'Project Reference'!$B$2:$C$41,2)," ")</f>
        <v xml:space="preserve"> </v>
      </c>
      <c r="Q137" s="42" t="str">
        <f>IFERROR(VLOOKUP($J137,'Project Reference'!$B$2:$D$41,3)," ")</f>
        <v xml:space="preserve"> </v>
      </c>
      <c r="R137" s="42" t="str">
        <f>IFERROR(VLOOKUP($J137,'Project Reference'!$B$2:$E$41,4)," ")</f>
        <v xml:space="preserve"> </v>
      </c>
      <c r="S137" s="42" t="str">
        <f>IFERROR(VLOOKUP($J137,'Project Reference'!$B$2:$F$41,5,FALSE)," ")</f>
        <v xml:space="preserve"> </v>
      </c>
      <c r="T137" s="42" t="str">
        <f>IFERROR(VLOOKUP($J137,'Project Reference'!$B$2:$G$41,6,FALSE)," ")</f>
        <v xml:space="preserve"> </v>
      </c>
      <c r="U137" s="42" t="str">
        <f>IFERROR(VLOOKUP($J137,'Project Reference'!$B$2:$H$41,7,FALSE)," ")</f>
        <v xml:space="preserve"> </v>
      </c>
      <c r="V137" s="42" t="str">
        <f>IFERROR(VLOOKUP($J137,'Project Reference'!$B$2:$I$41,8,FALSE)," ")</f>
        <v xml:space="preserve"> </v>
      </c>
      <c r="W137" s="42" t="str">
        <f>IFERROR(VLOOKUP($J137,'Project Reference'!$B$2:$J$41,9,FALSE)," ")</f>
        <v xml:space="preserve"> </v>
      </c>
      <c r="X137" s="42" t="str">
        <f>IFERROR(VLOOKUP($J137,'Project Reference'!$B$2:$K$41,10)," ")</f>
        <v xml:space="preserve"> </v>
      </c>
      <c r="Y137" s="42" t="str">
        <f>IFERROR(VLOOKUP($J137,'Project Reference'!$B$2:$L$41,11)," ")</f>
        <v xml:space="preserve"> </v>
      </c>
      <c r="Z137" s="42" t="str">
        <f>IFERROR(VLOOKUP($J137,'Project Reference'!$B$2:$M$41,12)," ")</f>
        <v xml:space="preserve"> </v>
      </c>
      <c r="AA137" s="42" t="str">
        <f>IFERROR(VLOOKUP($J137,'Project Reference'!$B$2:$N$41,13)," ")</f>
        <v xml:space="preserve"> </v>
      </c>
    </row>
    <row r="138" spans="1:27" s="1" customFormat="1" x14ac:dyDescent="0.45">
      <c r="A138" s="43"/>
      <c r="B138" s="205"/>
      <c r="C138"/>
      <c r="D138" s="72"/>
      <c r="E138" s="72"/>
      <c r="F138" s="72"/>
      <c r="G138" s="72"/>
      <c r="H138" s="17"/>
      <c r="I138" s="41" t="str" cm="1">
        <f t="array" ref="I138">IFERROR(_xlfn.IFS(H138="Hard (Cash)","N/A",H138="Soft (In-Kind)", "Enter Source"),"Select Type")</f>
        <v>Select Type</v>
      </c>
      <c r="J138" s="124"/>
      <c r="K138" s="41" t="str">
        <f>IFERROR(VLOOKUP($J138,'Project Reference'!$S$2:$T$41,2),"Enter Project Number")</f>
        <v>Enter Project Number</v>
      </c>
      <c r="L138" s="41"/>
      <c r="M138" s="41"/>
      <c r="N138" s="15">
        <f t="shared" si="1"/>
        <v>0</v>
      </c>
      <c r="O138" s="19"/>
      <c r="P138" s="42" t="str">
        <f>IFERROR(VLOOKUP($J138,'Project Reference'!$B$2:$C$41,2)," ")</f>
        <v xml:space="preserve"> </v>
      </c>
      <c r="Q138" s="42" t="str">
        <f>IFERROR(VLOOKUP($J138,'Project Reference'!$B$2:$D$41,3)," ")</f>
        <v xml:space="preserve"> </v>
      </c>
      <c r="R138" s="42" t="str">
        <f>IFERROR(VLOOKUP($J138,'Project Reference'!$B$2:$E$41,4)," ")</f>
        <v xml:space="preserve"> </v>
      </c>
      <c r="S138" s="42" t="str">
        <f>IFERROR(VLOOKUP($J138,'Project Reference'!$B$2:$F$41,5,FALSE)," ")</f>
        <v xml:space="preserve"> </v>
      </c>
      <c r="T138" s="42" t="str">
        <f>IFERROR(VLOOKUP($J138,'Project Reference'!$B$2:$G$41,6,FALSE)," ")</f>
        <v xml:space="preserve"> </v>
      </c>
      <c r="U138" s="42" t="str">
        <f>IFERROR(VLOOKUP($J138,'Project Reference'!$B$2:$H$41,7,FALSE)," ")</f>
        <v xml:space="preserve"> </v>
      </c>
      <c r="V138" s="42" t="str">
        <f>IFERROR(VLOOKUP($J138,'Project Reference'!$B$2:$I$41,8,FALSE)," ")</f>
        <v xml:space="preserve"> </v>
      </c>
      <c r="W138" s="42" t="str">
        <f>IFERROR(VLOOKUP($J138,'Project Reference'!$B$2:$J$41,9,FALSE)," ")</f>
        <v xml:space="preserve"> </v>
      </c>
      <c r="X138" s="42" t="str">
        <f>IFERROR(VLOOKUP($J138,'Project Reference'!$B$2:$K$41,10)," ")</f>
        <v xml:space="preserve"> </v>
      </c>
      <c r="Y138" s="42" t="str">
        <f>IFERROR(VLOOKUP($J138,'Project Reference'!$B$2:$L$41,11)," ")</f>
        <v xml:space="preserve"> </v>
      </c>
      <c r="Z138" s="42" t="str">
        <f>IFERROR(VLOOKUP($J138,'Project Reference'!$B$2:$M$41,12)," ")</f>
        <v xml:space="preserve"> </v>
      </c>
      <c r="AA138" s="42" t="str">
        <f>IFERROR(VLOOKUP($J138,'Project Reference'!$B$2:$N$41,13)," ")</f>
        <v xml:space="preserve"> </v>
      </c>
    </row>
    <row r="139" spans="1:27" s="1" customFormat="1" x14ac:dyDescent="0.45">
      <c r="A139" s="43"/>
      <c r="B139" s="205"/>
      <c r="C139"/>
      <c r="D139" s="72"/>
      <c r="E139" s="72"/>
      <c r="F139" s="72"/>
      <c r="G139" s="72"/>
      <c r="H139" s="17"/>
      <c r="I139" s="41" t="str" cm="1">
        <f t="array" ref="I139">IFERROR(_xlfn.IFS(H139="Hard (Cash)","N/A",H139="Soft (In-Kind)", "Enter Source"),"Select Type")</f>
        <v>Select Type</v>
      </c>
      <c r="J139" s="124"/>
      <c r="K139" s="41" t="str">
        <f>IFERROR(VLOOKUP($J139,'Project Reference'!$S$2:$T$41,2),"Enter Project Number")</f>
        <v>Enter Project Number</v>
      </c>
      <c r="L139" s="41"/>
      <c r="M139" s="41"/>
      <c r="N139" s="15">
        <f t="shared" ref="N139:N202" si="2">SUM(D139:G139)</f>
        <v>0</v>
      </c>
      <c r="O139" s="19"/>
      <c r="P139" s="42" t="str">
        <f>IFERROR(VLOOKUP($J139,'Project Reference'!$B$2:$C$41,2)," ")</f>
        <v xml:space="preserve"> </v>
      </c>
      <c r="Q139" s="42" t="str">
        <f>IFERROR(VLOOKUP($J139,'Project Reference'!$B$2:$D$41,3)," ")</f>
        <v xml:space="preserve"> </v>
      </c>
      <c r="R139" s="42" t="str">
        <f>IFERROR(VLOOKUP($J139,'Project Reference'!$B$2:$E$41,4)," ")</f>
        <v xml:space="preserve"> </v>
      </c>
      <c r="S139" s="42" t="str">
        <f>IFERROR(VLOOKUP($J139,'Project Reference'!$B$2:$F$41,5,FALSE)," ")</f>
        <v xml:space="preserve"> </v>
      </c>
      <c r="T139" s="42" t="str">
        <f>IFERROR(VLOOKUP($J139,'Project Reference'!$B$2:$G$41,6,FALSE)," ")</f>
        <v xml:space="preserve"> </v>
      </c>
      <c r="U139" s="42" t="str">
        <f>IFERROR(VLOOKUP($J139,'Project Reference'!$B$2:$H$41,7,FALSE)," ")</f>
        <v xml:space="preserve"> </v>
      </c>
      <c r="V139" s="42" t="str">
        <f>IFERROR(VLOOKUP($J139,'Project Reference'!$B$2:$I$41,8,FALSE)," ")</f>
        <v xml:space="preserve"> </v>
      </c>
      <c r="W139" s="42" t="str">
        <f>IFERROR(VLOOKUP($J139,'Project Reference'!$B$2:$J$41,9,FALSE)," ")</f>
        <v xml:space="preserve"> </v>
      </c>
      <c r="X139" s="42" t="str">
        <f>IFERROR(VLOOKUP($J139,'Project Reference'!$B$2:$K$41,10)," ")</f>
        <v xml:space="preserve"> </v>
      </c>
      <c r="Y139" s="42" t="str">
        <f>IFERROR(VLOOKUP($J139,'Project Reference'!$B$2:$L$41,11)," ")</f>
        <v xml:space="preserve"> </v>
      </c>
      <c r="Z139" s="42" t="str">
        <f>IFERROR(VLOOKUP($J139,'Project Reference'!$B$2:$M$41,12)," ")</f>
        <v xml:space="preserve"> </v>
      </c>
      <c r="AA139" s="42" t="str">
        <f>IFERROR(VLOOKUP($J139,'Project Reference'!$B$2:$N$41,13)," ")</f>
        <v xml:space="preserve"> </v>
      </c>
    </row>
    <row r="140" spans="1:27" s="1" customFormat="1" x14ac:dyDescent="0.45">
      <c r="A140" s="43"/>
      <c r="B140" s="205"/>
      <c r="C140"/>
      <c r="D140" s="72"/>
      <c r="E140" s="72"/>
      <c r="F140" s="72"/>
      <c r="G140" s="72"/>
      <c r="H140" s="17"/>
      <c r="I140" s="41" t="str" cm="1">
        <f t="array" ref="I140">IFERROR(_xlfn.IFS(H140="Hard (Cash)","N/A",H140="Soft (In-Kind)", "Enter Source"),"Select Type")</f>
        <v>Select Type</v>
      </c>
      <c r="J140" s="124"/>
      <c r="K140" s="41" t="str">
        <f>IFERROR(VLOOKUP($J140,'Project Reference'!$S$2:$T$41,2),"Enter Project Number")</f>
        <v>Enter Project Number</v>
      </c>
      <c r="L140" s="41"/>
      <c r="M140" s="41"/>
      <c r="N140" s="15">
        <f t="shared" si="2"/>
        <v>0</v>
      </c>
      <c r="O140" s="19"/>
      <c r="P140" s="42" t="str">
        <f>IFERROR(VLOOKUP($J140,'Project Reference'!$B$2:$C$41,2)," ")</f>
        <v xml:space="preserve"> </v>
      </c>
      <c r="Q140" s="42" t="str">
        <f>IFERROR(VLOOKUP($J140,'Project Reference'!$B$2:$D$41,3)," ")</f>
        <v xml:space="preserve"> </v>
      </c>
      <c r="R140" s="42" t="str">
        <f>IFERROR(VLOOKUP($J140,'Project Reference'!$B$2:$E$41,4)," ")</f>
        <v xml:space="preserve"> </v>
      </c>
      <c r="S140" s="42" t="str">
        <f>IFERROR(VLOOKUP($J140,'Project Reference'!$B$2:$F$41,5,FALSE)," ")</f>
        <v xml:space="preserve"> </v>
      </c>
      <c r="T140" s="42" t="str">
        <f>IFERROR(VLOOKUP($J140,'Project Reference'!$B$2:$G$41,6,FALSE)," ")</f>
        <v xml:space="preserve"> </v>
      </c>
      <c r="U140" s="42" t="str">
        <f>IFERROR(VLOOKUP($J140,'Project Reference'!$B$2:$H$41,7,FALSE)," ")</f>
        <v xml:space="preserve"> </v>
      </c>
      <c r="V140" s="42" t="str">
        <f>IFERROR(VLOOKUP($J140,'Project Reference'!$B$2:$I$41,8,FALSE)," ")</f>
        <v xml:space="preserve"> </v>
      </c>
      <c r="W140" s="42" t="str">
        <f>IFERROR(VLOOKUP($J140,'Project Reference'!$B$2:$J$41,9,FALSE)," ")</f>
        <v xml:space="preserve"> </v>
      </c>
      <c r="X140" s="42" t="str">
        <f>IFERROR(VLOOKUP($J140,'Project Reference'!$B$2:$K$41,10)," ")</f>
        <v xml:space="preserve"> </v>
      </c>
      <c r="Y140" s="42" t="str">
        <f>IFERROR(VLOOKUP($J140,'Project Reference'!$B$2:$L$41,11)," ")</f>
        <v xml:space="preserve"> </v>
      </c>
      <c r="Z140" s="42" t="str">
        <f>IFERROR(VLOOKUP($J140,'Project Reference'!$B$2:$M$41,12)," ")</f>
        <v xml:space="preserve"> </v>
      </c>
      <c r="AA140" s="42" t="str">
        <f>IFERROR(VLOOKUP($J140,'Project Reference'!$B$2:$N$41,13)," ")</f>
        <v xml:space="preserve"> </v>
      </c>
    </row>
    <row r="141" spans="1:27" s="1" customFormat="1" x14ac:dyDescent="0.45">
      <c r="A141" s="43"/>
      <c r="B141" s="205"/>
      <c r="C141"/>
      <c r="D141" s="72"/>
      <c r="E141" s="72"/>
      <c r="F141" s="72"/>
      <c r="G141" s="72"/>
      <c r="H141" s="17"/>
      <c r="I141" s="41" t="str" cm="1">
        <f t="array" ref="I141">IFERROR(_xlfn.IFS(H141="Hard (Cash)","N/A",H141="Soft (In-Kind)", "Enter Source"),"Select Type")</f>
        <v>Select Type</v>
      </c>
      <c r="J141" s="124"/>
      <c r="K141" s="41" t="str">
        <f>IFERROR(VLOOKUP($J141,'Project Reference'!$S$2:$T$41,2),"Enter Project Number")</f>
        <v>Enter Project Number</v>
      </c>
      <c r="L141" s="41"/>
      <c r="M141" s="41"/>
      <c r="N141" s="15">
        <f t="shared" si="2"/>
        <v>0</v>
      </c>
      <c r="O141" s="19"/>
      <c r="P141" s="42" t="str">
        <f>IFERROR(VLOOKUP($J141,'Project Reference'!$B$2:$C$41,2)," ")</f>
        <v xml:space="preserve"> </v>
      </c>
      <c r="Q141" s="42" t="str">
        <f>IFERROR(VLOOKUP($J141,'Project Reference'!$B$2:$D$41,3)," ")</f>
        <v xml:space="preserve"> </v>
      </c>
      <c r="R141" s="42" t="str">
        <f>IFERROR(VLOOKUP($J141,'Project Reference'!$B$2:$E$41,4)," ")</f>
        <v xml:space="preserve"> </v>
      </c>
      <c r="S141" s="42" t="str">
        <f>IFERROR(VLOOKUP($J141,'Project Reference'!$B$2:$F$41,5,FALSE)," ")</f>
        <v xml:space="preserve"> </v>
      </c>
      <c r="T141" s="42" t="str">
        <f>IFERROR(VLOOKUP($J141,'Project Reference'!$B$2:$G$41,6,FALSE)," ")</f>
        <v xml:space="preserve"> </v>
      </c>
      <c r="U141" s="42" t="str">
        <f>IFERROR(VLOOKUP($J141,'Project Reference'!$B$2:$H$41,7,FALSE)," ")</f>
        <v xml:space="preserve"> </v>
      </c>
      <c r="V141" s="42" t="str">
        <f>IFERROR(VLOOKUP($J141,'Project Reference'!$B$2:$I$41,8,FALSE)," ")</f>
        <v xml:space="preserve"> </v>
      </c>
      <c r="W141" s="42" t="str">
        <f>IFERROR(VLOOKUP($J141,'Project Reference'!$B$2:$J$41,9,FALSE)," ")</f>
        <v xml:space="preserve"> </v>
      </c>
      <c r="X141" s="42" t="str">
        <f>IFERROR(VLOOKUP($J141,'Project Reference'!$B$2:$K$41,10)," ")</f>
        <v xml:space="preserve"> </v>
      </c>
      <c r="Y141" s="42" t="str">
        <f>IFERROR(VLOOKUP($J141,'Project Reference'!$B$2:$L$41,11)," ")</f>
        <v xml:space="preserve"> </v>
      </c>
      <c r="Z141" s="42" t="str">
        <f>IFERROR(VLOOKUP($J141,'Project Reference'!$B$2:$M$41,12)," ")</f>
        <v xml:space="preserve"> </v>
      </c>
      <c r="AA141" s="42" t="str">
        <f>IFERROR(VLOOKUP($J141,'Project Reference'!$B$2:$N$41,13)," ")</f>
        <v xml:space="preserve"> </v>
      </c>
    </row>
    <row r="142" spans="1:27" s="1" customFormat="1" x14ac:dyDescent="0.45">
      <c r="A142" s="43"/>
      <c r="B142" s="205"/>
      <c r="C142"/>
      <c r="D142" s="72"/>
      <c r="E142" s="72"/>
      <c r="F142" s="72"/>
      <c r="G142" s="72"/>
      <c r="H142" s="17"/>
      <c r="I142" s="41" t="str" cm="1">
        <f t="array" ref="I142">IFERROR(_xlfn.IFS(H142="Hard (Cash)","N/A",H142="Soft (In-Kind)", "Enter Source"),"Select Type")</f>
        <v>Select Type</v>
      </c>
      <c r="J142" s="124"/>
      <c r="K142" s="41" t="str">
        <f>IFERROR(VLOOKUP($J142,'Project Reference'!$S$2:$T$41,2),"Enter Project Number")</f>
        <v>Enter Project Number</v>
      </c>
      <c r="L142" s="41"/>
      <c r="M142" s="41"/>
      <c r="N142" s="15">
        <f t="shared" si="2"/>
        <v>0</v>
      </c>
      <c r="O142" s="19"/>
      <c r="P142" s="42" t="str">
        <f>IFERROR(VLOOKUP($J142,'Project Reference'!$B$2:$C$41,2)," ")</f>
        <v xml:space="preserve"> </v>
      </c>
      <c r="Q142" s="42" t="str">
        <f>IFERROR(VLOOKUP($J142,'Project Reference'!$B$2:$D$41,3)," ")</f>
        <v xml:space="preserve"> </v>
      </c>
      <c r="R142" s="42" t="str">
        <f>IFERROR(VLOOKUP($J142,'Project Reference'!$B$2:$E$41,4)," ")</f>
        <v xml:space="preserve"> </v>
      </c>
      <c r="S142" s="42" t="str">
        <f>IFERROR(VLOOKUP($J142,'Project Reference'!$B$2:$F$41,5,FALSE)," ")</f>
        <v xml:space="preserve"> </v>
      </c>
      <c r="T142" s="42" t="str">
        <f>IFERROR(VLOOKUP($J142,'Project Reference'!$B$2:$G$41,6,FALSE)," ")</f>
        <v xml:space="preserve"> </v>
      </c>
      <c r="U142" s="42" t="str">
        <f>IFERROR(VLOOKUP($J142,'Project Reference'!$B$2:$H$41,7,FALSE)," ")</f>
        <v xml:space="preserve"> </v>
      </c>
      <c r="V142" s="42" t="str">
        <f>IFERROR(VLOOKUP($J142,'Project Reference'!$B$2:$I$41,8,FALSE)," ")</f>
        <v xml:space="preserve"> </v>
      </c>
      <c r="W142" s="42" t="str">
        <f>IFERROR(VLOOKUP($J142,'Project Reference'!$B$2:$J$41,9,FALSE)," ")</f>
        <v xml:space="preserve"> </v>
      </c>
      <c r="X142" s="42" t="str">
        <f>IFERROR(VLOOKUP($J142,'Project Reference'!$B$2:$K$41,10)," ")</f>
        <v xml:space="preserve"> </v>
      </c>
      <c r="Y142" s="42" t="str">
        <f>IFERROR(VLOOKUP($J142,'Project Reference'!$B$2:$L$41,11)," ")</f>
        <v xml:space="preserve"> </v>
      </c>
      <c r="Z142" s="42" t="str">
        <f>IFERROR(VLOOKUP($J142,'Project Reference'!$B$2:$M$41,12)," ")</f>
        <v xml:space="preserve"> </v>
      </c>
      <c r="AA142" s="42" t="str">
        <f>IFERROR(VLOOKUP($J142,'Project Reference'!$B$2:$N$41,13)," ")</f>
        <v xml:space="preserve"> </v>
      </c>
    </row>
    <row r="143" spans="1:27" s="1" customFormat="1" x14ac:dyDescent="0.45">
      <c r="A143" s="43"/>
      <c r="B143" s="205"/>
      <c r="C143"/>
      <c r="D143" s="72"/>
      <c r="E143" s="72"/>
      <c r="F143" s="72"/>
      <c r="G143" s="72"/>
      <c r="H143" s="17"/>
      <c r="I143" s="41" t="str" cm="1">
        <f t="array" ref="I143">IFERROR(_xlfn.IFS(H143="Hard (Cash)","N/A",H143="Soft (In-Kind)", "Enter Source"),"Select Type")</f>
        <v>Select Type</v>
      </c>
      <c r="J143" s="124"/>
      <c r="K143" s="41" t="str">
        <f>IFERROR(VLOOKUP($J143,'Project Reference'!$S$2:$T$41,2),"Enter Project Number")</f>
        <v>Enter Project Number</v>
      </c>
      <c r="L143" s="41"/>
      <c r="M143" s="41"/>
      <c r="N143" s="15">
        <f t="shared" si="2"/>
        <v>0</v>
      </c>
      <c r="O143" s="19"/>
      <c r="P143" s="42" t="str">
        <f>IFERROR(VLOOKUP($J143,'Project Reference'!$B$2:$C$41,2)," ")</f>
        <v xml:space="preserve"> </v>
      </c>
      <c r="Q143" s="42" t="str">
        <f>IFERROR(VLOOKUP($J143,'Project Reference'!$B$2:$D$41,3)," ")</f>
        <v xml:space="preserve"> </v>
      </c>
      <c r="R143" s="42" t="str">
        <f>IFERROR(VLOOKUP($J143,'Project Reference'!$B$2:$E$41,4)," ")</f>
        <v xml:space="preserve"> </v>
      </c>
      <c r="S143" s="42" t="str">
        <f>IFERROR(VLOOKUP($J143,'Project Reference'!$B$2:$F$41,5,FALSE)," ")</f>
        <v xml:space="preserve"> </v>
      </c>
      <c r="T143" s="42" t="str">
        <f>IFERROR(VLOOKUP($J143,'Project Reference'!$B$2:$G$41,6,FALSE)," ")</f>
        <v xml:space="preserve"> </v>
      </c>
      <c r="U143" s="42" t="str">
        <f>IFERROR(VLOOKUP($J143,'Project Reference'!$B$2:$H$41,7,FALSE)," ")</f>
        <v xml:space="preserve"> </v>
      </c>
      <c r="V143" s="42" t="str">
        <f>IFERROR(VLOOKUP($J143,'Project Reference'!$B$2:$I$41,8,FALSE)," ")</f>
        <v xml:space="preserve"> </v>
      </c>
      <c r="W143" s="42" t="str">
        <f>IFERROR(VLOOKUP($J143,'Project Reference'!$B$2:$J$41,9,FALSE)," ")</f>
        <v xml:space="preserve"> </v>
      </c>
      <c r="X143" s="42" t="str">
        <f>IFERROR(VLOOKUP($J143,'Project Reference'!$B$2:$K$41,10)," ")</f>
        <v xml:space="preserve"> </v>
      </c>
      <c r="Y143" s="42" t="str">
        <f>IFERROR(VLOOKUP($J143,'Project Reference'!$B$2:$L$41,11)," ")</f>
        <v xml:space="preserve"> </v>
      </c>
      <c r="Z143" s="42" t="str">
        <f>IFERROR(VLOOKUP($J143,'Project Reference'!$B$2:$M$41,12)," ")</f>
        <v xml:space="preserve"> </v>
      </c>
      <c r="AA143" s="42" t="str">
        <f>IFERROR(VLOOKUP($J143,'Project Reference'!$B$2:$N$41,13)," ")</f>
        <v xml:space="preserve"> </v>
      </c>
    </row>
    <row r="144" spans="1:27" s="1" customFormat="1" x14ac:dyDescent="0.45">
      <c r="A144" s="43"/>
      <c r="B144" s="205"/>
      <c r="C144"/>
      <c r="D144" s="72"/>
      <c r="E144" s="72"/>
      <c r="F144" s="72"/>
      <c r="G144" s="72"/>
      <c r="H144" s="17"/>
      <c r="I144" s="41" t="str" cm="1">
        <f t="array" ref="I144">IFERROR(_xlfn.IFS(H144="Hard (Cash)","N/A",H144="Soft (In-Kind)", "Enter Source"),"Select Type")</f>
        <v>Select Type</v>
      </c>
      <c r="J144" s="124"/>
      <c r="K144" s="41" t="str">
        <f>IFERROR(VLOOKUP($J144,'Project Reference'!$S$2:$T$41,2),"Enter Project Number")</f>
        <v>Enter Project Number</v>
      </c>
      <c r="L144" s="41"/>
      <c r="M144" s="41"/>
      <c r="N144" s="15">
        <f t="shared" si="2"/>
        <v>0</v>
      </c>
      <c r="O144" s="19"/>
      <c r="P144" s="42" t="str">
        <f>IFERROR(VLOOKUP($J144,'Project Reference'!$B$2:$C$41,2)," ")</f>
        <v xml:space="preserve"> </v>
      </c>
      <c r="Q144" s="42" t="str">
        <f>IFERROR(VLOOKUP($J144,'Project Reference'!$B$2:$D$41,3)," ")</f>
        <v xml:space="preserve"> </v>
      </c>
      <c r="R144" s="42" t="str">
        <f>IFERROR(VLOOKUP($J144,'Project Reference'!$B$2:$E$41,4)," ")</f>
        <v xml:space="preserve"> </v>
      </c>
      <c r="S144" s="42" t="str">
        <f>IFERROR(VLOOKUP($J144,'Project Reference'!$B$2:$F$41,5,FALSE)," ")</f>
        <v xml:space="preserve"> </v>
      </c>
      <c r="T144" s="42" t="str">
        <f>IFERROR(VLOOKUP($J144,'Project Reference'!$B$2:$G$41,6,FALSE)," ")</f>
        <v xml:space="preserve"> </v>
      </c>
      <c r="U144" s="42" t="str">
        <f>IFERROR(VLOOKUP($J144,'Project Reference'!$B$2:$H$41,7,FALSE)," ")</f>
        <v xml:space="preserve"> </v>
      </c>
      <c r="V144" s="42" t="str">
        <f>IFERROR(VLOOKUP($J144,'Project Reference'!$B$2:$I$41,8,FALSE)," ")</f>
        <v xml:space="preserve"> </v>
      </c>
      <c r="W144" s="42" t="str">
        <f>IFERROR(VLOOKUP($J144,'Project Reference'!$B$2:$J$41,9,FALSE)," ")</f>
        <v xml:space="preserve"> </v>
      </c>
      <c r="X144" s="42" t="str">
        <f>IFERROR(VLOOKUP($J144,'Project Reference'!$B$2:$K$41,10)," ")</f>
        <v xml:space="preserve"> </v>
      </c>
      <c r="Y144" s="42" t="str">
        <f>IFERROR(VLOOKUP($J144,'Project Reference'!$B$2:$L$41,11)," ")</f>
        <v xml:space="preserve"> </v>
      </c>
      <c r="Z144" s="42" t="str">
        <f>IFERROR(VLOOKUP($J144,'Project Reference'!$B$2:$M$41,12)," ")</f>
        <v xml:space="preserve"> </v>
      </c>
      <c r="AA144" s="42" t="str">
        <f>IFERROR(VLOOKUP($J144,'Project Reference'!$B$2:$N$41,13)," ")</f>
        <v xml:space="preserve"> </v>
      </c>
    </row>
    <row r="145" spans="1:27" s="1" customFormat="1" x14ac:dyDescent="0.45">
      <c r="A145" s="43"/>
      <c r="B145" s="205"/>
      <c r="C145"/>
      <c r="D145" s="72"/>
      <c r="E145" s="72"/>
      <c r="F145" s="72"/>
      <c r="G145" s="72"/>
      <c r="H145" s="17"/>
      <c r="I145" s="41" t="str" cm="1">
        <f t="array" ref="I145">IFERROR(_xlfn.IFS(H145="Hard (Cash)","N/A",H145="Soft (In-Kind)", "Enter Source"),"Select Type")</f>
        <v>Select Type</v>
      </c>
      <c r="J145" s="124"/>
      <c r="K145" s="41" t="str">
        <f>IFERROR(VLOOKUP($J145,'Project Reference'!$S$2:$T$41,2),"Enter Project Number")</f>
        <v>Enter Project Number</v>
      </c>
      <c r="L145" s="41"/>
      <c r="M145" s="41"/>
      <c r="N145" s="15">
        <f t="shared" si="2"/>
        <v>0</v>
      </c>
      <c r="O145" s="19"/>
      <c r="P145" s="42" t="str">
        <f>IFERROR(VLOOKUP($J145,'Project Reference'!$B$2:$C$41,2)," ")</f>
        <v xml:space="preserve"> </v>
      </c>
      <c r="Q145" s="42" t="str">
        <f>IFERROR(VLOOKUP($J145,'Project Reference'!$B$2:$D$41,3)," ")</f>
        <v xml:space="preserve"> </v>
      </c>
      <c r="R145" s="42" t="str">
        <f>IFERROR(VLOOKUP($J145,'Project Reference'!$B$2:$E$41,4)," ")</f>
        <v xml:space="preserve"> </v>
      </c>
      <c r="S145" s="42" t="str">
        <f>IFERROR(VLOOKUP($J145,'Project Reference'!$B$2:$F$41,5,FALSE)," ")</f>
        <v xml:space="preserve"> </v>
      </c>
      <c r="T145" s="42" t="str">
        <f>IFERROR(VLOOKUP($J145,'Project Reference'!$B$2:$G$41,6,FALSE)," ")</f>
        <v xml:space="preserve"> </v>
      </c>
      <c r="U145" s="42" t="str">
        <f>IFERROR(VLOOKUP($J145,'Project Reference'!$B$2:$H$41,7,FALSE)," ")</f>
        <v xml:space="preserve"> </v>
      </c>
      <c r="V145" s="42" t="str">
        <f>IFERROR(VLOOKUP($J145,'Project Reference'!$B$2:$I$41,8,FALSE)," ")</f>
        <v xml:space="preserve"> </v>
      </c>
      <c r="W145" s="42" t="str">
        <f>IFERROR(VLOOKUP($J145,'Project Reference'!$B$2:$J$41,9,FALSE)," ")</f>
        <v xml:space="preserve"> </v>
      </c>
      <c r="X145" s="42" t="str">
        <f>IFERROR(VLOOKUP($J145,'Project Reference'!$B$2:$K$41,10)," ")</f>
        <v xml:space="preserve"> </v>
      </c>
      <c r="Y145" s="42" t="str">
        <f>IFERROR(VLOOKUP($J145,'Project Reference'!$B$2:$L$41,11)," ")</f>
        <v xml:space="preserve"> </v>
      </c>
      <c r="Z145" s="42" t="str">
        <f>IFERROR(VLOOKUP($J145,'Project Reference'!$B$2:$M$41,12)," ")</f>
        <v xml:space="preserve"> </v>
      </c>
      <c r="AA145" s="42" t="str">
        <f>IFERROR(VLOOKUP($J145,'Project Reference'!$B$2:$N$41,13)," ")</f>
        <v xml:space="preserve"> </v>
      </c>
    </row>
    <row r="146" spans="1:27" s="1" customFormat="1" x14ac:dyDescent="0.45">
      <c r="A146" s="43"/>
      <c r="B146" s="205"/>
      <c r="C146"/>
      <c r="D146" s="72"/>
      <c r="E146" s="72"/>
      <c r="F146" s="72"/>
      <c r="G146" s="72"/>
      <c r="H146" s="17"/>
      <c r="I146" s="41" t="str" cm="1">
        <f t="array" ref="I146">IFERROR(_xlfn.IFS(H146="Hard (Cash)","N/A",H146="Soft (In-Kind)", "Enter Source"),"Select Type")</f>
        <v>Select Type</v>
      </c>
      <c r="J146" s="124"/>
      <c r="K146" s="41" t="str">
        <f>IFERROR(VLOOKUP($J146,'Project Reference'!$S$2:$T$41,2),"Enter Project Number")</f>
        <v>Enter Project Number</v>
      </c>
      <c r="L146" s="41"/>
      <c r="M146" s="41"/>
      <c r="N146" s="15">
        <f t="shared" si="2"/>
        <v>0</v>
      </c>
      <c r="O146" s="19"/>
      <c r="P146" s="42" t="str">
        <f>IFERROR(VLOOKUP($J146,'Project Reference'!$B$2:$C$41,2)," ")</f>
        <v xml:space="preserve"> </v>
      </c>
      <c r="Q146" s="42" t="str">
        <f>IFERROR(VLOOKUP($J146,'Project Reference'!$B$2:$D$41,3)," ")</f>
        <v xml:space="preserve"> </v>
      </c>
      <c r="R146" s="42" t="str">
        <f>IFERROR(VLOOKUP($J146,'Project Reference'!$B$2:$E$41,4)," ")</f>
        <v xml:space="preserve"> </v>
      </c>
      <c r="S146" s="42" t="str">
        <f>IFERROR(VLOOKUP($J146,'Project Reference'!$B$2:$F$41,5,FALSE)," ")</f>
        <v xml:space="preserve"> </v>
      </c>
      <c r="T146" s="42" t="str">
        <f>IFERROR(VLOOKUP($J146,'Project Reference'!$B$2:$G$41,6,FALSE)," ")</f>
        <v xml:space="preserve"> </v>
      </c>
      <c r="U146" s="42" t="str">
        <f>IFERROR(VLOOKUP($J146,'Project Reference'!$B$2:$H$41,7,FALSE)," ")</f>
        <v xml:space="preserve"> </v>
      </c>
      <c r="V146" s="42" t="str">
        <f>IFERROR(VLOOKUP($J146,'Project Reference'!$B$2:$I$41,8,FALSE)," ")</f>
        <v xml:space="preserve"> </v>
      </c>
      <c r="W146" s="42" t="str">
        <f>IFERROR(VLOOKUP($J146,'Project Reference'!$B$2:$J$41,9,FALSE)," ")</f>
        <v xml:space="preserve"> </v>
      </c>
      <c r="X146" s="42" t="str">
        <f>IFERROR(VLOOKUP($J146,'Project Reference'!$B$2:$K$41,10)," ")</f>
        <v xml:space="preserve"> </v>
      </c>
      <c r="Y146" s="42" t="str">
        <f>IFERROR(VLOOKUP($J146,'Project Reference'!$B$2:$L$41,11)," ")</f>
        <v xml:space="preserve"> </v>
      </c>
      <c r="Z146" s="42" t="str">
        <f>IFERROR(VLOOKUP($J146,'Project Reference'!$B$2:$M$41,12)," ")</f>
        <v xml:space="preserve"> </v>
      </c>
      <c r="AA146" s="42" t="str">
        <f>IFERROR(VLOOKUP($J146,'Project Reference'!$B$2:$N$41,13)," ")</f>
        <v xml:space="preserve"> </v>
      </c>
    </row>
    <row r="147" spans="1:27" s="1" customFormat="1" x14ac:dyDescent="0.45">
      <c r="A147" s="43"/>
      <c r="B147" s="205"/>
      <c r="C147"/>
      <c r="D147" s="72"/>
      <c r="E147" s="72"/>
      <c r="F147" s="72"/>
      <c r="G147" s="72"/>
      <c r="H147" s="17"/>
      <c r="I147" s="41" t="str" cm="1">
        <f t="array" ref="I147">IFERROR(_xlfn.IFS(H147="Hard (Cash)","N/A",H147="Soft (In-Kind)", "Enter Source"),"Select Type")</f>
        <v>Select Type</v>
      </c>
      <c r="J147" s="124"/>
      <c r="K147" s="41" t="str">
        <f>IFERROR(VLOOKUP($J147,'Project Reference'!$S$2:$T$41,2),"Enter Project Number")</f>
        <v>Enter Project Number</v>
      </c>
      <c r="L147" s="41"/>
      <c r="M147" s="41"/>
      <c r="N147" s="15">
        <f t="shared" si="2"/>
        <v>0</v>
      </c>
      <c r="O147" s="19"/>
      <c r="P147" s="42" t="str">
        <f>IFERROR(VLOOKUP($J147,'Project Reference'!$B$2:$C$41,2)," ")</f>
        <v xml:space="preserve"> </v>
      </c>
      <c r="Q147" s="42" t="str">
        <f>IFERROR(VLOOKUP($J147,'Project Reference'!$B$2:$D$41,3)," ")</f>
        <v xml:space="preserve"> </v>
      </c>
      <c r="R147" s="42" t="str">
        <f>IFERROR(VLOOKUP($J147,'Project Reference'!$B$2:$E$41,4)," ")</f>
        <v xml:space="preserve"> </v>
      </c>
      <c r="S147" s="42" t="str">
        <f>IFERROR(VLOOKUP($J147,'Project Reference'!$B$2:$F$41,5,FALSE)," ")</f>
        <v xml:space="preserve"> </v>
      </c>
      <c r="T147" s="42" t="str">
        <f>IFERROR(VLOOKUP($J147,'Project Reference'!$B$2:$G$41,6,FALSE)," ")</f>
        <v xml:space="preserve"> </v>
      </c>
      <c r="U147" s="42" t="str">
        <f>IFERROR(VLOOKUP($J147,'Project Reference'!$B$2:$H$41,7,FALSE)," ")</f>
        <v xml:space="preserve"> </v>
      </c>
      <c r="V147" s="42" t="str">
        <f>IFERROR(VLOOKUP($J147,'Project Reference'!$B$2:$I$41,8,FALSE)," ")</f>
        <v xml:space="preserve"> </v>
      </c>
      <c r="W147" s="42" t="str">
        <f>IFERROR(VLOOKUP($J147,'Project Reference'!$B$2:$J$41,9,FALSE)," ")</f>
        <v xml:space="preserve"> </v>
      </c>
      <c r="X147" s="42" t="str">
        <f>IFERROR(VLOOKUP($J147,'Project Reference'!$B$2:$K$41,10)," ")</f>
        <v xml:space="preserve"> </v>
      </c>
      <c r="Y147" s="42" t="str">
        <f>IFERROR(VLOOKUP($J147,'Project Reference'!$B$2:$L$41,11)," ")</f>
        <v xml:space="preserve"> </v>
      </c>
      <c r="Z147" s="42" t="str">
        <f>IFERROR(VLOOKUP($J147,'Project Reference'!$B$2:$M$41,12)," ")</f>
        <v xml:space="preserve"> </v>
      </c>
      <c r="AA147" s="42" t="str">
        <f>IFERROR(VLOOKUP($J147,'Project Reference'!$B$2:$N$41,13)," ")</f>
        <v xml:space="preserve"> </v>
      </c>
    </row>
    <row r="148" spans="1:27" s="1" customFormat="1" x14ac:dyDescent="0.45">
      <c r="A148" s="43"/>
      <c r="B148" s="205"/>
      <c r="C148"/>
      <c r="D148" s="72"/>
      <c r="E148" s="72"/>
      <c r="F148" s="72"/>
      <c r="G148" s="72"/>
      <c r="H148" s="17"/>
      <c r="I148" s="41" t="str" cm="1">
        <f t="array" ref="I148">IFERROR(_xlfn.IFS(H148="Hard (Cash)","N/A",H148="Soft (In-Kind)", "Enter Source"),"Select Type")</f>
        <v>Select Type</v>
      </c>
      <c r="J148" s="124"/>
      <c r="K148" s="41" t="str">
        <f>IFERROR(VLOOKUP($J148,'Project Reference'!$S$2:$T$41,2),"Enter Project Number")</f>
        <v>Enter Project Number</v>
      </c>
      <c r="L148" s="41"/>
      <c r="M148" s="41"/>
      <c r="N148" s="15">
        <f t="shared" si="2"/>
        <v>0</v>
      </c>
      <c r="O148" s="19"/>
      <c r="P148" s="42" t="str">
        <f>IFERROR(VLOOKUP($J148,'Project Reference'!$B$2:$C$41,2)," ")</f>
        <v xml:space="preserve"> </v>
      </c>
      <c r="Q148" s="42" t="str">
        <f>IFERROR(VLOOKUP($J148,'Project Reference'!$B$2:$D$41,3)," ")</f>
        <v xml:space="preserve"> </v>
      </c>
      <c r="R148" s="42" t="str">
        <f>IFERROR(VLOOKUP($J148,'Project Reference'!$B$2:$E$41,4)," ")</f>
        <v xml:space="preserve"> </v>
      </c>
      <c r="S148" s="42" t="str">
        <f>IFERROR(VLOOKUP($J148,'Project Reference'!$B$2:$F$41,5,FALSE)," ")</f>
        <v xml:space="preserve"> </v>
      </c>
      <c r="T148" s="42" t="str">
        <f>IFERROR(VLOOKUP($J148,'Project Reference'!$B$2:$G$41,6,FALSE)," ")</f>
        <v xml:space="preserve"> </v>
      </c>
      <c r="U148" s="42" t="str">
        <f>IFERROR(VLOOKUP($J148,'Project Reference'!$B$2:$H$41,7,FALSE)," ")</f>
        <v xml:space="preserve"> </v>
      </c>
      <c r="V148" s="42" t="str">
        <f>IFERROR(VLOOKUP($J148,'Project Reference'!$B$2:$I$41,8,FALSE)," ")</f>
        <v xml:space="preserve"> </v>
      </c>
      <c r="W148" s="42" t="str">
        <f>IFERROR(VLOOKUP($J148,'Project Reference'!$B$2:$J$41,9,FALSE)," ")</f>
        <v xml:space="preserve"> </v>
      </c>
      <c r="X148" s="42" t="str">
        <f>IFERROR(VLOOKUP($J148,'Project Reference'!$B$2:$K$41,10)," ")</f>
        <v xml:space="preserve"> </v>
      </c>
      <c r="Y148" s="42" t="str">
        <f>IFERROR(VLOOKUP($J148,'Project Reference'!$B$2:$L$41,11)," ")</f>
        <v xml:space="preserve"> </v>
      </c>
      <c r="Z148" s="42" t="str">
        <f>IFERROR(VLOOKUP($J148,'Project Reference'!$B$2:$M$41,12)," ")</f>
        <v xml:space="preserve"> </v>
      </c>
      <c r="AA148" s="42" t="str">
        <f>IFERROR(VLOOKUP($J148,'Project Reference'!$B$2:$N$41,13)," ")</f>
        <v xml:space="preserve"> </v>
      </c>
    </row>
    <row r="149" spans="1:27" s="1" customFormat="1" x14ac:dyDescent="0.45">
      <c r="A149" s="43"/>
      <c r="B149" s="205"/>
      <c r="C149"/>
      <c r="D149" s="72"/>
      <c r="E149" s="72"/>
      <c r="F149" s="72"/>
      <c r="G149" s="72"/>
      <c r="H149" s="17"/>
      <c r="I149" s="41" t="str" cm="1">
        <f t="array" ref="I149">IFERROR(_xlfn.IFS(H149="Hard (Cash)","N/A",H149="Soft (In-Kind)", "Enter Source"),"Select Type")</f>
        <v>Select Type</v>
      </c>
      <c r="J149" s="124"/>
      <c r="K149" s="41" t="str">
        <f>IFERROR(VLOOKUP($J149,'Project Reference'!$S$2:$T$41,2),"Enter Project Number")</f>
        <v>Enter Project Number</v>
      </c>
      <c r="L149" s="41"/>
      <c r="M149" s="41"/>
      <c r="N149" s="15">
        <f t="shared" si="2"/>
        <v>0</v>
      </c>
      <c r="O149" s="19"/>
      <c r="P149" s="42" t="str">
        <f>IFERROR(VLOOKUP($J149,'Project Reference'!$B$2:$C$41,2)," ")</f>
        <v xml:space="preserve"> </v>
      </c>
      <c r="Q149" s="42" t="str">
        <f>IFERROR(VLOOKUP($J149,'Project Reference'!$B$2:$D$41,3)," ")</f>
        <v xml:space="preserve"> </v>
      </c>
      <c r="R149" s="42" t="str">
        <f>IFERROR(VLOOKUP($J149,'Project Reference'!$B$2:$E$41,4)," ")</f>
        <v xml:space="preserve"> </v>
      </c>
      <c r="S149" s="42" t="str">
        <f>IFERROR(VLOOKUP($J149,'Project Reference'!$B$2:$F$41,5,FALSE)," ")</f>
        <v xml:space="preserve"> </v>
      </c>
      <c r="T149" s="42" t="str">
        <f>IFERROR(VLOOKUP($J149,'Project Reference'!$B$2:$G$41,6,FALSE)," ")</f>
        <v xml:space="preserve"> </v>
      </c>
      <c r="U149" s="42" t="str">
        <f>IFERROR(VLOOKUP($J149,'Project Reference'!$B$2:$H$41,7,FALSE)," ")</f>
        <v xml:space="preserve"> </v>
      </c>
      <c r="V149" s="42" t="str">
        <f>IFERROR(VLOOKUP($J149,'Project Reference'!$B$2:$I$41,8,FALSE)," ")</f>
        <v xml:space="preserve"> </v>
      </c>
      <c r="W149" s="42" t="str">
        <f>IFERROR(VLOOKUP($J149,'Project Reference'!$B$2:$J$41,9,FALSE)," ")</f>
        <v xml:space="preserve"> </v>
      </c>
      <c r="X149" s="42" t="str">
        <f>IFERROR(VLOOKUP($J149,'Project Reference'!$B$2:$K$41,10)," ")</f>
        <v xml:space="preserve"> </v>
      </c>
      <c r="Y149" s="42" t="str">
        <f>IFERROR(VLOOKUP($J149,'Project Reference'!$B$2:$L$41,11)," ")</f>
        <v xml:space="preserve"> </v>
      </c>
      <c r="Z149" s="42" t="str">
        <f>IFERROR(VLOOKUP($J149,'Project Reference'!$B$2:$M$41,12)," ")</f>
        <v xml:space="preserve"> </v>
      </c>
      <c r="AA149" s="42" t="str">
        <f>IFERROR(VLOOKUP($J149,'Project Reference'!$B$2:$N$41,13)," ")</f>
        <v xml:space="preserve"> </v>
      </c>
    </row>
    <row r="150" spans="1:27" s="1" customFormat="1" x14ac:dyDescent="0.45">
      <c r="A150" s="43"/>
      <c r="B150" s="205"/>
      <c r="C150"/>
      <c r="D150" s="72"/>
      <c r="E150" s="72"/>
      <c r="F150" s="72"/>
      <c r="G150" s="72"/>
      <c r="H150" s="17"/>
      <c r="I150" s="41" t="str" cm="1">
        <f t="array" ref="I150">IFERROR(_xlfn.IFS(H150="Hard (Cash)","N/A",H150="Soft (In-Kind)", "Enter Source"),"Select Type")</f>
        <v>Select Type</v>
      </c>
      <c r="J150" s="124"/>
      <c r="K150" s="41" t="str">
        <f>IFERROR(VLOOKUP($J150,'Project Reference'!$S$2:$T$41,2),"Enter Project Number")</f>
        <v>Enter Project Number</v>
      </c>
      <c r="L150" s="41"/>
      <c r="M150" s="41"/>
      <c r="N150" s="15">
        <f t="shared" si="2"/>
        <v>0</v>
      </c>
      <c r="O150" s="19"/>
      <c r="P150" s="42" t="str">
        <f>IFERROR(VLOOKUP($J150,'Project Reference'!$B$2:$C$41,2)," ")</f>
        <v xml:space="preserve"> </v>
      </c>
      <c r="Q150" s="42" t="str">
        <f>IFERROR(VLOOKUP($J150,'Project Reference'!$B$2:$D$41,3)," ")</f>
        <v xml:space="preserve"> </v>
      </c>
      <c r="R150" s="42" t="str">
        <f>IFERROR(VLOOKUP($J150,'Project Reference'!$B$2:$E$41,4)," ")</f>
        <v xml:space="preserve"> </v>
      </c>
      <c r="S150" s="42" t="str">
        <f>IFERROR(VLOOKUP($J150,'Project Reference'!$B$2:$F$41,5,FALSE)," ")</f>
        <v xml:space="preserve"> </v>
      </c>
      <c r="T150" s="42" t="str">
        <f>IFERROR(VLOOKUP($J150,'Project Reference'!$B$2:$G$41,6,FALSE)," ")</f>
        <v xml:space="preserve"> </v>
      </c>
      <c r="U150" s="42" t="str">
        <f>IFERROR(VLOOKUP($J150,'Project Reference'!$B$2:$H$41,7,FALSE)," ")</f>
        <v xml:space="preserve"> </v>
      </c>
      <c r="V150" s="42" t="str">
        <f>IFERROR(VLOOKUP($J150,'Project Reference'!$B$2:$I$41,8,FALSE)," ")</f>
        <v xml:space="preserve"> </v>
      </c>
      <c r="W150" s="42" t="str">
        <f>IFERROR(VLOOKUP($J150,'Project Reference'!$B$2:$J$41,9,FALSE)," ")</f>
        <v xml:space="preserve"> </v>
      </c>
      <c r="X150" s="42" t="str">
        <f>IFERROR(VLOOKUP($J150,'Project Reference'!$B$2:$K$41,10)," ")</f>
        <v xml:space="preserve"> </v>
      </c>
      <c r="Y150" s="42" t="str">
        <f>IFERROR(VLOOKUP($J150,'Project Reference'!$B$2:$L$41,11)," ")</f>
        <v xml:space="preserve"> </v>
      </c>
      <c r="Z150" s="42" t="str">
        <f>IFERROR(VLOOKUP($J150,'Project Reference'!$B$2:$M$41,12)," ")</f>
        <v xml:space="preserve"> </v>
      </c>
      <c r="AA150" s="42" t="str">
        <f>IFERROR(VLOOKUP($J150,'Project Reference'!$B$2:$N$41,13)," ")</f>
        <v xml:space="preserve"> </v>
      </c>
    </row>
    <row r="151" spans="1:27" s="1" customFormat="1" x14ac:dyDescent="0.45">
      <c r="A151" s="43"/>
      <c r="B151" s="205"/>
      <c r="C151"/>
      <c r="D151" s="72"/>
      <c r="E151" s="72"/>
      <c r="F151" s="72"/>
      <c r="G151" s="72"/>
      <c r="H151" s="17"/>
      <c r="I151" s="41" t="str" cm="1">
        <f t="array" ref="I151">IFERROR(_xlfn.IFS(H151="Hard (Cash)","N/A",H151="Soft (In-Kind)", "Enter Source"),"Select Type")</f>
        <v>Select Type</v>
      </c>
      <c r="J151" s="124"/>
      <c r="K151" s="41" t="str">
        <f>IFERROR(VLOOKUP($J151,'Project Reference'!$S$2:$T$41,2),"Enter Project Number")</f>
        <v>Enter Project Number</v>
      </c>
      <c r="L151" s="41"/>
      <c r="M151" s="41"/>
      <c r="N151" s="15">
        <f t="shared" si="2"/>
        <v>0</v>
      </c>
      <c r="O151" s="19"/>
      <c r="P151" s="42" t="str">
        <f>IFERROR(VLOOKUP($J151,'Project Reference'!$B$2:$C$41,2)," ")</f>
        <v xml:space="preserve"> </v>
      </c>
      <c r="Q151" s="42" t="str">
        <f>IFERROR(VLOOKUP($J151,'Project Reference'!$B$2:$D$41,3)," ")</f>
        <v xml:space="preserve"> </v>
      </c>
      <c r="R151" s="42" t="str">
        <f>IFERROR(VLOOKUP($J151,'Project Reference'!$B$2:$E$41,4)," ")</f>
        <v xml:space="preserve"> </v>
      </c>
      <c r="S151" s="42" t="str">
        <f>IFERROR(VLOOKUP($J151,'Project Reference'!$B$2:$F$41,5,FALSE)," ")</f>
        <v xml:space="preserve"> </v>
      </c>
      <c r="T151" s="42" t="str">
        <f>IFERROR(VLOOKUP($J151,'Project Reference'!$B$2:$G$41,6,FALSE)," ")</f>
        <v xml:space="preserve"> </v>
      </c>
      <c r="U151" s="42" t="str">
        <f>IFERROR(VLOOKUP($J151,'Project Reference'!$B$2:$H$41,7,FALSE)," ")</f>
        <v xml:space="preserve"> </v>
      </c>
      <c r="V151" s="42" t="str">
        <f>IFERROR(VLOOKUP($J151,'Project Reference'!$B$2:$I$41,8,FALSE)," ")</f>
        <v xml:space="preserve"> </v>
      </c>
      <c r="W151" s="42" t="str">
        <f>IFERROR(VLOOKUP($J151,'Project Reference'!$B$2:$J$41,9,FALSE)," ")</f>
        <v xml:space="preserve"> </v>
      </c>
      <c r="X151" s="42" t="str">
        <f>IFERROR(VLOOKUP($J151,'Project Reference'!$B$2:$K$41,10)," ")</f>
        <v xml:space="preserve"> </v>
      </c>
      <c r="Y151" s="42" t="str">
        <f>IFERROR(VLOOKUP($J151,'Project Reference'!$B$2:$L$41,11)," ")</f>
        <v xml:space="preserve"> </v>
      </c>
      <c r="Z151" s="42" t="str">
        <f>IFERROR(VLOOKUP($J151,'Project Reference'!$B$2:$M$41,12)," ")</f>
        <v xml:space="preserve"> </v>
      </c>
      <c r="AA151" s="42" t="str">
        <f>IFERROR(VLOOKUP($J151,'Project Reference'!$B$2:$N$41,13)," ")</f>
        <v xml:space="preserve"> </v>
      </c>
    </row>
    <row r="152" spans="1:27" s="1" customFormat="1" x14ac:dyDescent="0.45">
      <c r="A152" s="43"/>
      <c r="B152" s="205"/>
      <c r="C152"/>
      <c r="D152" s="72"/>
      <c r="E152" s="72"/>
      <c r="F152" s="72"/>
      <c r="G152" s="72"/>
      <c r="H152" s="17"/>
      <c r="I152" s="41" t="str" cm="1">
        <f t="array" ref="I152">IFERROR(_xlfn.IFS(H152="Hard (Cash)","N/A",H152="Soft (In-Kind)", "Enter Source"),"Select Type")</f>
        <v>Select Type</v>
      </c>
      <c r="J152" s="124"/>
      <c r="K152" s="41" t="str">
        <f>IFERROR(VLOOKUP($J152,'Project Reference'!$S$2:$T$41,2),"Enter Project Number")</f>
        <v>Enter Project Number</v>
      </c>
      <c r="L152" s="41"/>
      <c r="M152" s="41"/>
      <c r="N152" s="15">
        <f t="shared" si="2"/>
        <v>0</v>
      </c>
      <c r="O152" s="19"/>
      <c r="P152" s="42" t="str">
        <f>IFERROR(VLOOKUP($J152,'Project Reference'!$B$2:$C$41,2)," ")</f>
        <v xml:space="preserve"> </v>
      </c>
      <c r="Q152" s="42" t="str">
        <f>IFERROR(VLOOKUP($J152,'Project Reference'!$B$2:$D$41,3)," ")</f>
        <v xml:space="preserve"> </v>
      </c>
      <c r="R152" s="42" t="str">
        <f>IFERROR(VLOOKUP($J152,'Project Reference'!$B$2:$E$41,4)," ")</f>
        <v xml:space="preserve"> </v>
      </c>
      <c r="S152" s="42" t="str">
        <f>IFERROR(VLOOKUP($J152,'Project Reference'!$B$2:$F$41,5,FALSE)," ")</f>
        <v xml:space="preserve"> </v>
      </c>
      <c r="T152" s="42" t="str">
        <f>IFERROR(VLOOKUP($J152,'Project Reference'!$B$2:$G$41,6,FALSE)," ")</f>
        <v xml:space="preserve"> </v>
      </c>
      <c r="U152" s="42" t="str">
        <f>IFERROR(VLOOKUP($J152,'Project Reference'!$B$2:$H$41,7,FALSE)," ")</f>
        <v xml:space="preserve"> </v>
      </c>
      <c r="V152" s="42" t="str">
        <f>IFERROR(VLOOKUP($J152,'Project Reference'!$B$2:$I$41,8,FALSE)," ")</f>
        <v xml:space="preserve"> </v>
      </c>
      <c r="W152" s="42" t="str">
        <f>IFERROR(VLOOKUP($J152,'Project Reference'!$B$2:$J$41,9,FALSE)," ")</f>
        <v xml:space="preserve"> </v>
      </c>
      <c r="X152" s="42" t="str">
        <f>IFERROR(VLOOKUP($J152,'Project Reference'!$B$2:$K$41,10)," ")</f>
        <v xml:space="preserve"> </v>
      </c>
      <c r="Y152" s="42" t="str">
        <f>IFERROR(VLOOKUP($J152,'Project Reference'!$B$2:$L$41,11)," ")</f>
        <v xml:space="preserve"> </v>
      </c>
      <c r="Z152" s="42" t="str">
        <f>IFERROR(VLOOKUP($J152,'Project Reference'!$B$2:$M$41,12)," ")</f>
        <v xml:space="preserve"> </v>
      </c>
      <c r="AA152" s="42" t="str">
        <f>IFERROR(VLOOKUP($J152,'Project Reference'!$B$2:$N$41,13)," ")</f>
        <v xml:space="preserve"> </v>
      </c>
    </row>
    <row r="153" spans="1:27" s="1" customFormat="1" x14ac:dyDescent="0.45">
      <c r="A153" s="43"/>
      <c r="B153" s="205"/>
      <c r="C153"/>
      <c r="D153" s="72"/>
      <c r="E153" s="72"/>
      <c r="F153" s="72"/>
      <c r="G153" s="72"/>
      <c r="H153" s="17"/>
      <c r="I153" s="41" t="str" cm="1">
        <f t="array" ref="I153">IFERROR(_xlfn.IFS(H153="Hard (Cash)","N/A",H153="Soft (In-Kind)", "Enter Source"),"Select Type")</f>
        <v>Select Type</v>
      </c>
      <c r="J153" s="124"/>
      <c r="K153" s="41" t="str">
        <f>IFERROR(VLOOKUP($J153,'Project Reference'!$S$2:$T$41,2),"Enter Project Number")</f>
        <v>Enter Project Number</v>
      </c>
      <c r="L153" s="41"/>
      <c r="M153" s="41"/>
      <c r="N153" s="15">
        <f t="shared" si="2"/>
        <v>0</v>
      </c>
      <c r="O153" s="19"/>
      <c r="P153" s="42" t="str">
        <f>IFERROR(VLOOKUP($J153,'Project Reference'!$B$2:$C$41,2)," ")</f>
        <v xml:space="preserve"> </v>
      </c>
      <c r="Q153" s="42" t="str">
        <f>IFERROR(VLOOKUP($J153,'Project Reference'!$B$2:$D$41,3)," ")</f>
        <v xml:space="preserve"> </v>
      </c>
      <c r="R153" s="42" t="str">
        <f>IFERROR(VLOOKUP($J153,'Project Reference'!$B$2:$E$41,4)," ")</f>
        <v xml:space="preserve"> </v>
      </c>
      <c r="S153" s="42" t="str">
        <f>IFERROR(VLOOKUP($J153,'Project Reference'!$B$2:$F$41,5,FALSE)," ")</f>
        <v xml:space="preserve"> </v>
      </c>
      <c r="T153" s="42" t="str">
        <f>IFERROR(VLOOKUP($J153,'Project Reference'!$B$2:$G$41,6,FALSE)," ")</f>
        <v xml:space="preserve"> </v>
      </c>
      <c r="U153" s="42" t="str">
        <f>IFERROR(VLOOKUP($J153,'Project Reference'!$B$2:$H$41,7,FALSE)," ")</f>
        <v xml:space="preserve"> </v>
      </c>
      <c r="V153" s="42" t="str">
        <f>IFERROR(VLOOKUP($J153,'Project Reference'!$B$2:$I$41,8,FALSE)," ")</f>
        <v xml:space="preserve"> </v>
      </c>
      <c r="W153" s="42" t="str">
        <f>IFERROR(VLOOKUP($J153,'Project Reference'!$B$2:$J$41,9,FALSE)," ")</f>
        <v xml:space="preserve"> </v>
      </c>
      <c r="X153" s="42" t="str">
        <f>IFERROR(VLOOKUP($J153,'Project Reference'!$B$2:$K$41,10)," ")</f>
        <v xml:space="preserve"> </v>
      </c>
      <c r="Y153" s="42" t="str">
        <f>IFERROR(VLOOKUP($J153,'Project Reference'!$B$2:$L$41,11)," ")</f>
        <v xml:space="preserve"> </v>
      </c>
      <c r="Z153" s="42" t="str">
        <f>IFERROR(VLOOKUP($J153,'Project Reference'!$B$2:$M$41,12)," ")</f>
        <v xml:space="preserve"> </v>
      </c>
      <c r="AA153" s="42" t="str">
        <f>IFERROR(VLOOKUP($J153,'Project Reference'!$B$2:$N$41,13)," ")</f>
        <v xml:space="preserve"> </v>
      </c>
    </row>
    <row r="154" spans="1:27" s="1" customFormat="1" x14ac:dyDescent="0.45">
      <c r="A154" s="43"/>
      <c r="B154" s="205"/>
      <c r="C154"/>
      <c r="D154" s="72"/>
      <c r="E154" s="72"/>
      <c r="F154" s="72"/>
      <c r="G154" s="72"/>
      <c r="H154" s="17"/>
      <c r="I154" s="41" t="str" cm="1">
        <f t="array" ref="I154">IFERROR(_xlfn.IFS(H154="Hard (Cash)","N/A",H154="Soft (In-Kind)", "Enter Source"),"Select Type")</f>
        <v>Select Type</v>
      </c>
      <c r="J154" s="124"/>
      <c r="K154" s="41" t="str">
        <f>IFERROR(VLOOKUP($J154,'Project Reference'!$S$2:$T$41,2),"Enter Project Number")</f>
        <v>Enter Project Number</v>
      </c>
      <c r="L154" s="41"/>
      <c r="M154" s="41"/>
      <c r="N154" s="15">
        <f t="shared" si="2"/>
        <v>0</v>
      </c>
      <c r="O154" s="19"/>
      <c r="P154" s="42" t="str">
        <f>IFERROR(VLOOKUP($J154,'Project Reference'!$B$2:$C$41,2)," ")</f>
        <v xml:space="preserve"> </v>
      </c>
      <c r="Q154" s="42" t="str">
        <f>IFERROR(VLOOKUP($J154,'Project Reference'!$B$2:$D$41,3)," ")</f>
        <v xml:space="preserve"> </v>
      </c>
      <c r="R154" s="42" t="str">
        <f>IFERROR(VLOOKUP($J154,'Project Reference'!$B$2:$E$41,4)," ")</f>
        <v xml:space="preserve"> </v>
      </c>
      <c r="S154" s="42" t="str">
        <f>IFERROR(VLOOKUP($J154,'Project Reference'!$B$2:$F$41,5,FALSE)," ")</f>
        <v xml:space="preserve"> </v>
      </c>
      <c r="T154" s="42" t="str">
        <f>IFERROR(VLOOKUP($J154,'Project Reference'!$B$2:$G$41,6,FALSE)," ")</f>
        <v xml:space="preserve"> </v>
      </c>
      <c r="U154" s="42" t="str">
        <f>IFERROR(VLOOKUP($J154,'Project Reference'!$B$2:$H$41,7,FALSE)," ")</f>
        <v xml:space="preserve"> </v>
      </c>
      <c r="V154" s="42" t="str">
        <f>IFERROR(VLOOKUP($J154,'Project Reference'!$B$2:$I$41,8,FALSE)," ")</f>
        <v xml:space="preserve"> </v>
      </c>
      <c r="W154" s="42" t="str">
        <f>IFERROR(VLOOKUP($J154,'Project Reference'!$B$2:$J$41,9,FALSE)," ")</f>
        <v xml:space="preserve"> </v>
      </c>
      <c r="X154" s="42" t="str">
        <f>IFERROR(VLOOKUP($J154,'Project Reference'!$B$2:$K$41,10)," ")</f>
        <v xml:space="preserve"> </v>
      </c>
      <c r="Y154" s="42" t="str">
        <f>IFERROR(VLOOKUP($J154,'Project Reference'!$B$2:$L$41,11)," ")</f>
        <v xml:space="preserve"> </v>
      </c>
      <c r="Z154" s="42" t="str">
        <f>IFERROR(VLOOKUP($J154,'Project Reference'!$B$2:$M$41,12)," ")</f>
        <v xml:space="preserve"> </v>
      </c>
      <c r="AA154" s="42" t="str">
        <f>IFERROR(VLOOKUP($J154,'Project Reference'!$B$2:$N$41,13)," ")</f>
        <v xml:space="preserve"> </v>
      </c>
    </row>
    <row r="155" spans="1:27" s="1" customFormat="1" x14ac:dyDescent="0.45">
      <c r="A155" s="43"/>
      <c r="B155" s="205"/>
      <c r="C155"/>
      <c r="D155" s="72"/>
      <c r="E155" s="72"/>
      <c r="F155" s="72"/>
      <c r="G155" s="72"/>
      <c r="H155" s="17"/>
      <c r="I155" s="41" t="str" cm="1">
        <f t="array" ref="I155">IFERROR(_xlfn.IFS(H155="Hard (Cash)","N/A",H155="Soft (In-Kind)", "Enter Source"),"Select Type")</f>
        <v>Select Type</v>
      </c>
      <c r="J155" s="124"/>
      <c r="K155" s="41" t="str">
        <f>IFERROR(VLOOKUP($J155,'Project Reference'!$S$2:$T$41,2),"Enter Project Number")</f>
        <v>Enter Project Number</v>
      </c>
      <c r="L155" s="41"/>
      <c r="M155" s="41"/>
      <c r="N155" s="15">
        <f t="shared" si="2"/>
        <v>0</v>
      </c>
      <c r="O155" s="19"/>
      <c r="P155" s="42" t="str">
        <f>IFERROR(VLOOKUP($J155,'Project Reference'!$B$2:$C$41,2)," ")</f>
        <v xml:space="preserve"> </v>
      </c>
      <c r="Q155" s="42" t="str">
        <f>IFERROR(VLOOKUP($J155,'Project Reference'!$B$2:$D$41,3)," ")</f>
        <v xml:space="preserve"> </v>
      </c>
      <c r="R155" s="42" t="str">
        <f>IFERROR(VLOOKUP($J155,'Project Reference'!$B$2:$E$41,4)," ")</f>
        <v xml:space="preserve"> </v>
      </c>
      <c r="S155" s="42" t="str">
        <f>IFERROR(VLOOKUP($J155,'Project Reference'!$B$2:$F$41,5,FALSE)," ")</f>
        <v xml:space="preserve"> </v>
      </c>
      <c r="T155" s="42" t="str">
        <f>IFERROR(VLOOKUP($J155,'Project Reference'!$B$2:$G$41,6,FALSE)," ")</f>
        <v xml:space="preserve"> </v>
      </c>
      <c r="U155" s="42" t="str">
        <f>IFERROR(VLOOKUP($J155,'Project Reference'!$B$2:$H$41,7,FALSE)," ")</f>
        <v xml:space="preserve"> </v>
      </c>
      <c r="V155" s="42" t="str">
        <f>IFERROR(VLOOKUP($J155,'Project Reference'!$B$2:$I$41,8,FALSE)," ")</f>
        <v xml:space="preserve"> </v>
      </c>
      <c r="W155" s="42" t="str">
        <f>IFERROR(VLOOKUP($J155,'Project Reference'!$B$2:$J$41,9,FALSE)," ")</f>
        <v xml:space="preserve"> </v>
      </c>
      <c r="X155" s="42" t="str">
        <f>IFERROR(VLOOKUP($J155,'Project Reference'!$B$2:$K$41,10)," ")</f>
        <v xml:space="preserve"> </v>
      </c>
      <c r="Y155" s="42" t="str">
        <f>IFERROR(VLOOKUP($J155,'Project Reference'!$B$2:$L$41,11)," ")</f>
        <v xml:space="preserve"> </v>
      </c>
      <c r="Z155" s="42" t="str">
        <f>IFERROR(VLOOKUP($J155,'Project Reference'!$B$2:$M$41,12)," ")</f>
        <v xml:space="preserve"> </v>
      </c>
      <c r="AA155" s="42" t="str">
        <f>IFERROR(VLOOKUP($J155,'Project Reference'!$B$2:$N$41,13)," ")</f>
        <v xml:space="preserve"> </v>
      </c>
    </row>
    <row r="156" spans="1:27" s="1" customFormat="1" x14ac:dyDescent="0.45">
      <c r="A156" s="43"/>
      <c r="B156" s="205"/>
      <c r="C156"/>
      <c r="D156" s="72"/>
      <c r="E156" s="72"/>
      <c r="F156" s="72"/>
      <c r="G156" s="72"/>
      <c r="H156" s="17"/>
      <c r="I156" s="41" t="str" cm="1">
        <f t="array" ref="I156">IFERROR(_xlfn.IFS(H156="Hard (Cash)","N/A",H156="Soft (In-Kind)", "Enter Source"),"Select Type")</f>
        <v>Select Type</v>
      </c>
      <c r="J156" s="124"/>
      <c r="K156" s="41" t="str">
        <f>IFERROR(VLOOKUP($J156,'Project Reference'!$S$2:$T$41,2),"Enter Project Number")</f>
        <v>Enter Project Number</v>
      </c>
      <c r="L156" s="41"/>
      <c r="M156" s="41"/>
      <c r="N156" s="15">
        <f t="shared" si="2"/>
        <v>0</v>
      </c>
      <c r="O156" s="19"/>
      <c r="P156" s="42" t="str">
        <f>IFERROR(VLOOKUP($J156,'Project Reference'!$B$2:$C$41,2)," ")</f>
        <v xml:space="preserve"> </v>
      </c>
      <c r="Q156" s="42" t="str">
        <f>IFERROR(VLOOKUP($J156,'Project Reference'!$B$2:$D$41,3)," ")</f>
        <v xml:space="preserve"> </v>
      </c>
      <c r="R156" s="42" t="str">
        <f>IFERROR(VLOOKUP($J156,'Project Reference'!$B$2:$E$41,4)," ")</f>
        <v xml:space="preserve"> </v>
      </c>
      <c r="S156" s="42" t="str">
        <f>IFERROR(VLOOKUP($J156,'Project Reference'!$B$2:$F$41,5,FALSE)," ")</f>
        <v xml:space="preserve"> </v>
      </c>
      <c r="T156" s="42" t="str">
        <f>IFERROR(VLOOKUP($J156,'Project Reference'!$B$2:$G$41,6,FALSE)," ")</f>
        <v xml:space="preserve"> </v>
      </c>
      <c r="U156" s="42" t="str">
        <f>IFERROR(VLOOKUP($J156,'Project Reference'!$B$2:$H$41,7,FALSE)," ")</f>
        <v xml:space="preserve"> </v>
      </c>
      <c r="V156" s="42" t="str">
        <f>IFERROR(VLOOKUP($J156,'Project Reference'!$B$2:$I$41,8,FALSE)," ")</f>
        <v xml:space="preserve"> </v>
      </c>
      <c r="W156" s="42" t="str">
        <f>IFERROR(VLOOKUP($J156,'Project Reference'!$B$2:$J$41,9,FALSE)," ")</f>
        <v xml:space="preserve"> </v>
      </c>
      <c r="X156" s="42" t="str">
        <f>IFERROR(VLOOKUP($J156,'Project Reference'!$B$2:$K$41,10)," ")</f>
        <v xml:space="preserve"> </v>
      </c>
      <c r="Y156" s="42" t="str">
        <f>IFERROR(VLOOKUP($J156,'Project Reference'!$B$2:$L$41,11)," ")</f>
        <v xml:space="preserve"> </v>
      </c>
      <c r="Z156" s="42" t="str">
        <f>IFERROR(VLOOKUP($J156,'Project Reference'!$B$2:$M$41,12)," ")</f>
        <v xml:space="preserve"> </v>
      </c>
      <c r="AA156" s="42" t="str">
        <f>IFERROR(VLOOKUP($J156,'Project Reference'!$B$2:$N$41,13)," ")</f>
        <v xml:space="preserve"> </v>
      </c>
    </row>
    <row r="157" spans="1:27" s="1" customFormat="1" x14ac:dyDescent="0.45">
      <c r="A157" s="43"/>
      <c r="B157" s="205"/>
      <c r="C157"/>
      <c r="D157" s="72"/>
      <c r="E157" s="72"/>
      <c r="F157" s="72"/>
      <c r="G157" s="72"/>
      <c r="H157" s="17"/>
      <c r="I157" s="41" t="str" cm="1">
        <f t="array" ref="I157">IFERROR(_xlfn.IFS(H157="Hard (Cash)","N/A",H157="Soft (In-Kind)", "Enter Source"),"Select Type")</f>
        <v>Select Type</v>
      </c>
      <c r="J157" s="124"/>
      <c r="K157" s="41" t="str">
        <f>IFERROR(VLOOKUP($J157,'Project Reference'!$S$2:$T$41,2),"Enter Project Number")</f>
        <v>Enter Project Number</v>
      </c>
      <c r="L157" s="41"/>
      <c r="M157" s="41"/>
      <c r="N157" s="15">
        <f t="shared" si="2"/>
        <v>0</v>
      </c>
      <c r="O157" s="19"/>
      <c r="P157" s="42" t="str">
        <f>IFERROR(VLOOKUP($J157,'Project Reference'!$B$2:$C$41,2)," ")</f>
        <v xml:space="preserve"> </v>
      </c>
      <c r="Q157" s="42" t="str">
        <f>IFERROR(VLOOKUP($J157,'Project Reference'!$B$2:$D$41,3)," ")</f>
        <v xml:space="preserve"> </v>
      </c>
      <c r="R157" s="42" t="str">
        <f>IFERROR(VLOOKUP($J157,'Project Reference'!$B$2:$E$41,4)," ")</f>
        <v xml:space="preserve"> </v>
      </c>
      <c r="S157" s="42" t="str">
        <f>IFERROR(VLOOKUP($J157,'Project Reference'!$B$2:$F$41,5,FALSE)," ")</f>
        <v xml:space="preserve"> </v>
      </c>
      <c r="T157" s="42" t="str">
        <f>IFERROR(VLOOKUP($J157,'Project Reference'!$B$2:$G$41,6,FALSE)," ")</f>
        <v xml:space="preserve"> </v>
      </c>
      <c r="U157" s="42" t="str">
        <f>IFERROR(VLOOKUP($J157,'Project Reference'!$B$2:$H$41,7,FALSE)," ")</f>
        <v xml:space="preserve"> </v>
      </c>
      <c r="V157" s="42" t="str">
        <f>IFERROR(VLOOKUP($J157,'Project Reference'!$B$2:$I$41,8,FALSE)," ")</f>
        <v xml:space="preserve"> </v>
      </c>
      <c r="W157" s="42" t="str">
        <f>IFERROR(VLOOKUP($J157,'Project Reference'!$B$2:$J$41,9,FALSE)," ")</f>
        <v xml:space="preserve"> </v>
      </c>
      <c r="X157" s="42" t="str">
        <f>IFERROR(VLOOKUP($J157,'Project Reference'!$B$2:$K$41,10)," ")</f>
        <v xml:space="preserve"> </v>
      </c>
      <c r="Y157" s="42" t="str">
        <f>IFERROR(VLOOKUP($J157,'Project Reference'!$B$2:$L$41,11)," ")</f>
        <v xml:space="preserve"> </v>
      </c>
      <c r="Z157" s="42" t="str">
        <f>IFERROR(VLOOKUP($J157,'Project Reference'!$B$2:$M$41,12)," ")</f>
        <v xml:space="preserve"> </v>
      </c>
      <c r="AA157" s="42" t="str">
        <f>IFERROR(VLOOKUP($J157,'Project Reference'!$B$2:$N$41,13)," ")</f>
        <v xml:space="preserve"> </v>
      </c>
    </row>
    <row r="158" spans="1:27" s="1" customFormat="1" x14ac:dyDescent="0.45">
      <c r="A158" s="43"/>
      <c r="B158" s="205"/>
      <c r="C158"/>
      <c r="D158" s="72"/>
      <c r="E158" s="72"/>
      <c r="F158" s="72"/>
      <c r="G158" s="72"/>
      <c r="H158" s="17"/>
      <c r="I158" s="41" t="str" cm="1">
        <f t="array" ref="I158">IFERROR(_xlfn.IFS(H158="Hard (Cash)","N/A",H158="Soft (In-Kind)", "Enter Source"),"Select Type")</f>
        <v>Select Type</v>
      </c>
      <c r="J158" s="124"/>
      <c r="K158" s="41" t="str">
        <f>IFERROR(VLOOKUP($J158,'Project Reference'!$S$2:$T$41,2),"Enter Project Number")</f>
        <v>Enter Project Number</v>
      </c>
      <c r="L158" s="41"/>
      <c r="M158" s="41"/>
      <c r="N158" s="15">
        <f t="shared" si="2"/>
        <v>0</v>
      </c>
      <c r="O158" s="19"/>
      <c r="P158" s="42" t="str">
        <f>IFERROR(VLOOKUP($J158,'Project Reference'!$B$2:$C$41,2)," ")</f>
        <v xml:space="preserve"> </v>
      </c>
      <c r="Q158" s="42" t="str">
        <f>IFERROR(VLOOKUP($J158,'Project Reference'!$B$2:$D$41,3)," ")</f>
        <v xml:space="preserve"> </v>
      </c>
      <c r="R158" s="42" t="str">
        <f>IFERROR(VLOOKUP($J158,'Project Reference'!$B$2:$E$41,4)," ")</f>
        <v xml:space="preserve"> </v>
      </c>
      <c r="S158" s="42" t="str">
        <f>IFERROR(VLOOKUP($J158,'Project Reference'!$B$2:$F$41,5,FALSE)," ")</f>
        <v xml:space="preserve"> </v>
      </c>
      <c r="T158" s="42" t="str">
        <f>IFERROR(VLOOKUP($J158,'Project Reference'!$B$2:$G$41,6,FALSE)," ")</f>
        <v xml:space="preserve"> </v>
      </c>
      <c r="U158" s="42" t="str">
        <f>IFERROR(VLOOKUP($J158,'Project Reference'!$B$2:$H$41,7,FALSE)," ")</f>
        <v xml:space="preserve"> </v>
      </c>
      <c r="V158" s="42" t="str">
        <f>IFERROR(VLOOKUP($J158,'Project Reference'!$B$2:$I$41,8,FALSE)," ")</f>
        <v xml:space="preserve"> </v>
      </c>
      <c r="W158" s="42" t="str">
        <f>IFERROR(VLOOKUP($J158,'Project Reference'!$B$2:$J$41,9,FALSE)," ")</f>
        <v xml:space="preserve"> </v>
      </c>
      <c r="X158" s="42" t="str">
        <f>IFERROR(VLOOKUP($J158,'Project Reference'!$B$2:$K$41,10)," ")</f>
        <v xml:space="preserve"> </v>
      </c>
      <c r="Y158" s="42" t="str">
        <f>IFERROR(VLOOKUP($J158,'Project Reference'!$B$2:$L$41,11)," ")</f>
        <v xml:space="preserve"> </v>
      </c>
      <c r="Z158" s="42" t="str">
        <f>IFERROR(VLOOKUP($J158,'Project Reference'!$B$2:$M$41,12)," ")</f>
        <v xml:space="preserve"> </v>
      </c>
      <c r="AA158" s="42" t="str">
        <f>IFERROR(VLOOKUP($J158,'Project Reference'!$B$2:$N$41,13)," ")</f>
        <v xml:space="preserve"> </v>
      </c>
    </row>
    <row r="159" spans="1:27" s="1" customFormat="1" x14ac:dyDescent="0.45">
      <c r="A159" s="43"/>
      <c r="B159" s="205"/>
      <c r="C159"/>
      <c r="D159" s="72"/>
      <c r="E159" s="72"/>
      <c r="F159" s="72"/>
      <c r="G159" s="72"/>
      <c r="H159" s="17"/>
      <c r="I159" s="41" t="str" cm="1">
        <f t="array" ref="I159">IFERROR(_xlfn.IFS(H159="Hard (Cash)","N/A",H159="Soft (In-Kind)", "Enter Source"),"Select Type")</f>
        <v>Select Type</v>
      </c>
      <c r="J159" s="124"/>
      <c r="K159" s="41" t="str">
        <f>IFERROR(VLOOKUP($J159,'Project Reference'!$S$2:$T$41,2),"Enter Project Number")</f>
        <v>Enter Project Number</v>
      </c>
      <c r="L159" s="41"/>
      <c r="M159" s="41"/>
      <c r="N159" s="15">
        <f t="shared" si="2"/>
        <v>0</v>
      </c>
      <c r="O159" s="19"/>
      <c r="P159" s="42" t="str">
        <f>IFERROR(VLOOKUP($J159,'Project Reference'!$B$2:$C$41,2)," ")</f>
        <v xml:space="preserve"> </v>
      </c>
      <c r="Q159" s="42" t="str">
        <f>IFERROR(VLOOKUP($J159,'Project Reference'!$B$2:$D$41,3)," ")</f>
        <v xml:space="preserve"> </v>
      </c>
      <c r="R159" s="42" t="str">
        <f>IFERROR(VLOOKUP($J159,'Project Reference'!$B$2:$E$41,4)," ")</f>
        <v xml:space="preserve"> </v>
      </c>
      <c r="S159" s="42" t="str">
        <f>IFERROR(VLOOKUP($J159,'Project Reference'!$B$2:$F$41,5,FALSE)," ")</f>
        <v xml:space="preserve"> </v>
      </c>
      <c r="T159" s="42" t="str">
        <f>IFERROR(VLOOKUP($J159,'Project Reference'!$B$2:$G$41,6,FALSE)," ")</f>
        <v xml:space="preserve"> </v>
      </c>
      <c r="U159" s="42" t="str">
        <f>IFERROR(VLOOKUP($J159,'Project Reference'!$B$2:$H$41,7,FALSE)," ")</f>
        <v xml:space="preserve"> </v>
      </c>
      <c r="V159" s="42" t="str">
        <f>IFERROR(VLOOKUP($J159,'Project Reference'!$B$2:$I$41,8,FALSE)," ")</f>
        <v xml:space="preserve"> </v>
      </c>
      <c r="W159" s="42" t="str">
        <f>IFERROR(VLOOKUP($J159,'Project Reference'!$B$2:$J$41,9,FALSE)," ")</f>
        <v xml:space="preserve"> </v>
      </c>
      <c r="X159" s="42" t="str">
        <f>IFERROR(VLOOKUP($J159,'Project Reference'!$B$2:$K$41,10)," ")</f>
        <v xml:space="preserve"> </v>
      </c>
      <c r="Y159" s="42" t="str">
        <f>IFERROR(VLOOKUP($J159,'Project Reference'!$B$2:$L$41,11)," ")</f>
        <v xml:space="preserve"> </v>
      </c>
      <c r="Z159" s="42" t="str">
        <f>IFERROR(VLOOKUP($J159,'Project Reference'!$B$2:$M$41,12)," ")</f>
        <v xml:space="preserve"> </v>
      </c>
      <c r="AA159" s="42" t="str">
        <f>IFERROR(VLOOKUP($J159,'Project Reference'!$B$2:$N$41,13)," ")</f>
        <v xml:space="preserve"> </v>
      </c>
    </row>
    <row r="160" spans="1:27" s="1" customFormat="1" x14ac:dyDescent="0.45">
      <c r="A160" s="43"/>
      <c r="B160" s="205"/>
      <c r="C160"/>
      <c r="D160" s="72"/>
      <c r="E160" s="72"/>
      <c r="F160" s="72"/>
      <c r="G160" s="72"/>
      <c r="H160" s="17"/>
      <c r="I160" s="41" t="str" cm="1">
        <f t="array" ref="I160">IFERROR(_xlfn.IFS(H160="Hard (Cash)","N/A",H160="Soft (In-Kind)", "Enter Source"),"Select Type")</f>
        <v>Select Type</v>
      </c>
      <c r="J160" s="124"/>
      <c r="K160" s="41" t="str">
        <f>IFERROR(VLOOKUP($J160,'Project Reference'!$S$2:$T$41,2),"Enter Project Number")</f>
        <v>Enter Project Number</v>
      </c>
      <c r="L160" s="41"/>
      <c r="M160" s="41"/>
      <c r="N160" s="15">
        <f t="shared" si="2"/>
        <v>0</v>
      </c>
      <c r="O160" s="19"/>
      <c r="P160" s="42" t="str">
        <f>IFERROR(VLOOKUP($J160,'Project Reference'!$B$2:$C$41,2)," ")</f>
        <v xml:space="preserve"> </v>
      </c>
      <c r="Q160" s="42" t="str">
        <f>IFERROR(VLOOKUP($J160,'Project Reference'!$B$2:$D$41,3)," ")</f>
        <v xml:space="preserve"> </v>
      </c>
      <c r="R160" s="42" t="str">
        <f>IFERROR(VLOOKUP($J160,'Project Reference'!$B$2:$E$41,4)," ")</f>
        <v xml:space="preserve"> </v>
      </c>
      <c r="S160" s="42" t="str">
        <f>IFERROR(VLOOKUP($J160,'Project Reference'!$B$2:$F$41,5,FALSE)," ")</f>
        <v xml:space="preserve"> </v>
      </c>
      <c r="T160" s="42" t="str">
        <f>IFERROR(VLOOKUP($J160,'Project Reference'!$B$2:$G$41,6,FALSE)," ")</f>
        <v xml:space="preserve"> </v>
      </c>
      <c r="U160" s="42" t="str">
        <f>IFERROR(VLOOKUP($J160,'Project Reference'!$B$2:$H$41,7,FALSE)," ")</f>
        <v xml:space="preserve"> </v>
      </c>
      <c r="V160" s="42" t="str">
        <f>IFERROR(VLOOKUP($J160,'Project Reference'!$B$2:$I$41,8,FALSE)," ")</f>
        <v xml:space="preserve"> </v>
      </c>
      <c r="W160" s="42" t="str">
        <f>IFERROR(VLOOKUP($J160,'Project Reference'!$B$2:$J$41,9,FALSE)," ")</f>
        <v xml:space="preserve"> </v>
      </c>
      <c r="X160" s="42" t="str">
        <f>IFERROR(VLOOKUP($J160,'Project Reference'!$B$2:$K$41,10)," ")</f>
        <v xml:space="preserve"> </v>
      </c>
      <c r="Y160" s="42" t="str">
        <f>IFERROR(VLOOKUP($J160,'Project Reference'!$B$2:$L$41,11)," ")</f>
        <v xml:space="preserve"> </v>
      </c>
      <c r="Z160" s="42" t="str">
        <f>IFERROR(VLOOKUP($J160,'Project Reference'!$B$2:$M$41,12)," ")</f>
        <v xml:space="preserve"> </v>
      </c>
      <c r="AA160" s="42" t="str">
        <f>IFERROR(VLOOKUP($J160,'Project Reference'!$B$2:$N$41,13)," ")</f>
        <v xml:space="preserve"> </v>
      </c>
    </row>
    <row r="161" spans="1:27" s="1" customFormat="1" x14ac:dyDescent="0.45">
      <c r="A161" s="43"/>
      <c r="B161" s="205"/>
      <c r="C161"/>
      <c r="D161" s="72"/>
      <c r="E161" s="72"/>
      <c r="F161" s="72"/>
      <c r="G161" s="72"/>
      <c r="H161" s="17"/>
      <c r="I161" s="41" t="str" cm="1">
        <f t="array" ref="I161">IFERROR(_xlfn.IFS(H161="Hard (Cash)","N/A",H161="Soft (In-Kind)", "Enter Source"),"Select Type")</f>
        <v>Select Type</v>
      </c>
      <c r="J161" s="124"/>
      <c r="K161" s="41" t="str">
        <f>IFERROR(VLOOKUP($J161,'Project Reference'!$S$2:$T$41,2),"Enter Project Number")</f>
        <v>Enter Project Number</v>
      </c>
      <c r="L161" s="41"/>
      <c r="M161" s="41"/>
      <c r="N161" s="15">
        <f t="shared" si="2"/>
        <v>0</v>
      </c>
      <c r="O161" s="19"/>
      <c r="P161" s="42" t="str">
        <f>IFERROR(VLOOKUP($J161,'Project Reference'!$B$2:$C$41,2)," ")</f>
        <v xml:space="preserve"> </v>
      </c>
      <c r="Q161" s="42" t="str">
        <f>IFERROR(VLOOKUP($J161,'Project Reference'!$B$2:$D$41,3)," ")</f>
        <v xml:space="preserve"> </v>
      </c>
      <c r="R161" s="42" t="str">
        <f>IFERROR(VLOOKUP($J161,'Project Reference'!$B$2:$E$41,4)," ")</f>
        <v xml:space="preserve"> </v>
      </c>
      <c r="S161" s="42" t="str">
        <f>IFERROR(VLOOKUP($J161,'Project Reference'!$B$2:$F$41,5,FALSE)," ")</f>
        <v xml:space="preserve"> </v>
      </c>
      <c r="T161" s="42" t="str">
        <f>IFERROR(VLOOKUP($J161,'Project Reference'!$B$2:$G$41,6,FALSE)," ")</f>
        <v xml:space="preserve"> </v>
      </c>
      <c r="U161" s="42" t="str">
        <f>IFERROR(VLOOKUP($J161,'Project Reference'!$B$2:$H$41,7,FALSE)," ")</f>
        <v xml:space="preserve"> </v>
      </c>
      <c r="V161" s="42" t="str">
        <f>IFERROR(VLOOKUP($J161,'Project Reference'!$B$2:$I$41,8,FALSE)," ")</f>
        <v xml:space="preserve"> </v>
      </c>
      <c r="W161" s="42" t="str">
        <f>IFERROR(VLOOKUP($J161,'Project Reference'!$B$2:$J$41,9,FALSE)," ")</f>
        <v xml:space="preserve"> </v>
      </c>
      <c r="X161" s="42" t="str">
        <f>IFERROR(VLOOKUP($J161,'Project Reference'!$B$2:$K$41,10)," ")</f>
        <v xml:space="preserve"> </v>
      </c>
      <c r="Y161" s="42" t="str">
        <f>IFERROR(VLOOKUP($J161,'Project Reference'!$B$2:$L$41,11)," ")</f>
        <v xml:space="preserve"> </v>
      </c>
      <c r="Z161" s="42" t="str">
        <f>IFERROR(VLOOKUP($J161,'Project Reference'!$B$2:$M$41,12)," ")</f>
        <v xml:space="preserve"> </v>
      </c>
      <c r="AA161" s="42" t="str">
        <f>IFERROR(VLOOKUP($J161,'Project Reference'!$B$2:$N$41,13)," ")</f>
        <v xml:space="preserve"> </v>
      </c>
    </row>
    <row r="162" spans="1:27" s="1" customFormat="1" x14ac:dyDescent="0.45">
      <c r="A162" s="43"/>
      <c r="B162" s="205"/>
      <c r="C162"/>
      <c r="D162" s="72"/>
      <c r="E162" s="72"/>
      <c r="F162" s="72"/>
      <c r="G162" s="72"/>
      <c r="H162" s="17"/>
      <c r="I162" s="41" t="str" cm="1">
        <f t="array" ref="I162">IFERROR(_xlfn.IFS(H162="Hard (Cash)","N/A",H162="Soft (In-Kind)", "Enter Source"),"Select Type")</f>
        <v>Select Type</v>
      </c>
      <c r="J162" s="124"/>
      <c r="K162" s="41" t="str">
        <f>IFERROR(VLOOKUP($J162,'Project Reference'!$S$2:$T$41,2),"Enter Project Number")</f>
        <v>Enter Project Number</v>
      </c>
      <c r="L162" s="41"/>
      <c r="M162" s="41"/>
      <c r="N162" s="15">
        <f t="shared" si="2"/>
        <v>0</v>
      </c>
      <c r="O162" s="19"/>
      <c r="P162" s="42" t="str">
        <f>IFERROR(VLOOKUP($J162,'Project Reference'!$B$2:$C$41,2)," ")</f>
        <v xml:space="preserve"> </v>
      </c>
      <c r="Q162" s="42" t="str">
        <f>IFERROR(VLOOKUP($J162,'Project Reference'!$B$2:$D$41,3)," ")</f>
        <v xml:space="preserve"> </v>
      </c>
      <c r="R162" s="42" t="str">
        <f>IFERROR(VLOOKUP($J162,'Project Reference'!$B$2:$E$41,4)," ")</f>
        <v xml:space="preserve"> </v>
      </c>
      <c r="S162" s="42" t="str">
        <f>IFERROR(VLOOKUP($J162,'Project Reference'!$B$2:$F$41,5,FALSE)," ")</f>
        <v xml:space="preserve"> </v>
      </c>
      <c r="T162" s="42" t="str">
        <f>IFERROR(VLOOKUP($J162,'Project Reference'!$B$2:$G$41,6,FALSE)," ")</f>
        <v xml:space="preserve"> </v>
      </c>
      <c r="U162" s="42" t="str">
        <f>IFERROR(VLOOKUP($J162,'Project Reference'!$B$2:$H$41,7,FALSE)," ")</f>
        <v xml:space="preserve"> </v>
      </c>
      <c r="V162" s="42" t="str">
        <f>IFERROR(VLOOKUP($J162,'Project Reference'!$B$2:$I$41,8,FALSE)," ")</f>
        <v xml:space="preserve"> </v>
      </c>
      <c r="W162" s="42" t="str">
        <f>IFERROR(VLOOKUP($J162,'Project Reference'!$B$2:$J$41,9,FALSE)," ")</f>
        <v xml:space="preserve"> </v>
      </c>
      <c r="X162" s="42" t="str">
        <f>IFERROR(VLOOKUP($J162,'Project Reference'!$B$2:$K$41,10)," ")</f>
        <v xml:space="preserve"> </v>
      </c>
      <c r="Y162" s="42" t="str">
        <f>IFERROR(VLOOKUP($J162,'Project Reference'!$B$2:$L$41,11)," ")</f>
        <v xml:space="preserve"> </v>
      </c>
      <c r="Z162" s="42" t="str">
        <f>IFERROR(VLOOKUP($J162,'Project Reference'!$B$2:$M$41,12)," ")</f>
        <v xml:space="preserve"> </v>
      </c>
      <c r="AA162" s="42" t="str">
        <f>IFERROR(VLOOKUP($J162,'Project Reference'!$B$2:$N$41,13)," ")</f>
        <v xml:space="preserve"> </v>
      </c>
    </row>
    <row r="163" spans="1:27" s="1" customFormat="1" x14ac:dyDescent="0.45">
      <c r="A163" s="43"/>
      <c r="B163" s="205"/>
      <c r="C163"/>
      <c r="D163" s="72"/>
      <c r="E163" s="72"/>
      <c r="F163" s="72"/>
      <c r="G163" s="72"/>
      <c r="H163" s="17"/>
      <c r="I163" s="41" t="str" cm="1">
        <f t="array" ref="I163">IFERROR(_xlfn.IFS(H163="Hard (Cash)","N/A",H163="Soft (In-Kind)", "Enter Source"),"Select Type")</f>
        <v>Select Type</v>
      </c>
      <c r="J163" s="124"/>
      <c r="K163" s="41" t="str">
        <f>IFERROR(VLOOKUP($J163,'Project Reference'!$S$2:$T$41,2),"Enter Project Number")</f>
        <v>Enter Project Number</v>
      </c>
      <c r="L163" s="41"/>
      <c r="M163" s="41"/>
      <c r="N163" s="15">
        <f t="shared" si="2"/>
        <v>0</v>
      </c>
      <c r="O163" s="19"/>
      <c r="P163" s="42" t="str">
        <f>IFERROR(VLOOKUP($J163,'Project Reference'!$B$2:$C$41,2)," ")</f>
        <v xml:space="preserve"> </v>
      </c>
      <c r="Q163" s="42" t="str">
        <f>IFERROR(VLOOKUP($J163,'Project Reference'!$B$2:$D$41,3)," ")</f>
        <v xml:space="preserve"> </v>
      </c>
      <c r="R163" s="42" t="str">
        <f>IFERROR(VLOOKUP($J163,'Project Reference'!$B$2:$E$41,4)," ")</f>
        <v xml:space="preserve"> </v>
      </c>
      <c r="S163" s="42" t="str">
        <f>IFERROR(VLOOKUP($J163,'Project Reference'!$B$2:$F$41,5,FALSE)," ")</f>
        <v xml:space="preserve"> </v>
      </c>
      <c r="T163" s="42" t="str">
        <f>IFERROR(VLOOKUP($J163,'Project Reference'!$B$2:$G$41,6,FALSE)," ")</f>
        <v xml:space="preserve"> </v>
      </c>
      <c r="U163" s="42" t="str">
        <f>IFERROR(VLOOKUP($J163,'Project Reference'!$B$2:$H$41,7,FALSE)," ")</f>
        <v xml:space="preserve"> </v>
      </c>
      <c r="V163" s="42" t="str">
        <f>IFERROR(VLOOKUP($J163,'Project Reference'!$B$2:$I$41,8,FALSE)," ")</f>
        <v xml:space="preserve"> </v>
      </c>
      <c r="W163" s="42" t="str">
        <f>IFERROR(VLOOKUP($J163,'Project Reference'!$B$2:$J$41,9,FALSE)," ")</f>
        <v xml:space="preserve"> </v>
      </c>
      <c r="X163" s="42" t="str">
        <f>IFERROR(VLOOKUP($J163,'Project Reference'!$B$2:$K$41,10)," ")</f>
        <v xml:space="preserve"> </v>
      </c>
      <c r="Y163" s="42" t="str">
        <f>IFERROR(VLOOKUP($J163,'Project Reference'!$B$2:$L$41,11)," ")</f>
        <v xml:space="preserve"> </v>
      </c>
      <c r="Z163" s="42" t="str">
        <f>IFERROR(VLOOKUP($J163,'Project Reference'!$B$2:$M$41,12)," ")</f>
        <v xml:space="preserve"> </v>
      </c>
      <c r="AA163" s="42" t="str">
        <f>IFERROR(VLOOKUP($J163,'Project Reference'!$B$2:$N$41,13)," ")</f>
        <v xml:space="preserve"> </v>
      </c>
    </row>
    <row r="164" spans="1:27" s="1" customFormat="1" x14ac:dyDescent="0.45">
      <c r="A164" s="43"/>
      <c r="B164" s="205"/>
      <c r="C164"/>
      <c r="D164" s="72"/>
      <c r="E164" s="72"/>
      <c r="F164" s="72"/>
      <c r="G164" s="72"/>
      <c r="H164" s="17"/>
      <c r="I164" s="41" t="str" cm="1">
        <f t="array" ref="I164">IFERROR(_xlfn.IFS(H164="Hard (Cash)","N/A",H164="Soft (In-Kind)", "Enter Source"),"Select Type")</f>
        <v>Select Type</v>
      </c>
      <c r="J164" s="124"/>
      <c r="K164" s="41" t="str">
        <f>IFERROR(VLOOKUP($J164,'Project Reference'!$S$2:$T$41,2),"Enter Project Number")</f>
        <v>Enter Project Number</v>
      </c>
      <c r="L164" s="41"/>
      <c r="M164" s="41"/>
      <c r="N164" s="15">
        <f t="shared" si="2"/>
        <v>0</v>
      </c>
      <c r="O164" s="19"/>
      <c r="P164" s="42" t="str">
        <f>IFERROR(VLOOKUP($J164,'Project Reference'!$B$2:$C$41,2)," ")</f>
        <v xml:space="preserve"> </v>
      </c>
      <c r="Q164" s="42" t="str">
        <f>IFERROR(VLOOKUP($J164,'Project Reference'!$B$2:$D$41,3)," ")</f>
        <v xml:space="preserve"> </v>
      </c>
      <c r="R164" s="42" t="str">
        <f>IFERROR(VLOOKUP($J164,'Project Reference'!$B$2:$E$41,4)," ")</f>
        <v xml:space="preserve"> </v>
      </c>
      <c r="S164" s="42" t="str">
        <f>IFERROR(VLOOKUP($J164,'Project Reference'!$B$2:$F$41,5,FALSE)," ")</f>
        <v xml:space="preserve"> </v>
      </c>
      <c r="T164" s="42" t="str">
        <f>IFERROR(VLOOKUP($J164,'Project Reference'!$B$2:$G$41,6,FALSE)," ")</f>
        <v xml:space="preserve"> </v>
      </c>
      <c r="U164" s="42" t="str">
        <f>IFERROR(VLOOKUP($J164,'Project Reference'!$B$2:$H$41,7,FALSE)," ")</f>
        <v xml:space="preserve"> </v>
      </c>
      <c r="V164" s="42" t="str">
        <f>IFERROR(VLOOKUP($J164,'Project Reference'!$B$2:$I$41,8,FALSE)," ")</f>
        <v xml:space="preserve"> </v>
      </c>
      <c r="W164" s="42" t="str">
        <f>IFERROR(VLOOKUP($J164,'Project Reference'!$B$2:$J$41,9,FALSE)," ")</f>
        <v xml:space="preserve"> </v>
      </c>
      <c r="X164" s="42" t="str">
        <f>IFERROR(VLOOKUP($J164,'Project Reference'!$B$2:$K$41,10)," ")</f>
        <v xml:space="preserve"> </v>
      </c>
      <c r="Y164" s="42" t="str">
        <f>IFERROR(VLOOKUP($J164,'Project Reference'!$B$2:$L$41,11)," ")</f>
        <v xml:space="preserve"> </v>
      </c>
      <c r="Z164" s="42" t="str">
        <f>IFERROR(VLOOKUP($J164,'Project Reference'!$B$2:$M$41,12)," ")</f>
        <v xml:space="preserve"> </v>
      </c>
      <c r="AA164" s="42" t="str">
        <f>IFERROR(VLOOKUP($J164,'Project Reference'!$B$2:$N$41,13)," ")</f>
        <v xml:space="preserve"> </v>
      </c>
    </row>
    <row r="165" spans="1:27" s="1" customFormat="1" x14ac:dyDescent="0.45">
      <c r="A165" s="43"/>
      <c r="B165" s="205"/>
      <c r="C165"/>
      <c r="D165" s="72"/>
      <c r="E165" s="72"/>
      <c r="F165" s="72"/>
      <c r="G165" s="72"/>
      <c r="H165" s="17"/>
      <c r="I165" s="41" t="str" cm="1">
        <f t="array" ref="I165">IFERROR(_xlfn.IFS(H165="Hard (Cash)","N/A",H165="Soft (In-Kind)", "Enter Source"),"Select Type")</f>
        <v>Select Type</v>
      </c>
      <c r="J165" s="124"/>
      <c r="K165" s="41" t="str">
        <f>IFERROR(VLOOKUP($J165,'Project Reference'!$S$2:$T$41,2),"Enter Project Number")</f>
        <v>Enter Project Number</v>
      </c>
      <c r="L165" s="41"/>
      <c r="M165" s="41"/>
      <c r="N165" s="15">
        <f t="shared" si="2"/>
        <v>0</v>
      </c>
      <c r="O165" s="19"/>
      <c r="P165" s="42" t="str">
        <f>IFERROR(VLOOKUP($J165,'Project Reference'!$B$2:$C$41,2)," ")</f>
        <v xml:space="preserve"> </v>
      </c>
      <c r="Q165" s="42" t="str">
        <f>IFERROR(VLOOKUP($J165,'Project Reference'!$B$2:$D$41,3)," ")</f>
        <v xml:space="preserve"> </v>
      </c>
      <c r="R165" s="42" t="str">
        <f>IFERROR(VLOOKUP($J165,'Project Reference'!$B$2:$E$41,4)," ")</f>
        <v xml:space="preserve"> </v>
      </c>
      <c r="S165" s="42" t="str">
        <f>IFERROR(VLOOKUP($J165,'Project Reference'!$B$2:$F$41,5,FALSE)," ")</f>
        <v xml:space="preserve"> </v>
      </c>
      <c r="T165" s="42" t="str">
        <f>IFERROR(VLOOKUP($J165,'Project Reference'!$B$2:$G$41,6,FALSE)," ")</f>
        <v xml:space="preserve"> </v>
      </c>
      <c r="U165" s="42" t="str">
        <f>IFERROR(VLOOKUP($J165,'Project Reference'!$B$2:$H$41,7,FALSE)," ")</f>
        <v xml:space="preserve"> </v>
      </c>
      <c r="V165" s="42" t="str">
        <f>IFERROR(VLOOKUP($J165,'Project Reference'!$B$2:$I$41,8,FALSE)," ")</f>
        <v xml:space="preserve"> </v>
      </c>
      <c r="W165" s="42" t="str">
        <f>IFERROR(VLOOKUP($J165,'Project Reference'!$B$2:$J$41,9,FALSE)," ")</f>
        <v xml:space="preserve"> </v>
      </c>
      <c r="X165" s="42" t="str">
        <f>IFERROR(VLOOKUP($J165,'Project Reference'!$B$2:$K$41,10)," ")</f>
        <v xml:space="preserve"> </v>
      </c>
      <c r="Y165" s="42" t="str">
        <f>IFERROR(VLOOKUP($J165,'Project Reference'!$B$2:$L$41,11)," ")</f>
        <v xml:space="preserve"> </v>
      </c>
      <c r="Z165" s="42" t="str">
        <f>IFERROR(VLOOKUP($J165,'Project Reference'!$B$2:$M$41,12)," ")</f>
        <v xml:space="preserve"> </v>
      </c>
      <c r="AA165" s="42" t="str">
        <f>IFERROR(VLOOKUP($J165,'Project Reference'!$B$2:$N$41,13)," ")</f>
        <v xml:space="preserve"> </v>
      </c>
    </row>
    <row r="166" spans="1:27" s="1" customFormat="1" x14ac:dyDescent="0.45">
      <c r="A166" s="43"/>
      <c r="B166" s="205"/>
      <c r="C166"/>
      <c r="D166" s="72"/>
      <c r="E166" s="72"/>
      <c r="F166" s="72"/>
      <c r="G166" s="72"/>
      <c r="H166" s="17"/>
      <c r="I166" s="41" t="str" cm="1">
        <f t="array" ref="I166">IFERROR(_xlfn.IFS(H166="Hard (Cash)","N/A",H166="Soft (In-Kind)", "Enter Source"),"Select Type")</f>
        <v>Select Type</v>
      </c>
      <c r="J166" s="124"/>
      <c r="K166" s="41" t="str">
        <f>IFERROR(VLOOKUP($J166,'Project Reference'!$S$2:$T$41,2),"Enter Project Number")</f>
        <v>Enter Project Number</v>
      </c>
      <c r="L166" s="41"/>
      <c r="M166" s="41"/>
      <c r="N166" s="15">
        <f t="shared" si="2"/>
        <v>0</v>
      </c>
      <c r="O166" s="19"/>
      <c r="P166" s="42" t="str">
        <f>IFERROR(VLOOKUP($J166,'Project Reference'!$B$2:$C$41,2)," ")</f>
        <v xml:space="preserve"> </v>
      </c>
      <c r="Q166" s="42" t="str">
        <f>IFERROR(VLOOKUP($J166,'Project Reference'!$B$2:$D$41,3)," ")</f>
        <v xml:space="preserve"> </v>
      </c>
      <c r="R166" s="42" t="str">
        <f>IFERROR(VLOOKUP($J166,'Project Reference'!$B$2:$E$41,4)," ")</f>
        <v xml:space="preserve"> </v>
      </c>
      <c r="S166" s="42" t="str">
        <f>IFERROR(VLOOKUP($J166,'Project Reference'!$B$2:$F$41,5,FALSE)," ")</f>
        <v xml:space="preserve"> </v>
      </c>
      <c r="T166" s="42" t="str">
        <f>IFERROR(VLOOKUP($J166,'Project Reference'!$B$2:$G$41,6,FALSE)," ")</f>
        <v xml:space="preserve"> </v>
      </c>
      <c r="U166" s="42" t="str">
        <f>IFERROR(VLOOKUP($J166,'Project Reference'!$B$2:$H$41,7,FALSE)," ")</f>
        <v xml:space="preserve"> </v>
      </c>
      <c r="V166" s="42" t="str">
        <f>IFERROR(VLOOKUP($J166,'Project Reference'!$B$2:$I$41,8,FALSE)," ")</f>
        <v xml:space="preserve"> </v>
      </c>
      <c r="W166" s="42" t="str">
        <f>IFERROR(VLOOKUP($J166,'Project Reference'!$B$2:$J$41,9,FALSE)," ")</f>
        <v xml:space="preserve"> </v>
      </c>
      <c r="X166" s="42" t="str">
        <f>IFERROR(VLOOKUP($J166,'Project Reference'!$B$2:$K$41,10)," ")</f>
        <v xml:space="preserve"> </v>
      </c>
      <c r="Y166" s="42" t="str">
        <f>IFERROR(VLOOKUP($J166,'Project Reference'!$B$2:$L$41,11)," ")</f>
        <v xml:space="preserve"> </v>
      </c>
      <c r="Z166" s="42" t="str">
        <f>IFERROR(VLOOKUP($J166,'Project Reference'!$B$2:$M$41,12)," ")</f>
        <v xml:space="preserve"> </v>
      </c>
      <c r="AA166" s="42" t="str">
        <f>IFERROR(VLOOKUP($J166,'Project Reference'!$B$2:$N$41,13)," ")</f>
        <v xml:space="preserve"> </v>
      </c>
    </row>
    <row r="167" spans="1:27" s="1" customFormat="1" x14ac:dyDescent="0.45">
      <c r="A167" s="43"/>
      <c r="B167" s="205"/>
      <c r="C167"/>
      <c r="D167" s="72"/>
      <c r="E167" s="72"/>
      <c r="F167" s="72"/>
      <c r="G167" s="72"/>
      <c r="H167" s="17"/>
      <c r="I167" s="41" t="str" cm="1">
        <f t="array" ref="I167">IFERROR(_xlfn.IFS(H167="Hard (Cash)","N/A",H167="Soft (In-Kind)", "Enter Source"),"Select Type")</f>
        <v>Select Type</v>
      </c>
      <c r="J167" s="124"/>
      <c r="K167" s="41" t="str">
        <f>IFERROR(VLOOKUP($J167,'Project Reference'!$S$2:$T$41,2),"Enter Project Number")</f>
        <v>Enter Project Number</v>
      </c>
      <c r="L167" s="41"/>
      <c r="M167" s="41"/>
      <c r="N167" s="15">
        <f t="shared" si="2"/>
        <v>0</v>
      </c>
      <c r="O167" s="19"/>
      <c r="P167" s="42" t="str">
        <f>IFERROR(VLOOKUP($J167,'Project Reference'!$B$2:$C$41,2)," ")</f>
        <v xml:space="preserve"> </v>
      </c>
      <c r="Q167" s="42" t="str">
        <f>IFERROR(VLOOKUP($J167,'Project Reference'!$B$2:$D$41,3)," ")</f>
        <v xml:space="preserve"> </v>
      </c>
      <c r="R167" s="42" t="str">
        <f>IFERROR(VLOOKUP($J167,'Project Reference'!$B$2:$E$41,4)," ")</f>
        <v xml:space="preserve"> </v>
      </c>
      <c r="S167" s="42" t="str">
        <f>IFERROR(VLOOKUP($J167,'Project Reference'!$B$2:$F$41,5,FALSE)," ")</f>
        <v xml:space="preserve"> </v>
      </c>
      <c r="T167" s="42" t="str">
        <f>IFERROR(VLOOKUP($J167,'Project Reference'!$B$2:$G$41,6,FALSE)," ")</f>
        <v xml:space="preserve"> </v>
      </c>
      <c r="U167" s="42" t="str">
        <f>IFERROR(VLOOKUP($J167,'Project Reference'!$B$2:$H$41,7,FALSE)," ")</f>
        <v xml:space="preserve"> </v>
      </c>
      <c r="V167" s="42" t="str">
        <f>IFERROR(VLOOKUP($J167,'Project Reference'!$B$2:$I$41,8,FALSE)," ")</f>
        <v xml:space="preserve"> </v>
      </c>
      <c r="W167" s="42" t="str">
        <f>IFERROR(VLOOKUP($J167,'Project Reference'!$B$2:$J$41,9,FALSE)," ")</f>
        <v xml:space="preserve"> </v>
      </c>
      <c r="X167" s="42" t="str">
        <f>IFERROR(VLOOKUP($J167,'Project Reference'!$B$2:$K$41,10)," ")</f>
        <v xml:space="preserve"> </v>
      </c>
      <c r="Y167" s="42" t="str">
        <f>IFERROR(VLOOKUP($J167,'Project Reference'!$B$2:$L$41,11)," ")</f>
        <v xml:space="preserve"> </v>
      </c>
      <c r="Z167" s="42" t="str">
        <f>IFERROR(VLOOKUP($J167,'Project Reference'!$B$2:$M$41,12)," ")</f>
        <v xml:space="preserve"> </v>
      </c>
      <c r="AA167" s="42" t="str">
        <f>IFERROR(VLOOKUP($J167,'Project Reference'!$B$2:$N$41,13)," ")</f>
        <v xml:space="preserve"> </v>
      </c>
    </row>
    <row r="168" spans="1:27" s="1" customFormat="1" x14ac:dyDescent="0.45">
      <c r="A168" s="43"/>
      <c r="B168" s="205"/>
      <c r="C168"/>
      <c r="D168" s="72"/>
      <c r="E168" s="72"/>
      <c r="F168" s="72"/>
      <c r="G168" s="72"/>
      <c r="H168" s="17"/>
      <c r="I168" s="41" t="str" cm="1">
        <f t="array" ref="I168">IFERROR(_xlfn.IFS(H168="Hard (Cash)","N/A",H168="Soft (In-Kind)", "Enter Source"),"Select Type")</f>
        <v>Select Type</v>
      </c>
      <c r="J168" s="124"/>
      <c r="K168" s="41" t="str">
        <f>IFERROR(VLOOKUP($J168,'Project Reference'!$S$2:$T$41,2),"Enter Project Number")</f>
        <v>Enter Project Number</v>
      </c>
      <c r="L168" s="41"/>
      <c r="M168" s="41"/>
      <c r="N168" s="15">
        <f t="shared" si="2"/>
        <v>0</v>
      </c>
      <c r="O168" s="19"/>
      <c r="P168" s="42" t="str">
        <f>IFERROR(VLOOKUP($J168,'Project Reference'!$B$2:$C$41,2)," ")</f>
        <v xml:space="preserve"> </v>
      </c>
      <c r="Q168" s="42" t="str">
        <f>IFERROR(VLOOKUP($J168,'Project Reference'!$B$2:$D$41,3)," ")</f>
        <v xml:space="preserve"> </v>
      </c>
      <c r="R168" s="42" t="str">
        <f>IFERROR(VLOOKUP($J168,'Project Reference'!$B$2:$E$41,4)," ")</f>
        <v xml:space="preserve"> </v>
      </c>
      <c r="S168" s="42" t="str">
        <f>IFERROR(VLOOKUP($J168,'Project Reference'!$B$2:$F$41,5,FALSE)," ")</f>
        <v xml:space="preserve"> </v>
      </c>
      <c r="T168" s="42" t="str">
        <f>IFERROR(VLOOKUP($J168,'Project Reference'!$B$2:$G$41,6,FALSE)," ")</f>
        <v xml:space="preserve"> </v>
      </c>
      <c r="U168" s="42" t="str">
        <f>IFERROR(VLOOKUP($J168,'Project Reference'!$B$2:$H$41,7,FALSE)," ")</f>
        <v xml:space="preserve"> </v>
      </c>
      <c r="V168" s="42" t="str">
        <f>IFERROR(VLOOKUP($J168,'Project Reference'!$B$2:$I$41,8,FALSE)," ")</f>
        <v xml:space="preserve"> </v>
      </c>
      <c r="W168" s="42" t="str">
        <f>IFERROR(VLOOKUP($J168,'Project Reference'!$B$2:$J$41,9,FALSE)," ")</f>
        <v xml:space="preserve"> </v>
      </c>
      <c r="X168" s="42" t="str">
        <f>IFERROR(VLOOKUP($J168,'Project Reference'!$B$2:$K$41,10)," ")</f>
        <v xml:space="preserve"> </v>
      </c>
      <c r="Y168" s="42" t="str">
        <f>IFERROR(VLOOKUP($J168,'Project Reference'!$B$2:$L$41,11)," ")</f>
        <v xml:space="preserve"> </v>
      </c>
      <c r="Z168" s="42" t="str">
        <f>IFERROR(VLOOKUP($J168,'Project Reference'!$B$2:$M$41,12)," ")</f>
        <v xml:space="preserve"> </v>
      </c>
      <c r="AA168" s="42" t="str">
        <f>IFERROR(VLOOKUP($J168,'Project Reference'!$B$2:$N$41,13)," ")</f>
        <v xml:space="preserve"> </v>
      </c>
    </row>
    <row r="169" spans="1:27" s="1" customFormat="1" x14ac:dyDescent="0.45">
      <c r="A169" s="43"/>
      <c r="B169" s="205"/>
      <c r="C169"/>
      <c r="D169" s="72"/>
      <c r="E169" s="72"/>
      <c r="F169" s="72"/>
      <c r="G169" s="72"/>
      <c r="H169" s="17"/>
      <c r="I169" s="41" t="str" cm="1">
        <f t="array" ref="I169">IFERROR(_xlfn.IFS(H169="Hard (Cash)","N/A",H169="Soft (In-Kind)", "Enter Source"),"Select Type")</f>
        <v>Select Type</v>
      </c>
      <c r="J169" s="124"/>
      <c r="K169" s="41" t="str">
        <f>IFERROR(VLOOKUP($J169,'Project Reference'!$S$2:$T$41,2),"Enter Project Number")</f>
        <v>Enter Project Number</v>
      </c>
      <c r="L169" s="41"/>
      <c r="M169" s="41"/>
      <c r="N169" s="15">
        <f t="shared" si="2"/>
        <v>0</v>
      </c>
      <c r="O169" s="19"/>
      <c r="P169" s="42" t="str">
        <f>IFERROR(VLOOKUP($J169,'Project Reference'!$B$2:$C$41,2)," ")</f>
        <v xml:space="preserve"> </v>
      </c>
      <c r="Q169" s="42" t="str">
        <f>IFERROR(VLOOKUP($J169,'Project Reference'!$B$2:$D$41,3)," ")</f>
        <v xml:space="preserve"> </v>
      </c>
      <c r="R169" s="42" t="str">
        <f>IFERROR(VLOOKUP($J169,'Project Reference'!$B$2:$E$41,4)," ")</f>
        <v xml:space="preserve"> </v>
      </c>
      <c r="S169" s="42" t="str">
        <f>IFERROR(VLOOKUP($J169,'Project Reference'!$B$2:$F$41,5,FALSE)," ")</f>
        <v xml:space="preserve"> </v>
      </c>
      <c r="T169" s="42" t="str">
        <f>IFERROR(VLOOKUP($J169,'Project Reference'!$B$2:$G$41,6,FALSE)," ")</f>
        <v xml:space="preserve"> </v>
      </c>
      <c r="U169" s="42" t="str">
        <f>IFERROR(VLOOKUP($J169,'Project Reference'!$B$2:$H$41,7,FALSE)," ")</f>
        <v xml:space="preserve"> </v>
      </c>
      <c r="V169" s="42" t="str">
        <f>IFERROR(VLOOKUP($J169,'Project Reference'!$B$2:$I$41,8,FALSE)," ")</f>
        <v xml:space="preserve"> </v>
      </c>
      <c r="W169" s="42" t="str">
        <f>IFERROR(VLOOKUP($J169,'Project Reference'!$B$2:$J$41,9,FALSE)," ")</f>
        <v xml:space="preserve"> </v>
      </c>
      <c r="X169" s="42" t="str">
        <f>IFERROR(VLOOKUP($J169,'Project Reference'!$B$2:$K$41,10)," ")</f>
        <v xml:space="preserve"> </v>
      </c>
      <c r="Y169" s="42" t="str">
        <f>IFERROR(VLOOKUP($J169,'Project Reference'!$B$2:$L$41,11)," ")</f>
        <v xml:space="preserve"> </v>
      </c>
      <c r="Z169" s="42" t="str">
        <f>IFERROR(VLOOKUP($J169,'Project Reference'!$B$2:$M$41,12)," ")</f>
        <v xml:space="preserve"> </v>
      </c>
      <c r="AA169" s="42" t="str">
        <f>IFERROR(VLOOKUP($J169,'Project Reference'!$B$2:$N$41,13)," ")</f>
        <v xml:space="preserve"> </v>
      </c>
    </row>
    <row r="170" spans="1:27" s="1" customFormat="1" x14ac:dyDescent="0.45">
      <c r="A170" s="43"/>
      <c r="B170" s="205"/>
      <c r="C170"/>
      <c r="D170" s="72"/>
      <c r="E170" s="72"/>
      <c r="F170" s="72"/>
      <c r="G170" s="72"/>
      <c r="H170" s="17"/>
      <c r="I170" s="41" t="str" cm="1">
        <f t="array" ref="I170">IFERROR(_xlfn.IFS(H170="Hard (Cash)","N/A",H170="Soft (In-Kind)", "Enter Source"),"Select Type")</f>
        <v>Select Type</v>
      </c>
      <c r="J170" s="124"/>
      <c r="K170" s="41" t="str">
        <f>IFERROR(VLOOKUP($J170,'Project Reference'!$S$2:$T$41,2),"Enter Project Number")</f>
        <v>Enter Project Number</v>
      </c>
      <c r="L170" s="41"/>
      <c r="M170" s="41"/>
      <c r="N170" s="15">
        <f t="shared" si="2"/>
        <v>0</v>
      </c>
      <c r="O170" s="19"/>
      <c r="P170" s="42" t="str">
        <f>IFERROR(VLOOKUP($J170,'Project Reference'!$B$2:$C$41,2)," ")</f>
        <v xml:space="preserve"> </v>
      </c>
      <c r="Q170" s="42" t="str">
        <f>IFERROR(VLOOKUP($J170,'Project Reference'!$B$2:$D$41,3)," ")</f>
        <v xml:space="preserve"> </v>
      </c>
      <c r="R170" s="42" t="str">
        <f>IFERROR(VLOOKUP($J170,'Project Reference'!$B$2:$E$41,4)," ")</f>
        <v xml:space="preserve"> </v>
      </c>
      <c r="S170" s="42" t="str">
        <f>IFERROR(VLOOKUP($J170,'Project Reference'!$B$2:$F$41,5,FALSE)," ")</f>
        <v xml:space="preserve"> </v>
      </c>
      <c r="T170" s="42" t="str">
        <f>IFERROR(VLOOKUP($J170,'Project Reference'!$B$2:$G$41,6,FALSE)," ")</f>
        <v xml:space="preserve"> </v>
      </c>
      <c r="U170" s="42" t="str">
        <f>IFERROR(VLOOKUP($J170,'Project Reference'!$B$2:$H$41,7,FALSE)," ")</f>
        <v xml:space="preserve"> </v>
      </c>
      <c r="V170" s="42" t="str">
        <f>IFERROR(VLOOKUP($J170,'Project Reference'!$B$2:$I$41,8,FALSE)," ")</f>
        <v xml:space="preserve"> </v>
      </c>
      <c r="W170" s="42" t="str">
        <f>IFERROR(VLOOKUP($J170,'Project Reference'!$B$2:$J$41,9,FALSE)," ")</f>
        <v xml:space="preserve"> </v>
      </c>
      <c r="X170" s="42" t="str">
        <f>IFERROR(VLOOKUP($J170,'Project Reference'!$B$2:$K$41,10)," ")</f>
        <v xml:space="preserve"> </v>
      </c>
      <c r="Y170" s="42" t="str">
        <f>IFERROR(VLOOKUP($J170,'Project Reference'!$B$2:$L$41,11)," ")</f>
        <v xml:space="preserve"> </v>
      </c>
      <c r="Z170" s="42" t="str">
        <f>IFERROR(VLOOKUP($J170,'Project Reference'!$B$2:$M$41,12)," ")</f>
        <v xml:space="preserve"> </v>
      </c>
      <c r="AA170" s="42" t="str">
        <f>IFERROR(VLOOKUP($J170,'Project Reference'!$B$2:$N$41,13)," ")</f>
        <v xml:space="preserve"> </v>
      </c>
    </row>
    <row r="171" spans="1:27" s="1" customFormat="1" x14ac:dyDescent="0.45">
      <c r="A171" s="43"/>
      <c r="B171" s="205"/>
      <c r="C171"/>
      <c r="D171" s="72"/>
      <c r="E171" s="72"/>
      <c r="F171" s="72"/>
      <c r="G171" s="72"/>
      <c r="H171" s="17"/>
      <c r="I171" s="41" t="str" cm="1">
        <f t="array" ref="I171">IFERROR(_xlfn.IFS(H171="Hard (Cash)","N/A",H171="Soft (In-Kind)", "Enter Source"),"Select Type")</f>
        <v>Select Type</v>
      </c>
      <c r="J171" s="124"/>
      <c r="K171" s="41" t="str">
        <f>IFERROR(VLOOKUP($J171,'Project Reference'!$S$2:$T$41,2),"Enter Project Number")</f>
        <v>Enter Project Number</v>
      </c>
      <c r="L171" s="41"/>
      <c r="M171" s="41"/>
      <c r="N171" s="15">
        <f t="shared" si="2"/>
        <v>0</v>
      </c>
      <c r="O171" s="19"/>
      <c r="P171" s="42" t="str">
        <f>IFERROR(VLOOKUP($J171,'Project Reference'!$B$2:$C$41,2)," ")</f>
        <v xml:space="preserve"> </v>
      </c>
      <c r="Q171" s="42" t="str">
        <f>IFERROR(VLOOKUP($J171,'Project Reference'!$B$2:$D$41,3)," ")</f>
        <v xml:space="preserve"> </v>
      </c>
      <c r="R171" s="42" t="str">
        <f>IFERROR(VLOOKUP($J171,'Project Reference'!$B$2:$E$41,4)," ")</f>
        <v xml:space="preserve"> </v>
      </c>
      <c r="S171" s="42" t="str">
        <f>IFERROR(VLOOKUP($J171,'Project Reference'!$B$2:$F$41,5,FALSE)," ")</f>
        <v xml:space="preserve"> </v>
      </c>
      <c r="T171" s="42" t="str">
        <f>IFERROR(VLOOKUP($J171,'Project Reference'!$B$2:$G$41,6,FALSE)," ")</f>
        <v xml:space="preserve"> </v>
      </c>
      <c r="U171" s="42" t="str">
        <f>IFERROR(VLOOKUP($J171,'Project Reference'!$B$2:$H$41,7,FALSE)," ")</f>
        <v xml:space="preserve"> </v>
      </c>
      <c r="V171" s="42" t="str">
        <f>IFERROR(VLOOKUP($J171,'Project Reference'!$B$2:$I$41,8,FALSE)," ")</f>
        <v xml:space="preserve"> </v>
      </c>
      <c r="W171" s="42" t="str">
        <f>IFERROR(VLOOKUP($J171,'Project Reference'!$B$2:$J$41,9,FALSE)," ")</f>
        <v xml:space="preserve"> </v>
      </c>
      <c r="X171" s="42" t="str">
        <f>IFERROR(VLOOKUP($J171,'Project Reference'!$B$2:$K$41,10)," ")</f>
        <v xml:space="preserve"> </v>
      </c>
      <c r="Y171" s="42" t="str">
        <f>IFERROR(VLOOKUP($J171,'Project Reference'!$B$2:$L$41,11)," ")</f>
        <v xml:space="preserve"> </v>
      </c>
      <c r="Z171" s="42" t="str">
        <f>IFERROR(VLOOKUP($J171,'Project Reference'!$B$2:$M$41,12)," ")</f>
        <v xml:space="preserve"> </v>
      </c>
      <c r="AA171" s="42" t="str">
        <f>IFERROR(VLOOKUP($J171,'Project Reference'!$B$2:$N$41,13)," ")</f>
        <v xml:space="preserve"> </v>
      </c>
    </row>
    <row r="172" spans="1:27" s="1" customFormat="1" x14ac:dyDescent="0.45">
      <c r="A172" s="43"/>
      <c r="B172" s="205"/>
      <c r="C172"/>
      <c r="D172" s="72"/>
      <c r="E172" s="72"/>
      <c r="F172" s="72"/>
      <c r="G172" s="72"/>
      <c r="H172" s="17"/>
      <c r="I172" s="41" t="str" cm="1">
        <f t="array" ref="I172">IFERROR(_xlfn.IFS(H172="Hard (Cash)","N/A",H172="Soft (In-Kind)", "Enter Source"),"Select Type")</f>
        <v>Select Type</v>
      </c>
      <c r="J172" s="124"/>
      <c r="K172" s="41" t="str">
        <f>IFERROR(VLOOKUP($J172,'Project Reference'!$S$2:$T$41,2),"Enter Project Number")</f>
        <v>Enter Project Number</v>
      </c>
      <c r="L172" s="41"/>
      <c r="M172" s="41"/>
      <c r="N172" s="15">
        <f t="shared" si="2"/>
        <v>0</v>
      </c>
      <c r="O172" s="19"/>
      <c r="P172" s="42" t="str">
        <f>IFERROR(VLOOKUP($J172,'Project Reference'!$B$2:$C$41,2)," ")</f>
        <v xml:space="preserve"> </v>
      </c>
      <c r="Q172" s="42" t="str">
        <f>IFERROR(VLOOKUP($J172,'Project Reference'!$B$2:$D$41,3)," ")</f>
        <v xml:space="preserve"> </v>
      </c>
      <c r="R172" s="42" t="str">
        <f>IFERROR(VLOOKUP($J172,'Project Reference'!$B$2:$E$41,4)," ")</f>
        <v xml:space="preserve"> </v>
      </c>
      <c r="S172" s="42" t="str">
        <f>IFERROR(VLOOKUP($J172,'Project Reference'!$B$2:$F$41,5,FALSE)," ")</f>
        <v xml:space="preserve"> </v>
      </c>
      <c r="T172" s="42" t="str">
        <f>IFERROR(VLOOKUP($J172,'Project Reference'!$B$2:$G$41,6,FALSE)," ")</f>
        <v xml:space="preserve"> </v>
      </c>
      <c r="U172" s="42" t="str">
        <f>IFERROR(VLOOKUP($J172,'Project Reference'!$B$2:$H$41,7,FALSE)," ")</f>
        <v xml:space="preserve"> </v>
      </c>
      <c r="V172" s="42" t="str">
        <f>IFERROR(VLOOKUP($J172,'Project Reference'!$B$2:$I$41,8,FALSE)," ")</f>
        <v xml:space="preserve"> </v>
      </c>
      <c r="W172" s="42" t="str">
        <f>IFERROR(VLOOKUP($J172,'Project Reference'!$B$2:$J$41,9,FALSE)," ")</f>
        <v xml:space="preserve"> </v>
      </c>
      <c r="X172" s="42" t="str">
        <f>IFERROR(VLOOKUP($J172,'Project Reference'!$B$2:$K$41,10)," ")</f>
        <v xml:space="preserve"> </v>
      </c>
      <c r="Y172" s="42" t="str">
        <f>IFERROR(VLOOKUP($J172,'Project Reference'!$B$2:$L$41,11)," ")</f>
        <v xml:space="preserve"> </v>
      </c>
      <c r="Z172" s="42" t="str">
        <f>IFERROR(VLOOKUP($J172,'Project Reference'!$B$2:$M$41,12)," ")</f>
        <v xml:space="preserve"> </v>
      </c>
      <c r="AA172" s="42" t="str">
        <f>IFERROR(VLOOKUP($J172,'Project Reference'!$B$2:$N$41,13)," ")</f>
        <v xml:space="preserve"> </v>
      </c>
    </row>
    <row r="173" spans="1:27" s="1" customFormat="1" x14ac:dyDescent="0.45">
      <c r="A173" s="43"/>
      <c r="B173" s="205"/>
      <c r="C173"/>
      <c r="D173" s="72"/>
      <c r="E173" s="72"/>
      <c r="F173" s="72"/>
      <c r="G173" s="72"/>
      <c r="H173" s="17"/>
      <c r="I173" s="41" t="str" cm="1">
        <f t="array" ref="I173">IFERROR(_xlfn.IFS(H173="Hard (Cash)","N/A",H173="Soft (In-Kind)", "Enter Source"),"Select Type")</f>
        <v>Select Type</v>
      </c>
      <c r="J173" s="124"/>
      <c r="K173" s="41" t="str">
        <f>IFERROR(VLOOKUP($J173,'Project Reference'!$S$2:$T$41,2),"Enter Project Number")</f>
        <v>Enter Project Number</v>
      </c>
      <c r="L173" s="41"/>
      <c r="M173" s="41"/>
      <c r="N173" s="15">
        <f t="shared" si="2"/>
        <v>0</v>
      </c>
      <c r="O173" s="19"/>
      <c r="P173" s="42" t="str">
        <f>IFERROR(VLOOKUP($J173,'Project Reference'!$B$2:$C$41,2)," ")</f>
        <v xml:space="preserve"> </v>
      </c>
      <c r="Q173" s="42" t="str">
        <f>IFERROR(VLOOKUP($J173,'Project Reference'!$B$2:$D$41,3)," ")</f>
        <v xml:space="preserve"> </v>
      </c>
      <c r="R173" s="42" t="str">
        <f>IFERROR(VLOOKUP($J173,'Project Reference'!$B$2:$E$41,4)," ")</f>
        <v xml:space="preserve"> </v>
      </c>
      <c r="S173" s="42" t="str">
        <f>IFERROR(VLOOKUP($J173,'Project Reference'!$B$2:$F$41,5,FALSE)," ")</f>
        <v xml:space="preserve"> </v>
      </c>
      <c r="T173" s="42" t="str">
        <f>IFERROR(VLOOKUP($J173,'Project Reference'!$B$2:$G$41,6,FALSE)," ")</f>
        <v xml:space="preserve"> </v>
      </c>
      <c r="U173" s="42" t="str">
        <f>IFERROR(VLOOKUP($J173,'Project Reference'!$B$2:$H$41,7,FALSE)," ")</f>
        <v xml:space="preserve"> </v>
      </c>
      <c r="V173" s="42" t="str">
        <f>IFERROR(VLOOKUP($J173,'Project Reference'!$B$2:$I$41,8,FALSE)," ")</f>
        <v xml:space="preserve"> </v>
      </c>
      <c r="W173" s="42" t="str">
        <f>IFERROR(VLOOKUP($J173,'Project Reference'!$B$2:$J$41,9,FALSE)," ")</f>
        <v xml:space="preserve"> </v>
      </c>
      <c r="X173" s="42" t="str">
        <f>IFERROR(VLOOKUP($J173,'Project Reference'!$B$2:$K$41,10)," ")</f>
        <v xml:space="preserve"> </v>
      </c>
      <c r="Y173" s="42" t="str">
        <f>IFERROR(VLOOKUP($J173,'Project Reference'!$B$2:$L$41,11)," ")</f>
        <v xml:space="preserve"> </v>
      </c>
      <c r="Z173" s="42" t="str">
        <f>IFERROR(VLOOKUP($J173,'Project Reference'!$B$2:$M$41,12)," ")</f>
        <v xml:space="preserve"> </v>
      </c>
      <c r="AA173" s="42" t="str">
        <f>IFERROR(VLOOKUP($J173,'Project Reference'!$B$2:$N$41,13)," ")</f>
        <v xml:space="preserve"> </v>
      </c>
    </row>
    <row r="174" spans="1:27" s="1" customFormat="1" x14ac:dyDescent="0.45">
      <c r="A174" s="43"/>
      <c r="B174" s="205"/>
      <c r="C174"/>
      <c r="D174" s="72"/>
      <c r="E174" s="72"/>
      <c r="F174" s="72"/>
      <c r="G174" s="72"/>
      <c r="H174" s="17"/>
      <c r="I174" s="41" t="str" cm="1">
        <f t="array" ref="I174">IFERROR(_xlfn.IFS(H174="Hard (Cash)","N/A",H174="Soft (In-Kind)", "Enter Source"),"Select Type")</f>
        <v>Select Type</v>
      </c>
      <c r="J174" s="124"/>
      <c r="K174" s="41" t="str">
        <f>IFERROR(VLOOKUP($J174,'Project Reference'!$S$2:$T$41,2),"Enter Project Number")</f>
        <v>Enter Project Number</v>
      </c>
      <c r="L174" s="41"/>
      <c r="M174" s="41"/>
      <c r="N174" s="15">
        <f t="shared" si="2"/>
        <v>0</v>
      </c>
      <c r="O174" s="19"/>
      <c r="P174" s="42" t="str">
        <f>IFERROR(VLOOKUP($J174,'Project Reference'!$B$2:$C$41,2)," ")</f>
        <v xml:space="preserve"> </v>
      </c>
      <c r="Q174" s="42" t="str">
        <f>IFERROR(VLOOKUP($J174,'Project Reference'!$B$2:$D$41,3)," ")</f>
        <v xml:space="preserve"> </v>
      </c>
      <c r="R174" s="42" t="str">
        <f>IFERROR(VLOOKUP($J174,'Project Reference'!$B$2:$E$41,4)," ")</f>
        <v xml:space="preserve"> </v>
      </c>
      <c r="S174" s="42" t="str">
        <f>IFERROR(VLOOKUP($J174,'Project Reference'!$B$2:$F$41,5,FALSE)," ")</f>
        <v xml:space="preserve"> </v>
      </c>
      <c r="T174" s="42" t="str">
        <f>IFERROR(VLOOKUP($J174,'Project Reference'!$B$2:$G$41,6,FALSE)," ")</f>
        <v xml:space="preserve"> </v>
      </c>
      <c r="U174" s="42" t="str">
        <f>IFERROR(VLOOKUP($J174,'Project Reference'!$B$2:$H$41,7,FALSE)," ")</f>
        <v xml:space="preserve"> </v>
      </c>
      <c r="V174" s="42" t="str">
        <f>IFERROR(VLOOKUP($J174,'Project Reference'!$B$2:$I$41,8,FALSE)," ")</f>
        <v xml:space="preserve"> </v>
      </c>
      <c r="W174" s="42" t="str">
        <f>IFERROR(VLOOKUP($J174,'Project Reference'!$B$2:$J$41,9,FALSE)," ")</f>
        <v xml:space="preserve"> </v>
      </c>
      <c r="X174" s="42" t="str">
        <f>IFERROR(VLOOKUP($J174,'Project Reference'!$B$2:$K$41,10)," ")</f>
        <v xml:space="preserve"> </v>
      </c>
      <c r="Y174" s="42" t="str">
        <f>IFERROR(VLOOKUP($J174,'Project Reference'!$B$2:$L$41,11)," ")</f>
        <v xml:space="preserve"> </v>
      </c>
      <c r="Z174" s="42" t="str">
        <f>IFERROR(VLOOKUP($J174,'Project Reference'!$B$2:$M$41,12)," ")</f>
        <v xml:space="preserve"> </v>
      </c>
      <c r="AA174" s="42" t="str">
        <f>IFERROR(VLOOKUP($J174,'Project Reference'!$B$2:$N$41,13)," ")</f>
        <v xml:space="preserve"> </v>
      </c>
    </row>
    <row r="175" spans="1:27" s="1" customFormat="1" x14ac:dyDescent="0.45">
      <c r="A175" s="43"/>
      <c r="B175" s="205"/>
      <c r="C175"/>
      <c r="D175" s="72"/>
      <c r="E175" s="72"/>
      <c r="F175" s="72"/>
      <c r="G175" s="72"/>
      <c r="H175" s="17"/>
      <c r="I175" s="41" t="str" cm="1">
        <f t="array" ref="I175">IFERROR(_xlfn.IFS(H175="Hard (Cash)","N/A",H175="Soft (In-Kind)", "Enter Source"),"Select Type")</f>
        <v>Select Type</v>
      </c>
      <c r="J175" s="124"/>
      <c r="K175" s="41" t="str">
        <f>IFERROR(VLOOKUP($J175,'Project Reference'!$S$2:$T$41,2),"Enter Project Number")</f>
        <v>Enter Project Number</v>
      </c>
      <c r="L175" s="41"/>
      <c r="M175" s="41"/>
      <c r="N175" s="15">
        <f t="shared" si="2"/>
        <v>0</v>
      </c>
      <c r="O175" s="19"/>
      <c r="P175" s="42" t="str">
        <f>IFERROR(VLOOKUP($J175,'Project Reference'!$B$2:$C$41,2)," ")</f>
        <v xml:space="preserve"> </v>
      </c>
      <c r="Q175" s="42" t="str">
        <f>IFERROR(VLOOKUP($J175,'Project Reference'!$B$2:$D$41,3)," ")</f>
        <v xml:space="preserve"> </v>
      </c>
      <c r="R175" s="42" t="str">
        <f>IFERROR(VLOOKUP($J175,'Project Reference'!$B$2:$E$41,4)," ")</f>
        <v xml:space="preserve"> </v>
      </c>
      <c r="S175" s="42" t="str">
        <f>IFERROR(VLOOKUP($J175,'Project Reference'!$B$2:$F$41,5,FALSE)," ")</f>
        <v xml:space="preserve"> </v>
      </c>
      <c r="T175" s="42" t="str">
        <f>IFERROR(VLOOKUP($J175,'Project Reference'!$B$2:$G$41,6,FALSE)," ")</f>
        <v xml:space="preserve"> </v>
      </c>
      <c r="U175" s="42" t="str">
        <f>IFERROR(VLOOKUP($J175,'Project Reference'!$B$2:$H$41,7,FALSE)," ")</f>
        <v xml:space="preserve"> </v>
      </c>
      <c r="V175" s="42" t="str">
        <f>IFERROR(VLOOKUP($J175,'Project Reference'!$B$2:$I$41,8,FALSE)," ")</f>
        <v xml:space="preserve"> </v>
      </c>
      <c r="W175" s="42" t="str">
        <f>IFERROR(VLOOKUP($J175,'Project Reference'!$B$2:$J$41,9,FALSE)," ")</f>
        <v xml:space="preserve"> </v>
      </c>
      <c r="X175" s="42" t="str">
        <f>IFERROR(VLOOKUP($J175,'Project Reference'!$B$2:$K$41,10)," ")</f>
        <v xml:space="preserve"> </v>
      </c>
      <c r="Y175" s="42" t="str">
        <f>IFERROR(VLOOKUP($J175,'Project Reference'!$B$2:$L$41,11)," ")</f>
        <v xml:space="preserve"> </v>
      </c>
      <c r="Z175" s="42" t="str">
        <f>IFERROR(VLOOKUP($J175,'Project Reference'!$B$2:$M$41,12)," ")</f>
        <v xml:space="preserve"> </v>
      </c>
      <c r="AA175" s="42" t="str">
        <f>IFERROR(VLOOKUP($J175,'Project Reference'!$B$2:$N$41,13)," ")</f>
        <v xml:space="preserve"> </v>
      </c>
    </row>
    <row r="176" spans="1:27" s="1" customFormat="1" x14ac:dyDescent="0.45">
      <c r="A176" s="43"/>
      <c r="B176" s="205"/>
      <c r="C176"/>
      <c r="D176" s="72"/>
      <c r="E176" s="72"/>
      <c r="F176" s="72"/>
      <c r="G176" s="72"/>
      <c r="H176" s="17"/>
      <c r="I176" s="41" t="str" cm="1">
        <f t="array" ref="I176">IFERROR(_xlfn.IFS(H176="Hard (Cash)","N/A",H176="Soft (In-Kind)", "Enter Source"),"Select Type")</f>
        <v>Select Type</v>
      </c>
      <c r="J176" s="124"/>
      <c r="K176" s="41" t="str">
        <f>IFERROR(VLOOKUP($J176,'Project Reference'!$S$2:$T$41,2),"Enter Project Number")</f>
        <v>Enter Project Number</v>
      </c>
      <c r="L176" s="41"/>
      <c r="M176" s="41"/>
      <c r="N176" s="15">
        <f t="shared" si="2"/>
        <v>0</v>
      </c>
      <c r="O176" s="19"/>
      <c r="P176" s="42" t="str">
        <f>IFERROR(VLOOKUP($J176,'Project Reference'!$B$2:$C$41,2)," ")</f>
        <v xml:space="preserve"> </v>
      </c>
      <c r="Q176" s="42" t="str">
        <f>IFERROR(VLOOKUP($J176,'Project Reference'!$B$2:$D$41,3)," ")</f>
        <v xml:space="preserve"> </v>
      </c>
      <c r="R176" s="42" t="str">
        <f>IFERROR(VLOOKUP($J176,'Project Reference'!$B$2:$E$41,4)," ")</f>
        <v xml:space="preserve"> </v>
      </c>
      <c r="S176" s="42" t="str">
        <f>IFERROR(VLOOKUP($J176,'Project Reference'!$B$2:$F$41,5,FALSE)," ")</f>
        <v xml:space="preserve"> </v>
      </c>
      <c r="T176" s="42" t="str">
        <f>IFERROR(VLOOKUP($J176,'Project Reference'!$B$2:$G$41,6,FALSE)," ")</f>
        <v xml:space="preserve"> </v>
      </c>
      <c r="U176" s="42" t="str">
        <f>IFERROR(VLOOKUP($J176,'Project Reference'!$B$2:$H$41,7,FALSE)," ")</f>
        <v xml:space="preserve"> </v>
      </c>
      <c r="V176" s="42" t="str">
        <f>IFERROR(VLOOKUP($J176,'Project Reference'!$B$2:$I$41,8,FALSE)," ")</f>
        <v xml:space="preserve"> </v>
      </c>
      <c r="W176" s="42" t="str">
        <f>IFERROR(VLOOKUP($J176,'Project Reference'!$B$2:$J$41,9,FALSE)," ")</f>
        <v xml:space="preserve"> </v>
      </c>
      <c r="X176" s="42" t="str">
        <f>IFERROR(VLOOKUP($J176,'Project Reference'!$B$2:$K$41,10)," ")</f>
        <v xml:space="preserve"> </v>
      </c>
      <c r="Y176" s="42" t="str">
        <f>IFERROR(VLOOKUP($J176,'Project Reference'!$B$2:$L$41,11)," ")</f>
        <v xml:space="preserve"> </v>
      </c>
      <c r="Z176" s="42" t="str">
        <f>IFERROR(VLOOKUP($J176,'Project Reference'!$B$2:$M$41,12)," ")</f>
        <v xml:space="preserve"> </v>
      </c>
      <c r="AA176" s="42" t="str">
        <f>IFERROR(VLOOKUP($J176,'Project Reference'!$B$2:$N$41,13)," ")</f>
        <v xml:space="preserve"> </v>
      </c>
    </row>
    <row r="177" spans="1:27" s="1" customFormat="1" x14ac:dyDescent="0.45">
      <c r="A177" s="43"/>
      <c r="B177" s="205"/>
      <c r="C177"/>
      <c r="D177" s="72"/>
      <c r="E177" s="72"/>
      <c r="F177" s="72"/>
      <c r="G177" s="72"/>
      <c r="H177" s="17"/>
      <c r="I177" s="41" t="str" cm="1">
        <f t="array" ref="I177">IFERROR(_xlfn.IFS(H177="Hard (Cash)","N/A",H177="Soft (In-Kind)", "Enter Source"),"Select Type")</f>
        <v>Select Type</v>
      </c>
      <c r="J177" s="124"/>
      <c r="K177" s="41" t="str">
        <f>IFERROR(VLOOKUP($J177,'Project Reference'!$S$2:$T$41,2),"Enter Project Number")</f>
        <v>Enter Project Number</v>
      </c>
      <c r="L177" s="41"/>
      <c r="M177" s="41"/>
      <c r="N177" s="15">
        <f t="shared" si="2"/>
        <v>0</v>
      </c>
      <c r="O177" s="19"/>
      <c r="P177" s="42" t="str">
        <f>IFERROR(VLOOKUP($J177,'Project Reference'!$B$2:$C$41,2)," ")</f>
        <v xml:space="preserve"> </v>
      </c>
      <c r="Q177" s="42" t="str">
        <f>IFERROR(VLOOKUP($J177,'Project Reference'!$B$2:$D$41,3)," ")</f>
        <v xml:space="preserve"> </v>
      </c>
      <c r="R177" s="42" t="str">
        <f>IFERROR(VLOOKUP($J177,'Project Reference'!$B$2:$E$41,4)," ")</f>
        <v xml:space="preserve"> </v>
      </c>
      <c r="S177" s="42" t="str">
        <f>IFERROR(VLOOKUP($J177,'Project Reference'!$B$2:$F$41,5,FALSE)," ")</f>
        <v xml:space="preserve"> </v>
      </c>
      <c r="T177" s="42" t="str">
        <f>IFERROR(VLOOKUP($J177,'Project Reference'!$B$2:$G$41,6,FALSE)," ")</f>
        <v xml:space="preserve"> </v>
      </c>
      <c r="U177" s="42" t="str">
        <f>IFERROR(VLOOKUP($J177,'Project Reference'!$B$2:$H$41,7,FALSE)," ")</f>
        <v xml:space="preserve"> </v>
      </c>
      <c r="V177" s="42" t="str">
        <f>IFERROR(VLOOKUP($J177,'Project Reference'!$B$2:$I$41,8,FALSE)," ")</f>
        <v xml:space="preserve"> </v>
      </c>
      <c r="W177" s="42" t="str">
        <f>IFERROR(VLOOKUP($J177,'Project Reference'!$B$2:$J$41,9,FALSE)," ")</f>
        <v xml:space="preserve"> </v>
      </c>
      <c r="X177" s="42" t="str">
        <f>IFERROR(VLOOKUP($J177,'Project Reference'!$B$2:$K$41,10)," ")</f>
        <v xml:space="preserve"> </v>
      </c>
      <c r="Y177" s="42" t="str">
        <f>IFERROR(VLOOKUP($J177,'Project Reference'!$B$2:$L$41,11)," ")</f>
        <v xml:space="preserve"> </v>
      </c>
      <c r="Z177" s="42" t="str">
        <f>IFERROR(VLOOKUP($J177,'Project Reference'!$B$2:$M$41,12)," ")</f>
        <v xml:space="preserve"> </v>
      </c>
      <c r="AA177" s="42" t="str">
        <f>IFERROR(VLOOKUP($J177,'Project Reference'!$B$2:$N$41,13)," ")</f>
        <v xml:space="preserve"> </v>
      </c>
    </row>
    <row r="178" spans="1:27" s="1" customFormat="1" x14ac:dyDescent="0.45">
      <c r="A178" s="43"/>
      <c r="B178" s="205"/>
      <c r="C178"/>
      <c r="D178" s="72"/>
      <c r="E178" s="72"/>
      <c r="F178" s="72"/>
      <c r="G178" s="72"/>
      <c r="H178" s="17"/>
      <c r="I178" s="41" t="str" cm="1">
        <f t="array" ref="I178">IFERROR(_xlfn.IFS(H178="Hard (Cash)","N/A",H178="Soft (In-Kind)", "Enter Source"),"Select Type")</f>
        <v>Select Type</v>
      </c>
      <c r="J178" s="124"/>
      <c r="K178" s="41" t="str">
        <f>IFERROR(VLOOKUP($J178,'Project Reference'!$S$2:$T$41,2),"Enter Project Number")</f>
        <v>Enter Project Number</v>
      </c>
      <c r="L178" s="41"/>
      <c r="M178" s="41"/>
      <c r="N178" s="15">
        <f t="shared" si="2"/>
        <v>0</v>
      </c>
      <c r="O178" s="19"/>
      <c r="P178" s="42" t="str">
        <f>IFERROR(VLOOKUP($J178,'Project Reference'!$B$2:$C$41,2)," ")</f>
        <v xml:space="preserve"> </v>
      </c>
      <c r="Q178" s="42" t="str">
        <f>IFERROR(VLOOKUP($J178,'Project Reference'!$B$2:$D$41,3)," ")</f>
        <v xml:space="preserve"> </v>
      </c>
      <c r="R178" s="42" t="str">
        <f>IFERROR(VLOOKUP($J178,'Project Reference'!$B$2:$E$41,4)," ")</f>
        <v xml:space="preserve"> </v>
      </c>
      <c r="S178" s="42" t="str">
        <f>IFERROR(VLOOKUP($J178,'Project Reference'!$B$2:$F$41,5,FALSE)," ")</f>
        <v xml:space="preserve"> </v>
      </c>
      <c r="T178" s="42" t="str">
        <f>IFERROR(VLOOKUP($J178,'Project Reference'!$B$2:$G$41,6,FALSE)," ")</f>
        <v xml:space="preserve"> </v>
      </c>
      <c r="U178" s="42" t="str">
        <f>IFERROR(VLOOKUP($J178,'Project Reference'!$B$2:$H$41,7,FALSE)," ")</f>
        <v xml:space="preserve"> </v>
      </c>
      <c r="V178" s="42" t="str">
        <f>IFERROR(VLOOKUP($J178,'Project Reference'!$B$2:$I$41,8,FALSE)," ")</f>
        <v xml:space="preserve"> </v>
      </c>
      <c r="W178" s="42" t="str">
        <f>IFERROR(VLOOKUP($J178,'Project Reference'!$B$2:$J$41,9,FALSE)," ")</f>
        <v xml:space="preserve"> </v>
      </c>
      <c r="X178" s="42" t="str">
        <f>IFERROR(VLOOKUP($J178,'Project Reference'!$B$2:$K$41,10)," ")</f>
        <v xml:space="preserve"> </v>
      </c>
      <c r="Y178" s="42" t="str">
        <f>IFERROR(VLOOKUP($J178,'Project Reference'!$B$2:$L$41,11)," ")</f>
        <v xml:space="preserve"> </v>
      </c>
      <c r="Z178" s="42" t="str">
        <f>IFERROR(VLOOKUP($J178,'Project Reference'!$B$2:$M$41,12)," ")</f>
        <v xml:space="preserve"> </v>
      </c>
      <c r="AA178" s="42" t="str">
        <f>IFERROR(VLOOKUP($J178,'Project Reference'!$B$2:$N$41,13)," ")</f>
        <v xml:space="preserve"> </v>
      </c>
    </row>
    <row r="179" spans="1:27" s="1" customFormat="1" x14ac:dyDescent="0.45">
      <c r="A179" s="43"/>
      <c r="B179" s="205"/>
      <c r="C179"/>
      <c r="D179" s="72"/>
      <c r="E179" s="72"/>
      <c r="F179" s="72"/>
      <c r="G179" s="72"/>
      <c r="H179" s="17"/>
      <c r="I179" s="41" t="str" cm="1">
        <f t="array" ref="I179">IFERROR(_xlfn.IFS(H179="Hard (Cash)","N/A",H179="Soft (In-Kind)", "Enter Source"),"Select Type")</f>
        <v>Select Type</v>
      </c>
      <c r="J179" s="124"/>
      <c r="K179" s="41" t="str">
        <f>IFERROR(VLOOKUP($J179,'Project Reference'!$S$2:$T$41,2),"Enter Project Number")</f>
        <v>Enter Project Number</v>
      </c>
      <c r="L179" s="41"/>
      <c r="M179" s="41"/>
      <c r="N179" s="15">
        <f t="shared" si="2"/>
        <v>0</v>
      </c>
      <c r="O179" s="19"/>
      <c r="P179" s="42" t="str">
        <f>IFERROR(VLOOKUP($J179,'Project Reference'!$B$2:$C$41,2)," ")</f>
        <v xml:space="preserve"> </v>
      </c>
      <c r="Q179" s="42" t="str">
        <f>IFERROR(VLOOKUP($J179,'Project Reference'!$B$2:$D$41,3)," ")</f>
        <v xml:space="preserve"> </v>
      </c>
      <c r="R179" s="42" t="str">
        <f>IFERROR(VLOOKUP($J179,'Project Reference'!$B$2:$E$41,4)," ")</f>
        <v xml:space="preserve"> </v>
      </c>
      <c r="S179" s="42" t="str">
        <f>IFERROR(VLOOKUP($J179,'Project Reference'!$B$2:$F$41,5,FALSE)," ")</f>
        <v xml:space="preserve"> </v>
      </c>
      <c r="T179" s="42" t="str">
        <f>IFERROR(VLOOKUP($J179,'Project Reference'!$B$2:$G$41,6,FALSE)," ")</f>
        <v xml:space="preserve"> </v>
      </c>
      <c r="U179" s="42" t="str">
        <f>IFERROR(VLOOKUP($J179,'Project Reference'!$B$2:$H$41,7,FALSE)," ")</f>
        <v xml:space="preserve"> </v>
      </c>
      <c r="V179" s="42" t="str">
        <f>IFERROR(VLOOKUP($J179,'Project Reference'!$B$2:$I$41,8,FALSE)," ")</f>
        <v xml:space="preserve"> </v>
      </c>
      <c r="W179" s="42" t="str">
        <f>IFERROR(VLOOKUP($J179,'Project Reference'!$B$2:$J$41,9,FALSE)," ")</f>
        <v xml:space="preserve"> </v>
      </c>
      <c r="X179" s="42" t="str">
        <f>IFERROR(VLOOKUP($J179,'Project Reference'!$B$2:$K$41,10)," ")</f>
        <v xml:space="preserve"> </v>
      </c>
      <c r="Y179" s="42" t="str">
        <f>IFERROR(VLOOKUP($J179,'Project Reference'!$B$2:$L$41,11)," ")</f>
        <v xml:space="preserve"> </v>
      </c>
      <c r="Z179" s="42" t="str">
        <f>IFERROR(VLOOKUP($J179,'Project Reference'!$B$2:$M$41,12)," ")</f>
        <v xml:space="preserve"> </v>
      </c>
      <c r="AA179" s="42" t="str">
        <f>IFERROR(VLOOKUP($J179,'Project Reference'!$B$2:$N$41,13)," ")</f>
        <v xml:space="preserve"> </v>
      </c>
    </row>
    <row r="180" spans="1:27" s="1" customFormat="1" x14ac:dyDescent="0.45">
      <c r="A180" s="43"/>
      <c r="B180" s="205"/>
      <c r="C180"/>
      <c r="D180" s="72"/>
      <c r="E180" s="72"/>
      <c r="F180" s="72"/>
      <c r="G180" s="72"/>
      <c r="H180" s="17"/>
      <c r="I180" s="41" t="str" cm="1">
        <f t="array" ref="I180">IFERROR(_xlfn.IFS(H180="Hard (Cash)","N/A",H180="Soft (In-Kind)", "Enter Source"),"Select Type")</f>
        <v>Select Type</v>
      </c>
      <c r="J180" s="124"/>
      <c r="K180" s="41" t="str">
        <f>IFERROR(VLOOKUP($J180,'Project Reference'!$S$2:$T$41,2),"Enter Project Number")</f>
        <v>Enter Project Number</v>
      </c>
      <c r="L180" s="41"/>
      <c r="M180" s="41"/>
      <c r="N180" s="15">
        <f t="shared" si="2"/>
        <v>0</v>
      </c>
      <c r="O180" s="19"/>
      <c r="P180" s="42" t="str">
        <f>IFERROR(VLOOKUP($J180,'Project Reference'!$B$2:$C$41,2)," ")</f>
        <v xml:space="preserve"> </v>
      </c>
      <c r="Q180" s="42" t="str">
        <f>IFERROR(VLOOKUP($J180,'Project Reference'!$B$2:$D$41,3)," ")</f>
        <v xml:space="preserve"> </v>
      </c>
      <c r="R180" s="42" t="str">
        <f>IFERROR(VLOOKUP($J180,'Project Reference'!$B$2:$E$41,4)," ")</f>
        <v xml:space="preserve"> </v>
      </c>
      <c r="S180" s="42" t="str">
        <f>IFERROR(VLOOKUP($J180,'Project Reference'!$B$2:$F$41,5,FALSE)," ")</f>
        <v xml:space="preserve"> </v>
      </c>
      <c r="T180" s="42" t="str">
        <f>IFERROR(VLOOKUP($J180,'Project Reference'!$B$2:$G$41,6,FALSE)," ")</f>
        <v xml:space="preserve"> </v>
      </c>
      <c r="U180" s="42" t="str">
        <f>IFERROR(VLOOKUP($J180,'Project Reference'!$B$2:$H$41,7,FALSE)," ")</f>
        <v xml:space="preserve"> </v>
      </c>
      <c r="V180" s="42" t="str">
        <f>IFERROR(VLOOKUP($J180,'Project Reference'!$B$2:$I$41,8,FALSE)," ")</f>
        <v xml:space="preserve"> </v>
      </c>
      <c r="W180" s="42" t="str">
        <f>IFERROR(VLOOKUP($J180,'Project Reference'!$B$2:$J$41,9,FALSE)," ")</f>
        <v xml:space="preserve"> </v>
      </c>
      <c r="X180" s="42" t="str">
        <f>IFERROR(VLOOKUP($J180,'Project Reference'!$B$2:$K$41,10)," ")</f>
        <v xml:space="preserve"> </v>
      </c>
      <c r="Y180" s="42" t="str">
        <f>IFERROR(VLOOKUP($J180,'Project Reference'!$B$2:$L$41,11)," ")</f>
        <v xml:space="preserve"> </v>
      </c>
      <c r="Z180" s="42" t="str">
        <f>IFERROR(VLOOKUP($J180,'Project Reference'!$B$2:$M$41,12)," ")</f>
        <v xml:space="preserve"> </v>
      </c>
      <c r="AA180" s="42" t="str">
        <f>IFERROR(VLOOKUP($J180,'Project Reference'!$B$2:$N$41,13)," ")</f>
        <v xml:space="preserve"> </v>
      </c>
    </row>
    <row r="181" spans="1:27" s="1" customFormat="1" x14ac:dyDescent="0.45">
      <c r="A181" s="43"/>
      <c r="B181" s="205"/>
      <c r="C181"/>
      <c r="D181" s="72"/>
      <c r="E181" s="72"/>
      <c r="F181" s="72"/>
      <c r="G181" s="72"/>
      <c r="H181" s="17"/>
      <c r="I181" s="41" t="str" cm="1">
        <f t="array" ref="I181">IFERROR(_xlfn.IFS(H181="Hard (Cash)","N/A",H181="Soft (In-Kind)", "Enter Source"),"Select Type")</f>
        <v>Select Type</v>
      </c>
      <c r="J181" s="124"/>
      <c r="K181" s="41" t="str">
        <f>IFERROR(VLOOKUP($J181,'Project Reference'!$S$2:$T$41,2),"Enter Project Number")</f>
        <v>Enter Project Number</v>
      </c>
      <c r="L181" s="41"/>
      <c r="M181" s="41"/>
      <c r="N181" s="15">
        <f t="shared" si="2"/>
        <v>0</v>
      </c>
      <c r="O181" s="19"/>
      <c r="P181" s="42" t="str">
        <f>IFERROR(VLOOKUP($J181,'Project Reference'!$B$2:$C$41,2)," ")</f>
        <v xml:space="preserve"> </v>
      </c>
      <c r="Q181" s="42" t="str">
        <f>IFERROR(VLOOKUP($J181,'Project Reference'!$B$2:$D$41,3)," ")</f>
        <v xml:space="preserve"> </v>
      </c>
      <c r="R181" s="42" t="str">
        <f>IFERROR(VLOOKUP($J181,'Project Reference'!$B$2:$E$41,4)," ")</f>
        <v xml:space="preserve"> </v>
      </c>
      <c r="S181" s="42" t="str">
        <f>IFERROR(VLOOKUP($J181,'Project Reference'!$B$2:$F$41,5,FALSE)," ")</f>
        <v xml:space="preserve"> </v>
      </c>
      <c r="T181" s="42" t="str">
        <f>IFERROR(VLOOKUP($J181,'Project Reference'!$B$2:$G$41,6,FALSE)," ")</f>
        <v xml:space="preserve"> </v>
      </c>
      <c r="U181" s="42" t="str">
        <f>IFERROR(VLOOKUP($J181,'Project Reference'!$B$2:$H$41,7,FALSE)," ")</f>
        <v xml:space="preserve"> </v>
      </c>
      <c r="V181" s="42" t="str">
        <f>IFERROR(VLOOKUP($J181,'Project Reference'!$B$2:$I$41,8,FALSE)," ")</f>
        <v xml:space="preserve"> </v>
      </c>
      <c r="W181" s="42" t="str">
        <f>IFERROR(VLOOKUP($J181,'Project Reference'!$B$2:$J$41,9,FALSE)," ")</f>
        <v xml:space="preserve"> </v>
      </c>
      <c r="X181" s="42" t="str">
        <f>IFERROR(VLOOKUP($J181,'Project Reference'!$B$2:$K$41,10)," ")</f>
        <v xml:space="preserve"> </v>
      </c>
      <c r="Y181" s="42" t="str">
        <f>IFERROR(VLOOKUP($J181,'Project Reference'!$B$2:$L$41,11)," ")</f>
        <v xml:space="preserve"> </v>
      </c>
      <c r="Z181" s="42" t="str">
        <f>IFERROR(VLOOKUP($J181,'Project Reference'!$B$2:$M$41,12)," ")</f>
        <v xml:space="preserve"> </v>
      </c>
      <c r="AA181" s="42" t="str">
        <f>IFERROR(VLOOKUP($J181,'Project Reference'!$B$2:$N$41,13)," ")</f>
        <v xml:space="preserve"> </v>
      </c>
    </row>
    <row r="182" spans="1:27" s="1" customFormat="1" x14ac:dyDescent="0.45">
      <c r="A182" s="43"/>
      <c r="B182" s="205"/>
      <c r="C182"/>
      <c r="D182" s="72"/>
      <c r="E182" s="72"/>
      <c r="F182" s="72"/>
      <c r="G182" s="72"/>
      <c r="H182" s="17"/>
      <c r="I182" s="41" t="str" cm="1">
        <f t="array" ref="I182">IFERROR(_xlfn.IFS(H182="Hard (Cash)","N/A",H182="Soft (In-Kind)", "Enter Source"),"Select Type")</f>
        <v>Select Type</v>
      </c>
      <c r="J182" s="124"/>
      <c r="K182" s="41" t="str">
        <f>IFERROR(VLOOKUP($J182,'Project Reference'!$S$2:$T$41,2),"Enter Project Number")</f>
        <v>Enter Project Number</v>
      </c>
      <c r="L182" s="41"/>
      <c r="M182" s="41"/>
      <c r="N182" s="15">
        <f t="shared" si="2"/>
        <v>0</v>
      </c>
      <c r="O182" s="19"/>
      <c r="P182" s="42" t="str">
        <f>IFERROR(VLOOKUP($J182,'Project Reference'!$B$2:$C$41,2)," ")</f>
        <v xml:space="preserve"> </v>
      </c>
      <c r="Q182" s="42" t="str">
        <f>IFERROR(VLOOKUP($J182,'Project Reference'!$B$2:$D$41,3)," ")</f>
        <v xml:space="preserve"> </v>
      </c>
      <c r="R182" s="42" t="str">
        <f>IFERROR(VLOOKUP($J182,'Project Reference'!$B$2:$E$41,4)," ")</f>
        <v xml:space="preserve"> </v>
      </c>
      <c r="S182" s="42" t="str">
        <f>IFERROR(VLOOKUP($J182,'Project Reference'!$B$2:$F$41,5,FALSE)," ")</f>
        <v xml:space="preserve"> </v>
      </c>
      <c r="T182" s="42" t="str">
        <f>IFERROR(VLOOKUP($J182,'Project Reference'!$B$2:$G$41,6,FALSE)," ")</f>
        <v xml:space="preserve"> </v>
      </c>
      <c r="U182" s="42" t="str">
        <f>IFERROR(VLOOKUP($J182,'Project Reference'!$B$2:$H$41,7,FALSE)," ")</f>
        <v xml:space="preserve"> </v>
      </c>
      <c r="V182" s="42" t="str">
        <f>IFERROR(VLOOKUP($J182,'Project Reference'!$B$2:$I$41,8,FALSE)," ")</f>
        <v xml:space="preserve"> </v>
      </c>
      <c r="W182" s="42" t="str">
        <f>IFERROR(VLOOKUP($J182,'Project Reference'!$B$2:$J$41,9,FALSE)," ")</f>
        <v xml:space="preserve"> </v>
      </c>
      <c r="X182" s="42" t="str">
        <f>IFERROR(VLOOKUP($J182,'Project Reference'!$B$2:$K$41,10)," ")</f>
        <v xml:space="preserve"> </v>
      </c>
      <c r="Y182" s="42" t="str">
        <f>IFERROR(VLOOKUP($J182,'Project Reference'!$B$2:$L$41,11)," ")</f>
        <v xml:space="preserve"> </v>
      </c>
      <c r="Z182" s="42" t="str">
        <f>IFERROR(VLOOKUP($J182,'Project Reference'!$B$2:$M$41,12)," ")</f>
        <v xml:space="preserve"> </v>
      </c>
      <c r="AA182" s="42" t="str">
        <f>IFERROR(VLOOKUP($J182,'Project Reference'!$B$2:$N$41,13)," ")</f>
        <v xml:space="preserve"> </v>
      </c>
    </row>
    <row r="183" spans="1:27" s="1" customFormat="1" x14ac:dyDescent="0.45">
      <c r="A183" s="43"/>
      <c r="B183" s="205"/>
      <c r="C183"/>
      <c r="D183" s="72"/>
      <c r="E183" s="72"/>
      <c r="F183" s="72"/>
      <c r="G183" s="72"/>
      <c r="H183" s="17"/>
      <c r="I183" s="41" t="str" cm="1">
        <f t="array" ref="I183">IFERROR(_xlfn.IFS(H183="Hard (Cash)","N/A",H183="Soft (In-Kind)", "Enter Source"),"Select Type")</f>
        <v>Select Type</v>
      </c>
      <c r="J183" s="124"/>
      <c r="K183" s="41" t="str">
        <f>IFERROR(VLOOKUP($J183,'Project Reference'!$S$2:$T$41,2),"Enter Project Number")</f>
        <v>Enter Project Number</v>
      </c>
      <c r="L183" s="41"/>
      <c r="M183" s="41"/>
      <c r="N183" s="15">
        <f t="shared" si="2"/>
        <v>0</v>
      </c>
      <c r="O183" s="19"/>
      <c r="P183" s="42" t="str">
        <f>IFERROR(VLOOKUP($J183,'Project Reference'!$B$2:$C$41,2)," ")</f>
        <v xml:space="preserve"> </v>
      </c>
      <c r="Q183" s="42" t="str">
        <f>IFERROR(VLOOKUP($J183,'Project Reference'!$B$2:$D$41,3)," ")</f>
        <v xml:space="preserve"> </v>
      </c>
      <c r="R183" s="42" t="str">
        <f>IFERROR(VLOOKUP($J183,'Project Reference'!$B$2:$E$41,4)," ")</f>
        <v xml:space="preserve"> </v>
      </c>
      <c r="S183" s="42" t="str">
        <f>IFERROR(VLOOKUP($J183,'Project Reference'!$B$2:$F$41,5,FALSE)," ")</f>
        <v xml:space="preserve"> </v>
      </c>
      <c r="T183" s="42" t="str">
        <f>IFERROR(VLOOKUP($J183,'Project Reference'!$B$2:$G$41,6,FALSE)," ")</f>
        <v xml:space="preserve"> </v>
      </c>
      <c r="U183" s="42" t="str">
        <f>IFERROR(VLOOKUP($J183,'Project Reference'!$B$2:$H$41,7,FALSE)," ")</f>
        <v xml:space="preserve"> </v>
      </c>
      <c r="V183" s="42" t="str">
        <f>IFERROR(VLOOKUP($J183,'Project Reference'!$B$2:$I$41,8,FALSE)," ")</f>
        <v xml:space="preserve"> </v>
      </c>
      <c r="W183" s="42" t="str">
        <f>IFERROR(VLOOKUP($J183,'Project Reference'!$B$2:$J$41,9,FALSE)," ")</f>
        <v xml:space="preserve"> </v>
      </c>
      <c r="X183" s="42" t="str">
        <f>IFERROR(VLOOKUP($J183,'Project Reference'!$B$2:$K$41,10)," ")</f>
        <v xml:space="preserve"> </v>
      </c>
      <c r="Y183" s="42" t="str">
        <f>IFERROR(VLOOKUP($J183,'Project Reference'!$B$2:$L$41,11)," ")</f>
        <v xml:space="preserve"> </v>
      </c>
      <c r="Z183" s="42" t="str">
        <f>IFERROR(VLOOKUP($J183,'Project Reference'!$B$2:$M$41,12)," ")</f>
        <v xml:space="preserve"> </v>
      </c>
      <c r="AA183" s="42" t="str">
        <f>IFERROR(VLOOKUP($J183,'Project Reference'!$B$2:$N$41,13)," ")</f>
        <v xml:space="preserve"> </v>
      </c>
    </row>
    <row r="184" spans="1:27" s="1" customFormat="1" x14ac:dyDescent="0.45">
      <c r="A184" s="43"/>
      <c r="B184" s="205"/>
      <c r="C184"/>
      <c r="D184" s="72"/>
      <c r="E184" s="72"/>
      <c r="F184" s="72"/>
      <c r="G184" s="72"/>
      <c r="H184" s="17"/>
      <c r="I184" s="41" t="str" cm="1">
        <f t="array" ref="I184">IFERROR(_xlfn.IFS(H184="Hard (Cash)","N/A",H184="Soft (In-Kind)", "Enter Source"),"Select Type")</f>
        <v>Select Type</v>
      </c>
      <c r="J184" s="124"/>
      <c r="K184" s="41" t="str">
        <f>IFERROR(VLOOKUP($J184,'Project Reference'!$S$2:$T$41,2),"Enter Project Number")</f>
        <v>Enter Project Number</v>
      </c>
      <c r="L184" s="41"/>
      <c r="M184" s="41"/>
      <c r="N184" s="15">
        <f t="shared" si="2"/>
        <v>0</v>
      </c>
      <c r="O184" s="19"/>
      <c r="P184" s="42" t="str">
        <f>IFERROR(VLOOKUP($J184,'Project Reference'!$B$2:$C$41,2)," ")</f>
        <v xml:space="preserve"> </v>
      </c>
      <c r="Q184" s="42" t="str">
        <f>IFERROR(VLOOKUP($J184,'Project Reference'!$B$2:$D$41,3)," ")</f>
        <v xml:space="preserve"> </v>
      </c>
      <c r="R184" s="42" t="str">
        <f>IFERROR(VLOOKUP($J184,'Project Reference'!$B$2:$E$41,4)," ")</f>
        <v xml:space="preserve"> </v>
      </c>
      <c r="S184" s="42" t="str">
        <f>IFERROR(VLOOKUP($J184,'Project Reference'!$B$2:$F$41,5,FALSE)," ")</f>
        <v xml:space="preserve"> </v>
      </c>
      <c r="T184" s="42" t="str">
        <f>IFERROR(VLOOKUP($J184,'Project Reference'!$B$2:$G$41,6,FALSE)," ")</f>
        <v xml:space="preserve"> </v>
      </c>
      <c r="U184" s="42" t="str">
        <f>IFERROR(VLOOKUP($J184,'Project Reference'!$B$2:$H$41,7,FALSE)," ")</f>
        <v xml:space="preserve"> </v>
      </c>
      <c r="V184" s="42" t="str">
        <f>IFERROR(VLOOKUP($J184,'Project Reference'!$B$2:$I$41,8,FALSE)," ")</f>
        <v xml:space="preserve"> </v>
      </c>
      <c r="W184" s="42" t="str">
        <f>IFERROR(VLOOKUP($J184,'Project Reference'!$B$2:$J$41,9,FALSE)," ")</f>
        <v xml:space="preserve"> </v>
      </c>
      <c r="X184" s="42" t="str">
        <f>IFERROR(VLOOKUP($J184,'Project Reference'!$B$2:$K$41,10)," ")</f>
        <v xml:space="preserve"> </v>
      </c>
      <c r="Y184" s="42" t="str">
        <f>IFERROR(VLOOKUP($J184,'Project Reference'!$B$2:$L$41,11)," ")</f>
        <v xml:space="preserve"> </v>
      </c>
      <c r="Z184" s="42" t="str">
        <f>IFERROR(VLOOKUP($J184,'Project Reference'!$B$2:$M$41,12)," ")</f>
        <v xml:space="preserve"> </v>
      </c>
      <c r="AA184" s="42" t="str">
        <f>IFERROR(VLOOKUP($J184,'Project Reference'!$B$2:$N$41,13)," ")</f>
        <v xml:space="preserve"> </v>
      </c>
    </row>
    <row r="185" spans="1:27" s="1" customFormat="1" x14ac:dyDescent="0.45">
      <c r="A185" s="43"/>
      <c r="B185" s="205"/>
      <c r="C185"/>
      <c r="D185" s="72"/>
      <c r="E185" s="72"/>
      <c r="F185" s="72"/>
      <c r="G185" s="72"/>
      <c r="H185" s="17"/>
      <c r="I185" s="41" t="str" cm="1">
        <f t="array" ref="I185">IFERROR(_xlfn.IFS(H185="Hard (Cash)","N/A",H185="Soft (In-Kind)", "Enter Source"),"Select Type")</f>
        <v>Select Type</v>
      </c>
      <c r="J185" s="124"/>
      <c r="K185" s="41" t="str">
        <f>IFERROR(VLOOKUP($J185,'Project Reference'!$S$2:$T$41,2),"Enter Project Number")</f>
        <v>Enter Project Number</v>
      </c>
      <c r="L185" s="41"/>
      <c r="M185" s="41"/>
      <c r="N185" s="15">
        <f t="shared" si="2"/>
        <v>0</v>
      </c>
      <c r="O185" s="19"/>
      <c r="P185" s="42" t="str">
        <f>IFERROR(VLOOKUP($J185,'Project Reference'!$B$2:$C$41,2)," ")</f>
        <v xml:space="preserve"> </v>
      </c>
      <c r="Q185" s="42" t="str">
        <f>IFERROR(VLOOKUP($J185,'Project Reference'!$B$2:$D$41,3)," ")</f>
        <v xml:space="preserve"> </v>
      </c>
      <c r="R185" s="42" t="str">
        <f>IFERROR(VLOOKUP($J185,'Project Reference'!$B$2:$E$41,4)," ")</f>
        <v xml:space="preserve"> </v>
      </c>
      <c r="S185" s="42" t="str">
        <f>IFERROR(VLOOKUP($J185,'Project Reference'!$B$2:$F$41,5,FALSE)," ")</f>
        <v xml:space="preserve"> </v>
      </c>
      <c r="T185" s="42" t="str">
        <f>IFERROR(VLOOKUP($J185,'Project Reference'!$B$2:$G$41,6,FALSE)," ")</f>
        <v xml:space="preserve"> </v>
      </c>
      <c r="U185" s="42" t="str">
        <f>IFERROR(VLOOKUP($J185,'Project Reference'!$B$2:$H$41,7,FALSE)," ")</f>
        <v xml:space="preserve"> </v>
      </c>
      <c r="V185" s="42" t="str">
        <f>IFERROR(VLOOKUP($J185,'Project Reference'!$B$2:$I$41,8,FALSE)," ")</f>
        <v xml:space="preserve"> </v>
      </c>
      <c r="W185" s="42" t="str">
        <f>IFERROR(VLOOKUP($J185,'Project Reference'!$B$2:$J$41,9,FALSE)," ")</f>
        <v xml:space="preserve"> </v>
      </c>
      <c r="X185" s="42" t="str">
        <f>IFERROR(VLOOKUP($J185,'Project Reference'!$B$2:$K$41,10)," ")</f>
        <v xml:space="preserve"> </v>
      </c>
      <c r="Y185" s="42" t="str">
        <f>IFERROR(VLOOKUP($J185,'Project Reference'!$B$2:$L$41,11)," ")</f>
        <v xml:space="preserve"> </v>
      </c>
      <c r="Z185" s="42" t="str">
        <f>IFERROR(VLOOKUP($J185,'Project Reference'!$B$2:$M$41,12)," ")</f>
        <v xml:space="preserve"> </v>
      </c>
      <c r="AA185" s="42" t="str">
        <f>IFERROR(VLOOKUP($J185,'Project Reference'!$B$2:$N$41,13)," ")</f>
        <v xml:space="preserve"> </v>
      </c>
    </row>
    <row r="186" spans="1:27" s="1" customFormat="1" x14ac:dyDescent="0.45">
      <c r="A186" s="43"/>
      <c r="B186" s="205"/>
      <c r="C186"/>
      <c r="D186" s="72"/>
      <c r="E186" s="72"/>
      <c r="F186" s="72"/>
      <c r="G186" s="72"/>
      <c r="H186" s="17"/>
      <c r="I186" s="41" t="str" cm="1">
        <f t="array" ref="I186">IFERROR(_xlfn.IFS(H186="Hard (Cash)","N/A",H186="Soft (In-Kind)", "Enter Source"),"Select Type")</f>
        <v>Select Type</v>
      </c>
      <c r="J186" s="124"/>
      <c r="K186" s="41" t="str">
        <f>IFERROR(VLOOKUP($J186,'Project Reference'!$S$2:$T$41,2),"Enter Project Number")</f>
        <v>Enter Project Number</v>
      </c>
      <c r="L186" s="41"/>
      <c r="M186" s="41"/>
      <c r="N186" s="15">
        <f t="shared" si="2"/>
        <v>0</v>
      </c>
      <c r="O186" s="19"/>
      <c r="P186" s="42" t="str">
        <f>IFERROR(VLOOKUP($J186,'Project Reference'!$B$2:$C$41,2)," ")</f>
        <v xml:space="preserve"> </v>
      </c>
      <c r="Q186" s="42" t="str">
        <f>IFERROR(VLOOKUP($J186,'Project Reference'!$B$2:$D$41,3)," ")</f>
        <v xml:space="preserve"> </v>
      </c>
      <c r="R186" s="42" t="str">
        <f>IFERROR(VLOOKUP($J186,'Project Reference'!$B$2:$E$41,4)," ")</f>
        <v xml:space="preserve"> </v>
      </c>
      <c r="S186" s="42" t="str">
        <f>IFERROR(VLOOKUP($J186,'Project Reference'!$B$2:$F$41,5,FALSE)," ")</f>
        <v xml:space="preserve"> </v>
      </c>
      <c r="T186" s="42" t="str">
        <f>IFERROR(VLOOKUP($J186,'Project Reference'!$B$2:$G$41,6,FALSE)," ")</f>
        <v xml:space="preserve"> </v>
      </c>
      <c r="U186" s="42" t="str">
        <f>IFERROR(VLOOKUP($J186,'Project Reference'!$B$2:$H$41,7,FALSE)," ")</f>
        <v xml:space="preserve"> </v>
      </c>
      <c r="V186" s="42" t="str">
        <f>IFERROR(VLOOKUP($J186,'Project Reference'!$B$2:$I$41,8,FALSE)," ")</f>
        <v xml:space="preserve"> </v>
      </c>
      <c r="W186" s="42" t="str">
        <f>IFERROR(VLOOKUP($J186,'Project Reference'!$B$2:$J$41,9,FALSE)," ")</f>
        <v xml:space="preserve"> </v>
      </c>
      <c r="X186" s="42" t="str">
        <f>IFERROR(VLOOKUP($J186,'Project Reference'!$B$2:$K$41,10)," ")</f>
        <v xml:space="preserve"> </v>
      </c>
      <c r="Y186" s="42" t="str">
        <f>IFERROR(VLOOKUP($J186,'Project Reference'!$B$2:$L$41,11)," ")</f>
        <v xml:space="preserve"> </v>
      </c>
      <c r="Z186" s="42" t="str">
        <f>IFERROR(VLOOKUP($J186,'Project Reference'!$B$2:$M$41,12)," ")</f>
        <v xml:space="preserve"> </v>
      </c>
      <c r="AA186" s="42" t="str">
        <f>IFERROR(VLOOKUP($J186,'Project Reference'!$B$2:$N$41,13)," ")</f>
        <v xml:space="preserve"> </v>
      </c>
    </row>
    <row r="187" spans="1:27" s="1" customFormat="1" x14ac:dyDescent="0.45">
      <c r="A187" s="43"/>
      <c r="B187" s="205"/>
      <c r="C187"/>
      <c r="D187" s="72"/>
      <c r="E187" s="72"/>
      <c r="F187" s="72"/>
      <c r="G187" s="72"/>
      <c r="H187" s="17"/>
      <c r="I187" s="41" t="str" cm="1">
        <f t="array" ref="I187">IFERROR(_xlfn.IFS(H187="Hard (Cash)","N/A",H187="Soft (In-Kind)", "Enter Source"),"Select Type")</f>
        <v>Select Type</v>
      </c>
      <c r="J187" s="124"/>
      <c r="K187" s="41" t="str">
        <f>IFERROR(VLOOKUP($J187,'Project Reference'!$S$2:$T$41,2),"Enter Project Number")</f>
        <v>Enter Project Number</v>
      </c>
      <c r="L187" s="41"/>
      <c r="M187" s="41"/>
      <c r="N187" s="15">
        <f t="shared" si="2"/>
        <v>0</v>
      </c>
      <c r="O187" s="19"/>
      <c r="P187" s="42" t="str">
        <f>IFERROR(VLOOKUP($J187,'Project Reference'!$B$2:$C$41,2)," ")</f>
        <v xml:space="preserve"> </v>
      </c>
      <c r="Q187" s="42" t="str">
        <f>IFERROR(VLOOKUP($J187,'Project Reference'!$B$2:$D$41,3)," ")</f>
        <v xml:space="preserve"> </v>
      </c>
      <c r="R187" s="42" t="str">
        <f>IFERROR(VLOOKUP($J187,'Project Reference'!$B$2:$E$41,4)," ")</f>
        <v xml:space="preserve"> </v>
      </c>
      <c r="S187" s="42" t="str">
        <f>IFERROR(VLOOKUP($J187,'Project Reference'!$B$2:$F$41,5,FALSE)," ")</f>
        <v xml:space="preserve"> </v>
      </c>
      <c r="T187" s="42" t="str">
        <f>IFERROR(VLOOKUP($J187,'Project Reference'!$B$2:$G$41,6,FALSE)," ")</f>
        <v xml:space="preserve"> </v>
      </c>
      <c r="U187" s="42" t="str">
        <f>IFERROR(VLOOKUP($J187,'Project Reference'!$B$2:$H$41,7,FALSE)," ")</f>
        <v xml:space="preserve"> </v>
      </c>
      <c r="V187" s="42" t="str">
        <f>IFERROR(VLOOKUP($J187,'Project Reference'!$B$2:$I$41,8,FALSE)," ")</f>
        <v xml:space="preserve"> </v>
      </c>
      <c r="W187" s="42" t="str">
        <f>IFERROR(VLOOKUP($J187,'Project Reference'!$B$2:$J$41,9,FALSE)," ")</f>
        <v xml:space="preserve"> </v>
      </c>
      <c r="X187" s="42" t="str">
        <f>IFERROR(VLOOKUP($J187,'Project Reference'!$B$2:$K$41,10)," ")</f>
        <v xml:space="preserve"> </v>
      </c>
      <c r="Y187" s="42" t="str">
        <f>IFERROR(VLOOKUP($J187,'Project Reference'!$B$2:$L$41,11)," ")</f>
        <v xml:space="preserve"> </v>
      </c>
      <c r="Z187" s="42" t="str">
        <f>IFERROR(VLOOKUP($J187,'Project Reference'!$B$2:$M$41,12)," ")</f>
        <v xml:space="preserve"> </v>
      </c>
      <c r="AA187" s="42" t="str">
        <f>IFERROR(VLOOKUP($J187,'Project Reference'!$B$2:$N$41,13)," ")</f>
        <v xml:space="preserve"> </v>
      </c>
    </row>
    <row r="188" spans="1:27" s="1" customFormat="1" x14ac:dyDescent="0.45">
      <c r="A188" s="43"/>
      <c r="B188" s="205"/>
      <c r="C188"/>
      <c r="D188" s="72"/>
      <c r="E188" s="72"/>
      <c r="F188" s="72"/>
      <c r="G188" s="72"/>
      <c r="H188" s="17"/>
      <c r="I188" s="41" t="str" cm="1">
        <f t="array" ref="I188">IFERROR(_xlfn.IFS(H188="Hard (Cash)","N/A",H188="Soft (In-Kind)", "Enter Source"),"Select Type")</f>
        <v>Select Type</v>
      </c>
      <c r="J188" s="124"/>
      <c r="K188" s="41" t="str">
        <f>IFERROR(VLOOKUP($J188,'Project Reference'!$S$2:$T$41,2),"Enter Project Number")</f>
        <v>Enter Project Number</v>
      </c>
      <c r="L188" s="41"/>
      <c r="M188" s="41"/>
      <c r="N188" s="15">
        <f t="shared" si="2"/>
        <v>0</v>
      </c>
      <c r="O188" s="19"/>
      <c r="P188" s="42" t="str">
        <f>IFERROR(VLOOKUP($J188,'Project Reference'!$B$2:$C$41,2)," ")</f>
        <v xml:space="preserve"> </v>
      </c>
      <c r="Q188" s="42" t="str">
        <f>IFERROR(VLOOKUP($J188,'Project Reference'!$B$2:$D$41,3)," ")</f>
        <v xml:space="preserve"> </v>
      </c>
      <c r="R188" s="42" t="str">
        <f>IFERROR(VLOOKUP($J188,'Project Reference'!$B$2:$E$41,4)," ")</f>
        <v xml:space="preserve"> </v>
      </c>
      <c r="S188" s="42" t="str">
        <f>IFERROR(VLOOKUP($J188,'Project Reference'!$B$2:$F$41,5,FALSE)," ")</f>
        <v xml:space="preserve"> </v>
      </c>
      <c r="T188" s="42" t="str">
        <f>IFERROR(VLOOKUP($J188,'Project Reference'!$B$2:$G$41,6,FALSE)," ")</f>
        <v xml:space="preserve"> </v>
      </c>
      <c r="U188" s="42" t="str">
        <f>IFERROR(VLOOKUP($J188,'Project Reference'!$B$2:$H$41,7,FALSE)," ")</f>
        <v xml:space="preserve"> </v>
      </c>
      <c r="V188" s="42" t="str">
        <f>IFERROR(VLOOKUP($J188,'Project Reference'!$B$2:$I$41,8,FALSE)," ")</f>
        <v xml:space="preserve"> </v>
      </c>
      <c r="W188" s="42" t="str">
        <f>IFERROR(VLOOKUP($J188,'Project Reference'!$B$2:$J$41,9,FALSE)," ")</f>
        <v xml:space="preserve"> </v>
      </c>
      <c r="X188" s="42" t="str">
        <f>IFERROR(VLOOKUP($J188,'Project Reference'!$B$2:$K$41,10)," ")</f>
        <v xml:space="preserve"> </v>
      </c>
      <c r="Y188" s="42" t="str">
        <f>IFERROR(VLOOKUP($J188,'Project Reference'!$B$2:$L$41,11)," ")</f>
        <v xml:space="preserve"> </v>
      </c>
      <c r="Z188" s="42" t="str">
        <f>IFERROR(VLOOKUP($J188,'Project Reference'!$B$2:$M$41,12)," ")</f>
        <v xml:space="preserve"> </v>
      </c>
      <c r="AA188" s="42" t="str">
        <f>IFERROR(VLOOKUP($J188,'Project Reference'!$B$2:$N$41,13)," ")</f>
        <v xml:space="preserve"> </v>
      </c>
    </row>
    <row r="189" spans="1:27" s="1" customFormat="1" x14ac:dyDescent="0.45">
      <c r="A189" s="43"/>
      <c r="B189" s="205"/>
      <c r="C189"/>
      <c r="D189" s="72"/>
      <c r="E189" s="72"/>
      <c r="F189" s="72"/>
      <c r="G189" s="72"/>
      <c r="H189" s="17"/>
      <c r="I189" s="41" t="str" cm="1">
        <f t="array" ref="I189">IFERROR(_xlfn.IFS(H189="Hard (Cash)","N/A",H189="Soft (In-Kind)", "Enter Source"),"Select Type")</f>
        <v>Select Type</v>
      </c>
      <c r="J189" s="124"/>
      <c r="K189" s="41" t="str">
        <f>IFERROR(VLOOKUP($J189,'Project Reference'!$S$2:$T$41,2),"Enter Project Number")</f>
        <v>Enter Project Number</v>
      </c>
      <c r="L189" s="41"/>
      <c r="M189" s="41"/>
      <c r="N189" s="15">
        <f t="shared" si="2"/>
        <v>0</v>
      </c>
      <c r="O189" s="19"/>
      <c r="P189" s="42" t="str">
        <f>IFERROR(VLOOKUP($J189,'Project Reference'!$B$2:$C$41,2)," ")</f>
        <v xml:space="preserve"> </v>
      </c>
      <c r="Q189" s="42" t="str">
        <f>IFERROR(VLOOKUP($J189,'Project Reference'!$B$2:$D$41,3)," ")</f>
        <v xml:space="preserve"> </v>
      </c>
      <c r="R189" s="42" t="str">
        <f>IFERROR(VLOOKUP($J189,'Project Reference'!$B$2:$E$41,4)," ")</f>
        <v xml:space="preserve"> </v>
      </c>
      <c r="S189" s="42" t="str">
        <f>IFERROR(VLOOKUP($J189,'Project Reference'!$B$2:$F$41,5,FALSE)," ")</f>
        <v xml:space="preserve"> </v>
      </c>
      <c r="T189" s="42" t="str">
        <f>IFERROR(VLOOKUP($J189,'Project Reference'!$B$2:$G$41,6,FALSE)," ")</f>
        <v xml:space="preserve"> </v>
      </c>
      <c r="U189" s="42" t="str">
        <f>IFERROR(VLOOKUP($J189,'Project Reference'!$B$2:$H$41,7,FALSE)," ")</f>
        <v xml:space="preserve"> </v>
      </c>
      <c r="V189" s="42" t="str">
        <f>IFERROR(VLOOKUP($J189,'Project Reference'!$B$2:$I$41,8,FALSE)," ")</f>
        <v xml:space="preserve"> </v>
      </c>
      <c r="W189" s="42" t="str">
        <f>IFERROR(VLOOKUP($J189,'Project Reference'!$B$2:$J$41,9,FALSE)," ")</f>
        <v xml:space="preserve"> </v>
      </c>
      <c r="X189" s="42" t="str">
        <f>IFERROR(VLOOKUP($J189,'Project Reference'!$B$2:$K$41,10)," ")</f>
        <v xml:space="preserve"> </v>
      </c>
      <c r="Y189" s="42" t="str">
        <f>IFERROR(VLOOKUP($J189,'Project Reference'!$B$2:$L$41,11)," ")</f>
        <v xml:space="preserve"> </v>
      </c>
      <c r="Z189" s="42" t="str">
        <f>IFERROR(VLOOKUP($J189,'Project Reference'!$B$2:$M$41,12)," ")</f>
        <v xml:space="preserve"> </v>
      </c>
      <c r="AA189" s="42" t="str">
        <f>IFERROR(VLOOKUP($J189,'Project Reference'!$B$2:$N$41,13)," ")</f>
        <v xml:space="preserve"> </v>
      </c>
    </row>
    <row r="190" spans="1:27" s="1" customFormat="1" x14ac:dyDescent="0.45">
      <c r="A190" s="43"/>
      <c r="B190" s="205"/>
      <c r="C190"/>
      <c r="D190" s="72"/>
      <c r="E190" s="72"/>
      <c r="F190" s="72"/>
      <c r="G190" s="72"/>
      <c r="H190" s="17"/>
      <c r="I190" s="41" t="str" cm="1">
        <f t="array" ref="I190">IFERROR(_xlfn.IFS(H190="Hard (Cash)","N/A",H190="Soft (In-Kind)", "Enter Source"),"Select Type")</f>
        <v>Select Type</v>
      </c>
      <c r="J190" s="124"/>
      <c r="K190" s="41" t="str">
        <f>IFERROR(VLOOKUP($J190,'Project Reference'!$S$2:$T$41,2),"Enter Project Number")</f>
        <v>Enter Project Number</v>
      </c>
      <c r="L190" s="41"/>
      <c r="M190" s="41"/>
      <c r="N190" s="15">
        <f t="shared" si="2"/>
        <v>0</v>
      </c>
      <c r="O190" s="19"/>
      <c r="P190" s="42" t="str">
        <f>IFERROR(VLOOKUP($J190,'Project Reference'!$B$2:$C$41,2)," ")</f>
        <v xml:space="preserve"> </v>
      </c>
      <c r="Q190" s="42" t="str">
        <f>IFERROR(VLOOKUP($J190,'Project Reference'!$B$2:$D$41,3)," ")</f>
        <v xml:space="preserve"> </v>
      </c>
      <c r="R190" s="42" t="str">
        <f>IFERROR(VLOOKUP($J190,'Project Reference'!$B$2:$E$41,4)," ")</f>
        <v xml:space="preserve"> </v>
      </c>
      <c r="S190" s="42" t="str">
        <f>IFERROR(VLOOKUP($J190,'Project Reference'!$B$2:$F$41,5,FALSE)," ")</f>
        <v xml:space="preserve"> </v>
      </c>
      <c r="T190" s="42" t="str">
        <f>IFERROR(VLOOKUP($J190,'Project Reference'!$B$2:$G$41,6,FALSE)," ")</f>
        <v xml:space="preserve"> </v>
      </c>
      <c r="U190" s="42" t="str">
        <f>IFERROR(VLOOKUP($J190,'Project Reference'!$B$2:$H$41,7,FALSE)," ")</f>
        <v xml:space="preserve"> </v>
      </c>
      <c r="V190" s="42" t="str">
        <f>IFERROR(VLOOKUP($J190,'Project Reference'!$B$2:$I$41,8,FALSE)," ")</f>
        <v xml:space="preserve"> </v>
      </c>
      <c r="W190" s="42" t="str">
        <f>IFERROR(VLOOKUP($J190,'Project Reference'!$B$2:$J$41,9,FALSE)," ")</f>
        <v xml:space="preserve"> </v>
      </c>
      <c r="X190" s="42" t="str">
        <f>IFERROR(VLOOKUP($J190,'Project Reference'!$B$2:$K$41,10)," ")</f>
        <v xml:space="preserve"> </v>
      </c>
      <c r="Y190" s="42" t="str">
        <f>IFERROR(VLOOKUP($J190,'Project Reference'!$B$2:$L$41,11)," ")</f>
        <v xml:space="preserve"> </v>
      </c>
      <c r="Z190" s="42" t="str">
        <f>IFERROR(VLOOKUP($J190,'Project Reference'!$B$2:$M$41,12)," ")</f>
        <v xml:space="preserve"> </v>
      </c>
      <c r="AA190" s="42" t="str">
        <f>IFERROR(VLOOKUP($J190,'Project Reference'!$B$2:$N$41,13)," ")</f>
        <v xml:space="preserve"> </v>
      </c>
    </row>
    <row r="191" spans="1:27" s="1" customFormat="1" x14ac:dyDescent="0.45">
      <c r="A191" s="43"/>
      <c r="B191" s="205"/>
      <c r="C191"/>
      <c r="D191" s="72"/>
      <c r="E191" s="72"/>
      <c r="F191" s="72"/>
      <c r="G191" s="72"/>
      <c r="H191" s="17"/>
      <c r="I191" s="41" t="str" cm="1">
        <f t="array" ref="I191">IFERROR(_xlfn.IFS(H191="Hard (Cash)","N/A",H191="Soft (In-Kind)", "Enter Source"),"Select Type")</f>
        <v>Select Type</v>
      </c>
      <c r="J191" s="124"/>
      <c r="K191" s="41" t="str">
        <f>IFERROR(VLOOKUP($J191,'Project Reference'!$S$2:$T$41,2),"Enter Project Number")</f>
        <v>Enter Project Number</v>
      </c>
      <c r="L191" s="41"/>
      <c r="M191" s="41"/>
      <c r="N191" s="15">
        <f t="shared" si="2"/>
        <v>0</v>
      </c>
      <c r="O191" s="19"/>
      <c r="P191" s="42" t="str">
        <f>IFERROR(VLOOKUP($J191,'Project Reference'!$B$2:$C$41,2)," ")</f>
        <v xml:space="preserve"> </v>
      </c>
      <c r="Q191" s="42" t="str">
        <f>IFERROR(VLOOKUP($J191,'Project Reference'!$B$2:$D$41,3)," ")</f>
        <v xml:space="preserve"> </v>
      </c>
      <c r="R191" s="42" t="str">
        <f>IFERROR(VLOOKUP($J191,'Project Reference'!$B$2:$E$41,4)," ")</f>
        <v xml:space="preserve"> </v>
      </c>
      <c r="S191" s="42" t="str">
        <f>IFERROR(VLOOKUP($J191,'Project Reference'!$B$2:$F$41,5,FALSE)," ")</f>
        <v xml:space="preserve"> </v>
      </c>
      <c r="T191" s="42" t="str">
        <f>IFERROR(VLOOKUP($J191,'Project Reference'!$B$2:$G$41,6,FALSE)," ")</f>
        <v xml:space="preserve"> </v>
      </c>
      <c r="U191" s="42" t="str">
        <f>IFERROR(VLOOKUP($J191,'Project Reference'!$B$2:$H$41,7,FALSE)," ")</f>
        <v xml:space="preserve"> </v>
      </c>
      <c r="V191" s="42" t="str">
        <f>IFERROR(VLOOKUP($J191,'Project Reference'!$B$2:$I$41,8,FALSE)," ")</f>
        <v xml:space="preserve"> </v>
      </c>
      <c r="W191" s="42" t="str">
        <f>IFERROR(VLOOKUP($J191,'Project Reference'!$B$2:$J$41,9,FALSE)," ")</f>
        <v xml:space="preserve"> </v>
      </c>
      <c r="X191" s="42" t="str">
        <f>IFERROR(VLOOKUP($J191,'Project Reference'!$B$2:$K$41,10)," ")</f>
        <v xml:space="preserve"> </v>
      </c>
      <c r="Y191" s="42" t="str">
        <f>IFERROR(VLOOKUP($J191,'Project Reference'!$B$2:$L$41,11)," ")</f>
        <v xml:space="preserve"> </v>
      </c>
      <c r="Z191" s="42" t="str">
        <f>IFERROR(VLOOKUP($J191,'Project Reference'!$B$2:$M$41,12)," ")</f>
        <v xml:space="preserve"> </v>
      </c>
      <c r="AA191" s="42" t="str">
        <f>IFERROR(VLOOKUP($J191,'Project Reference'!$B$2:$N$41,13)," ")</f>
        <v xml:space="preserve"> </v>
      </c>
    </row>
    <row r="192" spans="1:27" s="1" customFormat="1" x14ac:dyDescent="0.45">
      <c r="A192" s="43"/>
      <c r="B192" s="205"/>
      <c r="C192"/>
      <c r="D192" s="72"/>
      <c r="E192" s="72"/>
      <c r="F192" s="72"/>
      <c r="G192" s="72"/>
      <c r="H192" s="17"/>
      <c r="I192" s="41" t="str" cm="1">
        <f t="array" ref="I192">IFERROR(_xlfn.IFS(H192="Hard (Cash)","N/A",H192="Soft (In-Kind)", "Enter Source"),"Select Type")</f>
        <v>Select Type</v>
      </c>
      <c r="J192" s="124"/>
      <c r="K192" s="41" t="str">
        <f>IFERROR(VLOOKUP($J192,'Project Reference'!$S$2:$T$41,2),"Enter Project Number")</f>
        <v>Enter Project Number</v>
      </c>
      <c r="L192" s="41"/>
      <c r="M192" s="41"/>
      <c r="N192" s="15">
        <f t="shared" si="2"/>
        <v>0</v>
      </c>
      <c r="O192" s="19"/>
      <c r="P192" s="42" t="str">
        <f>IFERROR(VLOOKUP($J192,'Project Reference'!$B$2:$C$41,2)," ")</f>
        <v xml:space="preserve"> </v>
      </c>
      <c r="Q192" s="42" t="str">
        <f>IFERROR(VLOOKUP($J192,'Project Reference'!$B$2:$D$41,3)," ")</f>
        <v xml:space="preserve"> </v>
      </c>
      <c r="R192" s="42" t="str">
        <f>IFERROR(VLOOKUP($J192,'Project Reference'!$B$2:$E$41,4)," ")</f>
        <v xml:space="preserve"> </v>
      </c>
      <c r="S192" s="42" t="str">
        <f>IFERROR(VLOOKUP($J192,'Project Reference'!$B$2:$F$41,5,FALSE)," ")</f>
        <v xml:space="preserve"> </v>
      </c>
      <c r="T192" s="42" t="str">
        <f>IFERROR(VLOOKUP($J192,'Project Reference'!$B$2:$G$41,6,FALSE)," ")</f>
        <v xml:space="preserve"> </v>
      </c>
      <c r="U192" s="42" t="str">
        <f>IFERROR(VLOOKUP($J192,'Project Reference'!$B$2:$H$41,7,FALSE)," ")</f>
        <v xml:space="preserve"> </v>
      </c>
      <c r="V192" s="42" t="str">
        <f>IFERROR(VLOOKUP($J192,'Project Reference'!$B$2:$I$41,8,FALSE)," ")</f>
        <v xml:space="preserve"> </v>
      </c>
      <c r="W192" s="42" t="str">
        <f>IFERROR(VLOOKUP($J192,'Project Reference'!$B$2:$J$41,9,FALSE)," ")</f>
        <v xml:space="preserve"> </v>
      </c>
      <c r="X192" s="42" t="str">
        <f>IFERROR(VLOOKUP($J192,'Project Reference'!$B$2:$K$41,10)," ")</f>
        <v xml:space="preserve"> </v>
      </c>
      <c r="Y192" s="42" t="str">
        <f>IFERROR(VLOOKUP($J192,'Project Reference'!$B$2:$L$41,11)," ")</f>
        <v xml:space="preserve"> </v>
      </c>
      <c r="Z192" s="42" t="str">
        <f>IFERROR(VLOOKUP($J192,'Project Reference'!$B$2:$M$41,12)," ")</f>
        <v xml:space="preserve"> </v>
      </c>
      <c r="AA192" s="42" t="str">
        <f>IFERROR(VLOOKUP($J192,'Project Reference'!$B$2:$N$41,13)," ")</f>
        <v xml:space="preserve"> </v>
      </c>
    </row>
    <row r="193" spans="1:27" s="1" customFormat="1" x14ac:dyDescent="0.45">
      <c r="A193" s="43"/>
      <c r="B193" s="205"/>
      <c r="C193"/>
      <c r="D193" s="72"/>
      <c r="E193" s="72"/>
      <c r="F193" s="72"/>
      <c r="G193" s="72"/>
      <c r="H193" s="17"/>
      <c r="I193" s="41" t="str" cm="1">
        <f t="array" ref="I193">IFERROR(_xlfn.IFS(H193="Hard (Cash)","N/A",H193="Soft (In-Kind)", "Enter Source"),"Select Type")</f>
        <v>Select Type</v>
      </c>
      <c r="J193" s="124"/>
      <c r="K193" s="41" t="str">
        <f>IFERROR(VLOOKUP($J193,'Project Reference'!$S$2:$T$41,2),"Enter Project Number")</f>
        <v>Enter Project Number</v>
      </c>
      <c r="L193" s="41"/>
      <c r="M193" s="41"/>
      <c r="N193" s="15">
        <f t="shared" si="2"/>
        <v>0</v>
      </c>
      <c r="O193" s="19"/>
      <c r="P193" s="42" t="str">
        <f>IFERROR(VLOOKUP($J193,'Project Reference'!$B$2:$C$41,2)," ")</f>
        <v xml:space="preserve"> </v>
      </c>
      <c r="Q193" s="42" t="str">
        <f>IFERROR(VLOOKUP($J193,'Project Reference'!$B$2:$D$41,3)," ")</f>
        <v xml:space="preserve"> </v>
      </c>
      <c r="R193" s="42" t="str">
        <f>IFERROR(VLOOKUP($J193,'Project Reference'!$B$2:$E$41,4)," ")</f>
        <v xml:space="preserve"> </v>
      </c>
      <c r="S193" s="42" t="str">
        <f>IFERROR(VLOOKUP($J193,'Project Reference'!$B$2:$F$41,5,FALSE)," ")</f>
        <v xml:space="preserve"> </v>
      </c>
      <c r="T193" s="42" t="str">
        <f>IFERROR(VLOOKUP($J193,'Project Reference'!$B$2:$G$41,6,FALSE)," ")</f>
        <v xml:space="preserve"> </v>
      </c>
      <c r="U193" s="42" t="str">
        <f>IFERROR(VLOOKUP($J193,'Project Reference'!$B$2:$H$41,7,FALSE)," ")</f>
        <v xml:space="preserve"> </v>
      </c>
      <c r="V193" s="42" t="str">
        <f>IFERROR(VLOOKUP($J193,'Project Reference'!$B$2:$I$41,8,FALSE)," ")</f>
        <v xml:space="preserve"> </v>
      </c>
      <c r="W193" s="42" t="str">
        <f>IFERROR(VLOOKUP($J193,'Project Reference'!$B$2:$J$41,9,FALSE)," ")</f>
        <v xml:space="preserve"> </v>
      </c>
      <c r="X193" s="42" t="str">
        <f>IFERROR(VLOOKUP($J193,'Project Reference'!$B$2:$K$41,10)," ")</f>
        <v xml:space="preserve"> </v>
      </c>
      <c r="Y193" s="42" t="str">
        <f>IFERROR(VLOOKUP($J193,'Project Reference'!$B$2:$L$41,11)," ")</f>
        <v xml:space="preserve"> </v>
      </c>
      <c r="Z193" s="42" t="str">
        <f>IFERROR(VLOOKUP($J193,'Project Reference'!$B$2:$M$41,12)," ")</f>
        <v xml:space="preserve"> </v>
      </c>
      <c r="AA193" s="42" t="str">
        <f>IFERROR(VLOOKUP($J193,'Project Reference'!$B$2:$N$41,13)," ")</f>
        <v xml:space="preserve"> </v>
      </c>
    </row>
    <row r="194" spans="1:27" s="1" customFormat="1" x14ac:dyDescent="0.45">
      <c r="A194" s="43"/>
      <c r="B194" s="205"/>
      <c r="C194"/>
      <c r="D194" s="72"/>
      <c r="E194" s="72"/>
      <c r="F194" s="72"/>
      <c r="G194" s="72"/>
      <c r="H194" s="17"/>
      <c r="I194" s="41" t="str" cm="1">
        <f t="array" ref="I194">IFERROR(_xlfn.IFS(H194="Hard (Cash)","N/A",H194="Soft (In-Kind)", "Enter Source"),"Select Type")</f>
        <v>Select Type</v>
      </c>
      <c r="J194" s="124"/>
      <c r="K194" s="41" t="str">
        <f>IFERROR(VLOOKUP($J194,'Project Reference'!$S$2:$T$41,2),"Enter Project Number")</f>
        <v>Enter Project Number</v>
      </c>
      <c r="L194" s="41"/>
      <c r="M194" s="41"/>
      <c r="N194" s="15">
        <f t="shared" si="2"/>
        <v>0</v>
      </c>
      <c r="O194" s="19"/>
      <c r="P194" s="42" t="str">
        <f>IFERROR(VLOOKUP($J194,'Project Reference'!$B$2:$C$41,2)," ")</f>
        <v xml:space="preserve"> </v>
      </c>
      <c r="Q194" s="42" t="str">
        <f>IFERROR(VLOOKUP($J194,'Project Reference'!$B$2:$D$41,3)," ")</f>
        <v xml:space="preserve"> </v>
      </c>
      <c r="R194" s="42" t="str">
        <f>IFERROR(VLOOKUP($J194,'Project Reference'!$B$2:$E$41,4)," ")</f>
        <v xml:space="preserve"> </v>
      </c>
      <c r="S194" s="42" t="str">
        <f>IFERROR(VLOOKUP($J194,'Project Reference'!$B$2:$F$41,5,FALSE)," ")</f>
        <v xml:space="preserve"> </v>
      </c>
      <c r="T194" s="42" t="str">
        <f>IFERROR(VLOOKUP($J194,'Project Reference'!$B$2:$G$41,6,FALSE)," ")</f>
        <v xml:space="preserve"> </v>
      </c>
      <c r="U194" s="42" t="str">
        <f>IFERROR(VLOOKUP($J194,'Project Reference'!$B$2:$H$41,7,FALSE)," ")</f>
        <v xml:space="preserve"> </v>
      </c>
      <c r="V194" s="42" t="str">
        <f>IFERROR(VLOOKUP($J194,'Project Reference'!$B$2:$I$41,8,FALSE)," ")</f>
        <v xml:space="preserve"> </v>
      </c>
      <c r="W194" s="42" t="str">
        <f>IFERROR(VLOOKUP($J194,'Project Reference'!$B$2:$J$41,9,FALSE)," ")</f>
        <v xml:space="preserve"> </v>
      </c>
      <c r="X194" s="42" t="str">
        <f>IFERROR(VLOOKUP($J194,'Project Reference'!$B$2:$K$41,10)," ")</f>
        <v xml:space="preserve"> </v>
      </c>
      <c r="Y194" s="42" t="str">
        <f>IFERROR(VLOOKUP($J194,'Project Reference'!$B$2:$L$41,11)," ")</f>
        <v xml:space="preserve"> </v>
      </c>
      <c r="Z194" s="42" t="str">
        <f>IFERROR(VLOOKUP($J194,'Project Reference'!$B$2:$M$41,12)," ")</f>
        <v xml:space="preserve"> </v>
      </c>
      <c r="AA194" s="42" t="str">
        <f>IFERROR(VLOOKUP($J194,'Project Reference'!$B$2:$N$41,13)," ")</f>
        <v xml:space="preserve"> </v>
      </c>
    </row>
    <row r="195" spans="1:27" s="1" customFormat="1" x14ac:dyDescent="0.45">
      <c r="A195" s="43"/>
      <c r="B195" s="205"/>
      <c r="C195"/>
      <c r="D195" s="72"/>
      <c r="E195" s="72"/>
      <c r="F195" s="72"/>
      <c r="G195" s="72"/>
      <c r="H195" s="17"/>
      <c r="I195" s="41" t="str" cm="1">
        <f t="array" ref="I195">IFERROR(_xlfn.IFS(H195="Hard (Cash)","N/A",H195="Soft (In-Kind)", "Enter Source"),"Select Type")</f>
        <v>Select Type</v>
      </c>
      <c r="J195" s="124"/>
      <c r="K195" s="41" t="str">
        <f>IFERROR(VLOOKUP($J195,'Project Reference'!$S$2:$T$41,2),"Enter Project Number")</f>
        <v>Enter Project Number</v>
      </c>
      <c r="L195" s="41"/>
      <c r="M195" s="41"/>
      <c r="N195" s="15">
        <f t="shared" si="2"/>
        <v>0</v>
      </c>
      <c r="O195" s="19"/>
      <c r="P195" s="42" t="str">
        <f>IFERROR(VLOOKUP($J195,'Project Reference'!$B$2:$C$41,2)," ")</f>
        <v xml:space="preserve"> </v>
      </c>
      <c r="Q195" s="42" t="str">
        <f>IFERROR(VLOOKUP($J195,'Project Reference'!$B$2:$D$41,3)," ")</f>
        <v xml:space="preserve"> </v>
      </c>
      <c r="R195" s="42" t="str">
        <f>IFERROR(VLOOKUP($J195,'Project Reference'!$B$2:$E$41,4)," ")</f>
        <v xml:space="preserve"> </v>
      </c>
      <c r="S195" s="42" t="str">
        <f>IFERROR(VLOOKUP($J195,'Project Reference'!$B$2:$F$41,5,FALSE)," ")</f>
        <v xml:space="preserve"> </v>
      </c>
      <c r="T195" s="42" t="str">
        <f>IFERROR(VLOOKUP($J195,'Project Reference'!$B$2:$G$41,6,FALSE)," ")</f>
        <v xml:space="preserve"> </v>
      </c>
      <c r="U195" s="42" t="str">
        <f>IFERROR(VLOOKUP($J195,'Project Reference'!$B$2:$H$41,7,FALSE)," ")</f>
        <v xml:space="preserve"> </v>
      </c>
      <c r="V195" s="42" t="str">
        <f>IFERROR(VLOOKUP($J195,'Project Reference'!$B$2:$I$41,8,FALSE)," ")</f>
        <v xml:space="preserve"> </v>
      </c>
      <c r="W195" s="42" t="str">
        <f>IFERROR(VLOOKUP($J195,'Project Reference'!$B$2:$J$41,9,FALSE)," ")</f>
        <v xml:space="preserve"> </v>
      </c>
      <c r="X195" s="42" t="str">
        <f>IFERROR(VLOOKUP($J195,'Project Reference'!$B$2:$K$41,10)," ")</f>
        <v xml:space="preserve"> </v>
      </c>
      <c r="Y195" s="42" t="str">
        <f>IFERROR(VLOOKUP($J195,'Project Reference'!$B$2:$L$41,11)," ")</f>
        <v xml:space="preserve"> </v>
      </c>
      <c r="Z195" s="42" t="str">
        <f>IFERROR(VLOOKUP($J195,'Project Reference'!$B$2:$M$41,12)," ")</f>
        <v xml:space="preserve"> </v>
      </c>
      <c r="AA195" s="42" t="str">
        <f>IFERROR(VLOOKUP($J195,'Project Reference'!$B$2:$N$41,13)," ")</f>
        <v xml:space="preserve"> </v>
      </c>
    </row>
    <row r="196" spans="1:27" s="1" customFormat="1" x14ac:dyDescent="0.45">
      <c r="A196" s="43"/>
      <c r="B196" s="205"/>
      <c r="C196"/>
      <c r="D196" s="72"/>
      <c r="E196" s="72"/>
      <c r="F196" s="72"/>
      <c r="G196" s="72"/>
      <c r="H196" s="17"/>
      <c r="I196" s="41" t="str" cm="1">
        <f t="array" ref="I196">IFERROR(_xlfn.IFS(H196="Hard (Cash)","N/A",H196="Soft (In-Kind)", "Enter Source"),"Select Type")</f>
        <v>Select Type</v>
      </c>
      <c r="J196" s="124"/>
      <c r="K196" s="41" t="str">
        <f>IFERROR(VLOOKUP($J196,'Project Reference'!$S$2:$T$41,2),"Enter Project Number")</f>
        <v>Enter Project Number</v>
      </c>
      <c r="L196" s="41"/>
      <c r="M196" s="41"/>
      <c r="N196" s="15">
        <f t="shared" si="2"/>
        <v>0</v>
      </c>
      <c r="O196" s="19"/>
      <c r="P196" s="42" t="str">
        <f>IFERROR(VLOOKUP($J196,'Project Reference'!$B$2:$C$41,2)," ")</f>
        <v xml:space="preserve"> </v>
      </c>
      <c r="Q196" s="42" t="str">
        <f>IFERROR(VLOOKUP($J196,'Project Reference'!$B$2:$D$41,3)," ")</f>
        <v xml:space="preserve"> </v>
      </c>
      <c r="R196" s="42" t="str">
        <f>IFERROR(VLOOKUP($J196,'Project Reference'!$B$2:$E$41,4)," ")</f>
        <v xml:space="preserve"> </v>
      </c>
      <c r="S196" s="42" t="str">
        <f>IFERROR(VLOOKUP($J196,'Project Reference'!$B$2:$F$41,5,FALSE)," ")</f>
        <v xml:space="preserve"> </v>
      </c>
      <c r="T196" s="42" t="str">
        <f>IFERROR(VLOOKUP($J196,'Project Reference'!$B$2:$G$41,6,FALSE)," ")</f>
        <v xml:space="preserve"> </v>
      </c>
      <c r="U196" s="42" t="str">
        <f>IFERROR(VLOOKUP($J196,'Project Reference'!$B$2:$H$41,7,FALSE)," ")</f>
        <v xml:space="preserve"> </v>
      </c>
      <c r="V196" s="42" t="str">
        <f>IFERROR(VLOOKUP($J196,'Project Reference'!$B$2:$I$41,8,FALSE)," ")</f>
        <v xml:space="preserve"> </v>
      </c>
      <c r="W196" s="42" t="str">
        <f>IFERROR(VLOOKUP($J196,'Project Reference'!$B$2:$J$41,9,FALSE)," ")</f>
        <v xml:space="preserve"> </v>
      </c>
      <c r="X196" s="42" t="str">
        <f>IFERROR(VLOOKUP($J196,'Project Reference'!$B$2:$K$41,10)," ")</f>
        <v xml:space="preserve"> </v>
      </c>
      <c r="Y196" s="42" t="str">
        <f>IFERROR(VLOOKUP($J196,'Project Reference'!$B$2:$L$41,11)," ")</f>
        <v xml:space="preserve"> </v>
      </c>
      <c r="Z196" s="42" t="str">
        <f>IFERROR(VLOOKUP($J196,'Project Reference'!$B$2:$M$41,12)," ")</f>
        <v xml:space="preserve"> </v>
      </c>
      <c r="AA196" s="42" t="str">
        <f>IFERROR(VLOOKUP($J196,'Project Reference'!$B$2:$N$41,13)," ")</f>
        <v xml:space="preserve"> </v>
      </c>
    </row>
    <row r="197" spans="1:27" s="1" customFormat="1" x14ac:dyDescent="0.45">
      <c r="A197" s="43"/>
      <c r="B197" s="205"/>
      <c r="C197"/>
      <c r="D197" s="72"/>
      <c r="E197" s="72"/>
      <c r="F197" s="72"/>
      <c r="G197" s="72"/>
      <c r="H197" s="17"/>
      <c r="I197" s="41" t="str" cm="1">
        <f t="array" ref="I197">IFERROR(_xlfn.IFS(H197="Hard (Cash)","N/A",H197="Soft (In-Kind)", "Enter Source"),"Select Type")</f>
        <v>Select Type</v>
      </c>
      <c r="J197" s="124"/>
      <c r="K197" s="41" t="str">
        <f>IFERROR(VLOOKUP($J197,'Project Reference'!$S$2:$T$41,2),"Enter Project Number")</f>
        <v>Enter Project Number</v>
      </c>
      <c r="L197" s="41"/>
      <c r="M197" s="41"/>
      <c r="N197" s="15">
        <f t="shared" si="2"/>
        <v>0</v>
      </c>
      <c r="O197" s="19"/>
      <c r="P197" s="42" t="str">
        <f>IFERROR(VLOOKUP($J197,'Project Reference'!$B$2:$C$41,2)," ")</f>
        <v xml:space="preserve"> </v>
      </c>
      <c r="Q197" s="42" t="str">
        <f>IFERROR(VLOOKUP($J197,'Project Reference'!$B$2:$D$41,3)," ")</f>
        <v xml:space="preserve"> </v>
      </c>
      <c r="R197" s="42" t="str">
        <f>IFERROR(VLOOKUP($J197,'Project Reference'!$B$2:$E$41,4)," ")</f>
        <v xml:space="preserve"> </v>
      </c>
      <c r="S197" s="42" t="str">
        <f>IFERROR(VLOOKUP($J197,'Project Reference'!$B$2:$F$41,5,FALSE)," ")</f>
        <v xml:space="preserve"> </v>
      </c>
      <c r="T197" s="42" t="str">
        <f>IFERROR(VLOOKUP($J197,'Project Reference'!$B$2:$G$41,6,FALSE)," ")</f>
        <v xml:space="preserve"> </v>
      </c>
      <c r="U197" s="42" t="str">
        <f>IFERROR(VLOOKUP($J197,'Project Reference'!$B$2:$H$41,7,FALSE)," ")</f>
        <v xml:space="preserve"> </v>
      </c>
      <c r="V197" s="42" t="str">
        <f>IFERROR(VLOOKUP($J197,'Project Reference'!$B$2:$I$41,8,FALSE)," ")</f>
        <v xml:space="preserve"> </v>
      </c>
      <c r="W197" s="42" t="str">
        <f>IFERROR(VLOOKUP($J197,'Project Reference'!$B$2:$J$41,9,FALSE)," ")</f>
        <v xml:space="preserve"> </v>
      </c>
      <c r="X197" s="42" t="str">
        <f>IFERROR(VLOOKUP($J197,'Project Reference'!$B$2:$K$41,10)," ")</f>
        <v xml:space="preserve"> </v>
      </c>
      <c r="Y197" s="42" t="str">
        <f>IFERROR(VLOOKUP($J197,'Project Reference'!$B$2:$L$41,11)," ")</f>
        <v xml:space="preserve"> </v>
      </c>
      <c r="Z197" s="42" t="str">
        <f>IFERROR(VLOOKUP($J197,'Project Reference'!$B$2:$M$41,12)," ")</f>
        <v xml:space="preserve"> </v>
      </c>
      <c r="AA197" s="42" t="str">
        <f>IFERROR(VLOOKUP($J197,'Project Reference'!$B$2:$N$41,13)," ")</f>
        <v xml:space="preserve"> </v>
      </c>
    </row>
    <row r="198" spans="1:27" s="1" customFormat="1" x14ac:dyDescent="0.45">
      <c r="A198" s="43"/>
      <c r="B198" s="205"/>
      <c r="C198"/>
      <c r="D198" s="72"/>
      <c r="E198" s="72"/>
      <c r="F198" s="72"/>
      <c r="G198" s="72"/>
      <c r="H198" s="17"/>
      <c r="I198" s="41" t="str" cm="1">
        <f t="array" ref="I198">IFERROR(_xlfn.IFS(H198="Hard (Cash)","N/A",H198="Soft (In-Kind)", "Enter Source"),"Select Type")</f>
        <v>Select Type</v>
      </c>
      <c r="J198" s="124"/>
      <c r="K198" s="41" t="str">
        <f>IFERROR(VLOOKUP($J198,'Project Reference'!$S$2:$T$41,2),"Enter Project Number")</f>
        <v>Enter Project Number</v>
      </c>
      <c r="L198" s="41"/>
      <c r="M198" s="41"/>
      <c r="N198" s="15">
        <f t="shared" si="2"/>
        <v>0</v>
      </c>
      <c r="O198" s="19"/>
      <c r="P198" s="42" t="str">
        <f>IFERROR(VLOOKUP($J198,'Project Reference'!$B$2:$C$41,2)," ")</f>
        <v xml:space="preserve"> </v>
      </c>
      <c r="Q198" s="42" t="str">
        <f>IFERROR(VLOOKUP($J198,'Project Reference'!$B$2:$D$41,3)," ")</f>
        <v xml:space="preserve"> </v>
      </c>
      <c r="R198" s="42" t="str">
        <f>IFERROR(VLOOKUP($J198,'Project Reference'!$B$2:$E$41,4)," ")</f>
        <v xml:space="preserve"> </v>
      </c>
      <c r="S198" s="42" t="str">
        <f>IFERROR(VLOOKUP($J198,'Project Reference'!$B$2:$F$41,5,FALSE)," ")</f>
        <v xml:space="preserve"> </v>
      </c>
      <c r="T198" s="42" t="str">
        <f>IFERROR(VLOOKUP($J198,'Project Reference'!$B$2:$G$41,6,FALSE)," ")</f>
        <v xml:space="preserve"> </v>
      </c>
      <c r="U198" s="42" t="str">
        <f>IFERROR(VLOOKUP($J198,'Project Reference'!$B$2:$H$41,7,FALSE)," ")</f>
        <v xml:space="preserve"> </v>
      </c>
      <c r="V198" s="42" t="str">
        <f>IFERROR(VLOOKUP($J198,'Project Reference'!$B$2:$I$41,8,FALSE)," ")</f>
        <v xml:space="preserve"> </v>
      </c>
      <c r="W198" s="42" t="str">
        <f>IFERROR(VLOOKUP($J198,'Project Reference'!$B$2:$J$41,9,FALSE)," ")</f>
        <v xml:space="preserve"> </v>
      </c>
      <c r="X198" s="42" t="str">
        <f>IFERROR(VLOOKUP($J198,'Project Reference'!$B$2:$K$41,10)," ")</f>
        <v xml:space="preserve"> </v>
      </c>
      <c r="Y198" s="42" t="str">
        <f>IFERROR(VLOOKUP($J198,'Project Reference'!$B$2:$L$41,11)," ")</f>
        <v xml:space="preserve"> </v>
      </c>
      <c r="Z198" s="42" t="str">
        <f>IFERROR(VLOOKUP($J198,'Project Reference'!$B$2:$M$41,12)," ")</f>
        <v xml:space="preserve"> </v>
      </c>
      <c r="AA198" s="42" t="str">
        <f>IFERROR(VLOOKUP($J198,'Project Reference'!$B$2:$N$41,13)," ")</f>
        <v xml:space="preserve"> </v>
      </c>
    </row>
    <row r="199" spans="1:27" s="1" customFormat="1" x14ac:dyDescent="0.45">
      <c r="A199" s="43"/>
      <c r="B199" s="205"/>
      <c r="C199"/>
      <c r="D199" s="72"/>
      <c r="E199" s="72"/>
      <c r="F199" s="72"/>
      <c r="G199" s="72"/>
      <c r="H199" s="17"/>
      <c r="I199" s="41" t="str" cm="1">
        <f t="array" ref="I199">IFERROR(_xlfn.IFS(H199="Hard (Cash)","N/A",H199="Soft (In-Kind)", "Enter Source"),"Select Type")</f>
        <v>Select Type</v>
      </c>
      <c r="J199" s="124"/>
      <c r="K199" s="41" t="str">
        <f>IFERROR(VLOOKUP($J199,'Project Reference'!$S$2:$T$41,2),"Enter Project Number")</f>
        <v>Enter Project Number</v>
      </c>
      <c r="L199" s="41"/>
      <c r="M199" s="41"/>
      <c r="N199" s="15">
        <f t="shared" si="2"/>
        <v>0</v>
      </c>
      <c r="O199" s="19"/>
      <c r="P199" s="42" t="str">
        <f>IFERROR(VLOOKUP($J199,'Project Reference'!$B$2:$C$41,2)," ")</f>
        <v xml:space="preserve"> </v>
      </c>
      <c r="Q199" s="42" t="str">
        <f>IFERROR(VLOOKUP($J199,'Project Reference'!$B$2:$D$41,3)," ")</f>
        <v xml:space="preserve"> </v>
      </c>
      <c r="R199" s="42" t="str">
        <f>IFERROR(VLOOKUP($J199,'Project Reference'!$B$2:$E$41,4)," ")</f>
        <v xml:space="preserve"> </v>
      </c>
      <c r="S199" s="42" t="str">
        <f>IFERROR(VLOOKUP($J199,'Project Reference'!$B$2:$F$41,5,FALSE)," ")</f>
        <v xml:space="preserve"> </v>
      </c>
      <c r="T199" s="42" t="str">
        <f>IFERROR(VLOOKUP($J199,'Project Reference'!$B$2:$G$41,6,FALSE)," ")</f>
        <v xml:space="preserve"> </v>
      </c>
      <c r="U199" s="42" t="str">
        <f>IFERROR(VLOOKUP($J199,'Project Reference'!$B$2:$H$41,7,FALSE)," ")</f>
        <v xml:space="preserve"> </v>
      </c>
      <c r="V199" s="42" t="str">
        <f>IFERROR(VLOOKUP($J199,'Project Reference'!$B$2:$I$41,8,FALSE)," ")</f>
        <v xml:space="preserve"> </v>
      </c>
      <c r="W199" s="42" t="str">
        <f>IFERROR(VLOOKUP($J199,'Project Reference'!$B$2:$J$41,9,FALSE)," ")</f>
        <v xml:space="preserve"> </v>
      </c>
      <c r="X199" s="42" t="str">
        <f>IFERROR(VLOOKUP($J199,'Project Reference'!$B$2:$K$41,10)," ")</f>
        <v xml:space="preserve"> </v>
      </c>
      <c r="Y199" s="42" t="str">
        <f>IFERROR(VLOOKUP($J199,'Project Reference'!$B$2:$L$41,11)," ")</f>
        <v xml:space="preserve"> </v>
      </c>
      <c r="Z199" s="42" t="str">
        <f>IFERROR(VLOOKUP($J199,'Project Reference'!$B$2:$M$41,12)," ")</f>
        <v xml:space="preserve"> </v>
      </c>
      <c r="AA199" s="42" t="str">
        <f>IFERROR(VLOOKUP($J199,'Project Reference'!$B$2:$N$41,13)," ")</f>
        <v xml:space="preserve"> </v>
      </c>
    </row>
    <row r="200" spans="1:27" s="1" customFormat="1" x14ac:dyDescent="0.45">
      <c r="A200" s="43"/>
      <c r="B200" s="205"/>
      <c r="C200"/>
      <c r="D200" s="72"/>
      <c r="E200" s="72"/>
      <c r="F200" s="72"/>
      <c r="G200" s="72"/>
      <c r="H200" s="17"/>
      <c r="I200" s="41" t="str" cm="1">
        <f t="array" ref="I200">IFERROR(_xlfn.IFS(H200="Hard (Cash)","N/A",H200="Soft (In-Kind)", "Enter Source"),"Select Type")</f>
        <v>Select Type</v>
      </c>
      <c r="J200" s="124"/>
      <c r="K200" s="41" t="str">
        <f>IFERROR(VLOOKUP($J200,'Project Reference'!$S$2:$T$41,2),"Enter Project Number")</f>
        <v>Enter Project Number</v>
      </c>
      <c r="L200" s="41"/>
      <c r="M200" s="41"/>
      <c r="N200" s="15">
        <f t="shared" si="2"/>
        <v>0</v>
      </c>
      <c r="O200" s="19"/>
      <c r="P200" s="42" t="str">
        <f>IFERROR(VLOOKUP($J200,'Project Reference'!$B$2:$C$41,2)," ")</f>
        <v xml:space="preserve"> </v>
      </c>
      <c r="Q200" s="42" t="str">
        <f>IFERROR(VLOOKUP($J200,'Project Reference'!$B$2:$D$41,3)," ")</f>
        <v xml:space="preserve"> </v>
      </c>
      <c r="R200" s="42" t="str">
        <f>IFERROR(VLOOKUP($J200,'Project Reference'!$B$2:$E$41,4)," ")</f>
        <v xml:space="preserve"> </v>
      </c>
      <c r="S200" s="42" t="str">
        <f>IFERROR(VLOOKUP($J200,'Project Reference'!$B$2:$F$41,5,FALSE)," ")</f>
        <v xml:space="preserve"> </v>
      </c>
      <c r="T200" s="42" t="str">
        <f>IFERROR(VLOOKUP($J200,'Project Reference'!$B$2:$G$41,6,FALSE)," ")</f>
        <v xml:space="preserve"> </v>
      </c>
      <c r="U200" s="42" t="str">
        <f>IFERROR(VLOOKUP($J200,'Project Reference'!$B$2:$H$41,7,FALSE)," ")</f>
        <v xml:space="preserve"> </v>
      </c>
      <c r="V200" s="42" t="str">
        <f>IFERROR(VLOOKUP($J200,'Project Reference'!$B$2:$I$41,8,FALSE)," ")</f>
        <v xml:space="preserve"> </v>
      </c>
      <c r="W200" s="42" t="str">
        <f>IFERROR(VLOOKUP($J200,'Project Reference'!$B$2:$J$41,9,FALSE)," ")</f>
        <v xml:space="preserve"> </v>
      </c>
      <c r="X200" s="42" t="str">
        <f>IFERROR(VLOOKUP($J200,'Project Reference'!$B$2:$K$41,10)," ")</f>
        <v xml:space="preserve"> </v>
      </c>
      <c r="Y200" s="42" t="str">
        <f>IFERROR(VLOOKUP($J200,'Project Reference'!$B$2:$L$41,11)," ")</f>
        <v xml:space="preserve"> </v>
      </c>
      <c r="Z200" s="42" t="str">
        <f>IFERROR(VLOOKUP($J200,'Project Reference'!$B$2:$M$41,12)," ")</f>
        <v xml:space="preserve"> </v>
      </c>
      <c r="AA200" s="42" t="str">
        <f>IFERROR(VLOOKUP($J200,'Project Reference'!$B$2:$N$41,13)," ")</f>
        <v xml:space="preserve"> </v>
      </c>
    </row>
    <row r="201" spans="1:27" s="1" customFormat="1" x14ac:dyDescent="0.45">
      <c r="A201" s="43"/>
      <c r="B201" s="205"/>
      <c r="C201"/>
      <c r="D201" s="72"/>
      <c r="E201" s="72"/>
      <c r="F201" s="72"/>
      <c r="G201" s="72"/>
      <c r="H201" s="17"/>
      <c r="I201" s="41" t="str" cm="1">
        <f t="array" ref="I201">IFERROR(_xlfn.IFS(H201="Hard (Cash)","N/A",H201="Soft (In-Kind)", "Enter Source"),"Select Type")</f>
        <v>Select Type</v>
      </c>
      <c r="J201" s="124"/>
      <c r="K201" s="41" t="str">
        <f>IFERROR(VLOOKUP($J201,'Project Reference'!$S$2:$T$41,2),"Enter Project Number")</f>
        <v>Enter Project Number</v>
      </c>
      <c r="L201" s="41"/>
      <c r="M201" s="41"/>
      <c r="N201" s="15">
        <f t="shared" si="2"/>
        <v>0</v>
      </c>
      <c r="O201" s="19"/>
      <c r="P201" s="42" t="str">
        <f>IFERROR(VLOOKUP($J201,'Project Reference'!$B$2:$C$41,2)," ")</f>
        <v xml:space="preserve"> </v>
      </c>
      <c r="Q201" s="42" t="str">
        <f>IFERROR(VLOOKUP($J201,'Project Reference'!$B$2:$D$41,3)," ")</f>
        <v xml:space="preserve"> </v>
      </c>
      <c r="R201" s="42" t="str">
        <f>IFERROR(VLOOKUP($J201,'Project Reference'!$B$2:$E$41,4)," ")</f>
        <v xml:space="preserve"> </v>
      </c>
      <c r="S201" s="42" t="str">
        <f>IFERROR(VLOOKUP($J201,'Project Reference'!$B$2:$F$41,5,FALSE)," ")</f>
        <v xml:space="preserve"> </v>
      </c>
      <c r="T201" s="42" t="str">
        <f>IFERROR(VLOOKUP($J201,'Project Reference'!$B$2:$G$41,6,FALSE)," ")</f>
        <v xml:space="preserve"> </v>
      </c>
      <c r="U201" s="42" t="str">
        <f>IFERROR(VLOOKUP($J201,'Project Reference'!$B$2:$H$41,7,FALSE)," ")</f>
        <v xml:space="preserve"> </v>
      </c>
      <c r="V201" s="42" t="str">
        <f>IFERROR(VLOOKUP($J201,'Project Reference'!$B$2:$I$41,8,FALSE)," ")</f>
        <v xml:space="preserve"> </v>
      </c>
      <c r="W201" s="42" t="str">
        <f>IFERROR(VLOOKUP($J201,'Project Reference'!$B$2:$J$41,9,FALSE)," ")</f>
        <v xml:space="preserve"> </v>
      </c>
      <c r="X201" s="42" t="str">
        <f>IFERROR(VLOOKUP($J201,'Project Reference'!$B$2:$K$41,10)," ")</f>
        <v xml:space="preserve"> </v>
      </c>
      <c r="Y201" s="42" t="str">
        <f>IFERROR(VLOOKUP($J201,'Project Reference'!$B$2:$L$41,11)," ")</f>
        <v xml:space="preserve"> </v>
      </c>
      <c r="Z201" s="42" t="str">
        <f>IFERROR(VLOOKUP($J201,'Project Reference'!$B$2:$M$41,12)," ")</f>
        <v xml:space="preserve"> </v>
      </c>
      <c r="AA201" s="42" t="str">
        <f>IFERROR(VLOOKUP($J201,'Project Reference'!$B$2:$N$41,13)," ")</f>
        <v xml:space="preserve"> </v>
      </c>
    </row>
    <row r="202" spans="1:27" s="1" customFormat="1" x14ac:dyDescent="0.45">
      <c r="A202" s="43"/>
      <c r="B202" s="205"/>
      <c r="C202"/>
      <c r="D202" s="72"/>
      <c r="E202" s="72"/>
      <c r="F202" s="72"/>
      <c r="G202" s="72"/>
      <c r="H202" s="17"/>
      <c r="I202" s="41" t="str" cm="1">
        <f t="array" ref="I202">IFERROR(_xlfn.IFS(H202="Hard (Cash)","N/A",H202="Soft (In-Kind)", "Enter Source"),"Select Type")</f>
        <v>Select Type</v>
      </c>
      <c r="J202" s="124"/>
      <c r="K202" s="41" t="str">
        <f>IFERROR(VLOOKUP($J202,'Project Reference'!$S$2:$T$41,2),"Enter Project Number")</f>
        <v>Enter Project Number</v>
      </c>
      <c r="L202" s="41"/>
      <c r="M202" s="41"/>
      <c r="N202" s="15">
        <f t="shared" si="2"/>
        <v>0</v>
      </c>
      <c r="O202" s="19"/>
      <c r="P202" s="42" t="str">
        <f>IFERROR(VLOOKUP($J202,'Project Reference'!$B$2:$C$41,2)," ")</f>
        <v xml:space="preserve"> </v>
      </c>
      <c r="Q202" s="42" t="str">
        <f>IFERROR(VLOOKUP($J202,'Project Reference'!$B$2:$D$41,3)," ")</f>
        <v xml:space="preserve"> </v>
      </c>
      <c r="R202" s="42" t="str">
        <f>IFERROR(VLOOKUP($J202,'Project Reference'!$B$2:$E$41,4)," ")</f>
        <v xml:space="preserve"> </v>
      </c>
      <c r="S202" s="42" t="str">
        <f>IFERROR(VLOOKUP($J202,'Project Reference'!$B$2:$F$41,5,FALSE)," ")</f>
        <v xml:space="preserve"> </v>
      </c>
      <c r="T202" s="42" t="str">
        <f>IFERROR(VLOOKUP($J202,'Project Reference'!$B$2:$G$41,6,FALSE)," ")</f>
        <v xml:space="preserve"> </v>
      </c>
      <c r="U202" s="42" t="str">
        <f>IFERROR(VLOOKUP($J202,'Project Reference'!$B$2:$H$41,7,FALSE)," ")</f>
        <v xml:space="preserve"> </v>
      </c>
      <c r="V202" s="42" t="str">
        <f>IFERROR(VLOOKUP($J202,'Project Reference'!$B$2:$I$41,8,FALSE)," ")</f>
        <v xml:space="preserve"> </v>
      </c>
      <c r="W202" s="42" t="str">
        <f>IFERROR(VLOOKUP($J202,'Project Reference'!$B$2:$J$41,9,FALSE)," ")</f>
        <v xml:space="preserve"> </v>
      </c>
      <c r="X202" s="42" t="str">
        <f>IFERROR(VLOOKUP($J202,'Project Reference'!$B$2:$K$41,10)," ")</f>
        <v xml:space="preserve"> </v>
      </c>
      <c r="Y202" s="42" t="str">
        <f>IFERROR(VLOOKUP($J202,'Project Reference'!$B$2:$L$41,11)," ")</f>
        <v xml:space="preserve"> </v>
      </c>
      <c r="Z202" s="42" t="str">
        <f>IFERROR(VLOOKUP($J202,'Project Reference'!$B$2:$M$41,12)," ")</f>
        <v xml:space="preserve"> </v>
      </c>
      <c r="AA202" s="42" t="str">
        <f>IFERROR(VLOOKUP($J202,'Project Reference'!$B$2:$N$41,13)," ")</f>
        <v xml:space="preserve"> </v>
      </c>
    </row>
    <row r="203" spans="1:27" s="1" customFormat="1" x14ac:dyDescent="0.45">
      <c r="A203" s="43"/>
      <c r="B203" s="205"/>
      <c r="C203"/>
      <c r="D203" s="72"/>
      <c r="E203" s="72"/>
      <c r="F203" s="72"/>
      <c r="G203" s="72"/>
      <c r="H203" s="17"/>
      <c r="I203" s="41" t="str" cm="1">
        <f t="array" ref="I203">IFERROR(_xlfn.IFS(H203="Hard (Cash)","N/A",H203="Soft (In-Kind)", "Enter Source"),"Select Type")</f>
        <v>Select Type</v>
      </c>
      <c r="J203" s="124"/>
      <c r="K203" s="41" t="str">
        <f>IFERROR(VLOOKUP($J203,'Project Reference'!$S$2:$T$41,2),"Enter Project Number")</f>
        <v>Enter Project Number</v>
      </c>
      <c r="L203" s="41"/>
      <c r="M203" s="41"/>
      <c r="N203" s="15">
        <f t="shared" ref="N203:N266" si="3">SUM(D203:G203)</f>
        <v>0</v>
      </c>
      <c r="O203" s="19"/>
      <c r="P203" s="42" t="str">
        <f>IFERROR(VLOOKUP($J203,'Project Reference'!$B$2:$C$41,2)," ")</f>
        <v xml:space="preserve"> </v>
      </c>
      <c r="Q203" s="42" t="str">
        <f>IFERROR(VLOOKUP($J203,'Project Reference'!$B$2:$D$41,3)," ")</f>
        <v xml:space="preserve"> </v>
      </c>
      <c r="R203" s="42" t="str">
        <f>IFERROR(VLOOKUP($J203,'Project Reference'!$B$2:$E$41,4)," ")</f>
        <v xml:space="preserve"> </v>
      </c>
      <c r="S203" s="42" t="str">
        <f>IFERROR(VLOOKUP($J203,'Project Reference'!$B$2:$F$41,5,FALSE)," ")</f>
        <v xml:space="preserve"> </v>
      </c>
      <c r="T203" s="42" t="str">
        <f>IFERROR(VLOOKUP($J203,'Project Reference'!$B$2:$G$41,6,FALSE)," ")</f>
        <v xml:space="preserve"> </v>
      </c>
      <c r="U203" s="42" t="str">
        <f>IFERROR(VLOOKUP($J203,'Project Reference'!$B$2:$H$41,7,FALSE)," ")</f>
        <v xml:space="preserve"> </v>
      </c>
      <c r="V203" s="42" t="str">
        <f>IFERROR(VLOOKUP($J203,'Project Reference'!$B$2:$I$41,8,FALSE)," ")</f>
        <v xml:space="preserve"> </v>
      </c>
      <c r="W203" s="42" t="str">
        <f>IFERROR(VLOOKUP($J203,'Project Reference'!$B$2:$J$41,9,FALSE)," ")</f>
        <v xml:space="preserve"> </v>
      </c>
      <c r="X203" s="42" t="str">
        <f>IFERROR(VLOOKUP($J203,'Project Reference'!$B$2:$K$41,10)," ")</f>
        <v xml:space="preserve"> </v>
      </c>
      <c r="Y203" s="42" t="str">
        <f>IFERROR(VLOOKUP($J203,'Project Reference'!$B$2:$L$41,11)," ")</f>
        <v xml:space="preserve"> </v>
      </c>
      <c r="Z203" s="42" t="str">
        <f>IFERROR(VLOOKUP($J203,'Project Reference'!$B$2:$M$41,12)," ")</f>
        <v xml:space="preserve"> </v>
      </c>
      <c r="AA203" s="42" t="str">
        <f>IFERROR(VLOOKUP($J203,'Project Reference'!$B$2:$N$41,13)," ")</f>
        <v xml:space="preserve"> </v>
      </c>
    </row>
    <row r="204" spans="1:27" s="1" customFormat="1" x14ac:dyDescent="0.45">
      <c r="A204" s="43"/>
      <c r="B204" s="205"/>
      <c r="C204"/>
      <c r="D204" s="72"/>
      <c r="E204" s="72"/>
      <c r="F204" s="72"/>
      <c r="G204" s="72"/>
      <c r="H204" s="17"/>
      <c r="I204" s="41" t="str" cm="1">
        <f t="array" ref="I204">IFERROR(_xlfn.IFS(H204="Hard (Cash)","N/A",H204="Soft (In-Kind)", "Enter Source"),"Select Type")</f>
        <v>Select Type</v>
      </c>
      <c r="J204" s="124"/>
      <c r="K204" s="41" t="str">
        <f>IFERROR(VLOOKUP($J204,'Project Reference'!$S$2:$T$41,2),"Enter Project Number")</f>
        <v>Enter Project Number</v>
      </c>
      <c r="L204" s="41"/>
      <c r="M204" s="41"/>
      <c r="N204" s="15">
        <f t="shared" si="3"/>
        <v>0</v>
      </c>
      <c r="O204" s="19"/>
      <c r="P204" s="42" t="str">
        <f>IFERROR(VLOOKUP($J204,'Project Reference'!$B$2:$C$41,2)," ")</f>
        <v xml:space="preserve"> </v>
      </c>
      <c r="Q204" s="42" t="str">
        <f>IFERROR(VLOOKUP($J204,'Project Reference'!$B$2:$D$41,3)," ")</f>
        <v xml:space="preserve"> </v>
      </c>
      <c r="R204" s="42" t="str">
        <f>IFERROR(VLOOKUP($J204,'Project Reference'!$B$2:$E$41,4)," ")</f>
        <v xml:space="preserve"> </v>
      </c>
      <c r="S204" s="42" t="str">
        <f>IFERROR(VLOOKUP($J204,'Project Reference'!$B$2:$F$41,5,FALSE)," ")</f>
        <v xml:space="preserve"> </v>
      </c>
      <c r="T204" s="42" t="str">
        <f>IFERROR(VLOOKUP($J204,'Project Reference'!$B$2:$G$41,6,FALSE)," ")</f>
        <v xml:space="preserve"> </v>
      </c>
      <c r="U204" s="42" t="str">
        <f>IFERROR(VLOOKUP($J204,'Project Reference'!$B$2:$H$41,7,FALSE)," ")</f>
        <v xml:space="preserve"> </v>
      </c>
      <c r="V204" s="42" t="str">
        <f>IFERROR(VLOOKUP($J204,'Project Reference'!$B$2:$I$41,8,FALSE)," ")</f>
        <v xml:space="preserve"> </v>
      </c>
      <c r="W204" s="42" t="str">
        <f>IFERROR(VLOOKUP($J204,'Project Reference'!$B$2:$J$41,9,FALSE)," ")</f>
        <v xml:space="preserve"> </v>
      </c>
      <c r="X204" s="42" t="str">
        <f>IFERROR(VLOOKUP($J204,'Project Reference'!$B$2:$K$41,10)," ")</f>
        <v xml:space="preserve"> </v>
      </c>
      <c r="Y204" s="42" t="str">
        <f>IFERROR(VLOOKUP($J204,'Project Reference'!$B$2:$L$41,11)," ")</f>
        <v xml:space="preserve"> </v>
      </c>
      <c r="Z204" s="42" t="str">
        <f>IFERROR(VLOOKUP($J204,'Project Reference'!$B$2:$M$41,12)," ")</f>
        <v xml:space="preserve"> </v>
      </c>
      <c r="AA204" s="42" t="str">
        <f>IFERROR(VLOOKUP($J204,'Project Reference'!$B$2:$N$41,13)," ")</f>
        <v xml:space="preserve"> </v>
      </c>
    </row>
    <row r="205" spans="1:27" s="1" customFormat="1" x14ac:dyDescent="0.45">
      <c r="A205" s="43"/>
      <c r="B205" s="205"/>
      <c r="C205"/>
      <c r="D205" s="72"/>
      <c r="E205" s="72"/>
      <c r="F205" s="72"/>
      <c r="G205" s="72"/>
      <c r="H205" s="17"/>
      <c r="I205" s="41" t="str" cm="1">
        <f t="array" ref="I205">IFERROR(_xlfn.IFS(H205="Hard (Cash)","N/A",H205="Soft (In-Kind)", "Enter Source"),"Select Type")</f>
        <v>Select Type</v>
      </c>
      <c r="J205" s="124"/>
      <c r="K205" s="41" t="str">
        <f>IFERROR(VLOOKUP($J205,'Project Reference'!$S$2:$T$41,2),"Enter Project Number")</f>
        <v>Enter Project Number</v>
      </c>
      <c r="L205" s="41"/>
      <c r="M205" s="41"/>
      <c r="N205" s="15">
        <f t="shared" si="3"/>
        <v>0</v>
      </c>
      <c r="O205" s="19"/>
      <c r="P205" s="42" t="str">
        <f>IFERROR(VLOOKUP($J205,'Project Reference'!$B$2:$C$41,2)," ")</f>
        <v xml:space="preserve"> </v>
      </c>
      <c r="Q205" s="42" t="str">
        <f>IFERROR(VLOOKUP($J205,'Project Reference'!$B$2:$D$41,3)," ")</f>
        <v xml:space="preserve"> </v>
      </c>
      <c r="R205" s="42" t="str">
        <f>IFERROR(VLOOKUP($J205,'Project Reference'!$B$2:$E$41,4)," ")</f>
        <v xml:space="preserve"> </v>
      </c>
      <c r="S205" s="42" t="str">
        <f>IFERROR(VLOOKUP($J205,'Project Reference'!$B$2:$F$41,5,FALSE)," ")</f>
        <v xml:space="preserve"> </v>
      </c>
      <c r="T205" s="42" t="str">
        <f>IFERROR(VLOOKUP($J205,'Project Reference'!$B$2:$G$41,6,FALSE)," ")</f>
        <v xml:space="preserve"> </v>
      </c>
      <c r="U205" s="42" t="str">
        <f>IFERROR(VLOOKUP($J205,'Project Reference'!$B$2:$H$41,7,FALSE)," ")</f>
        <v xml:space="preserve"> </v>
      </c>
      <c r="V205" s="42" t="str">
        <f>IFERROR(VLOOKUP($J205,'Project Reference'!$B$2:$I$41,8,FALSE)," ")</f>
        <v xml:space="preserve"> </v>
      </c>
      <c r="W205" s="42" t="str">
        <f>IFERROR(VLOOKUP($J205,'Project Reference'!$B$2:$J$41,9,FALSE)," ")</f>
        <v xml:space="preserve"> </v>
      </c>
      <c r="X205" s="42" t="str">
        <f>IFERROR(VLOOKUP($J205,'Project Reference'!$B$2:$K$41,10)," ")</f>
        <v xml:space="preserve"> </v>
      </c>
      <c r="Y205" s="42" t="str">
        <f>IFERROR(VLOOKUP($J205,'Project Reference'!$B$2:$L$41,11)," ")</f>
        <v xml:space="preserve"> </v>
      </c>
      <c r="Z205" s="42" t="str">
        <f>IFERROR(VLOOKUP($J205,'Project Reference'!$B$2:$M$41,12)," ")</f>
        <v xml:space="preserve"> </v>
      </c>
      <c r="AA205" s="42" t="str">
        <f>IFERROR(VLOOKUP($J205,'Project Reference'!$B$2:$N$41,13)," ")</f>
        <v xml:space="preserve"> </v>
      </c>
    </row>
    <row r="206" spans="1:27" s="1" customFormat="1" x14ac:dyDescent="0.45">
      <c r="A206" s="43"/>
      <c r="B206" s="205"/>
      <c r="C206"/>
      <c r="D206" s="72"/>
      <c r="E206" s="72"/>
      <c r="F206" s="72"/>
      <c r="G206" s="72"/>
      <c r="H206" s="17"/>
      <c r="I206" s="41" t="str" cm="1">
        <f t="array" ref="I206">IFERROR(_xlfn.IFS(H206="Hard (Cash)","N/A",H206="Soft (In-Kind)", "Enter Source"),"Select Type")</f>
        <v>Select Type</v>
      </c>
      <c r="J206" s="124"/>
      <c r="K206" s="41" t="str">
        <f>IFERROR(VLOOKUP($J206,'Project Reference'!$S$2:$T$41,2),"Enter Project Number")</f>
        <v>Enter Project Number</v>
      </c>
      <c r="L206" s="41"/>
      <c r="M206" s="41"/>
      <c r="N206" s="15">
        <f t="shared" si="3"/>
        <v>0</v>
      </c>
      <c r="O206" s="19"/>
      <c r="P206" s="42" t="str">
        <f>IFERROR(VLOOKUP($J206,'Project Reference'!$B$2:$C$41,2)," ")</f>
        <v xml:space="preserve"> </v>
      </c>
      <c r="Q206" s="42" t="str">
        <f>IFERROR(VLOOKUP($J206,'Project Reference'!$B$2:$D$41,3)," ")</f>
        <v xml:space="preserve"> </v>
      </c>
      <c r="R206" s="42" t="str">
        <f>IFERROR(VLOOKUP($J206,'Project Reference'!$B$2:$E$41,4)," ")</f>
        <v xml:space="preserve"> </v>
      </c>
      <c r="S206" s="42" t="str">
        <f>IFERROR(VLOOKUP($J206,'Project Reference'!$B$2:$F$41,5,FALSE)," ")</f>
        <v xml:space="preserve"> </v>
      </c>
      <c r="T206" s="42" t="str">
        <f>IFERROR(VLOOKUP($J206,'Project Reference'!$B$2:$G$41,6,FALSE)," ")</f>
        <v xml:space="preserve"> </v>
      </c>
      <c r="U206" s="42" t="str">
        <f>IFERROR(VLOOKUP($J206,'Project Reference'!$B$2:$H$41,7,FALSE)," ")</f>
        <v xml:space="preserve"> </v>
      </c>
      <c r="V206" s="42" t="str">
        <f>IFERROR(VLOOKUP($J206,'Project Reference'!$B$2:$I$41,8,FALSE)," ")</f>
        <v xml:space="preserve"> </v>
      </c>
      <c r="W206" s="42" t="str">
        <f>IFERROR(VLOOKUP($J206,'Project Reference'!$B$2:$J$41,9,FALSE)," ")</f>
        <v xml:space="preserve"> </v>
      </c>
      <c r="X206" s="42" t="str">
        <f>IFERROR(VLOOKUP($J206,'Project Reference'!$B$2:$K$41,10)," ")</f>
        <v xml:space="preserve"> </v>
      </c>
      <c r="Y206" s="42" t="str">
        <f>IFERROR(VLOOKUP($J206,'Project Reference'!$B$2:$L$41,11)," ")</f>
        <v xml:space="preserve"> </v>
      </c>
      <c r="Z206" s="42" t="str">
        <f>IFERROR(VLOOKUP($J206,'Project Reference'!$B$2:$M$41,12)," ")</f>
        <v xml:space="preserve"> </v>
      </c>
      <c r="AA206" s="42" t="str">
        <f>IFERROR(VLOOKUP($J206,'Project Reference'!$B$2:$N$41,13)," ")</f>
        <v xml:space="preserve"> </v>
      </c>
    </row>
    <row r="207" spans="1:27" s="1" customFormat="1" x14ac:dyDescent="0.45">
      <c r="A207" s="43"/>
      <c r="B207" s="205"/>
      <c r="C207"/>
      <c r="D207" s="72"/>
      <c r="E207" s="72"/>
      <c r="F207" s="72"/>
      <c r="G207" s="72"/>
      <c r="H207" s="17"/>
      <c r="I207" s="41" t="str" cm="1">
        <f t="array" ref="I207">IFERROR(_xlfn.IFS(H207="Hard (Cash)","N/A",H207="Soft (In-Kind)", "Enter Source"),"Select Type")</f>
        <v>Select Type</v>
      </c>
      <c r="J207" s="124"/>
      <c r="K207" s="41" t="str">
        <f>IFERROR(VLOOKUP($J207,'Project Reference'!$S$2:$T$41,2),"Enter Project Number")</f>
        <v>Enter Project Number</v>
      </c>
      <c r="L207" s="41"/>
      <c r="M207" s="41"/>
      <c r="N207" s="15">
        <f t="shared" si="3"/>
        <v>0</v>
      </c>
      <c r="O207" s="19"/>
      <c r="P207" s="42" t="str">
        <f>IFERROR(VLOOKUP($J207,'Project Reference'!$B$2:$C$41,2)," ")</f>
        <v xml:space="preserve"> </v>
      </c>
      <c r="Q207" s="42" t="str">
        <f>IFERROR(VLOOKUP($J207,'Project Reference'!$B$2:$D$41,3)," ")</f>
        <v xml:space="preserve"> </v>
      </c>
      <c r="R207" s="42" t="str">
        <f>IFERROR(VLOOKUP($J207,'Project Reference'!$B$2:$E$41,4)," ")</f>
        <v xml:space="preserve"> </v>
      </c>
      <c r="S207" s="42" t="str">
        <f>IFERROR(VLOOKUP($J207,'Project Reference'!$B$2:$F$41,5,FALSE)," ")</f>
        <v xml:space="preserve"> </v>
      </c>
      <c r="T207" s="42" t="str">
        <f>IFERROR(VLOOKUP($J207,'Project Reference'!$B$2:$G$41,6,FALSE)," ")</f>
        <v xml:space="preserve"> </v>
      </c>
      <c r="U207" s="42" t="str">
        <f>IFERROR(VLOOKUP($J207,'Project Reference'!$B$2:$H$41,7,FALSE)," ")</f>
        <v xml:space="preserve"> </v>
      </c>
      <c r="V207" s="42" t="str">
        <f>IFERROR(VLOOKUP($J207,'Project Reference'!$B$2:$I$41,8,FALSE)," ")</f>
        <v xml:space="preserve"> </v>
      </c>
      <c r="W207" s="42" t="str">
        <f>IFERROR(VLOOKUP($J207,'Project Reference'!$B$2:$J$41,9,FALSE)," ")</f>
        <v xml:space="preserve"> </v>
      </c>
      <c r="X207" s="42" t="str">
        <f>IFERROR(VLOOKUP($J207,'Project Reference'!$B$2:$K$41,10)," ")</f>
        <v xml:space="preserve"> </v>
      </c>
      <c r="Y207" s="42" t="str">
        <f>IFERROR(VLOOKUP($J207,'Project Reference'!$B$2:$L$41,11)," ")</f>
        <v xml:space="preserve"> </v>
      </c>
      <c r="Z207" s="42" t="str">
        <f>IFERROR(VLOOKUP($J207,'Project Reference'!$B$2:$M$41,12)," ")</f>
        <v xml:space="preserve"> </v>
      </c>
      <c r="AA207" s="42" t="str">
        <f>IFERROR(VLOOKUP($J207,'Project Reference'!$B$2:$N$41,13)," ")</f>
        <v xml:space="preserve"> </v>
      </c>
    </row>
    <row r="208" spans="1:27" s="1" customFormat="1" x14ac:dyDescent="0.45">
      <c r="A208" s="43"/>
      <c r="B208" s="205"/>
      <c r="C208"/>
      <c r="D208" s="72"/>
      <c r="E208" s="72"/>
      <c r="F208" s="72"/>
      <c r="G208" s="72"/>
      <c r="H208" s="17"/>
      <c r="I208" s="41" t="str" cm="1">
        <f t="array" ref="I208">IFERROR(_xlfn.IFS(H208="Hard (Cash)","N/A",H208="Soft (In-Kind)", "Enter Source"),"Select Type")</f>
        <v>Select Type</v>
      </c>
      <c r="J208" s="124"/>
      <c r="K208" s="41" t="str">
        <f>IFERROR(VLOOKUP($J208,'Project Reference'!$S$2:$T$41,2),"Enter Project Number")</f>
        <v>Enter Project Number</v>
      </c>
      <c r="L208" s="41"/>
      <c r="M208" s="41"/>
      <c r="N208" s="15">
        <f t="shared" si="3"/>
        <v>0</v>
      </c>
      <c r="O208" s="19"/>
      <c r="P208" s="42" t="str">
        <f>IFERROR(VLOOKUP($J208,'Project Reference'!$B$2:$C$41,2)," ")</f>
        <v xml:space="preserve"> </v>
      </c>
      <c r="Q208" s="42" t="str">
        <f>IFERROR(VLOOKUP($J208,'Project Reference'!$B$2:$D$41,3)," ")</f>
        <v xml:space="preserve"> </v>
      </c>
      <c r="R208" s="42" t="str">
        <f>IFERROR(VLOOKUP($J208,'Project Reference'!$B$2:$E$41,4)," ")</f>
        <v xml:space="preserve"> </v>
      </c>
      <c r="S208" s="42" t="str">
        <f>IFERROR(VLOOKUP($J208,'Project Reference'!$B$2:$F$41,5,FALSE)," ")</f>
        <v xml:space="preserve"> </v>
      </c>
      <c r="T208" s="42" t="str">
        <f>IFERROR(VLOOKUP($J208,'Project Reference'!$B$2:$G$41,6,FALSE)," ")</f>
        <v xml:space="preserve"> </v>
      </c>
      <c r="U208" s="42" t="str">
        <f>IFERROR(VLOOKUP($J208,'Project Reference'!$B$2:$H$41,7,FALSE)," ")</f>
        <v xml:space="preserve"> </v>
      </c>
      <c r="V208" s="42" t="str">
        <f>IFERROR(VLOOKUP($J208,'Project Reference'!$B$2:$I$41,8,FALSE)," ")</f>
        <v xml:space="preserve"> </v>
      </c>
      <c r="W208" s="42" t="str">
        <f>IFERROR(VLOOKUP($J208,'Project Reference'!$B$2:$J$41,9,FALSE)," ")</f>
        <v xml:space="preserve"> </v>
      </c>
      <c r="X208" s="42" t="str">
        <f>IFERROR(VLOOKUP($J208,'Project Reference'!$B$2:$K$41,10)," ")</f>
        <v xml:space="preserve"> </v>
      </c>
      <c r="Y208" s="42" t="str">
        <f>IFERROR(VLOOKUP($J208,'Project Reference'!$B$2:$L$41,11)," ")</f>
        <v xml:space="preserve"> </v>
      </c>
      <c r="Z208" s="42" t="str">
        <f>IFERROR(VLOOKUP($J208,'Project Reference'!$B$2:$M$41,12)," ")</f>
        <v xml:space="preserve"> </v>
      </c>
      <c r="AA208" s="42" t="str">
        <f>IFERROR(VLOOKUP($J208,'Project Reference'!$B$2:$N$41,13)," ")</f>
        <v xml:space="preserve"> </v>
      </c>
    </row>
    <row r="209" spans="1:27" s="1" customFormat="1" x14ac:dyDescent="0.45">
      <c r="A209" s="43"/>
      <c r="B209" s="205"/>
      <c r="C209"/>
      <c r="D209" s="72"/>
      <c r="E209" s="72"/>
      <c r="F209" s="72"/>
      <c r="G209" s="72"/>
      <c r="H209" s="17"/>
      <c r="I209" s="41" t="str" cm="1">
        <f t="array" ref="I209">IFERROR(_xlfn.IFS(H209="Hard (Cash)","N/A",H209="Soft (In-Kind)", "Enter Source"),"Select Type")</f>
        <v>Select Type</v>
      </c>
      <c r="J209" s="124"/>
      <c r="K209" s="41" t="str">
        <f>IFERROR(VLOOKUP($J209,'Project Reference'!$S$2:$T$41,2),"Enter Project Number")</f>
        <v>Enter Project Number</v>
      </c>
      <c r="L209" s="41"/>
      <c r="M209" s="41"/>
      <c r="N209" s="15">
        <f t="shared" si="3"/>
        <v>0</v>
      </c>
      <c r="O209" s="19"/>
      <c r="P209" s="42" t="str">
        <f>IFERROR(VLOOKUP($J209,'Project Reference'!$B$2:$C$41,2)," ")</f>
        <v xml:space="preserve"> </v>
      </c>
      <c r="Q209" s="42" t="str">
        <f>IFERROR(VLOOKUP($J209,'Project Reference'!$B$2:$D$41,3)," ")</f>
        <v xml:space="preserve"> </v>
      </c>
      <c r="R209" s="42" t="str">
        <f>IFERROR(VLOOKUP($J209,'Project Reference'!$B$2:$E$41,4)," ")</f>
        <v xml:space="preserve"> </v>
      </c>
      <c r="S209" s="42" t="str">
        <f>IFERROR(VLOOKUP($J209,'Project Reference'!$B$2:$F$41,5,FALSE)," ")</f>
        <v xml:space="preserve"> </v>
      </c>
      <c r="T209" s="42" t="str">
        <f>IFERROR(VLOOKUP($J209,'Project Reference'!$B$2:$G$41,6,FALSE)," ")</f>
        <v xml:space="preserve"> </v>
      </c>
      <c r="U209" s="42" t="str">
        <f>IFERROR(VLOOKUP($J209,'Project Reference'!$B$2:$H$41,7,FALSE)," ")</f>
        <v xml:space="preserve"> </v>
      </c>
      <c r="V209" s="42" t="str">
        <f>IFERROR(VLOOKUP($J209,'Project Reference'!$B$2:$I$41,8,FALSE)," ")</f>
        <v xml:space="preserve"> </v>
      </c>
      <c r="W209" s="42" t="str">
        <f>IFERROR(VLOOKUP($J209,'Project Reference'!$B$2:$J$41,9,FALSE)," ")</f>
        <v xml:space="preserve"> </v>
      </c>
      <c r="X209" s="42" t="str">
        <f>IFERROR(VLOOKUP($J209,'Project Reference'!$B$2:$K$41,10)," ")</f>
        <v xml:space="preserve"> </v>
      </c>
      <c r="Y209" s="42" t="str">
        <f>IFERROR(VLOOKUP($J209,'Project Reference'!$B$2:$L$41,11)," ")</f>
        <v xml:space="preserve"> </v>
      </c>
      <c r="Z209" s="42" t="str">
        <f>IFERROR(VLOOKUP($J209,'Project Reference'!$B$2:$M$41,12)," ")</f>
        <v xml:space="preserve"> </v>
      </c>
      <c r="AA209" s="42" t="str">
        <f>IFERROR(VLOOKUP($J209,'Project Reference'!$B$2:$N$41,13)," ")</f>
        <v xml:space="preserve"> </v>
      </c>
    </row>
    <row r="210" spans="1:27" s="1" customFormat="1" x14ac:dyDescent="0.45">
      <c r="A210" s="43"/>
      <c r="B210" s="205"/>
      <c r="C210"/>
      <c r="D210" s="72"/>
      <c r="E210" s="72"/>
      <c r="F210" s="72"/>
      <c r="G210" s="72"/>
      <c r="H210" s="17"/>
      <c r="I210" s="41" t="str" cm="1">
        <f t="array" ref="I210">IFERROR(_xlfn.IFS(H210="Hard (Cash)","N/A",H210="Soft (In-Kind)", "Enter Source"),"Select Type")</f>
        <v>Select Type</v>
      </c>
      <c r="J210" s="124"/>
      <c r="K210" s="41" t="str">
        <f>IFERROR(VLOOKUP($J210,'Project Reference'!$S$2:$T$41,2),"Enter Project Number")</f>
        <v>Enter Project Number</v>
      </c>
      <c r="L210" s="41"/>
      <c r="M210" s="41"/>
      <c r="N210" s="15">
        <f t="shared" si="3"/>
        <v>0</v>
      </c>
      <c r="O210" s="19"/>
      <c r="P210" s="42" t="str">
        <f>IFERROR(VLOOKUP($J210,'Project Reference'!$B$2:$C$41,2)," ")</f>
        <v xml:space="preserve"> </v>
      </c>
      <c r="Q210" s="42" t="str">
        <f>IFERROR(VLOOKUP($J210,'Project Reference'!$B$2:$D$41,3)," ")</f>
        <v xml:space="preserve"> </v>
      </c>
      <c r="R210" s="42" t="str">
        <f>IFERROR(VLOOKUP($J210,'Project Reference'!$B$2:$E$41,4)," ")</f>
        <v xml:space="preserve"> </v>
      </c>
      <c r="S210" s="42" t="str">
        <f>IFERROR(VLOOKUP($J210,'Project Reference'!$B$2:$F$41,5,FALSE)," ")</f>
        <v xml:space="preserve"> </v>
      </c>
      <c r="T210" s="42" t="str">
        <f>IFERROR(VLOOKUP($J210,'Project Reference'!$B$2:$G$41,6,FALSE)," ")</f>
        <v xml:space="preserve"> </v>
      </c>
      <c r="U210" s="42" t="str">
        <f>IFERROR(VLOOKUP($J210,'Project Reference'!$B$2:$H$41,7,FALSE)," ")</f>
        <v xml:space="preserve"> </v>
      </c>
      <c r="V210" s="42" t="str">
        <f>IFERROR(VLOOKUP($J210,'Project Reference'!$B$2:$I$41,8,FALSE)," ")</f>
        <v xml:space="preserve"> </v>
      </c>
      <c r="W210" s="42" t="str">
        <f>IFERROR(VLOOKUP($J210,'Project Reference'!$B$2:$J$41,9,FALSE)," ")</f>
        <v xml:space="preserve"> </v>
      </c>
      <c r="X210" s="42" t="str">
        <f>IFERROR(VLOOKUP($J210,'Project Reference'!$B$2:$K$41,10)," ")</f>
        <v xml:space="preserve"> </v>
      </c>
      <c r="Y210" s="42" t="str">
        <f>IFERROR(VLOOKUP($J210,'Project Reference'!$B$2:$L$41,11)," ")</f>
        <v xml:space="preserve"> </v>
      </c>
      <c r="Z210" s="42" t="str">
        <f>IFERROR(VLOOKUP($J210,'Project Reference'!$B$2:$M$41,12)," ")</f>
        <v xml:space="preserve"> </v>
      </c>
      <c r="AA210" s="42" t="str">
        <f>IFERROR(VLOOKUP($J210,'Project Reference'!$B$2:$N$41,13)," ")</f>
        <v xml:space="preserve"> </v>
      </c>
    </row>
    <row r="211" spans="1:27" s="1" customFormat="1" x14ac:dyDescent="0.45">
      <c r="A211" s="43"/>
      <c r="B211" s="205"/>
      <c r="C211"/>
      <c r="D211" s="72"/>
      <c r="E211" s="72"/>
      <c r="F211" s="72"/>
      <c r="G211" s="72"/>
      <c r="H211" s="17"/>
      <c r="I211" s="41" t="str" cm="1">
        <f t="array" ref="I211">IFERROR(_xlfn.IFS(H211="Hard (Cash)","N/A",H211="Soft (In-Kind)", "Enter Source"),"Select Type")</f>
        <v>Select Type</v>
      </c>
      <c r="J211" s="124"/>
      <c r="K211" s="41" t="str">
        <f>IFERROR(VLOOKUP($J211,'Project Reference'!$S$2:$T$41,2),"Enter Project Number")</f>
        <v>Enter Project Number</v>
      </c>
      <c r="L211" s="41"/>
      <c r="M211" s="41"/>
      <c r="N211" s="15">
        <f t="shared" si="3"/>
        <v>0</v>
      </c>
      <c r="O211" s="19"/>
      <c r="P211" s="42" t="str">
        <f>IFERROR(VLOOKUP($J211,'Project Reference'!$B$2:$C$41,2)," ")</f>
        <v xml:space="preserve"> </v>
      </c>
      <c r="Q211" s="42" t="str">
        <f>IFERROR(VLOOKUP($J211,'Project Reference'!$B$2:$D$41,3)," ")</f>
        <v xml:space="preserve"> </v>
      </c>
      <c r="R211" s="42" t="str">
        <f>IFERROR(VLOOKUP($J211,'Project Reference'!$B$2:$E$41,4)," ")</f>
        <v xml:space="preserve"> </v>
      </c>
      <c r="S211" s="42" t="str">
        <f>IFERROR(VLOOKUP($J211,'Project Reference'!$B$2:$F$41,5,FALSE)," ")</f>
        <v xml:space="preserve"> </v>
      </c>
      <c r="T211" s="42" t="str">
        <f>IFERROR(VLOOKUP($J211,'Project Reference'!$B$2:$G$41,6,FALSE)," ")</f>
        <v xml:space="preserve"> </v>
      </c>
      <c r="U211" s="42" t="str">
        <f>IFERROR(VLOOKUP($J211,'Project Reference'!$B$2:$H$41,7,FALSE)," ")</f>
        <v xml:space="preserve"> </v>
      </c>
      <c r="V211" s="42" t="str">
        <f>IFERROR(VLOOKUP($J211,'Project Reference'!$B$2:$I$41,8,FALSE)," ")</f>
        <v xml:space="preserve"> </v>
      </c>
      <c r="W211" s="42" t="str">
        <f>IFERROR(VLOOKUP($J211,'Project Reference'!$B$2:$J$41,9,FALSE)," ")</f>
        <v xml:space="preserve"> </v>
      </c>
      <c r="X211" s="42" t="str">
        <f>IFERROR(VLOOKUP($J211,'Project Reference'!$B$2:$K$41,10)," ")</f>
        <v xml:space="preserve"> </v>
      </c>
      <c r="Y211" s="42" t="str">
        <f>IFERROR(VLOOKUP($J211,'Project Reference'!$B$2:$L$41,11)," ")</f>
        <v xml:space="preserve"> </v>
      </c>
      <c r="Z211" s="42" t="str">
        <f>IFERROR(VLOOKUP($J211,'Project Reference'!$B$2:$M$41,12)," ")</f>
        <v xml:space="preserve"> </v>
      </c>
      <c r="AA211" s="42" t="str">
        <f>IFERROR(VLOOKUP($J211,'Project Reference'!$B$2:$N$41,13)," ")</f>
        <v xml:space="preserve"> </v>
      </c>
    </row>
    <row r="212" spans="1:27" s="1" customFormat="1" x14ac:dyDescent="0.45">
      <c r="A212" s="43"/>
      <c r="B212" s="205"/>
      <c r="C212"/>
      <c r="D212" s="72"/>
      <c r="E212" s="72"/>
      <c r="F212" s="72"/>
      <c r="G212" s="72"/>
      <c r="H212" s="17"/>
      <c r="I212" s="41" t="str" cm="1">
        <f t="array" ref="I212">IFERROR(_xlfn.IFS(H212="Hard (Cash)","N/A",H212="Soft (In-Kind)", "Enter Source"),"Select Type")</f>
        <v>Select Type</v>
      </c>
      <c r="J212" s="124"/>
      <c r="K212" s="41" t="str">
        <f>IFERROR(VLOOKUP($J212,'Project Reference'!$S$2:$T$41,2),"Enter Project Number")</f>
        <v>Enter Project Number</v>
      </c>
      <c r="L212" s="41"/>
      <c r="M212" s="41"/>
      <c r="N212" s="15">
        <f t="shared" si="3"/>
        <v>0</v>
      </c>
      <c r="O212" s="19"/>
      <c r="P212" s="42" t="str">
        <f>IFERROR(VLOOKUP($J212,'Project Reference'!$B$2:$C$41,2)," ")</f>
        <v xml:space="preserve"> </v>
      </c>
      <c r="Q212" s="42" t="str">
        <f>IFERROR(VLOOKUP($J212,'Project Reference'!$B$2:$D$41,3)," ")</f>
        <v xml:space="preserve"> </v>
      </c>
      <c r="R212" s="42" t="str">
        <f>IFERROR(VLOOKUP($J212,'Project Reference'!$B$2:$E$41,4)," ")</f>
        <v xml:space="preserve"> </v>
      </c>
      <c r="S212" s="42" t="str">
        <f>IFERROR(VLOOKUP($J212,'Project Reference'!$B$2:$F$41,5,FALSE)," ")</f>
        <v xml:space="preserve"> </v>
      </c>
      <c r="T212" s="42" t="str">
        <f>IFERROR(VLOOKUP($J212,'Project Reference'!$B$2:$G$41,6,FALSE)," ")</f>
        <v xml:space="preserve"> </v>
      </c>
      <c r="U212" s="42" t="str">
        <f>IFERROR(VLOOKUP($J212,'Project Reference'!$B$2:$H$41,7,FALSE)," ")</f>
        <v xml:space="preserve"> </v>
      </c>
      <c r="V212" s="42" t="str">
        <f>IFERROR(VLOOKUP($J212,'Project Reference'!$B$2:$I$41,8,FALSE)," ")</f>
        <v xml:space="preserve"> </v>
      </c>
      <c r="W212" s="42" t="str">
        <f>IFERROR(VLOOKUP($J212,'Project Reference'!$B$2:$J$41,9,FALSE)," ")</f>
        <v xml:space="preserve"> </v>
      </c>
      <c r="X212" s="42" t="str">
        <f>IFERROR(VLOOKUP($J212,'Project Reference'!$B$2:$K$41,10)," ")</f>
        <v xml:space="preserve"> </v>
      </c>
      <c r="Y212" s="42" t="str">
        <f>IFERROR(VLOOKUP($J212,'Project Reference'!$B$2:$L$41,11)," ")</f>
        <v xml:space="preserve"> </v>
      </c>
      <c r="Z212" s="42" t="str">
        <f>IFERROR(VLOOKUP($J212,'Project Reference'!$B$2:$M$41,12)," ")</f>
        <v xml:space="preserve"> </v>
      </c>
      <c r="AA212" s="42" t="str">
        <f>IFERROR(VLOOKUP($J212,'Project Reference'!$B$2:$N$41,13)," ")</f>
        <v xml:space="preserve"> </v>
      </c>
    </row>
    <row r="213" spans="1:27" s="1" customFormat="1" x14ac:dyDescent="0.45">
      <c r="A213" s="43"/>
      <c r="B213" s="205"/>
      <c r="C213"/>
      <c r="D213" s="72"/>
      <c r="E213" s="72"/>
      <c r="F213" s="72"/>
      <c r="G213" s="72"/>
      <c r="H213" s="17"/>
      <c r="I213" s="41" t="str" cm="1">
        <f t="array" ref="I213">IFERROR(_xlfn.IFS(H213="Hard (Cash)","N/A",H213="Soft (In-Kind)", "Enter Source"),"Select Type")</f>
        <v>Select Type</v>
      </c>
      <c r="J213" s="124"/>
      <c r="K213" s="41" t="str">
        <f>IFERROR(VLOOKUP($J213,'Project Reference'!$S$2:$T$41,2),"Enter Project Number")</f>
        <v>Enter Project Number</v>
      </c>
      <c r="L213" s="41"/>
      <c r="M213" s="41"/>
      <c r="N213" s="15">
        <f t="shared" si="3"/>
        <v>0</v>
      </c>
      <c r="O213" s="19"/>
      <c r="P213" s="42" t="str">
        <f>IFERROR(VLOOKUP($J213,'Project Reference'!$B$2:$C$41,2)," ")</f>
        <v xml:space="preserve"> </v>
      </c>
      <c r="Q213" s="42" t="str">
        <f>IFERROR(VLOOKUP($J213,'Project Reference'!$B$2:$D$41,3)," ")</f>
        <v xml:space="preserve"> </v>
      </c>
      <c r="R213" s="42" t="str">
        <f>IFERROR(VLOOKUP($J213,'Project Reference'!$B$2:$E$41,4)," ")</f>
        <v xml:space="preserve"> </v>
      </c>
      <c r="S213" s="42" t="str">
        <f>IFERROR(VLOOKUP($J213,'Project Reference'!$B$2:$F$41,5,FALSE)," ")</f>
        <v xml:space="preserve"> </v>
      </c>
      <c r="T213" s="42" t="str">
        <f>IFERROR(VLOOKUP($J213,'Project Reference'!$B$2:$G$41,6,FALSE)," ")</f>
        <v xml:space="preserve"> </v>
      </c>
      <c r="U213" s="42" t="str">
        <f>IFERROR(VLOOKUP($J213,'Project Reference'!$B$2:$H$41,7,FALSE)," ")</f>
        <v xml:space="preserve"> </v>
      </c>
      <c r="V213" s="42" t="str">
        <f>IFERROR(VLOOKUP($J213,'Project Reference'!$B$2:$I$41,8,FALSE)," ")</f>
        <v xml:space="preserve"> </v>
      </c>
      <c r="W213" s="42" t="str">
        <f>IFERROR(VLOOKUP($J213,'Project Reference'!$B$2:$J$41,9,FALSE)," ")</f>
        <v xml:space="preserve"> </v>
      </c>
      <c r="X213" s="42" t="str">
        <f>IFERROR(VLOOKUP($J213,'Project Reference'!$B$2:$K$41,10)," ")</f>
        <v xml:space="preserve"> </v>
      </c>
      <c r="Y213" s="42" t="str">
        <f>IFERROR(VLOOKUP($J213,'Project Reference'!$B$2:$L$41,11)," ")</f>
        <v xml:space="preserve"> </v>
      </c>
      <c r="Z213" s="42" t="str">
        <f>IFERROR(VLOOKUP($J213,'Project Reference'!$B$2:$M$41,12)," ")</f>
        <v xml:space="preserve"> </v>
      </c>
      <c r="AA213" s="42" t="str">
        <f>IFERROR(VLOOKUP($J213,'Project Reference'!$B$2:$N$41,13)," ")</f>
        <v xml:space="preserve"> </v>
      </c>
    </row>
    <row r="214" spans="1:27" s="1" customFormat="1" x14ac:dyDescent="0.45">
      <c r="A214" s="43"/>
      <c r="B214" s="205"/>
      <c r="C214"/>
      <c r="D214" s="72"/>
      <c r="E214" s="72"/>
      <c r="F214" s="72"/>
      <c r="G214" s="72"/>
      <c r="H214" s="17"/>
      <c r="I214" s="41" t="str" cm="1">
        <f t="array" ref="I214">IFERROR(_xlfn.IFS(H214="Hard (Cash)","N/A",H214="Soft (In-Kind)", "Enter Source"),"Select Type")</f>
        <v>Select Type</v>
      </c>
      <c r="J214" s="124"/>
      <c r="K214" s="41" t="str">
        <f>IFERROR(VLOOKUP($J214,'Project Reference'!$S$2:$T$41,2),"Enter Project Number")</f>
        <v>Enter Project Number</v>
      </c>
      <c r="L214" s="41"/>
      <c r="M214" s="41"/>
      <c r="N214" s="15">
        <f t="shared" si="3"/>
        <v>0</v>
      </c>
      <c r="O214" s="19"/>
      <c r="P214" s="42" t="str">
        <f>IFERROR(VLOOKUP($J214,'Project Reference'!$B$2:$C$41,2)," ")</f>
        <v xml:space="preserve"> </v>
      </c>
      <c r="Q214" s="42" t="str">
        <f>IFERROR(VLOOKUP($J214,'Project Reference'!$B$2:$D$41,3)," ")</f>
        <v xml:space="preserve"> </v>
      </c>
      <c r="R214" s="42" t="str">
        <f>IFERROR(VLOOKUP($J214,'Project Reference'!$B$2:$E$41,4)," ")</f>
        <v xml:space="preserve"> </v>
      </c>
      <c r="S214" s="42" t="str">
        <f>IFERROR(VLOOKUP($J214,'Project Reference'!$B$2:$F$41,5,FALSE)," ")</f>
        <v xml:space="preserve"> </v>
      </c>
      <c r="T214" s="42" t="str">
        <f>IFERROR(VLOOKUP($J214,'Project Reference'!$B$2:$G$41,6,FALSE)," ")</f>
        <v xml:space="preserve"> </v>
      </c>
      <c r="U214" s="42" t="str">
        <f>IFERROR(VLOOKUP($J214,'Project Reference'!$B$2:$H$41,7,FALSE)," ")</f>
        <v xml:space="preserve"> </v>
      </c>
      <c r="V214" s="42" t="str">
        <f>IFERROR(VLOOKUP($J214,'Project Reference'!$B$2:$I$41,8,FALSE)," ")</f>
        <v xml:space="preserve"> </v>
      </c>
      <c r="W214" s="42" t="str">
        <f>IFERROR(VLOOKUP($J214,'Project Reference'!$B$2:$J$41,9,FALSE)," ")</f>
        <v xml:space="preserve"> </v>
      </c>
      <c r="X214" s="42" t="str">
        <f>IFERROR(VLOOKUP($J214,'Project Reference'!$B$2:$K$41,10)," ")</f>
        <v xml:space="preserve"> </v>
      </c>
      <c r="Y214" s="42" t="str">
        <f>IFERROR(VLOOKUP($J214,'Project Reference'!$B$2:$L$41,11)," ")</f>
        <v xml:space="preserve"> </v>
      </c>
      <c r="Z214" s="42" t="str">
        <f>IFERROR(VLOOKUP($J214,'Project Reference'!$B$2:$M$41,12)," ")</f>
        <v xml:space="preserve"> </v>
      </c>
      <c r="AA214" s="42" t="str">
        <f>IFERROR(VLOOKUP($J214,'Project Reference'!$B$2:$N$41,13)," ")</f>
        <v xml:space="preserve"> </v>
      </c>
    </row>
    <row r="215" spans="1:27" s="1" customFormat="1" x14ac:dyDescent="0.45">
      <c r="A215" s="43"/>
      <c r="B215" s="205"/>
      <c r="C215"/>
      <c r="D215" s="72"/>
      <c r="E215" s="72"/>
      <c r="F215" s="72"/>
      <c r="G215" s="72"/>
      <c r="H215" s="17"/>
      <c r="I215" s="41" t="str" cm="1">
        <f t="array" ref="I215">IFERROR(_xlfn.IFS(H215="Hard (Cash)","N/A",H215="Soft (In-Kind)", "Enter Source"),"Select Type")</f>
        <v>Select Type</v>
      </c>
      <c r="J215" s="124"/>
      <c r="K215" s="41" t="str">
        <f>IFERROR(VLOOKUP($J215,'Project Reference'!$S$2:$T$41,2),"Enter Project Number")</f>
        <v>Enter Project Number</v>
      </c>
      <c r="L215" s="41"/>
      <c r="M215" s="41"/>
      <c r="N215" s="15">
        <f t="shared" si="3"/>
        <v>0</v>
      </c>
      <c r="O215" s="19"/>
      <c r="P215" s="42" t="str">
        <f>IFERROR(VLOOKUP($J215,'Project Reference'!$B$2:$C$41,2)," ")</f>
        <v xml:space="preserve"> </v>
      </c>
      <c r="Q215" s="42" t="str">
        <f>IFERROR(VLOOKUP($J215,'Project Reference'!$B$2:$D$41,3)," ")</f>
        <v xml:space="preserve"> </v>
      </c>
      <c r="R215" s="42" t="str">
        <f>IFERROR(VLOOKUP($J215,'Project Reference'!$B$2:$E$41,4)," ")</f>
        <v xml:space="preserve"> </v>
      </c>
      <c r="S215" s="42" t="str">
        <f>IFERROR(VLOOKUP($J215,'Project Reference'!$B$2:$F$41,5,FALSE)," ")</f>
        <v xml:space="preserve"> </v>
      </c>
      <c r="T215" s="42" t="str">
        <f>IFERROR(VLOOKUP($J215,'Project Reference'!$B$2:$G$41,6,FALSE)," ")</f>
        <v xml:space="preserve"> </v>
      </c>
      <c r="U215" s="42" t="str">
        <f>IFERROR(VLOOKUP($J215,'Project Reference'!$B$2:$H$41,7,FALSE)," ")</f>
        <v xml:space="preserve"> </v>
      </c>
      <c r="V215" s="42" t="str">
        <f>IFERROR(VLOOKUP($J215,'Project Reference'!$B$2:$I$41,8,FALSE)," ")</f>
        <v xml:space="preserve"> </v>
      </c>
      <c r="W215" s="42" t="str">
        <f>IFERROR(VLOOKUP($J215,'Project Reference'!$B$2:$J$41,9,FALSE)," ")</f>
        <v xml:space="preserve"> </v>
      </c>
      <c r="X215" s="42" t="str">
        <f>IFERROR(VLOOKUP($J215,'Project Reference'!$B$2:$K$41,10)," ")</f>
        <v xml:space="preserve"> </v>
      </c>
      <c r="Y215" s="42" t="str">
        <f>IFERROR(VLOOKUP($J215,'Project Reference'!$B$2:$L$41,11)," ")</f>
        <v xml:space="preserve"> </v>
      </c>
      <c r="Z215" s="42" t="str">
        <f>IFERROR(VLOOKUP($J215,'Project Reference'!$B$2:$M$41,12)," ")</f>
        <v xml:space="preserve"> </v>
      </c>
      <c r="AA215" s="42" t="str">
        <f>IFERROR(VLOOKUP($J215,'Project Reference'!$B$2:$N$41,13)," ")</f>
        <v xml:space="preserve"> </v>
      </c>
    </row>
    <row r="216" spans="1:27" s="1" customFormat="1" x14ac:dyDescent="0.45">
      <c r="A216" s="43"/>
      <c r="B216" s="205"/>
      <c r="C216"/>
      <c r="D216" s="72"/>
      <c r="E216" s="72"/>
      <c r="F216" s="72"/>
      <c r="G216" s="72"/>
      <c r="H216" s="17"/>
      <c r="I216" s="41" t="str" cm="1">
        <f t="array" ref="I216">IFERROR(_xlfn.IFS(H216="Hard (Cash)","N/A",H216="Soft (In-Kind)", "Enter Source"),"Select Type")</f>
        <v>Select Type</v>
      </c>
      <c r="J216" s="124"/>
      <c r="K216" s="41" t="str">
        <f>IFERROR(VLOOKUP($J216,'Project Reference'!$S$2:$T$41,2),"Enter Project Number")</f>
        <v>Enter Project Number</v>
      </c>
      <c r="L216" s="41"/>
      <c r="M216" s="41"/>
      <c r="N216" s="15">
        <f t="shared" si="3"/>
        <v>0</v>
      </c>
      <c r="O216" s="19"/>
      <c r="P216" s="42" t="str">
        <f>IFERROR(VLOOKUP($J216,'Project Reference'!$B$2:$C$41,2)," ")</f>
        <v xml:space="preserve"> </v>
      </c>
      <c r="Q216" s="42" t="str">
        <f>IFERROR(VLOOKUP($J216,'Project Reference'!$B$2:$D$41,3)," ")</f>
        <v xml:space="preserve"> </v>
      </c>
      <c r="R216" s="42" t="str">
        <f>IFERROR(VLOOKUP($J216,'Project Reference'!$B$2:$E$41,4)," ")</f>
        <v xml:space="preserve"> </v>
      </c>
      <c r="S216" s="42" t="str">
        <f>IFERROR(VLOOKUP($J216,'Project Reference'!$B$2:$F$41,5,FALSE)," ")</f>
        <v xml:space="preserve"> </v>
      </c>
      <c r="T216" s="42" t="str">
        <f>IFERROR(VLOOKUP($J216,'Project Reference'!$B$2:$G$41,6,FALSE)," ")</f>
        <v xml:space="preserve"> </v>
      </c>
      <c r="U216" s="42" t="str">
        <f>IFERROR(VLOOKUP($J216,'Project Reference'!$B$2:$H$41,7,FALSE)," ")</f>
        <v xml:space="preserve"> </v>
      </c>
      <c r="V216" s="42" t="str">
        <f>IFERROR(VLOOKUP($J216,'Project Reference'!$B$2:$I$41,8,FALSE)," ")</f>
        <v xml:space="preserve"> </v>
      </c>
      <c r="W216" s="42" t="str">
        <f>IFERROR(VLOOKUP($J216,'Project Reference'!$B$2:$J$41,9,FALSE)," ")</f>
        <v xml:space="preserve"> </v>
      </c>
      <c r="X216" s="42" t="str">
        <f>IFERROR(VLOOKUP($J216,'Project Reference'!$B$2:$K$41,10)," ")</f>
        <v xml:space="preserve"> </v>
      </c>
      <c r="Y216" s="42" t="str">
        <f>IFERROR(VLOOKUP($J216,'Project Reference'!$B$2:$L$41,11)," ")</f>
        <v xml:space="preserve"> </v>
      </c>
      <c r="Z216" s="42" t="str">
        <f>IFERROR(VLOOKUP($J216,'Project Reference'!$B$2:$M$41,12)," ")</f>
        <v xml:space="preserve"> </v>
      </c>
      <c r="AA216" s="42" t="str">
        <f>IFERROR(VLOOKUP($J216,'Project Reference'!$B$2:$N$41,13)," ")</f>
        <v xml:space="preserve"> </v>
      </c>
    </row>
    <row r="217" spans="1:27" s="1" customFormat="1" x14ac:dyDescent="0.45">
      <c r="A217" s="43"/>
      <c r="B217" s="205"/>
      <c r="C217"/>
      <c r="D217" s="72"/>
      <c r="E217" s="72"/>
      <c r="F217" s="72"/>
      <c r="G217" s="72"/>
      <c r="H217" s="17"/>
      <c r="I217" s="41" t="str" cm="1">
        <f t="array" ref="I217">IFERROR(_xlfn.IFS(H217="Hard (Cash)","N/A",H217="Soft (In-Kind)", "Enter Source"),"Select Type")</f>
        <v>Select Type</v>
      </c>
      <c r="J217" s="124"/>
      <c r="K217" s="41" t="str">
        <f>IFERROR(VLOOKUP($J217,'Project Reference'!$S$2:$T$41,2),"Enter Project Number")</f>
        <v>Enter Project Number</v>
      </c>
      <c r="L217" s="41"/>
      <c r="M217" s="41"/>
      <c r="N217" s="15">
        <f t="shared" si="3"/>
        <v>0</v>
      </c>
      <c r="O217" s="19"/>
      <c r="P217" s="42" t="str">
        <f>IFERROR(VLOOKUP($J217,'Project Reference'!$B$2:$C$41,2)," ")</f>
        <v xml:space="preserve"> </v>
      </c>
      <c r="Q217" s="42" t="str">
        <f>IFERROR(VLOOKUP($J217,'Project Reference'!$B$2:$D$41,3)," ")</f>
        <v xml:space="preserve"> </v>
      </c>
      <c r="R217" s="42" t="str">
        <f>IFERROR(VLOOKUP($J217,'Project Reference'!$B$2:$E$41,4)," ")</f>
        <v xml:space="preserve"> </v>
      </c>
      <c r="S217" s="42" t="str">
        <f>IFERROR(VLOOKUP($J217,'Project Reference'!$B$2:$F$41,5,FALSE)," ")</f>
        <v xml:space="preserve"> </v>
      </c>
      <c r="T217" s="42" t="str">
        <f>IFERROR(VLOOKUP($J217,'Project Reference'!$B$2:$G$41,6,FALSE)," ")</f>
        <v xml:space="preserve"> </v>
      </c>
      <c r="U217" s="42" t="str">
        <f>IFERROR(VLOOKUP($J217,'Project Reference'!$B$2:$H$41,7,FALSE)," ")</f>
        <v xml:space="preserve"> </v>
      </c>
      <c r="V217" s="42" t="str">
        <f>IFERROR(VLOOKUP($J217,'Project Reference'!$B$2:$I$41,8,FALSE)," ")</f>
        <v xml:space="preserve"> </v>
      </c>
      <c r="W217" s="42" t="str">
        <f>IFERROR(VLOOKUP($J217,'Project Reference'!$B$2:$J$41,9,FALSE)," ")</f>
        <v xml:space="preserve"> </v>
      </c>
      <c r="X217" s="42" t="str">
        <f>IFERROR(VLOOKUP($J217,'Project Reference'!$B$2:$K$41,10)," ")</f>
        <v xml:space="preserve"> </v>
      </c>
      <c r="Y217" s="42" t="str">
        <f>IFERROR(VLOOKUP($J217,'Project Reference'!$B$2:$L$41,11)," ")</f>
        <v xml:space="preserve"> </v>
      </c>
      <c r="Z217" s="42" t="str">
        <f>IFERROR(VLOOKUP($J217,'Project Reference'!$B$2:$M$41,12)," ")</f>
        <v xml:space="preserve"> </v>
      </c>
      <c r="AA217" s="42" t="str">
        <f>IFERROR(VLOOKUP($J217,'Project Reference'!$B$2:$N$41,13)," ")</f>
        <v xml:space="preserve"> </v>
      </c>
    </row>
    <row r="218" spans="1:27" s="1" customFormat="1" x14ac:dyDescent="0.45">
      <c r="A218" s="43"/>
      <c r="B218" s="205"/>
      <c r="C218"/>
      <c r="D218" s="72"/>
      <c r="E218" s="72"/>
      <c r="F218" s="72"/>
      <c r="G218" s="72"/>
      <c r="H218" s="17"/>
      <c r="I218" s="41" t="str" cm="1">
        <f t="array" ref="I218">IFERROR(_xlfn.IFS(H218="Hard (Cash)","N/A",H218="Soft (In-Kind)", "Enter Source"),"Select Type")</f>
        <v>Select Type</v>
      </c>
      <c r="J218" s="124"/>
      <c r="K218" s="41" t="str">
        <f>IFERROR(VLOOKUP($J218,'Project Reference'!$S$2:$T$41,2),"Enter Project Number")</f>
        <v>Enter Project Number</v>
      </c>
      <c r="L218" s="41"/>
      <c r="M218" s="41"/>
      <c r="N218" s="15">
        <f t="shared" si="3"/>
        <v>0</v>
      </c>
      <c r="O218" s="19"/>
      <c r="P218" s="42" t="str">
        <f>IFERROR(VLOOKUP($J218,'Project Reference'!$B$2:$C$41,2)," ")</f>
        <v xml:space="preserve"> </v>
      </c>
      <c r="Q218" s="42" t="str">
        <f>IFERROR(VLOOKUP($J218,'Project Reference'!$B$2:$D$41,3)," ")</f>
        <v xml:space="preserve"> </v>
      </c>
      <c r="R218" s="42" t="str">
        <f>IFERROR(VLOOKUP($J218,'Project Reference'!$B$2:$E$41,4)," ")</f>
        <v xml:space="preserve"> </v>
      </c>
      <c r="S218" s="42" t="str">
        <f>IFERROR(VLOOKUP($J218,'Project Reference'!$B$2:$F$41,5,FALSE)," ")</f>
        <v xml:space="preserve"> </v>
      </c>
      <c r="T218" s="42" t="str">
        <f>IFERROR(VLOOKUP($J218,'Project Reference'!$B$2:$G$41,6,FALSE)," ")</f>
        <v xml:space="preserve"> </v>
      </c>
      <c r="U218" s="42" t="str">
        <f>IFERROR(VLOOKUP($J218,'Project Reference'!$B$2:$H$41,7,FALSE)," ")</f>
        <v xml:space="preserve"> </v>
      </c>
      <c r="V218" s="42" t="str">
        <f>IFERROR(VLOOKUP($J218,'Project Reference'!$B$2:$I$41,8,FALSE)," ")</f>
        <v xml:space="preserve"> </v>
      </c>
      <c r="W218" s="42" t="str">
        <f>IFERROR(VLOOKUP($J218,'Project Reference'!$B$2:$J$41,9,FALSE)," ")</f>
        <v xml:space="preserve"> </v>
      </c>
      <c r="X218" s="42" t="str">
        <f>IFERROR(VLOOKUP($J218,'Project Reference'!$B$2:$K$41,10)," ")</f>
        <v xml:space="preserve"> </v>
      </c>
      <c r="Y218" s="42" t="str">
        <f>IFERROR(VLOOKUP($J218,'Project Reference'!$B$2:$L$41,11)," ")</f>
        <v xml:space="preserve"> </v>
      </c>
      <c r="Z218" s="42" t="str">
        <f>IFERROR(VLOOKUP($J218,'Project Reference'!$B$2:$M$41,12)," ")</f>
        <v xml:space="preserve"> </v>
      </c>
      <c r="AA218" s="42" t="str">
        <f>IFERROR(VLOOKUP($J218,'Project Reference'!$B$2:$N$41,13)," ")</f>
        <v xml:space="preserve"> </v>
      </c>
    </row>
    <row r="219" spans="1:27" s="1" customFormat="1" x14ac:dyDescent="0.45">
      <c r="A219" s="43"/>
      <c r="B219" s="205"/>
      <c r="C219"/>
      <c r="D219" s="72"/>
      <c r="E219" s="72"/>
      <c r="F219" s="72"/>
      <c r="G219" s="72"/>
      <c r="H219" s="17"/>
      <c r="I219" s="41" t="str" cm="1">
        <f t="array" ref="I219">IFERROR(_xlfn.IFS(H219="Hard (Cash)","N/A",H219="Soft (In-Kind)", "Enter Source"),"Select Type")</f>
        <v>Select Type</v>
      </c>
      <c r="J219" s="124"/>
      <c r="K219" s="41" t="str">
        <f>IFERROR(VLOOKUP($J219,'Project Reference'!$S$2:$T$41,2),"Enter Project Number")</f>
        <v>Enter Project Number</v>
      </c>
      <c r="L219" s="41"/>
      <c r="M219" s="41"/>
      <c r="N219" s="15">
        <f t="shared" si="3"/>
        <v>0</v>
      </c>
      <c r="O219" s="19"/>
      <c r="P219" s="42" t="str">
        <f>IFERROR(VLOOKUP($J219,'Project Reference'!$B$2:$C$41,2)," ")</f>
        <v xml:space="preserve"> </v>
      </c>
      <c r="Q219" s="42" t="str">
        <f>IFERROR(VLOOKUP($J219,'Project Reference'!$B$2:$D$41,3)," ")</f>
        <v xml:space="preserve"> </v>
      </c>
      <c r="R219" s="42" t="str">
        <f>IFERROR(VLOOKUP($J219,'Project Reference'!$B$2:$E$41,4)," ")</f>
        <v xml:space="preserve"> </v>
      </c>
      <c r="S219" s="42" t="str">
        <f>IFERROR(VLOOKUP($J219,'Project Reference'!$B$2:$F$41,5,FALSE)," ")</f>
        <v xml:space="preserve"> </v>
      </c>
      <c r="T219" s="42" t="str">
        <f>IFERROR(VLOOKUP($J219,'Project Reference'!$B$2:$G$41,6,FALSE)," ")</f>
        <v xml:space="preserve"> </v>
      </c>
      <c r="U219" s="42" t="str">
        <f>IFERROR(VLOOKUP($J219,'Project Reference'!$B$2:$H$41,7,FALSE)," ")</f>
        <v xml:space="preserve"> </v>
      </c>
      <c r="V219" s="42" t="str">
        <f>IFERROR(VLOOKUP($J219,'Project Reference'!$B$2:$I$41,8,FALSE)," ")</f>
        <v xml:space="preserve"> </v>
      </c>
      <c r="W219" s="42" t="str">
        <f>IFERROR(VLOOKUP($J219,'Project Reference'!$B$2:$J$41,9,FALSE)," ")</f>
        <v xml:space="preserve"> </v>
      </c>
      <c r="X219" s="42" t="str">
        <f>IFERROR(VLOOKUP($J219,'Project Reference'!$B$2:$K$41,10)," ")</f>
        <v xml:space="preserve"> </v>
      </c>
      <c r="Y219" s="42" t="str">
        <f>IFERROR(VLOOKUP($J219,'Project Reference'!$B$2:$L$41,11)," ")</f>
        <v xml:space="preserve"> </v>
      </c>
      <c r="Z219" s="42" t="str">
        <f>IFERROR(VLOOKUP($J219,'Project Reference'!$B$2:$M$41,12)," ")</f>
        <v xml:space="preserve"> </v>
      </c>
      <c r="AA219" s="42" t="str">
        <f>IFERROR(VLOOKUP($J219,'Project Reference'!$B$2:$N$41,13)," ")</f>
        <v xml:space="preserve"> </v>
      </c>
    </row>
    <row r="220" spans="1:27" s="1" customFormat="1" x14ac:dyDescent="0.45">
      <c r="A220" s="43"/>
      <c r="B220" s="205"/>
      <c r="C220"/>
      <c r="D220" s="72"/>
      <c r="E220" s="72"/>
      <c r="F220" s="72"/>
      <c r="G220" s="72"/>
      <c r="H220" s="17"/>
      <c r="I220" s="41" t="str" cm="1">
        <f t="array" ref="I220">IFERROR(_xlfn.IFS(H220="Hard (Cash)","N/A",H220="Soft (In-Kind)", "Enter Source"),"Select Type")</f>
        <v>Select Type</v>
      </c>
      <c r="J220" s="124"/>
      <c r="K220" s="41" t="str">
        <f>IFERROR(VLOOKUP($J220,'Project Reference'!$S$2:$T$41,2),"Enter Project Number")</f>
        <v>Enter Project Number</v>
      </c>
      <c r="L220" s="41"/>
      <c r="M220" s="41"/>
      <c r="N220" s="15">
        <f t="shared" si="3"/>
        <v>0</v>
      </c>
      <c r="O220" s="19"/>
      <c r="P220" s="42" t="str">
        <f>IFERROR(VLOOKUP($J220,'Project Reference'!$B$2:$C$41,2)," ")</f>
        <v xml:space="preserve"> </v>
      </c>
      <c r="Q220" s="42" t="str">
        <f>IFERROR(VLOOKUP($J220,'Project Reference'!$B$2:$D$41,3)," ")</f>
        <v xml:space="preserve"> </v>
      </c>
      <c r="R220" s="42" t="str">
        <f>IFERROR(VLOOKUP($J220,'Project Reference'!$B$2:$E$41,4)," ")</f>
        <v xml:space="preserve"> </v>
      </c>
      <c r="S220" s="42" t="str">
        <f>IFERROR(VLOOKUP($J220,'Project Reference'!$B$2:$F$41,5,FALSE)," ")</f>
        <v xml:space="preserve"> </v>
      </c>
      <c r="T220" s="42" t="str">
        <f>IFERROR(VLOOKUP($J220,'Project Reference'!$B$2:$G$41,6,FALSE)," ")</f>
        <v xml:space="preserve"> </v>
      </c>
      <c r="U220" s="42" t="str">
        <f>IFERROR(VLOOKUP($J220,'Project Reference'!$B$2:$H$41,7,FALSE)," ")</f>
        <v xml:space="preserve"> </v>
      </c>
      <c r="V220" s="42" t="str">
        <f>IFERROR(VLOOKUP($J220,'Project Reference'!$B$2:$I$41,8,FALSE)," ")</f>
        <v xml:space="preserve"> </v>
      </c>
      <c r="W220" s="42" t="str">
        <f>IFERROR(VLOOKUP($J220,'Project Reference'!$B$2:$J$41,9,FALSE)," ")</f>
        <v xml:space="preserve"> </v>
      </c>
      <c r="X220" s="42" t="str">
        <f>IFERROR(VLOOKUP($J220,'Project Reference'!$B$2:$K$41,10)," ")</f>
        <v xml:space="preserve"> </v>
      </c>
      <c r="Y220" s="42" t="str">
        <f>IFERROR(VLOOKUP($J220,'Project Reference'!$B$2:$L$41,11)," ")</f>
        <v xml:space="preserve"> </v>
      </c>
      <c r="Z220" s="42" t="str">
        <f>IFERROR(VLOOKUP($J220,'Project Reference'!$B$2:$M$41,12)," ")</f>
        <v xml:space="preserve"> </v>
      </c>
      <c r="AA220" s="42" t="str">
        <f>IFERROR(VLOOKUP($J220,'Project Reference'!$B$2:$N$41,13)," ")</f>
        <v xml:space="preserve"> </v>
      </c>
    </row>
    <row r="221" spans="1:27" s="1" customFormat="1" x14ac:dyDescent="0.45">
      <c r="A221" s="43"/>
      <c r="B221" s="205"/>
      <c r="C221"/>
      <c r="D221" s="72"/>
      <c r="E221" s="72"/>
      <c r="F221" s="72"/>
      <c r="G221" s="72"/>
      <c r="H221" s="17"/>
      <c r="I221" s="41" t="str" cm="1">
        <f t="array" ref="I221">IFERROR(_xlfn.IFS(H221="Hard (Cash)","N/A",H221="Soft (In-Kind)", "Enter Source"),"Select Type")</f>
        <v>Select Type</v>
      </c>
      <c r="J221" s="124"/>
      <c r="K221" s="41" t="str">
        <f>IFERROR(VLOOKUP($J221,'Project Reference'!$S$2:$T$41,2),"Enter Project Number")</f>
        <v>Enter Project Number</v>
      </c>
      <c r="L221" s="41"/>
      <c r="M221" s="41"/>
      <c r="N221" s="15">
        <f t="shared" si="3"/>
        <v>0</v>
      </c>
      <c r="O221" s="19"/>
      <c r="P221" s="42" t="str">
        <f>IFERROR(VLOOKUP($J221,'Project Reference'!$B$2:$C$41,2)," ")</f>
        <v xml:space="preserve"> </v>
      </c>
      <c r="Q221" s="42" t="str">
        <f>IFERROR(VLOOKUP($J221,'Project Reference'!$B$2:$D$41,3)," ")</f>
        <v xml:space="preserve"> </v>
      </c>
      <c r="R221" s="42" t="str">
        <f>IFERROR(VLOOKUP($J221,'Project Reference'!$B$2:$E$41,4)," ")</f>
        <v xml:space="preserve"> </v>
      </c>
      <c r="S221" s="42" t="str">
        <f>IFERROR(VLOOKUP($J221,'Project Reference'!$B$2:$F$41,5,FALSE)," ")</f>
        <v xml:space="preserve"> </v>
      </c>
      <c r="T221" s="42" t="str">
        <f>IFERROR(VLOOKUP($J221,'Project Reference'!$B$2:$G$41,6,FALSE)," ")</f>
        <v xml:space="preserve"> </v>
      </c>
      <c r="U221" s="42" t="str">
        <f>IFERROR(VLOOKUP($J221,'Project Reference'!$B$2:$H$41,7,FALSE)," ")</f>
        <v xml:space="preserve"> </v>
      </c>
      <c r="V221" s="42" t="str">
        <f>IFERROR(VLOOKUP($J221,'Project Reference'!$B$2:$I$41,8,FALSE)," ")</f>
        <v xml:space="preserve"> </v>
      </c>
      <c r="W221" s="42" t="str">
        <f>IFERROR(VLOOKUP($J221,'Project Reference'!$B$2:$J$41,9,FALSE)," ")</f>
        <v xml:space="preserve"> </v>
      </c>
      <c r="X221" s="42" t="str">
        <f>IFERROR(VLOOKUP($J221,'Project Reference'!$B$2:$K$41,10)," ")</f>
        <v xml:space="preserve"> </v>
      </c>
      <c r="Y221" s="42" t="str">
        <f>IFERROR(VLOOKUP($J221,'Project Reference'!$B$2:$L$41,11)," ")</f>
        <v xml:space="preserve"> </v>
      </c>
      <c r="Z221" s="42" t="str">
        <f>IFERROR(VLOOKUP($J221,'Project Reference'!$B$2:$M$41,12)," ")</f>
        <v xml:space="preserve"> </v>
      </c>
      <c r="AA221" s="42" t="str">
        <f>IFERROR(VLOOKUP($J221,'Project Reference'!$B$2:$N$41,13)," ")</f>
        <v xml:space="preserve"> </v>
      </c>
    </row>
    <row r="222" spans="1:27" s="1" customFormat="1" x14ac:dyDescent="0.45">
      <c r="A222" s="43"/>
      <c r="B222" s="205"/>
      <c r="C222"/>
      <c r="D222" s="72"/>
      <c r="E222" s="72"/>
      <c r="F222" s="72"/>
      <c r="G222" s="72"/>
      <c r="H222" s="17"/>
      <c r="I222" s="41" t="str" cm="1">
        <f t="array" ref="I222">IFERROR(_xlfn.IFS(H222="Hard (Cash)","N/A",H222="Soft (In-Kind)", "Enter Source"),"Select Type")</f>
        <v>Select Type</v>
      </c>
      <c r="J222" s="124"/>
      <c r="K222" s="41" t="str">
        <f>IFERROR(VLOOKUP($J222,'Project Reference'!$S$2:$T$41,2),"Enter Project Number")</f>
        <v>Enter Project Number</v>
      </c>
      <c r="L222" s="41"/>
      <c r="M222" s="41"/>
      <c r="N222" s="15">
        <f t="shared" si="3"/>
        <v>0</v>
      </c>
      <c r="O222" s="19"/>
      <c r="P222" s="42" t="str">
        <f>IFERROR(VLOOKUP($J222,'Project Reference'!$B$2:$C$41,2)," ")</f>
        <v xml:space="preserve"> </v>
      </c>
      <c r="Q222" s="42" t="str">
        <f>IFERROR(VLOOKUP($J222,'Project Reference'!$B$2:$D$41,3)," ")</f>
        <v xml:space="preserve"> </v>
      </c>
      <c r="R222" s="42" t="str">
        <f>IFERROR(VLOOKUP($J222,'Project Reference'!$B$2:$E$41,4)," ")</f>
        <v xml:space="preserve"> </v>
      </c>
      <c r="S222" s="42" t="str">
        <f>IFERROR(VLOOKUP($J222,'Project Reference'!$B$2:$F$41,5,FALSE)," ")</f>
        <v xml:space="preserve"> </v>
      </c>
      <c r="T222" s="42" t="str">
        <f>IFERROR(VLOOKUP($J222,'Project Reference'!$B$2:$G$41,6,FALSE)," ")</f>
        <v xml:space="preserve"> </v>
      </c>
      <c r="U222" s="42" t="str">
        <f>IFERROR(VLOOKUP($J222,'Project Reference'!$B$2:$H$41,7,FALSE)," ")</f>
        <v xml:space="preserve"> </v>
      </c>
      <c r="V222" s="42" t="str">
        <f>IFERROR(VLOOKUP($J222,'Project Reference'!$B$2:$I$41,8,FALSE)," ")</f>
        <v xml:space="preserve"> </v>
      </c>
      <c r="W222" s="42" t="str">
        <f>IFERROR(VLOOKUP($J222,'Project Reference'!$B$2:$J$41,9,FALSE)," ")</f>
        <v xml:space="preserve"> </v>
      </c>
      <c r="X222" s="42" t="str">
        <f>IFERROR(VLOOKUP($J222,'Project Reference'!$B$2:$K$41,10)," ")</f>
        <v xml:space="preserve"> </v>
      </c>
      <c r="Y222" s="42" t="str">
        <f>IFERROR(VLOOKUP($J222,'Project Reference'!$B$2:$L$41,11)," ")</f>
        <v xml:space="preserve"> </v>
      </c>
      <c r="Z222" s="42" t="str">
        <f>IFERROR(VLOOKUP($J222,'Project Reference'!$B$2:$M$41,12)," ")</f>
        <v xml:space="preserve"> </v>
      </c>
      <c r="AA222" s="42" t="str">
        <f>IFERROR(VLOOKUP($J222,'Project Reference'!$B$2:$N$41,13)," ")</f>
        <v xml:space="preserve"> </v>
      </c>
    </row>
    <row r="223" spans="1:27" s="1" customFormat="1" x14ac:dyDescent="0.45">
      <c r="A223" s="43"/>
      <c r="B223" s="205"/>
      <c r="C223"/>
      <c r="D223" s="72"/>
      <c r="E223" s="72"/>
      <c r="F223" s="72"/>
      <c r="G223" s="72"/>
      <c r="H223" s="17"/>
      <c r="I223" s="41" t="str" cm="1">
        <f t="array" ref="I223">IFERROR(_xlfn.IFS(H223="Hard (Cash)","N/A",H223="Soft (In-Kind)", "Enter Source"),"Select Type")</f>
        <v>Select Type</v>
      </c>
      <c r="J223" s="124"/>
      <c r="K223" s="41" t="str">
        <f>IFERROR(VLOOKUP($J223,'Project Reference'!$S$2:$T$41,2),"Enter Project Number")</f>
        <v>Enter Project Number</v>
      </c>
      <c r="L223" s="41"/>
      <c r="M223" s="41"/>
      <c r="N223" s="15">
        <f t="shared" si="3"/>
        <v>0</v>
      </c>
      <c r="O223" s="19"/>
      <c r="P223" s="42" t="str">
        <f>IFERROR(VLOOKUP($J223,'Project Reference'!$B$2:$C$41,2)," ")</f>
        <v xml:space="preserve"> </v>
      </c>
      <c r="Q223" s="42" t="str">
        <f>IFERROR(VLOOKUP($J223,'Project Reference'!$B$2:$D$41,3)," ")</f>
        <v xml:space="preserve"> </v>
      </c>
      <c r="R223" s="42" t="str">
        <f>IFERROR(VLOOKUP($J223,'Project Reference'!$B$2:$E$41,4)," ")</f>
        <v xml:space="preserve"> </v>
      </c>
      <c r="S223" s="42" t="str">
        <f>IFERROR(VLOOKUP($J223,'Project Reference'!$B$2:$F$41,5,FALSE)," ")</f>
        <v xml:space="preserve"> </v>
      </c>
      <c r="T223" s="42" t="str">
        <f>IFERROR(VLOOKUP($J223,'Project Reference'!$B$2:$G$41,6,FALSE)," ")</f>
        <v xml:space="preserve"> </v>
      </c>
      <c r="U223" s="42" t="str">
        <f>IFERROR(VLOOKUP($J223,'Project Reference'!$B$2:$H$41,7,FALSE)," ")</f>
        <v xml:space="preserve"> </v>
      </c>
      <c r="V223" s="42" t="str">
        <f>IFERROR(VLOOKUP($J223,'Project Reference'!$B$2:$I$41,8,FALSE)," ")</f>
        <v xml:space="preserve"> </v>
      </c>
      <c r="W223" s="42" t="str">
        <f>IFERROR(VLOOKUP($J223,'Project Reference'!$B$2:$J$41,9,FALSE)," ")</f>
        <v xml:space="preserve"> </v>
      </c>
      <c r="X223" s="42" t="str">
        <f>IFERROR(VLOOKUP($J223,'Project Reference'!$B$2:$K$41,10)," ")</f>
        <v xml:space="preserve"> </v>
      </c>
      <c r="Y223" s="42" t="str">
        <f>IFERROR(VLOOKUP($J223,'Project Reference'!$B$2:$L$41,11)," ")</f>
        <v xml:space="preserve"> </v>
      </c>
      <c r="Z223" s="42" t="str">
        <f>IFERROR(VLOOKUP($J223,'Project Reference'!$B$2:$M$41,12)," ")</f>
        <v xml:space="preserve"> </v>
      </c>
      <c r="AA223" s="42" t="str">
        <f>IFERROR(VLOOKUP($J223,'Project Reference'!$B$2:$N$41,13)," ")</f>
        <v xml:space="preserve"> </v>
      </c>
    </row>
    <row r="224" spans="1:27" s="1" customFormat="1" x14ac:dyDescent="0.45">
      <c r="A224" s="43"/>
      <c r="B224" s="205"/>
      <c r="C224"/>
      <c r="D224" s="72"/>
      <c r="E224" s="72"/>
      <c r="F224" s="72"/>
      <c r="G224" s="72"/>
      <c r="H224" s="17"/>
      <c r="I224" s="41" t="str" cm="1">
        <f t="array" ref="I224">IFERROR(_xlfn.IFS(H224="Hard (Cash)","N/A",H224="Soft (In-Kind)", "Enter Source"),"Select Type")</f>
        <v>Select Type</v>
      </c>
      <c r="J224" s="124"/>
      <c r="K224" s="41" t="str">
        <f>IFERROR(VLOOKUP($J224,'Project Reference'!$S$2:$T$41,2),"Enter Project Number")</f>
        <v>Enter Project Number</v>
      </c>
      <c r="L224" s="41"/>
      <c r="M224" s="41"/>
      <c r="N224" s="15">
        <f t="shared" si="3"/>
        <v>0</v>
      </c>
      <c r="O224" s="19"/>
      <c r="P224" s="42" t="str">
        <f>IFERROR(VLOOKUP($J224,'Project Reference'!$B$2:$C$41,2)," ")</f>
        <v xml:space="preserve"> </v>
      </c>
      <c r="Q224" s="42" t="str">
        <f>IFERROR(VLOOKUP($J224,'Project Reference'!$B$2:$D$41,3)," ")</f>
        <v xml:space="preserve"> </v>
      </c>
      <c r="R224" s="42" t="str">
        <f>IFERROR(VLOOKUP($J224,'Project Reference'!$B$2:$E$41,4)," ")</f>
        <v xml:space="preserve"> </v>
      </c>
      <c r="S224" s="42" t="str">
        <f>IFERROR(VLOOKUP($J224,'Project Reference'!$B$2:$F$41,5,FALSE)," ")</f>
        <v xml:space="preserve"> </v>
      </c>
      <c r="T224" s="42" t="str">
        <f>IFERROR(VLOOKUP($J224,'Project Reference'!$B$2:$G$41,6,FALSE)," ")</f>
        <v xml:space="preserve"> </v>
      </c>
      <c r="U224" s="42" t="str">
        <f>IFERROR(VLOOKUP($J224,'Project Reference'!$B$2:$H$41,7,FALSE)," ")</f>
        <v xml:space="preserve"> </v>
      </c>
      <c r="V224" s="42" t="str">
        <f>IFERROR(VLOOKUP($J224,'Project Reference'!$B$2:$I$41,8,FALSE)," ")</f>
        <v xml:space="preserve"> </v>
      </c>
      <c r="W224" s="42" t="str">
        <f>IFERROR(VLOOKUP($J224,'Project Reference'!$B$2:$J$41,9,FALSE)," ")</f>
        <v xml:space="preserve"> </v>
      </c>
      <c r="X224" s="42" t="str">
        <f>IFERROR(VLOOKUP($J224,'Project Reference'!$B$2:$K$41,10)," ")</f>
        <v xml:space="preserve"> </v>
      </c>
      <c r="Y224" s="42" t="str">
        <f>IFERROR(VLOOKUP($J224,'Project Reference'!$B$2:$L$41,11)," ")</f>
        <v xml:space="preserve"> </v>
      </c>
      <c r="Z224" s="42" t="str">
        <f>IFERROR(VLOOKUP($J224,'Project Reference'!$B$2:$M$41,12)," ")</f>
        <v xml:space="preserve"> </v>
      </c>
      <c r="AA224" s="42" t="str">
        <f>IFERROR(VLOOKUP($J224,'Project Reference'!$B$2:$N$41,13)," ")</f>
        <v xml:space="preserve"> </v>
      </c>
    </row>
    <row r="225" spans="1:27" s="1" customFormat="1" x14ac:dyDescent="0.45">
      <c r="A225" s="43"/>
      <c r="B225" s="205"/>
      <c r="C225"/>
      <c r="D225" s="72"/>
      <c r="E225" s="72"/>
      <c r="F225" s="72"/>
      <c r="G225" s="72"/>
      <c r="H225" s="17"/>
      <c r="I225" s="41" t="str" cm="1">
        <f t="array" ref="I225">IFERROR(_xlfn.IFS(H225="Hard (Cash)","N/A",H225="Soft (In-Kind)", "Enter Source"),"Select Type")</f>
        <v>Select Type</v>
      </c>
      <c r="J225" s="124"/>
      <c r="K225" s="41" t="str">
        <f>IFERROR(VLOOKUP($J225,'Project Reference'!$S$2:$T$41,2),"Enter Project Number")</f>
        <v>Enter Project Number</v>
      </c>
      <c r="L225" s="41"/>
      <c r="M225" s="41"/>
      <c r="N225" s="15">
        <f t="shared" si="3"/>
        <v>0</v>
      </c>
      <c r="O225" s="19"/>
      <c r="P225" s="42" t="str">
        <f>IFERROR(VLOOKUP($J225,'Project Reference'!$B$2:$C$41,2)," ")</f>
        <v xml:space="preserve"> </v>
      </c>
      <c r="Q225" s="42" t="str">
        <f>IFERROR(VLOOKUP($J225,'Project Reference'!$B$2:$D$41,3)," ")</f>
        <v xml:space="preserve"> </v>
      </c>
      <c r="R225" s="42" t="str">
        <f>IFERROR(VLOOKUP($J225,'Project Reference'!$B$2:$E$41,4)," ")</f>
        <v xml:space="preserve"> </v>
      </c>
      <c r="S225" s="42" t="str">
        <f>IFERROR(VLOOKUP($J225,'Project Reference'!$B$2:$F$41,5,FALSE)," ")</f>
        <v xml:space="preserve"> </v>
      </c>
      <c r="T225" s="42" t="str">
        <f>IFERROR(VLOOKUP($J225,'Project Reference'!$B$2:$G$41,6,FALSE)," ")</f>
        <v xml:space="preserve"> </v>
      </c>
      <c r="U225" s="42" t="str">
        <f>IFERROR(VLOOKUP($J225,'Project Reference'!$B$2:$H$41,7,FALSE)," ")</f>
        <v xml:space="preserve"> </v>
      </c>
      <c r="V225" s="42" t="str">
        <f>IFERROR(VLOOKUP($J225,'Project Reference'!$B$2:$I$41,8,FALSE)," ")</f>
        <v xml:space="preserve"> </v>
      </c>
      <c r="W225" s="42" t="str">
        <f>IFERROR(VLOOKUP($J225,'Project Reference'!$B$2:$J$41,9,FALSE)," ")</f>
        <v xml:space="preserve"> </v>
      </c>
      <c r="X225" s="42" t="str">
        <f>IFERROR(VLOOKUP($J225,'Project Reference'!$B$2:$K$41,10)," ")</f>
        <v xml:space="preserve"> </v>
      </c>
      <c r="Y225" s="42" t="str">
        <f>IFERROR(VLOOKUP($J225,'Project Reference'!$B$2:$L$41,11)," ")</f>
        <v xml:space="preserve"> </v>
      </c>
      <c r="Z225" s="42" t="str">
        <f>IFERROR(VLOOKUP($J225,'Project Reference'!$B$2:$M$41,12)," ")</f>
        <v xml:space="preserve"> </v>
      </c>
      <c r="AA225" s="42" t="str">
        <f>IFERROR(VLOOKUP($J225,'Project Reference'!$B$2:$N$41,13)," ")</f>
        <v xml:space="preserve"> </v>
      </c>
    </row>
    <row r="226" spans="1:27" s="1" customFormat="1" x14ac:dyDescent="0.45">
      <c r="A226" s="43"/>
      <c r="B226" s="205"/>
      <c r="C226"/>
      <c r="D226" s="72"/>
      <c r="E226" s="72"/>
      <c r="F226" s="72"/>
      <c r="G226" s="72"/>
      <c r="H226" s="17"/>
      <c r="I226" s="41" t="str" cm="1">
        <f t="array" ref="I226">IFERROR(_xlfn.IFS(H226="Hard (Cash)","N/A",H226="Soft (In-Kind)", "Enter Source"),"Select Type")</f>
        <v>Select Type</v>
      </c>
      <c r="J226" s="124"/>
      <c r="K226" s="41" t="str">
        <f>IFERROR(VLOOKUP($J226,'Project Reference'!$S$2:$T$41,2),"Enter Project Number")</f>
        <v>Enter Project Number</v>
      </c>
      <c r="L226" s="41"/>
      <c r="M226" s="41"/>
      <c r="N226" s="15">
        <f t="shared" si="3"/>
        <v>0</v>
      </c>
      <c r="O226" s="19"/>
      <c r="P226" s="42" t="str">
        <f>IFERROR(VLOOKUP($J226,'Project Reference'!$B$2:$C$41,2)," ")</f>
        <v xml:space="preserve"> </v>
      </c>
      <c r="Q226" s="42" t="str">
        <f>IFERROR(VLOOKUP($J226,'Project Reference'!$B$2:$D$41,3)," ")</f>
        <v xml:space="preserve"> </v>
      </c>
      <c r="R226" s="42" t="str">
        <f>IFERROR(VLOOKUP($J226,'Project Reference'!$B$2:$E$41,4)," ")</f>
        <v xml:space="preserve"> </v>
      </c>
      <c r="S226" s="42" t="str">
        <f>IFERROR(VLOOKUP($J226,'Project Reference'!$B$2:$F$41,5,FALSE)," ")</f>
        <v xml:space="preserve"> </v>
      </c>
      <c r="T226" s="42" t="str">
        <f>IFERROR(VLOOKUP($J226,'Project Reference'!$B$2:$G$41,6,FALSE)," ")</f>
        <v xml:space="preserve"> </v>
      </c>
      <c r="U226" s="42" t="str">
        <f>IFERROR(VLOOKUP($J226,'Project Reference'!$B$2:$H$41,7,FALSE)," ")</f>
        <v xml:space="preserve"> </v>
      </c>
      <c r="V226" s="42" t="str">
        <f>IFERROR(VLOOKUP($J226,'Project Reference'!$B$2:$I$41,8,FALSE)," ")</f>
        <v xml:space="preserve"> </v>
      </c>
      <c r="W226" s="42" t="str">
        <f>IFERROR(VLOOKUP($J226,'Project Reference'!$B$2:$J$41,9,FALSE)," ")</f>
        <v xml:space="preserve"> </v>
      </c>
      <c r="X226" s="42" t="str">
        <f>IFERROR(VLOOKUP($J226,'Project Reference'!$B$2:$K$41,10)," ")</f>
        <v xml:space="preserve"> </v>
      </c>
      <c r="Y226" s="42" t="str">
        <f>IFERROR(VLOOKUP($J226,'Project Reference'!$B$2:$L$41,11)," ")</f>
        <v xml:space="preserve"> </v>
      </c>
      <c r="Z226" s="42" t="str">
        <f>IFERROR(VLOOKUP($J226,'Project Reference'!$B$2:$M$41,12)," ")</f>
        <v xml:space="preserve"> </v>
      </c>
      <c r="AA226" s="42" t="str">
        <f>IFERROR(VLOOKUP($J226,'Project Reference'!$B$2:$N$41,13)," ")</f>
        <v xml:space="preserve"> </v>
      </c>
    </row>
    <row r="227" spans="1:27" s="1" customFormat="1" x14ac:dyDescent="0.45">
      <c r="A227" s="43"/>
      <c r="B227" s="205"/>
      <c r="C227"/>
      <c r="D227" s="72"/>
      <c r="E227" s="72"/>
      <c r="F227" s="72"/>
      <c r="G227" s="72"/>
      <c r="H227" s="17"/>
      <c r="I227" s="41" t="str" cm="1">
        <f t="array" ref="I227">IFERROR(_xlfn.IFS(H227="Hard (Cash)","N/A",H227="Soft (In-Kind)", "Enter Source"),"Select Type")</f>
        <v>Select Type</v>
      </c>
      <c r="J227" s="124"/>
      <c r="K227" s="41" t="str">
        <f>IFERROR(VLOOKUP($J227,'Project Reference'!$S$2:$T$41,2),"Enter Project Number")</f>
        <v>Enter Project Number</v>
      </c>
      <c r="L227" s="41"/>
      <c r="M227" s="41"/>
      <c r="N227" s="15">
        <f t="shared" si="3"/>
        <v>0</v>
      </c>
      <c r="O227" s="19"/>
      <c r="P227" s="42" t="str">
        <f>IFERROR(VLOOKUP($J227,'Project Reference'!$B$2:$C$41,2)," ")</f>
        <v xml:space="preserve"> </v>
      </c>
      <c r="Q227" s="42" t="str">
        <f>IFERROR(VLOOKUP($J227,'Project Reference'!$B$2:$D$41,3)," ")</f>
        <v xml:space="preserve"> </v>
      </c>
      <c r="R227" s="42" t="str">
        <f>IFERROR(VLOOKUP($J227,'Project Reference'!$B$2:$E$41,4)," ")</f>
        <v xml:space="preserve"> </v>
      </c>
      <c r="S227" s="42" t="str">
        <f>IFERROR(VLOOKUP($J227,'Project Reference'!$B$2:$F$41,5,FALSE)," ")</f>
        <v xml:space="preserve"> </v>
      </c>
      <c r="T227" s="42" t="str">
        <f>IFERROR(VLOOKUP($J227,'Project Reference'!$B$2:$G$41,6,FALSE)," ")</f>
        <v xml:space="preserve"> </v>
      </c>
      <c r="U227" s="42" t="str">
        <f>IFERROR(VLOOKUP($J227,'Project Reference'!$B$2:$H$41,7,FALSE)," ")</f>
        <v xml:space="preserve"> </v>
      </c>
      <c r="V227" s="42" t="str">
        <f>IFERROR(VLOOKUP($J227,'Project Reference'!$B$2:$I$41,8,FALSE)," ")</f>
        <v xml:space="preserve"> </v>
      </c>
      <c r="W227" s="42" t="str">
        <f>IFERROR(VLOOKUP($J227,'Project Reference'!$B$2:$J$41,9,FALSE)," ")</f>
        <v xml:space="preserve"> </v>
      </c>
      <c r="X227" s="42" t="str">
        <f>IFERROR(VLOOKUP($J227,'Project Reference'!$B$2:$K$41,10)," ")</f>
        <v xml:space="preserve"> </v>
      </c>
      <c r="Y227" s="42" t="str">
        <f>IFERROR(VLOOKUP($J227,'Project Reference'!$B$2:$L$41,11)," ")</f>
        <v xml:space="preserve"> </v>
      </c>
      <c r="Z227" s="42" t="str">
        <f>IFERROR(VLOOKUP($J227,'Project Reference'!$B$2:$M$41,12)," ")</f>
        <v xml:space="preserve"> </v>
      </c>
      <c r="AA227" s="42" t="str">
        <f>IFERROR(VLOOKUP($J227,'Project Reference'!$B$2:$N$41,13)," ")</f>
        <v xml:space="preserve"> </v>
      </c>
    </row>
    <row r="228" spans="1:27" s="1" customFormat="1" x14ac:dyDescent="0.45">
      <c r="A228" s="43"/>
      <c r="B228" s="205"/>
      <c r="C228"/>
      <c r="D228" s="72"/>
      <c r="E228" s="72"/>
      <c r="F228" s="72"/>
      <c r="G228" s="72"/>
      <c r="H228" s="17"/>
      <c r="I228" s="41" t="str" cm="1">
        <f t="array" ref="I228">IFERROR(_xlfn.IFS(H228="Hard (Cash)","N/A",H228="Soft (In-Kind)", "Enter Source"),"Select Type")</f>
        <v>Select Type</v>
      </c>
      <c r="J228" s="124"/>
      <c r="K228" s="41" t="str">
        <f>IFERROR(VLOOKUP($J228,'Project Reference'!$S$2:$T$41,2),"Enter Project Number")</f>
        <v>Enter Project Number</v>
      </c>
      <c r="L228" s="41"/>
      <c r="M228" s="41"/>
      <c r="N228" s="15">
        <f t="shared" si="3"/>
        <v>0</v>
      </c>
      <c r="O228" s="19"/>
      <c r="P228" s="42" t="str">
        <f>IFERROR(VLOOKUP($J228,'Project Reference'!$B$2:$C$41,2)," ")</f>
        <v xml:space="preserve"> </v>
      </c>
      <c r="Q228" s="42" t="str">
        <f>IFERROR(VLOOKUP($J228,'Project Reference'!$B$2:$D$41,3)," ")</f>
        <v xml:space="preserve"> </v>
      </c>
      <c r="R228" s="42" t="str">
        <f>IFERROR(VLOOKUP($J228,'Project Reference'!$B$2:$E$41,4)," ")</f>
        <v xml:space="preserve"> </v>
      </c>
      <c r="S228" s="42" t="str">
        <f>IFERROR(VLOOKUP($J228,'Project Reference'!$B$2:$F$41,5,FALSE)," ")</f>
        <v xml:space="preserve"> </v>
      </c>
      <c r="T228" s="42" t="str">
        <f>IFERROR(VLOOKUP($J228,'Project Reference'!$B$2:$G$41,6,FALSE)," ")</f>
        <v xml:space="preserve"> </v>
      </c>
      <c r="U228" s="42" t="str">
        <f>IFERROR(VLOOKUP($J228,'Project Reference'!$B$2:$H$41,7,FALSE)," ")</f>
        <v xml:space="preserve"> </v>
      </c>
      <c r="V228" s="42" t="str">
        <f>IFERROR(VLOOKUP($J228,'Project Reference'!$B$2:$I$41,8,FALSE)," ")</f>
        <v xml:space="preserve"> </v>
      </c>
      <c r="W228" s="42" t="str">
        <f>IFERROR(VLOOKUP($J228,'Project Reference'!$B$2:$J$41,9,FALSE)," ")</f>
        <v xml:space="preserve"> </v>
      </c>
      <c r="X228" s="42" t="str">
        <f>IFERROR(VLOOKUP($J228,'Project Reference'!$B$2:$K$41,10)," ")</f>
        <v xml:space="preserve"> </v>
      </c>
      <c r="Y228" s="42" t="str">
        <f>IFERROR(VLOOKUP($J228,'Project Reference'!$B$2:$L$41,11)," ")</f>
        <v xml:space="preserve"> </v>
      </c>
      <c r="Z228" s="42" t="str">
        <f>IFERROR(VLOOKUP($J228,'Project Reference'!$B$2:$M$41,12)," ")</f>
        <v xml:space="preserve"> </v>
      </c>
      <c r="AA228" s="42" t="str">
        <f>IFERROR(VLOOKUP($J228,'Project Reference'!$B$2:$N$41,13)," ")</f>
        <v xml:space="preserve"> </v>
      </c>
    </row>
    <row r="229" spans="1:27" s="1" customFormat="1" x14ac:dyDescent="0.45">
      <c r="A229" s="43"/>
      <c r="B229" s="205"/>
      <c r="C229"/>
      <c r="D229" s="72"/>
      <c r="E229" s="72"/>
      <c r="F229" s="72"/>
      <c r="G229" s="72"/>
      <c r="H229" s="17"/>
      <c r="I229" s="41" t="str" cm="1">
        <f t="array" ref="I229">IFERROR(_xlfn.IFS(H229="Hard (Cash)","N/A",H229="Soft (In-Kind)", "Enter Source"),"Select Type")</f>
        <v>Select Type</v>
      </c>
      <c r="J229" s="124"/>
      <c r="K229" s="41" t="str">
        <f>IFERROR(VLOOKUP($J229,'Project Reference'!$S$2:$T$41,2),"Enter Project Number")</f>
        <v>Enter Project Number</v>
      </c>
      <c r="L229" s="41"/>
      <c r="M229" s="41"/>
      <c r="N229" s="15">
        <f t="shared" si="3"/>
        <v>0</v>
      </c>
      <c r="O229" s="19"/>
      <c r="P229" s="42" t="str">
        <f>IFERROR(VLOOKUP($J229,'Project Reference'!$B$2:$C$41,2)," ")</f>
        <v xml:space="preserve"> </v>
      </c>
      <c r="Q229" s="42" t="str">
        <f>IFERROR(VLOOKUP($J229,'Project Reference'!$B$2:$D$41,3)," ")</f>
        <v xml:space="preserve"> </v>
      </c>
      <c r="R229" s="42" t="str">
        <f>IFERROR(VLOOKUP($J229,'Project Reference'!$B$2:$E$41,4)," ")</f>
        <v xml:space="preserve"> </v>
      </c>
      <c r="S229" s="42" t="str">
        <f>IFERROR(VLOOKUP($J229,'Project Reference'!$B$2:$F$41,5,FALSE)," ")</f>
        <v xml:space="preserve"> </v>
      </c>
      <c r="T229" s="42" t="str">
        <f>IFERROR(VLOOKUP($J229,'Project Reference'!$B$2:$G$41,6,FALSE)," ")</f>
        <v xml:space="preserve"> </v>
      </c>
      <c r="U229" s="42" t="str">
        <f>IFERROR(VLOOKUP($J229,'Project Reference'!$B$2:$H$41,7,FALSE)," ")</f>
        <v xml:space="preserve"> </v>
      </c>
      <c r="V229" s="42" t="str">
        <f>IFERROR(VLOOKUP($J229,'Project Reference'!$B$2:$I$41,8,FALSE)," ")</f>
        <v xml:space="preserve"> </v>
      </c>
      <c r="W229" s="42" t="str">
        <f>IFERROR(VLOOKUP($J229,'Project Reference'!$B$2:$J$41,9,FALSE)," ")</f>
        <v xml:space="preserve"> </v>
      </c>
      <c r="X229" s="42" t="str">
        <f>IFERROR(VLOOKUP($J229,'Project Reference'!$B$2:$K$41,10)," ")</f>
        <v xml:space="preserve"> </v>
      </c>
      <c r="Y229" s="42" t="str">
        <f>IFERROR(VLOOKUP($J229,'Project Reference'!$B$2:$L$41,11)," ")</f>
        <v xml:space="preserve"> </v>
      </c>
      <c r="Z229" s="42" t="str">
        <f>IFERROR(VLOOKUP($J229,'Project Reference'!$B$2:$M$41,12)," ")</f>
        <v xml:space="preserve"> </v>
      </c>
      <c r="AA229" s="42" t="str">
        <f>IFERROR(VLOOKUP($J229,'Project Reference'!$B$2:$N$41,13)," ")</f>
        <v xml:space="preserve"> </v>
      </c>
    </row>
    <row r="230" spans="1:27" s="1" customFormat="1" x14ac:dyDescent="0.45">
      <c r="A230" s="43"/>
      <c r="B230" s="205"/>
      <c r="C230"/>
      <c r="D230" s="72"/>
      <c r="E230" s="72"/>
      <c r="F230" s="72"/>
      <c r="G230" s="72"/>
      <c r="H230" s="17"/>
      <c r="I230" s="41" t="str" cm="1">
        <f t="array" ref="I230">IFERROR(_xlfn.IFS(H230="Hard (Cash)","N/A",H230="Soft (In-Kind)", "Enter Source"),"Select Type")</f>
        <v>Select Type</v>
      </c>
      <c r="J230" s="124"/>
      <c r="K230" s="41" t="str">
        <f>IFERROR(VLOOKUP($J230,'Project Reference'!$S$2:$T$41,2),"Enter Project Number")</f>
        <v>Enter Project Number</v>
      </c>
      <c r="L230" s="41"/>
      <c r="M230" s="41"/>
      <c r="N230" s="15">
        <f t="shared" si="3"/>
        <v>0</v>
      </c>
      <c r="O230" s="19"/>
      <c r="P230" s="42" t="str">
        <f>IFERROR(VLOOKUP($J230,'Project Reference'!$B$2:$C$41,2)," ")</f>
        <v xml:space="preserve"> </v>
      </c>
      <c r="Q230" s="42" t="str">
        <f>IFERROR(VLOOKUP($J230,'Project Reference'!$B$2:$D$41,3)," ")</f>
        <v xml:space="preserve"> </v>
      </c>
      <c r="R230" s="42" t="str">
        <f>IFERROR(VLOOKUP($J230,'Project Reference'!$B$2:$E$41,4)," ")</f>
        <v xml:space="preserve"> </v>
      </c>
      <c r="S230" s="42" t="str">
        <f>IFERROR(VLOOKUP($J230,'Project Reference'!$B$2:$F$41,5,FALSE)," ")</f>
        <v xml:space="preserve"> </v>
      </c>
      <c r="T230" s="42" t="str">
        <f>IFERROR(VLOOKUP($J230,'Project Reference'!$B$2:$G$41,6,FALSE)," ")</f>
        <v xml:space="preserve"> </v>
      </c>
      <c r="U230" s="42" t="str">
        <f>IFERROR(VLOOKUP($J230,'Project Reference'!$B$2:$H$41,7,FALSE)," ")</f>
        <v xml:space="preserve"> </v>
      </c>
      <c r="V230" s="42" t="str">
        <f>IFERROR(VLOOKUP($J230,'Project Reference'!$B$2:$I$41,8,FALSE)," ")</f>
        <v xml:space="preserve"> </v>
      </c>
      <c r="W230" s="42" t="str">
        <f>IFERROR(VLOOKUP($J230,'Project Reference'!$B$2:$J$41,9,FALSE)," ")</f>
        <v xml:space="preserve"> </v>
      </c>
      <c r="X230" s="42" t="str">
        <f>IFERROR(VLOOKUP($J230,'Project Reference'!$B$2:$K$41,10)," ")</f>
        <v xml:space="preserve"> </v>
      </c>
      <c r="Y230" s="42" t="str">
        <f>IFERROR(VLOOKUP($J230,'Project Reference'!$B$2:$L$41,11)," ")</f>
        <v xml:space="preserve"> </v>
      </c>
      <c r="Z230" s="42" t="str">
        <f>IFERROR(VLOOKUP($J230,'Project Reference'!$B$2:$M$41,12)," ")</f>
        <v xml:space="preserve"> </v>
      </c>
      <c r="AA230" s="42" t="str">
        <f>IFERROR(VLOOKUP($J230,'Project Reference'!$B$2:$N$41,13)," ")</f>
        <v xml:space="preserve"> </v>
      </c>
    </row>
    <row r="231" spans="1:27" s="1" customFormat="1" x14ac:dyDescent="0.45">
      <c r="A231" s="43"/>
      <c r="B231" s="205"/>
      <c r="C231"/>
      <c r="D231" s="72"/>
      <c r="E231" s="72"/>
      <c r="F231" s="72"/>
      <c r="G231" s="72"/>
      <c r="H231" s="17"/>
      <c r="I231" s="41" t="str" cm="1">
        <f t="array" ref="I231">IFERROR(_xlfn.IFS(H231="Hard (Cash)","N/A",H231="Soft (In-Kind)", "Enter Source"),"Select Type")</f>
        <v>Select Type</v>
      </c>
      <c r="J231" s="124"/>
      <c r="K231" s="41" t="str">
        <f>IFERROR(VLOOKUP($J231,'Project Reference'!$S$2:$T$41,2),"Enter Project Number")</f>
        <v>Enter Project Number</v>
      </c>
      <c r="L231" s="41"/>
      <c r="M231" s="41"/>
      <c r="N231" s="15">
        <f t="shared" si="3"/>
        <v>0</v>
      </c>
      <c r="O231" s="19"/>
      <c r="P231" s="42" t="str">
        <f>IFERROR(VLOOKUP($J231,'Project Reference'!$B$2:$C$41,2)," ")</f>
        <v xml:space="preserve"> </v>
      </c>
      <c r="Q231" s="42" t="str">
        <f>IFERROR(VLOOKUP($J231,'Project Reference'!$B$2:$D$41,3)," ")</f>
        <v xml:space="preserve"> </v>
      </c>
      <c r="R231" s="42" t="str">
        <f>IFERROR(VLOOKUP($J231,'Project Reference'!$B$2:$E$41,4)," ")</f>
        <v xml:space="preserve"> </v>
      </c>
      <c r="S231" s="42" t="str">
        <f>IFERROR(VLOOKUP($J231,'Project Reference'!$B$2:$F$41,5,FALSE)," ")</f>
        <v xml:space="preserve"> </v>
      </c>
      <c r="T231" s="42" t="str">
        <f>IFERROR(VLOOKUP($J231,'Project Reference'!$B$2:$G$41,6,FALSE)," ")</f>
        <v xml:space="preserve"> </v>
      </c>
      <c r="U231" s="42" t="str">
        <f>IFERROR(VLOOKUP($J231,'Project Reference'!$B$2:$H$41,7,FALSE)," ")</f>
        <v xml:space="preserve"> </v>
      </c>
      <c r="V231" s="42" t="str">
        <f>IFERROR(VLOOKUP($J231,'Project Reference'!$B$2:$I$41,8,FALSE)," ")</f>
        <v xml:space="preserve"> </v>
      </c>
      <c r="W231" s="42" t="str">
        <f>IFERROR(VLOOKUP($J231,'Project Reference'!$B$2:$J$41,9,FALSE)," ")</f>
        <v xml:space="preserve"> </v>
      </c>
      <c r="X231" s="42" t="str">
        <f>IFERROR(VLOOKUP($J231,'Project Reference'!$B$2:$K$41,10)," ")</f>
        <v xml:space="preserve"> </v>
      </c>
      <c r="Y231" s="42" t="str">
        <f>IFERROR(VLOOKUP($J231,'Project Reference'!$B$2:$L$41,11)," ")</f>
        <v xml:space="preserve"> </v>
      </c>
      <c r="Z231" s="42" t="str">
        <f>IFERROR(VLOOKUP($J231,'Project Reference'!$B$2:$M$41,12)," ")</f>
        <v xml:space="preserve"> </v>
      </c>
      <c r="AA231" s="42" t="str">
        <f>IFERROR(VLOOKUP($J231,'Project Reference'!$B$2:$N$41,13)," ")</f>
        <v xml:space="preserve"> </v>
      </c>
    </row>
    <row r="232" spans="1:27" s="1" customFormat="1" x14ac:dyDescent="0.45">
      <c r="A232" s="43"/>
      <c r="B232" s="205"/>
      <c r="C232"/>
      <c r="D232" s="72"/>
      <c r="E232" s="72"/>
      <c r="F232" s="72"/>
      <c r="G232" s="72"/>
      <c r="H232" s="17"/>
      <c r="I232" s="41" t="str" cm="1">
        <f t="array" ref="I232">IFERROR(_xlfn.IFS(H232="Hard (Cash)","N/A",H232="Soft (In-Kind)", "Enter Source"),"Select Type")</f>
        <v>Select Type</v>
      </c>
      <c r="J232" s="124"/>
      <c r="K232" s="41" t="str">
        <f>IFERROR(VLOOKUP($J232,'Project Reference'!$S$2:$T$41,2),"Enter Project Number")</f>
        <v>Enter Project Number</v>
      </c>
      <c r="L232" s="41"/>
      <c r="M232" s="41"/>
      <c r="N232" s="15">
        <f t="shared" si="3"/>
        <v>0</v>
      </c>
      <c r="O232" s="19"/>
      <c r="P232" s="42" t="str">
        <f>IFERROR(VLOOKUP($J232,'Project Reference'!$B$2:$C$41,2)," ")</f>
        <v xml:space="preserve"> </v>
      </c>
      <c r="Q232" s="42" t="str">
        <f>IFERROR(VLOOKUP($J232,'Project Reference'!$B$2:$D$41,3)," ")</f>
        <v xml:space="preserve"> </v>
      </c>
      <c r="R232" s="42" t="str">
        <f>IFERROR(VLOOKUP($J232,'Project Reference'!$B$2:$E$41,4)," ")</f>
        <v xml:space="preserve"> </v>
      </c>
      <c r="S232" s="42" t="str">
        <f>IFERROR(VLOOKUP($J232,'Project Reference'!$B$2:$F$41,5,FALSE)," ")</f>
        <v xml:space="preserve"> </v>
      </c>
      <c r="T232" s="42" t="str">
        <f>IFERROR(VLOOKUP($J232,'Project Reference'!$B$2:$G$41,6,FALSE)," ")</f>
        <v xml:space="preserve"> </v>
      </c>
      <c r="U232" s="42" t="str">
        <f>IFERROR(VLOOKUP($J232,'Project Reference'!$B$2:$H$41,7,FALSE)," ")</f>
        <v xml:space="preserve"> </v>
      </c>
      <c r="V232" s="42" t="str">
        <f>IFERROR(VLOOKUP($J232,'Project Reference'!$B$2:$I$41,8,FALSE)," ")</f>
        <v xml:space="preserve"> </v>
      </c>
      <c r="W232" s="42" t="str">
        <f>IFERROR(VLOOKUP($J232,'Project Reference'!$B$2:$J$41,9,FALSE)," ")</f>
        <v xml:space="preserve"> </v>
      </c>
      <c r="X232" s="42" t="str">
        <f>IFERROR(VLOOKUP($J232,'Project Reference'!$B$2:$K$41,10)," ")</f>
        <v xml:space="preserve"> </v>
      </c>
      <c r="Y232" s="42" t="str">
        <f>IFERROR(VLOOKUP($J232,'Project Reference'!$B$2:$L$41,11)," ")</f>
        <v xml:space="preserve"> </v>
      </c>
      <c r="Z232" s="42" t="str">
        <f>IFERROR(VLOOKUP($J232,'Project Reference'!$B$2:$M$41,12)," ")</f>
        <v xml:space="preserve"> </v>
      </c>
      <c r="AA232" s="42" t="str">
        <f>IFERROR(VLOOKUP($J232,'Project Reference'!$B$2:$N$41,13)," ")</f>
        <v xml:space="preserve"> </v>
      </c>
    </row>
    <row r="233" spans="1:27" s="1" customFormat="1" x14ac:dyDescent="0.45">
      <c r="A233" s="43"/>
      <c r="B233" s="205"/>
      <c r="C233"/>
      <c r="D233" s="72"/>
      <c r="E233" s="72"/>
      <c r="F233" s="72"/>
      <c r="G233" s="72"/>
      <c r="H233" s="17"/>
      <c r="I233" s="41" t="str" cm="1">
        <f t="array" ref="I233">IFERROR(_xlfn.IFS(H233="Hard (Cash)","N/A",H233="Soft (In-Kind)", "Enter Source"),"Select Type")</f>
        <v>Select Type</v>
      </c>
      <c r="J233" s="124"/>
      <c r="K233" s="41" t="str">
        <f>IFERROR(VLOOKUP($J233,'Project Reference'!$S$2:$T$41,2),"Enter Project Number")</f>
        <v>Enter Project Number</v>
      </c>
      <c r="L233" s="41"/>
      <c r="M233" s="41"/>
      <c r="N233" s="15">
        <f t="shared" si="3"/>
        <v>0</v>
      </c>
      <c r="O233" s="19"/>
      <c r="P233" s="42" t="str">
        <f>IFERROR(VLOOKUP($J233,'Project Reference'!$B$2:$C$41,2)," ")</f>
        <v xml:space="preserve"> </v>
      </c>
      <c r="Q233" s="42" t="str">
        <f>IFERROR(VLOOKUP($J233,'Project Reference'!$B$2:$D$41,3)," ")</f>
        <v xml:space="preserve"> </v>
      </c>
      <c r="R233" s="42" t="str">
        <f>IFERROR(VLOOKUP($J233,'Project Reference'!$B$2:$E$41,4)," ")</f>
        <v xml:space="preserve"> </v>
      </c>
      <c r="S233" s="42" t="str">
        <f>IFERROR(VLOOKUP($J233,'Project Reference'!$B$2:$F$41,5,FALSE)," ")</f>
        <v xml:space="preserve"> </v>
      </c>
      <c r="T233" s="42" t="str">
        <f>IFERROR(VLOOKUP($J233,'Project Reference'!$B$2:$G$41,6,FALSE)," ")</f>
        <v xml:space="preserve"> </v>
      </c>
      <c r="U233" s="42" t="str">
        <f>IFERROR(VLOOKUP($J233,'Project Reference'!$B$2:$H$41,7,FALSE)," ")</f>
        <v xml:space="preserve"> </v>
      </c>
      <c r="V233" s="42" t="str">
        <f>IFERROR(VLOOKUP($J233,'Project Reference'!$B$2:$I$41,8,FALSE)," ")</f>
        <v xml:space="preserve"> </v>
      </c>
      <c r="W233" s="42" t="str">
        <f>IFERROR(VLOOKUP($J233,'Project Reference'!$B$2:$J$41,9,FALSE)," ")</f>
        <v xml:space="preserve"> </v>
      </c>
      <c r="X233" s="42" t="str">
        <f>IFERROR(VLOOKUP($J233,'Project Reference'!$B$2:$K$41,10)," ")</f>
        <v xml:space="preserve"> </v>
      </c>
      <c r="Y233" s="42" t="str">
        <f>IFERROR(VLOOKUP($J233,'Project Reference'!$B$2:$L$41,11)," ")</f>
        <v xml:space="preserve"> </v>
      </c>
      <c r="Z233" s="42" t="str">
        <f>IFERROR(VLOOKUP($J233,'Project Reference'!$B$2:$M$41,12)," ")</f>
        <v xml:space="preserve"> </v>
      </c>
      <c r="AA233" s="42" t="str">
        <f>IFERROR(VLOOKUP($J233,'Project Reference'!$B$2:$N$41,13)," ")</f>
        <v xml:space="preserve"> </v>
      </c>
    </row>
    <row r="234" spans="1:27" s="1" customFormat="1" x14ac:dyDescent="0.45">
      <c r="A234" s="43"/>
      <c r="B234" s="205"/>
      <c r="C234"/>
      <c r="D234" s="72"/>
      <c r="E234" s="72"/>
      <c r="F234" s="72"/>
      <c r="G234" s="72"/>
      <c r="H234" s="17"/>
      <c r="I234" s="41" t="str" cm="1">
        <f t="array" ref="I234">IFERROR(_xlfn.IFS(H234="Hard (Cash)","N/A",H234="Soft (In-Kind)", "Enter Source"),"Select Type")</f>
        <v>Select Type</v>
      </c>
      <c r="J234" s="124"/>
      <c r="K234" s="41" t="str">
        <f>IFERROR(VLOOKUP($J234,'Project Reference'!$S$2:$T$41,2),"Enter Project Number")</f>
        <v>Enter Project Number</v>
      </c>
      <c r="L234" s="41"/>
      <c r="M234" s="41"/>
      <c r="N234" s="15">
        <f t="shared" si="3"/>
        <v>0</v>
      </c>
      <c r="O234" s="19"/>
      <c r="P234" s="42" t="str">
        <f>IFERROR(VLOOKUP($J234,'Project Reference'!$B$2:$C$41,2)," ")</f>
        <v xml:space="preserve"> </v>
      </c>
      <c r="Q234" s="42" t="str">
        <f>IFERROR(VLOOKUP($J234,'Project Reference'!$B$2:$D$41,3)," ")</f>
        <v xml:space="preserve"> </v>
      </c>
      <c r="R234" s="42" t="str">
        <f>IFERROR(VLOOKUP($J234,'Project Reference'!$B$2:$E$41,4)," ")</f>
        <v xml:space="preserve"> </v>
      </c>
      <c r="S234" s="42" t="str">
        <f>IFERROR(VLOOKUP($J234,'Project Reference'!$B$2:$F$41,5,FALSE)," ")</f>
        <v xml:space="preserve"> </v>
      </c>
      <c r="T234" s="42" t="str">
        <f>IFERROR(VLOOKUP($J234,'Project Reference'!$B$2:$G$41,6,FALSE)," ")</f>
        <v xml:space="preserve"> </v>
      </c>
      <c r="U234" s="42" t="str">
        <f>IFERROR(VLOOKUP($J234,'Project Reference'!$B$2:$H$41,7,FALSE)," ")</f>
        <v xml:space="preserve"> </v>
      </c>
      <c r="V234" s="42" t="str">
        <f>IFERROR(VLOOKUP($J234,'Project Reference'!$B$2:$I$41,8,FALSE)," ")</f>
        <v xml:space="preserve"> </v>
      </c>
      <c r="W234" s="42" t="str">
        <f>IFERROR(VLOOKUP($J234,'Project Reference'!$B$2:$J$41,9,FALSE)," ")</f>
        <v xml:space="preserve"> </v>
      </c>
      <c r="X234" s="42" t="str">
        <f>IFERROR(VLOOKUP($J234,'Project Reference'!$B$2:$K$41,10)," ")</f>
        <v xml:space="preserve"> </v>
      </c>
      <c r="Y234" s="42" t="str">
        <f>IFERROR(VLOOKUP($J234,'Project Reference'!$B$2:$L$41,11)," ")</f>
        <v xml:space="preserve"> </v>
      </c>
      <c r="Z234" s="42" t="str">
        <f>IFERROR(VLOOKUP($J234,'Project Reference'!$B$2:$M$41,12)," ")</f>
        <v xml:space="preserve"> </v>
      </c>
      <c r="AA234" s="42" t="str">
        <f>IFERROR(VLOOKUP($J234,'Project Reference'!$B$2:$N$41,13)," ")</f>
        <v xml:space="preserve"> </v>
      </c>
    </row>
    <row r="235" spans="1:27" s="1" customFormat="1" x14ac:dyDescent="0.45">
      <c r="A235" s="43"/>
      <c r="B235" s="205"/>
      <c r="C235"/>
      <c r="D235" s="72"/>
      <c r="E235" s="72"/>
      <c r="F235" s="72"/>
      <c r="G235" s="72"/>
      <c r="H235" s="17"/>
      <c r="I235" s="41" t="str" cm="1">
        <f t="array" ref="I235">IFERROR(_xlfn.IFS(H235="Hard (Cash)","N/A",H235="Soft (In-Kind)", "Enter Source"),"Select Type")</f>
        <v>Select Type</v>
      </c>
      <c r="J235" s="124"/>
      <c r="K235" s="41" t="str">
        <f>IFERROR(VLOOKUP($J235,'Project Reference'!$S$2:$T$41,2),"Enter Project Number")</f>
        <v>Enter Project Number</v>
      </c>
      <c r="L235" s="41"/>
      <c r="M235" s="41"/>
      <c r="N235" s="15">
        <f t="shared" si="3"/>
        <v>0</v>
      </c>
      <c r="O235" s="19"/>
      <c r="P235" s="42" t="str">
        <f>IFERROR(VLOOKUP($J235,'Project Reference'!$B$2:$C$41,2)," ")</f>
        <v xml:space="preserve"> </v>
      </c>
      <c r="Q235" s="42" t="str">
        <f>IFERROR(VLOOKUP($J235,'Project Reference'!$B$2:$D$41,3)," ")</f>
        <v xml:space="preserve"> </v>
      </c>
      <c r="R235" s="42" t="str">
        <f>IFERROR(VLOOKUP($J235,'Project Reference'!$B$2:$E$41,4)," ")</f>
        <v xml:space="preserve"> </v>
      </c>
      <c r="S235" s="42" t="str">
        <f>IFERROR(VLOOKUP($J235,'Project Reference'!$B$2:$F$41,5,FALSE)," ")</f>
        <v xml:space="preserve"> </v>
      </c>
      <c r="T235" s="42" t="str">
        <f>IFERROR(VLOOKUP($J235,'Project Reference'!$B$2:$G$41,6,FALSE)," ")</f>
        <v xml:space="preserve"> </v>
      </c>
      <c r="U235" s="42" t="str">
        <f>IFERROR(VLOOKUP($J235,'Project Reference'!$B$2:$H$41,7,FALSE)," ")</f>
        <v xml:space="preserve"> </v>
      </c>
      <c r="V235" s="42" t="str">
        <f>IFERROR(VLOOKUP($J235,'Project Reference'!$B$2:$I$41,8,FALSE)," ")</f>
        <v xml:space="preserve"> </v>
      </c>
      <c r="W235" s="42" t="str">
        <f>IFERROR(VLOOKUP($J235,'Project Reference'!$B$2:$J$41,9,FALSE)," ")</f>
        <v xml:space="preserve"> </v>
      </c>
      <c r="X235" s="42" t="str">
        <f>IFERROR(VLOOKUP($J235,'Project Reference'!$B$2:$K$41,10)," ")</f>
        <v xml:space="preserve"> </v>
      </c>
      <c r="Y235" s="42" t="str">
        <f>IFERROR(VLOOKUP($J235,'Project Reference'!$B$2:$L$41,11)," ")</f>
        <v xml:space="preserve"> </v>
      </c>
      <c r="Z235" s="42" t="str">
        <f>IFERROR(VLOOKUP($J235,'Project Reference'!$B$2:$M$41,12)," ")</f>
        <v xml:space="preserve"> </v>
      </c>
      <c r="AA235" s="42" t="str">
        <f>IFERROR(VLOOKUP($J235,'Project Reference'!$B$2:$N$41,13)," ")</f>
        <v xml:space="preserve"> </v>
      </c>
    </row>
    <row r="236" spans="1:27" s="1" customFormat="1" x14ac:dyDescent="0.45">
      <c r="A236" s="43"/>
      <c r="B236" s="205"/>
      <c r="C236"/>
      <c r="D236" s="72"/>
      <c r="E236" s="72"/>
      <c r="F236" s="72"/>
      <c r="G236" s="72"/>
      <c r="H236" s="17"/>
      <c r="I236" s="41" t="str" cm="1">
        <f t="array" ref="I236">IFERROR(_xlfn.IFS(H236="Hard (Cash)","N/A",H236="Soft (In-Kind)", "Enter Source"),"Select Type")</f>
        <v>Select Type</v>
      </c>
      <c r="J236" s="124"/>
      <c r="K236" s="41" t="str">
        <f>IFERROR(VLOOKUP($J236,'Project Reference'!$S$2:$T$41,2),"Enter Project Number")</f>
        <v>Enter Project Number</v>
      </c>
      <c r="L236" s="41"/>
      <c r="M236" s="41"/>
      <c r="N236" s="15">
        <f t="shared" si="3"/>
        <v>0</v>
      </c>
      <c r="O236" s="19"/>
      <c r="P236" s="42" t="str">
        <f>IFERROR(VLOOKUP($J236,'Project Reference'!$B$2:$C$41,2)," ")</f>
        <v xml:space="preserve"> </v>
      </c>
      <c r="Q236" s="42" t="str">
        <f>IFERROR(VLOOKUP($J236,'Project Reference'!$B$2:$D$41,3)," ")</f>
        <v xml:space="preserve"> </v>
      </c>
      <c r="R236" s="42" t="str">
        <f>IFERROR(VLOOKUP($J236,'Project Reference'!$B$2:$E$41,4)," ")</f>
        <v xml:space="preserve"> </v>
      </c>
      <c r="S236" s="42" t="str">
        <f>IFERROR(VLOOKUP($J236,'Project Reference'!$B$2:$F$41,5,FALSE)," ")</f>
        <v xml:space="preserve"> </v>
      </c>
      <c r="T236" s="42" t="str">
        <f>IFERROR(VLOOKUP($J236,'Project Reference'!$B$2:$G$41,6,FALSE)," ")</f>
        <v xml:space="preserve"> </v>
      </c>
      <c r="U236" s="42" t="str">
        <f>IFERROR(VLOOKUP($J236,'Project Reference'!$B$2:$H$41,7,FALSE)," ")</f>
        <v xml:space="preserve"> </v>
      </c>
      <c r="V236" s="42" t="str">
        <f>IFERROR(VLOOKUP($J236,'Project Reference'!$B$2:$I$41,8,FALSE)," ")</f>
        <v xml:space="preserve"> </v>
      </c>
      <c r="W236" s="42" t="str">
        <f>IFERROR(VLOOKUP($J236,'Project Reference'!$B$2:$J$41,9,FALSE)," ")</f>
        <v xml:space="preserve"> </v>
      </c>
      <c r="X236" s="42" t="str">
        <f>IFERROR(VLOOKUP($J236,'Project Reference'!$B$2:$K$41,10)," ")</f>
        <v xml:space="preserve"> </v>
      </c>
      <c r="Y236" s="42" t="str">
        <f>IFERROR(VLOOKUP($J236,'Project Reference'!$B$2:$L$41,11)," ")</f>
        <v xml:space="preserve"> </v>
      </c>
      <c r="Z236" s="42" t="str">
        <f>IFERROR(VLOOKUP($J236,'Project Reference'!$B$2:$M$41,12)," ")</f>
        <v xml:space="preserve"> </v>
      </c>
      <c r="AA236" s="42" t="str">
        <f>IFERROR(VLOOKUP($J236,'Project Reference'!$B$2:$N$41,13)," ")</f>
        <v xml:space="preserve"> </v>
      </c>
    </row>
    <row r="237" spans="1:27" s="1" customFormat="1" x14ac:dyDescent="0.45">
      <c r="A237" s="43"/>
      <c r="B237" s="205"/>
      <c r="C237"/>
      <c r="D237" s="72"/>
      <c r="E237" s="72"/>
      <c r="F237" s="72"/>
      <c r="G237" s="72"/>
      <c r="H237" s="17"/>
      <c r="I237" s="41" t="str" cm="1">
        <f t="array" ref="I237">IFERROR(_xlfn.IFS(H237="Hard (Cash)","N/A",H237="Soft (In-Kind)", "Enter Source"),"Select Type")</f>
        <v>Select Type</v>
      </c>
      <c r="J237" s="124"/>
      <c r="K237" s="41" t="str">
        <f>IFERROR(VLOOKUP($J237,'Project Reference'!$S$2:$T$41,2),"Enter Project Number")</f>
        <v>Enter Project Number</v>
      </c>
      <c r="L237" s="41"/>
      <c r="M237" s="41"/>
      <c r="N237" s="15">
        <f t="shared" si="3"/>
        <v>0</v>
      </c>
      <c r="O237" s="19"/>
      <c r="P237" s="42" t="str">
        <f>IFERROR(VLOOKUP($J237,'Project Reference'!$B$2:$C$41,2)," ")</f>
        <v xml:space="preserve"> </v>
      </c>
      <c r="Q237" s="42" t="str">
        <f>IFERROR(VLOOKUP($J237,'Project Reference'!$B$2:$D$41,3)," ")</f>
        <v xml:space="preserve"> </v>
      </c>
      <c r="R237" s="42" t="str">
        <f>IFERROR(VLOOKUP($J237,'Project Reference'!$B$2:$E$41,4)," ")</f>
        <v xml:space="preserve"> </v>
      </c>
      <c r="S237" s="42" t="str">
        <f>IFERROR(VLOOKUP($J237,'Project Reference'!$B$2:$F$41,5,FALSE)," ")</f>
        <v xml:space="preserve"> </v>
      </c>
      <c r="T237" s="42" t="str">
        <f>IFERROR(VLOOKUP($J237,'Project Reference'!$B$2:$G$41,6,FALSE)," ")</f>
        <v xml:space="preserve"> </v>
      </c>
      <c r="U237" s="42" t="str">
        <f>IFERROR(VLOOKUP($J237,'Project Reference'!$B$2:$H$41,7,FALSE)," ")</f>
        <v xml:space="preserve"> </v>
      </c>
      <c r="V237" s="42" t="str">
        <f>IFERROR(VLOOKUP($J237,'Project Reference'!$B$2:$I$41,8,FALSE)," ")</f>
        <v xml:space="preserve"> </v>
      </c>
      <c r="W237" s="42" t="str">
        <f>IFERROR(VLOOKUP($J237,'Project Reference'!$B$2:$J$41,9,FALSE)," ")</f>
        <v xml:space="preserve"> </v>
      </c>
      <c r="X237" s="42" t="str">
        <f>IFERROR(VLOOKUP($J237,'Project Reference'!$B$2:$K$41,10)," ")</f>
        <v xml:space="preserve"> </v>
      </c>
      <c r="Y237" s="42" t="str">
        <f>IFERROR(VLOOKUP($J237,'Project Reference'!$B$2:$L$41,11)," ")</f>
        <v xml:space="preserve"> </v>
      </c>
      <c r="Z237" s="42" t="str">
        <f>IFERROR(VLOOKUP($J237,'Project Reference'!$B$2:$M$41,12)," ")</f>
        <v xml:space="preserve"> </v>
      </c>
      <c r="AA237" s="42" t="str">
        <f>IFERROR(VLOOKUP($J237,'Project Reference'!$B$2:$N$41,13)," ")</f>
        <v xml:space="preserve"> </v>
      </c>
    </row>
    <row r="238" spans="1:27" s="1" customFormat="1" x14ac:dyDescent="0.45">
      <c r="A238" s="43"/>
      <c r="B238" s="205"/>
      <c r="C238"/>
      <c r="D238" s="72"/>
      <c r="E238" s="72"/>
      <c r="F238" s="72"/>
      <c r="G238" s="72"/>
      <c r="H238" s="17"/>
      <c r="I238" s="41" t="str" cm="1">
        <f t="array" ref="I238">IFERROR(_xlfn.IFS(H238="Hard (Cash)","N/A",H238="Soft (In-Kind)", "Enter Source"),"Select Type")</f>
        <v>Select Type</v>
      </c>
      <c r="J238" s="124"/>
      <c r="K238" s="41" t="str">
        <f>IFERROR(VLOOKUP($J238,'Project Reference'!$S$2:$T$41,2),"Enter Project Number")</f>
        <v>Enter Project Number</v>
      </c>
      <c r="L238" s="41"/>
      <c r="M238" s="41"/>
      <c r="N238" s="15">
        <f t="shared" si="3"/>
        <v>0</v>
      </c>
      <c r="O238" s="19"/>
      <c r="P238" s="42" t="str">
        <f>IFERROR(VLOOKUP($J238,'Project Reference'!$B$2:$C$41,2)," ")</f>
        <v xml:space="preserve"> </v>
      </c>
      <c r="Q238" s="42" t="str">
        <f>IFERROR(VLOOKUP($J238,'Project Reference'!$B$2:$D$41,3)," ")</f>
        <v xml:space="preserve"> </v>
      </c>
      <c r="R238" s="42" t="str">
        <f>IFERROR(VLOOKUP($J238,'Project Reference'!$B$2:$E$41,4)," ")</f>
        <v xml:space="preserve"> </v>
      </c>
      <c r="S238" s="42" t="str">
        <f>IFERROR(VLOOKUP($J238,'Project Reference'!$B$2:$F$41,5,FALSE)," ")</f>
        <v xml:space="preserve"> </v>
      </c>
      <c r="T238" s="42" t="str">
        <f>IFERROR(VLOOKUP($J238,'Project Reference'!$B$2:$G$41,6,FALSE)," ")</f>
        <v xml:space="preserve"> </v>
      </c>
      <c r="U238" s="42" t="str">
        <f>IFERROR(VLOOKUP($J238,'Project Reference'!$B$2:$H$41,7,FALSE)," ")</f>
        <v xml:space="preserve"> </v>
      </c>
      <c r="V238" s="42" t="str">
        <f>IFERROR(VLOOKUP($J238,'Project Reference'!$B$2:$I$41,8,FALSE)," ")</f>
        <v xml:space="preserve"> </v>
      </c>
      <c r="W238" s="42" t="str">
        <f>IFERROR(VLOOKUP($J238,'Project Reference'!$B$2:$J$41,9,FALSE)," ")</f>
        <v xml:space="preserve"> </v>
      </c>
      <c r="X238" s="42" t="str">
        <f>IFERROR(VLOOKUP($J238,'Project Reference'!$B$2:$K$41,10)," ")</f>
        <v xml:space="preserve"> </v>
      </c>
      <c r="Y238" s="42" t="str">
        <f>IFERROR(VLOOKUP($J238,'Project Reference'!$B$2:$L$41,11)," ")</f>
        <v xml:space="preserve"> </v>
      </c>
      <c r="Z238" s="42" t="str">
        <f>IFERROR(VLOOKUP($J238,'Project Reference'!$B$2:$M$41,12)," ")</f>
        <v xml:space="preserve"> </v>
      </c>
      <c r="AA238" s="42" t="str">
        <f>IFERROR(VLOOKUP($J238,'Project Reference'!$B$2:$N$41,13)," ")</f>
        <v xml:space="preserve"> </v>
      </c>
    </row>
    <row r="239" spans="1:27" s="1" customFormat="1" x14ac:dyDescent="0.45">
      <c r="A239" s="43"/>
      <c r="B239" s="205"/>
      <c r="C239"/>
      <c r="D239" s="72"/>
      <c r="E239" s="72"/>
      <c r="F239" s="72"/>
      <c r="G239" s="72"/>
      <c r="H239" s="17"/>
      <c r="I239" s="41" t="str" cm="1">
        <f t="array" ref="I239">IFERROR(_xlfn.IFS(H239="Hard (Cash)","N/A",H239="Soft (In-Kind)", "Enter Source"),"Select Type")</f>
        <v>Select Type</v>
      </c>
      <c r="J239" s="124"/>
      <c r="K239" s="41" t="str">
        <f>IFERROR(VLOOKUP($J239,'Project Reference'!$S$2:$T$41,2),"Enter Project Number")</f>
        <v>Enter Project Number</v>
      </c>
      <c r="L239" s="41"/>
      <c r="M239" s="41"/>
      <c r="N239" s="15">
        <f t="shared" si="3"/>
        <v>0</v>
      </c>
      <c r="O239" s="19"/>
      <c r="P239" s="42" t="str">
        <f>IFERROR(VLOOKUP($J239,'Project Reference'!$B$2:$C$41,2)," ")</f>
        <v xml:space="preserve"> </v>
      </c>
      <c r="Q239" s="42" t="str">
        <f>IFERROR(VLOOKUP($J239,'Project Reference'!$B$2:$D$41,3)," ")</f>
        <v xml:space="preserve"> </v>
      </c>
      <c r="R239" s="42" t="str">
        <f>IFERROR(VLOOKUP($J239,'Project Reference'!$B$2:$E$41,4)," ")</f>
        <v xml:space="preserve"> </v>
      </c>
      <c r="S239" s="42" t="str">
        <f>IFERROR(VLOOKUP($J239,'Project Reference'!$B$2:$F$41,5,FALSE)," ")</f>
        <v xml:space="preserve"> </v>
      </c>
      <c r="T239" s="42" t="str">
        <f>IFERROR(VLOOKUP($J239,'Project Reference'!$B$2:$G$41,6,FALSE)," ")</f>
        <v xml:space="preserve"> </v>
      </c>
      <c r="U239" s="42" t="str">
        <f>IFERROR(VLOOKUP($J239,'Project Reference'!$B$2:$H$41,7,FALSE)," ")</f>
        <v xml:space="preserve"> </v>
      </c>
      <c r="V239" s="42" t="str">
        <f>IFERROR(VLOOKUP($J239,'Project Reference'!$B$2:$I$41,8,FALSE)," ")</f>
        <v xml:space="preserve"> </v>
      </c>
      <c r="W239" s="42" t="str">
        <f>IFERROR(VLOOKUP($J239,'Project Reference'!$B$2:$J$41,9,FALSE)," ")</f>
        <v xml:space="preserve"> </v>
      </c>
      <c r="X239" s="42" t="str">
        <f>IFERROR(VLOOKUP($J239,'Project Reference'!$B$2:$K$41,10)," ")</f>
        <v xml:space="preserve"> </v>
      </c>
      <c r="Y239" s="42" t="str">
        <f>IFERROR(VLOOKUP($J239,'Project Reference'!$B$2:$L$41,11)," ")</f>
        <v xml:space="preserve"> </v>
      </c>
      <c r="Z239" s="42" t="str">
        <f>IFERROR(VLOOKUP($J239,'Project Reference'!$B$2:$M$41,12)," ")</f>
        <v xml:space="preserve"> </v>
      </c>
      <c r="AA239" s="42" t="str">
        <f>IFERROR(VLOOKUP($J239,'Project Reference'!$B$2:$N$41,13)," ")</f>
        <v xml:space="preserve"> </v>
      </c>
    </row>
    <row r="240" spans="1:27" s="1" customFormat="1" x14ac:dyDescent="0.45">
      <c r="A240" s="43"/>
      <c r="B240" s="205"/>
      <c r="C240"/>
      <c r="D240" s="72"/>
      <c r="E240" s="72"/>
      <c r="F240" s="72"/>
      <c r="G240" s="72"/>
      <c r="H240" s="17"/>
      <c r="I240" s="41" t="str" cm="1">
        <f t="array" ref="I240">IFERROR(_xlfn.IFS(H240="Hard (Cash)","N/A",H240="Soft (In-Kind)", "Enter Source"),"Select Type")</f>
        <v>Select Type</v>
      </c>
      <c r="J240" s="124"/>
      <c r="K240" s="41" t="str">
        <f>IFERROR(VLOOKUP($J240,'Project Reference'!$S$2:$T$41,2),"Enter Project Number")</f>
        <v>Enter Project Number</v>
      </c>
      <c r="L240" s="41"/>
      <c r="M240" s="41"/>
      <c r="N240" s="15">
        <f t="shared" si="3"/>
        <v>0</v>
      </c>
      <c r="O240" s="19"/>
      <c r="P240" s="42" t="str">
        <f>IFERROR(VLOOKUP($J240,'Project Reference'!$B$2:$C$41,2)," ")</f>
        <v xml:space="preserve"> </v>
      </c>
      <c r="Q240" s="42" t="str">
        <f>IFERROR(VLOOKUP($J240,'Project Reference'!$B$2:$D$41,3)," ")</f>
        <v xml:space="preserve"> </v>
      </c>
      <c r="R240" s="42" t="str">
        <f>IFERROR(VLOOKUP($J240,'Project Reference'!$B$2:$E$41,4)," ")</f>
        <v xml:space="preserve"> </v>
      </c>
      <c r="S240" s="42" t="str">
        <f>IFERROR(VLOOKUP($J240,'Project Reference'!$B$2:$F$41,5,FALSE)," ")</f>
        <v xml:space="preserve"> </v>
      </c>
      <c r="T240" s="42" t="str">
        <f>IFERROR(VLOOKUP($J240,'Project Reference'!$B$2:$G$41,6,FALSE)," ")</f>
        <v xml:space="preserve"> </v>
      </c>
      <c r="U240" s="42" t="str">
        <f>IFERROR(VLOOKUP($J240,'Project Reference'!$B$2:$H$41,7,FALSE)," ")</f>
        <v xml:space="preserve"> </v>
      </c>
      <c r="V240" s="42" t="str">
        <f>IFERROR(VLOOKUP($J240,'Project Reference'!$B$2:$I$41,8,FALSE)," ")</f>
        <v xml:space="preserve"> </v>
      </c>
      <c r="W240" s="42" t="str">
        <f>IFERROR(VLOOKUP($J240,'Project Reference'!$B$2:$J$41,9,FALSE)," ")</f>
        <v xml:space="preserve"> </v>
      </c>
      <c r="X240" s="42" t="str">
        <f>IFERROR(VLOOKUP($J240,'Project Reference'!$B$2:$K$41,10)," ")</f>
        <v xml:space="preserve"> </v>
      </c>
      <c r="Y240" s="42" t="str">
        <f>IFERROR(VLOOKUP($J240,'Project Reference'!$B$2:$L$41,11)," ")</f>
        <v xml:space="preserve"> </v>
      </c>
      <c r="Z240" s="42" t="str">
        <f>IFERROR(VLOOKUP($J240,'Project Reference'!$B$2:$M$41,12)," ")</f>
        <v xml:space="preserve"> </v>
      </c>
      <c r="AA240" s="42" t="str">
        <f>IFERROR(VLOOKUP($J240,'Project Reference'!$B$2:$N$41,13)," ")</f>
        <v xml:space="preserve"> </v>
      </c>
    </row>
    <row r="241" spans="1:27" s="1" customFormat="1" x14ac:dyDescent="0.45">
      <c r="A241" s="43"/>
      <c r="B241" s="205"/>
      <c r="C241"/>
      <c r="D241" s="72"/>
      <c r="E241" s="72"/>
      <c r="F241" s="72"/>
      <c r="G241" s="72"/>
      <c r="H241" s="17"/>
      <c r="I241" s="41" t="str" cm="1">
        <f t="array" ref="I241">IFERROR(_xlfn.IFS(H241="Hard (Cash)","N/A",H241="Soft (In-Kind)", "Enter Source"),"Select Type")</f>
        <v>Select Type</v>
      </c>
      <c r="J241" s="124"/>
      <c r="K241" s="41" t="str">
        <f>IFERROR(VLOOKUP($J241,'Project Reference'!$S$2:$T$41,2),"Enter Project Number")</f>
        <v>Enter Project Number</v>
      </c>
      <c r="L241" s="41"/>
      <c r="M241" s="41"/>
      <c r="N241" s="15">
        <f t="shared" si="3"/>
        <v>0</v>
      </c>
      <c r="O241" s="19"/>
      <c r="P241" s="42" t="str">
        <f>IFERROR(VLOOKUP($J241,'Project Reference'!$B$2:$C$41,2)," ")</f>
        <v xml:space="preserve"> </v>
      </c>
      <c r="Q241" s="42" t="str">
        <f>IFERROR(VLOOKUP($J241,'Project Reference'!$B$2:$D$41,3)," ")</f>
        <v xml:space="preserve"> </v>
      </c>
      <c r="R241" s="42" t="str">
        <f>IFERROR(VLOOKUP($J241,'Project Reference'!$B$2:$E$41,4)," ")</f>
        <v xml:space="preserve"> </v>
      </c>
      <c r="S241" s="42" t="str">
        <f>IFERROR(VLOOKUP($J241,'Project Reference'!$B$2:$F$41,5,FALSE)," ")</f>
        <v xml:space="preserve"> </v>
      </c>
      <c r="T241" s="42" t="str">
        <f>IFERROR(VLOOKUP($J241,'Project Reference'!$B$2:$G$41,6,FALSE)," ")</f>
        <v xml:space="preserve"> </v>
      </c>
      <c r="U241" s="42" t="str">
        <f>IFERROR(VLOOKUP($J241,'Project Reference'!$B$2:$H$41,7,FALSE)," ")</f>
        <v xml:space="preserve"> </v>
      </c>
      <c r="V241" s="42" t="str">
        <f>IFERROR(VLOOKUP($J241,'Project Reference'!$B$2:$I$41,8,FALSE)," ")</f>
        <v xml:space="preserve"> </v>
      </c>
      <c r="W241" s="42" t="str">
        <f>IFERROR(VLOOKUP($J241,'Project Reference'!$B$2:$J$41,9,FALSE)," ")</f>
        <v xml:space="preserve"> </v>
      </c>
      <c r="X241" s="42" t="str">
        <f>IFERROR(VLOOKUP($J241,'Project Reference'!$B$2:$K$41,10)," ")</f>
        <v xml:space="preserve"> </v>
      </c>
      <c r="Y241" s="42" t="str">
        <f>IFERROR(VLOOKUP($J241,'Project Reference'!$B$2:$L$41,11)," ")</f>
        <v xml:space="preserve"> </v>
      </c>
      <c r="Z241" s="42" t="str">
        <f>IFERROR(VLOOKUP($J241,'Project Reference'!$B$2:$M$41,12)," ")</f>
        <v xml:space="preserve"> </v>
      </c>
      <c r="AA241" s="42" t="str">
        <f>IFERROR(VLOOKUP($J241,'Project Reference'!$B$2:$N$41,13)," ")</f>
        <v xml:space="preserve"> </v>
      </c>
    </row>
    <row r="242" spans="1:27" s="1" customFormat="1" x14ac:dyDescent="0.45">
      <c r="A242" s="43"/>
      <c r="B242" s="205"/>
      <c r="C242"/>
      <c r="D242" s="72"/>
      <c r="E242" s="72"/>
      <c r="F242" s="72"/>
      <c r="G242" s="72"/>
      <c r="H242" s="17"/>
      <c r="I242" s="41" t="str" cm="1">
        <f t="array" ref="I242">IFERROR(_xlfn.IFS(H242="Hard (Cash)","N/A",H242="Soft (In-Kind)", "Enter Source"),"Select Type")</f>
        <v>Select Type</v>
      </c>
      <c r="J242" s="124"/>
      <c r="K242" s="41" t="str">
        <f>IFERROR(VLOOKUP($J242,'Project Reference'!$S$2:$T$41,2),"Enter Project Number")</f>
        <v>Enter Project Number</v>
      </c>
      <c r="L242" s="41"/>
      <c r="M242" s="41"/>
      <c r="N242" s="15">
        <f t="shared" si="3"/>
        <v>0</v>
      </c>
      <c r="O242" s="19"/>
      <c r="P242" s="42" t="str">
        <f>IFERROR(VLOOKUP($J242,'Project Reference'!$B$2:$C$41,2)," ")</f>
        <v xml:space="preserve"> </v>
      </c>
      <c r="Q242" s="42" t="str">
        <f>IFERROR(VLOOKUP($J242,'Project Reference'!$B$2:$D$41,3)," ")</f>
        <v xml:space="preserve"> </v>
      </c>
      <c r="R242" s="42" t="str">
        <f>IFERROR(VLOOKUP($J242,'Project Reference'!$B$2:$E$41,4)," ")</f>
        <v xml:space="preserve"> </v>
      </c>
      <c r="S242" s="42" t="str">
        <f>IFERROR(VLOOKUP($J242,'Project Reference'!$B$2:$F$41,5,FALSE)," ")</f>
        <v xml:space="preserve"> </v>
      </c>
      <c r="T242" s="42" t="str">
        <f>IFERROR(VLOOKUP($J242,'Project Reference'!$B$2:$G$41,6,FALSE)," ")</f>
        <v xml:space="preserve"> </v>
      </c>
      <c r="U242" s="42" t="str">
        <f>IFERROR(VLOOKUP($J242,'Project Reference'!$B$2:$H$41,7,FALSE)," ")</f>
        <v xml:space="preserve"> </v>
      </c>
      <c r="V242" s="42" t="str">
        <f>IFERROR(VLOOKUP($J242,'Project Reference'!$B$2:$I$41,8,FALSE)," ")</f>
        <v xml:space="preserve"> </v>
      </c>
      <c r="W242" s="42" t="str">
        <f>IFERROR(VLOOKUP($J242,'Project Reference'!$B$2:$J$41,9,FALSE)," ")</f>
        <v xml:space="preserve"> </v>
      </c>
      <c r="X242" s="42" t="str">
        <f>IFERROR(VLOOKUP($J242,'Project Reference'!$B$2:$K$41,10)," ")</f>
        <v xml:space="preserve"> </v>
      </c>
      <c r="Y242" s="42" t="str">
        <f>IFERROR(VLOOKUP($J242,'Project Reference'!$B$2:$L$41,11)," ")</f>
        <v xml:space="preserve"> </v>
      </c>
      <c r="Z242" s="42" t="str">
        <f>IFERROR(VLOOKUP($J242,'Project Reference'!$B$2:$M$41,12)," ")</f>
        <v xml:space="preserve"> </v>
      </c>
      <c r="AA242" s="42" t="str">
        <f>IFERROR(VLOOKUP($J242,'Project Reference'!$B$2:$N$41,13)," ")</f>
        <v xml:space="preserve"> </v>
      </c>
    </row>
    <row r="243" spans="1:27" s="1" customFormat="1" x14ac:dyDescent="0.45">
      <c r="A243" s="43"/>
      <c r="B243" s="205"/>
      <c r="C243"/>
      <c r="D243" s="72"/>
      <c r="E243" s="72"/>
      <c r="F243" s="72"/>
      <c r="G243" s="72"/>
      <c r="H243" s="17"/>
      <c r="I243" s="41" t="str" cm="1">
        <f t="array" ref="I243">IFERROR(_xlfn.IFS(H243="Hard (Cash)","N/A",H243="Soft (In-Kind)", "Enter Source"),"Select Type")</f>
        <v>Select Type</v>
      </c>
      <c r="J243" s="124"/>
      <c r="K243" s="41" t="str">
        <f>IFERROR(VLOOKUP($J243,'Project Reference'!$S$2:$T$41,2),"Enter Project Number")</f>
        <v>Enter Project Number</v>
      </c>
      <c r="L243" s="41"/>
      <c r="M243" s="41"/>
      <c r="N243" s="15">
        <f t="shared" si="3"/>
        <v>0</v>
      </c>
      <c r="O243" s="19"/>
      <c r="P243" s="42" t="str">
        <f>IFERROR(VLOOKUP($J243,'Project Reference'!$B$2:$C$41,2)," ")</f>
        <v xml:space="preserve"> </v>
      </c>
      <c r="Q243" s="42" t="str">
        <f>IFERROR(VLOOKUP($J243,'Project Reference'!$B$2:$D$41,3)," ")</f>
        <v xml:space="preserve"> </v>
      </c>
      <c r="R243" s="42" t="str">
        <f>IFERROR(VLOOKUP($J243,'Project Reference'!$B$2:$E$41,4)," ")</f>
        <v xml:space="preserve"> </v>
      </c>
      <c r="S243" s="42" t="str">
        <f>IFERROR(VLOOKUP($J243,'Project Reference'!$B$2:$F$41,5,FALSE)," ")</f>
        <v xml:space="preserve"> </v>
      </c>
      <c r="T243" s="42" t="str">
        <f>IFERROR(VLOOKUP($J243,'Project Reference'!$B$2:$G$41,6,FALSE)," ")</f>
        <v xml:space="preserve"> </v>
      </c>
      <c r="U243" s="42" t="str">
        <f>IFERROR(VLOOKUP($J243,'Project Reference'!$B$2:$H$41,7,FALSE)," ")</f>
        <v xml:space="preserve"> </v>
      </c>
      <c r="V243" s="42" t="str">
        <f>IFERROR(VLOOKUP($J243,'Project Reference'!$B$2:$I$41,8,FALSE)," ")</f>
        <v xml:space="preserve"> </v>
      </c>
      <c r="W243" s="42" t="str">
        <f>IFERROR(VLOOKUP($J243,'Project Reference'!$B$2:$J$41,9,FALSE)," ")</f>
        <v xml:space="preserve"> </v>
      </c>
      <c r="X243" s="42" t="str">
        <f>IFERROR(VLOOKUP($J243,'Project Reference'!$B$2:$K$41,10)," ")</f>
        <v xml:space="preserve"> </v>
      </c>
      <c r="Y243" s="42" t="str">
        <f>IFERROR(VLOOKUP($J243,'Project Reference'!$B$2:$L$41,11)," ")</f>
        <v xml:space="preserve"> </v>
      </c>
      <c r="Z243" s="42" t="str">
        <f>IFERROR(VLOOKUP($J243,'Project Reference'!$B$2:$M$41,12)," ")</f>
        <v xml:space="preserve"> </v>
      </c>
      <c r="AA243" s="42" t="str">
        <f>IFERROR(VLOOKUP($J243,'Project Reference'!$B$2:$N$41,13)," ")</f>
        <v xml:space="preserve"> </v>
      </c>
    </row>
    <row r="244" spans="1:27" s="1" customFormat="1" x14ac:dyDescent="0.45">
      <c r="A244" s="43"/>
      <c r="B244" s="205"/>
      <c r="C244"/>
      <c r="D244" s="72"/>
      <c r="E244" s="72"/>
      <c r="F244" s="72"/>
      <c r="G244" s="72"/>
      <c r="H244" s="17"/>
      <c r="I244" s="41" t="str" cm="1">
        <f t="array" ref="I244">IFERROR(_xlfn.IFS(H244="Hard (Cash)","N/A",H244="Soft (In-Kind)", "Enter Source"),"Select Type")</f>
        <v>Select Type</v>
      </c>
      <c r="J244" s="124"/>
      <c r="K244" s="41" t="str">
        <f>IFERROR(VLOOKUP($J244,'Project Reference'!$S$2:$T$41,2),"Enter Project Number")</f>
        <v>Enter Project Number</v>
      </c>
      <c r="L244" s="41"/>
      <c r="M244" s="41"/>
      <c r="N244" s="15">
        <f t="shared" si="3"/>
        <v>0</v>
      </c>
      <c r="O244" s="19"/>
      <c r="P244" s="42" t="str">
        <f>IFERROR(VLOOKUP($J244,'Project Reference'!$B$2:$C$41,2)," ")</f>
        <v xml:space="preserve"> </v>
      </c>
      <c r="Q244" s="42" t="str">
        <f>IFERROR(VLOOKUP($J244,'Project Reference'!$B$2:$D$41,3)," ")</f>
        <v xml:space="preserve"> </v>
      </c>
      <c r="R244" s="42" t="str">
        <f>IFERROR(VLOOKUP($J244,'Project Reference'!$B$2:$E$41,4)," ")</f>
        <v xml:space="preserve"> </v>
      </c>
      <c r="S244" s="42" t="str">
        <f>IFERROR(VLOOKUP($J244,'Project Reference'!$B$2:$F$41,5,FALSE)," ")</f>
        <v xml:space="preserve"> </v>
      </c>
      <c r="T244" s="42" t="str">
        <f>IFERROR(VLOOKUP($J244,'Project Reference'!$B$2:$G$41,6,FALSE)," ")</f>
        <v xml:space="preserve"> </v>
      </c>
      <c r="U244" s="42" t="str">
        <f>IFERROR(VLOOKUP($J244,'Project Reference'!$B$2:$H$41,7,FALSE)," ")</f>
        <v xml:space="preserve"> </v>
      </c>
      <c r="V244" s="42" t="str">
        <f>IFERROR(VLOOKUP($J244,'Project Reference'!$B$2:$I$41,8,FALSE)," ")</f>
        <v xml:space="preserve"> </v>
      </c>
      <c r="W244" s="42" t="str">
        <f>IFERROR(VLOOKUP($J244,'Project Reference'!$B$2:$J$41,9,FALSE)," ")</f>
        <v xml:space="preserve"> </v>
      </c>
      <c r="X244" s="42" t="str">
        <f>IFERROR(VLOOKUP($J244,'Project Reference'!$B$2:$K$41,10)," ")</f>
        <v xml:space="preserve"> </v>
      </c>
      <c r="Y244" s="42" t="str">
        <f>IFERROR(VLOOKUP($J244,'Project Reference'!$B$2:$L$41,11)," ")</f>
        <v xml:space="preserve"> </v>
      </c>
      <c r="Z244" s="42" t="str">
        <f>IFERROR(VLOOKUP($J244,'Project Reference'!$B$2:$M$41,12)," ")</f>
        <v xml:space="preserve"> </v>
      </c>
      <c r="AA244" s="42" t="str">
        <f>IFERROR(VLOOKUP($J244,'Project Reference'!$B$2:$N$41,13)," ")</f>
        <v xml:space="preserve"> </v>
      </c>
    </row>
    <row r="245" spans="1:27" s="1" customFormat="1" x14ac:dyDescent="0.45">
      <c r="A245" s="43"/>
      <c r="B245" s="205"/>
      <c r="C245"/>
      <c r="D245" s="72"/>
      <c r="E245" s="72"/>
      <c r="F245" s="72"/>
      <c r="G245" s="72"/>
      <c r="H245" s="17"/>
      <c r="I245" s="41" t="str" cm="1">
        <f t="array" ref="I245">IFERROR(_xlfn.IFS(H245="Hard (Cash)","N/A",H245="Soft (In-Kind)", "Enter Source"),"Select Type")</f>
        <v>Select Type</v>
      </c>
      <c r="J245" s="124"/>
      <c r="K245" s="41" t="str">
        <f>IFERROR(VLOOKUP($J245,'Project Reference'!$S$2:$T$41,2),"Enter Project Number")</f>
        <v>Enter Project Number</v>
      </c>
      <c r="L245" s="41"/>
      <c r="M245" s="41"/>
      <c r="N245" s="15">
        <f t="shared" si="3"/>
        <v>0</v>
      </c>
      <c r="O245" s="19"/>
      <c r="P245" s="42" t="str">
        <f>IFERROR(VLOOKUP($J245,'Project Reference'!$B$2:$C$41,2)," ")</f>
        <v xml:space="preserve"> </v>
      </c>
      <c r="Q245" s="42" t="str">
        <f>IFERROR(VLOOKUP($J245,'Project Reference'!$B$2:$D$41,3)," ")</f>
        <v xml:space="preserve"> </v>
      </c>
      <c r="R245" s="42" t="str">
        <f>IFERROR(VLOOKUP($J245,'Project Reference'!$B$2:$E$41,4)," ")</f>
        <v xml:space="preserve"> </v>
      </c>
      <c r="S245" s="42" t="str">
        <f>IFERROR(VLOOKUP($J245,'Project Reference'!$B$2:$F$41,5,FALSE)," ")</f>
        <v xml:space="preserve"> </v>
      </c>
      <c r="T245" s="42" t="str">
        <f>IFERROR(VLOOKUP($J245,'Project Reference'!$B$2:$G$41,6,FALSE)," ")</f>
        <v xml:space="preserve"> </v>
      </c>
      <c r="U245" s="42" t="str">
        <f>IFERROR(VLOOKUP($J245,'Project Reference'!$B$2:$H$41,7,FALSE)," ")</f>
        <v xml:space="preserve"> </v>
      </c>
      <c r="V245" s="42" t="str">
        <f>IFERROR(VLOOKUP($J245,'Project Reference'!$B$2:$I$41,8,FALSE)," ")</f>
        <v xml:space="preserve"> </v>
      </c>
      <c r="W245" s="42" t="str">
        <f>IFERROR(VLOOKUP($J245,'Project Reference'!$B$2:$J$41,9,FALSE)," ")</f>
        <v xml:space="preserve"> </v>
      </c>
      <c r="X245" s="42" t="str">
        <f>IFERROR(VLOOKUP($J245,'Project Reference'!$B$2:$K$41,10)," ")</f>
        <v xml:space="preserve"> </v>
      </c>
      <c r="Y245" s="42" t="str">
        <f>IFERROR(VLOOKUP($J245,'Project Reference'!$B$2:$L$41,11)," ")</f>
        <v xml:space="preserve"> </v>
      </c>
      <c r="Z245" s="42" t="str">
        <f>IFERROR(VLOOKUP($J245,'Project Reference'!$B$2:$M$41,12)," ")</f>
        <v xml:space="preserve"> </v>
      </c>
      <c r="AA245" s="42" t="str">
        <f>IFERROR(VLOOKUP($J245,'Project Reference'!$B$2:$N$41,13)," ")</f>
        <v xml:space="preserve"> </v>
      </c>
    </row>
    <row r="246" spans="1:27" s="1" customFormat="1" x14ac:dyDescent="0.45">
      <c r="A246" s="43"/>
      <c r="B246" s="205"/>
      <c r="C246"/>
      <c r="D246" s="72"/>
      <c r="E246" s="72"/>
      <c r="F246" s="72"/>
      <c r="G246" s="72"/>
      <c r="H246" s="17"/>
      <c r="I246" s="41" t="str" cm="1">
        <f t="array" ref="I246">IFERROR(_xlfn.IFS(H246="Hard (Cash)","N/A",H246="Soft (In-Kind)", "Enter Source"),"Select Type")</f>
        <v>Select Type</v>
      </c>
      <c r="J246" s="124"/>
      <c r="K246" s="41" t="str">
        <f>IFERROR(VLOOKUP($J246,'Project Reference'!$S$2:$T$41,2),"Enter Project Number")</f>
        <v>Enter Project Number</v>
      </c>
      <c r="L246" s="41"/>
      <c r="M246" s="41"/>
      <c r="N246" s="15">
        <f t="shared" si="3"/>
        <v>0</v>
      </c>
      <c r="O246" s="19"/>
      <c r="P246" s="42" t="str">
        <f>IFERROR(VLOOKUP($J246,'Project Reference'!$B$2:$C$41,2)," ")</f>
        <v xml:space="preserve"> </v>
      </c>
      <c r="Q246" s="42" t="str">
        <f>IFERROR(VLOOKUP($J246,'Project Reference'!$B$2:$D$41,3)," ")</f>
        <v xml:space="preserve"> </v>
      </c>
      <c r="R246" s="42" t="str">
        <f>IFERROR(VLOOKUP($J246,'Project Reference'!$B$2:$E$41,4)," ")</f>
        <v xml:space="preserve"> </v>
      </c>
      <c r="S246" s="42" t="str">
        <f>IFERROR(VLOOKUP($J246,'Project Reference'!$B$2:$F$41,5,FALSE)," ")</f>
        <v xml:space="preserve"> </v>
      </c>
      <c r="T246" s="42" t="str">
        <f>IFERROR(VLOOKUP($J246,'Project Reference'!$B$2:$G$41,6,FALSE)," ")</f>
        <v xml:space="preserve"> </v>
      </c>
      <c r="U246" s="42" t="str">
        <f>IFERROR(VLOOKUP($J246,'Project Reference'!$B$2:$H$41,7,FALSE)," ")</f>
        <v xml:space="preserve"> </v>
      </c>
      <c r="V246" s="42" t="str">
        <f>IFERROR(VLOOKUP($J246,'Project Reference'!$B$2:$I$41,8,FALSE)," ")</f>
        <v xml:space="preserve"> </v>
      </c>
      <c r="W246" s="42" t="str">
        <f>IFERROR(VLOOKUP($J246,'Project Reference'!$B$2:$J$41,9,FALSE)," ")</f>
        <v xml:space="preserve"> </v>
      </c>
      <c r="X246" s="42" t="str">
        <f>IFERROR(VLOOKUP($J246,'Project Reference'!$B$2:$K$41,10)," ")</f>
        <v xml:space="preserve"> </v>
      </c>
      <c r="Y246" s="42" t="str">
        <f>IFERROR(VLOOKUP($J246,'Project Reference'!$B$2:$L$41,11)," ")</f>
        <v xml:space="preserve"> </v>
      </c>
      <c r="Z246" s="42" t="str">
        <f>IFERROR(VLOOKUP($J246,'Project Reference'!$B$2:$M$41,12)," ")</f>
        <v xml:space="preserve"> </v>
      </c>
      <c r="AA246" s="42" t="str">
        <f>IFERROR(VLOOKUP($J246,'Project Reference'!$B$2:$N$41,13)," ")</f>
        <v xml:space="preserve"> </v>
      </c>
    </row>
    <row r="247" spans="1:27" s="1" customFormat="1" x14ac:dyDescent="0.45">
      <c r="A247" s="43"/>
      <c r="B247" s="205"/>
      <c r="C247"/>
      <c r="D247" s="72"/>
      <c r="E247" s="72"/>
      <c r="F247" s="72"/>
      <c r="G247" s="72"/>
      <c r="H247" s="17"/>
      <c r="I247" s="41" t="str" cm="1">
        <f t="array" ref="I247">IFERROR(_xlfn.IFS(H247="Hard (Cash)","N/A",H247="Soft (In-Kind)", "Enter Source"),"Select Type")</f>
        <v>Select Type</v>
      </c>
      <c r="J247" s="124"/>
      <c r="K247" s="41" t="str">
        <f>IFERROR(VLOOKUP($J247,'Project Reference'!$S$2:$T$41,2),"Enter Project Number")</f>
        <v>Enter Project Number</v>
      </c>
      <c r="L247" s="41"/>
      <c r="M247" s="41"/>
      <c r="N247" s="15">
        <f t="shared" si="3"/>
        <v>0</v>
      </c>
      <c r="O247" s="19"/>
      <c r="P247" s="42" t="str">
        <f>IFERROR(VLOOKUP($J247,'Project Reference'!$B$2:$C$41,2)," ")</f>
        <v xml:space="preserve"> </v>
      </c>
      <c r="Q247" s="42" t="str">
        <f>IFERROR(VLOOKUP($J247,'Project Reference'!$B$2:$D$41,3)," ")</f>
        <v xml:space="preserve"> </v>
      </c>
      <c r="R247" s="42" t="str">
        <f>IFERROR(VLOOKUP($J247,'Project Reference'!$B$2:$E$41,4)," ")</f>
        <v xml:space="preserve"> </v>
      </c>
      <c r="S247" s="42" t="str">
        <f>IFERROR(VLOOKUP($J247,'Project Reference'!$B$2:$F$41,5,FALSE)," ")</f>
        <v xml:space="preserve"> </v>
      </c>
      <c r="T247" s="42" t="str">
        <f>IFERROR(VLOOKUP($J247,'Project Reference'!$B$2:$G$41,6,FALSE)," ")</f>
        <v xml:space="preserve"> </v>
      </c>
      <c r="U247" s="42" t="str">
        <f>IFERROR(VLOOKUP($J247,'Project Reference'!$B$2:$H$41,7,FALSE)," ")</f>
        <v xml:space="preserve"> </v>
      </c>
      <c r="V247" s="42" t="str">
        <f>IFERROR(VLOOKUP($J247,'Project Reference'!$B$2:$I$41,8,FALSE)," ")</f>
        <v xml:space="preserve"> </v>
      </c>
      <c r="W247" s="42" t="str">
        <f>IFERROR(VLOOKUP($J247,'Project Reference'!$B$2:$J$41,9,FALSE)," ")</f>
        <v xml:space="preserve"> </v>
      </c>
      <c r="X247" s="42" t="str">
        <f>IFERROR(VLOOKUP($J247,'Project Reference'!$B$2:$K$41,10)," ")</f>
        <v xml:space="preserve"> </v>
      </c>
      <c r="Y247" s="42" t="str">
        <f>IFERROR(VLOOKUP($J247,'Project Reference'!$B$2:$L$41,11)," ")</f>
        <v xml:space="preserve"> </v>
      </c>
      <c r="Z247" s="42" t="str">
        <f>IFERROR(VLOOKUP($J247,'Project Reference'!$B$2:$M$41,12)," ")</f>
        <v xml:space="preserve"> </v>
      </c>
      <c r="AA247" s="42" t="str">
        <f>IFERROR(VLOOKUP($J247,'Project Reference'!$B$2:$N$41,13)," ")</f>
        <v xml:space="preserve"> </v>
      </c>
    </row>
    <row r="248" spans="1:27" s="1" customFormat="1" x14ac:dyDescent="0.45">
      <c r="A248" s="43"/>
      <c r="B248" s="205"/>
      <c r="C248"/>
      <c r="D248" s="72"/>
      <c r="E248" s="72"/>
      <c r="F248" s="72"/>
      <c r="G248" s="72"/>
      <c r="H248" s="17"/>
      <c r="I248" s="41" t="str" cm="1">
        <f t="array" ref="I248">IFERROR(_xlfn.IFS(H248="Hard (Cash)","N/A",H248="Soft (In-Kind)", "Enter Source"),"Select Type")</f>
        <v>Select Type</v>
      </c>
      <c r="J248" s="124"/>
      <c r="K248" s="41" t="str">
        <f>IFERROR(VLOOKUP($J248,'Project Reference'!$S$2:$T$41,2),"Enter Project Number")</f>
        <v>Enter Project Number</v>
      </c>
      <c r="L248" s="41"/>
      <c r="M248" s="41"/>
      <c r="N248" s="15">
        <f t="shared" si="3"/>
        <v>0</v>
      </c>
      <c r="O248" s="19"/>
      <c r="P248" s="42" t="str">
        <f>IFERROR(VLOOKUP($J248,'Project Reference'!$B$2:$C$41,2)," ")</f>
        <v xml:space="preserve"> </v>
      </c>
      <c r="Q248" s="42" t="str">
        <f>IFERROR(VLOOKUP($J248,'Project Reference'!$B$2:$D$41,3)," ")</f>
        <v xml:space="preserve"> </v>
      </c>
      <c r="R248" s="42" t="str">
        <f>IFERROR(VLOOKUP($J248,'Project Reference'!$B$2:$E$41,4)," ")</f>
        <v xml:space="preserve"> </v>
      </c>
      <c r="S248" s="42" t="str">
        <f>IFERROR(VLOOKUP($J248,'Project Reference'!$B$2:$F$41,5,FALSE)," ")</f>
        <v xml:space="preserve"> </v>
      </c>
      <c r="T248" s="42" t="str">
        <f>IFERROR(VLOOKUP($J248,'Project Reference'!$B$2:$G$41,6,FALSE)," ")</f>
        <v xml:space="preserve"> </v>
      </c>
      <c r="U248" s="42" t="str">
        <f>IFERROR(VLOOKUP($J248,'Project Reference'!$B$2:$H$41,7,FALSE)," ")</f>
        <v xml:space="preserve"> </v>
      </c>
      <c r="V248" s="42" t="str">
        <f>IFERROR(VLOOKUP($J248,'Project Reference'!$B$2:$I$41,8,FALSE)," ")</f>
        <v xml:space="preserve"> </v>
      </c>
      <c r="W248" s="42" t="str">
        <f>IFERROR(VLOOKUP($J248,'Project Reference'!$B$2:$J$41,9,FALSE)," ")</f>
        <v xml:space="preserve"> </v>
      </c>
      <c r="X248" s="42" t="str">
        <f>IFERROR(VLOOKUP($J248,'Project Reference'!$B$2:$K$41,10)," ")</f>
        <v xml:space="preserve"> </v>
      </c>
      <c r="Y248" s="42" t="str">
        <f>IFERROR(VLOOKUP($J248,'Project Reference'!$B$2:$L$41,11)," ")</f>
        <v xml:space="preserve"> </v>
      </c>
      <c r="Z248" s="42" t="str">
        <f>IFERROR(VLOOKUP($J248,'Project Reference'!$B$2:$M$41,12)," ")</f>
        <v xml:space="preserve"> </v>
      </c>
      <c r="AA248" s="42" t="str">
        <f>IFERROR(VLOOKUP($J248,'Project Reference'!$B$2:$N$41,13)," ")</f>
        <v xml:space="preserve"> </v>
      </c>
    </row>
    <row r="249" spans="1:27" s="1" customFormat="1" x14ac:dyDescent="0.45">
      <c r="A249" s="43"/>
      <c r="B249" s="205"/>
      <c r="C249"/>
      <c r="D249" s="72"/>
      <c r="E249" s="72"/>
      <c r="F249" s="72"/>
      <c r="G249" s="72"/>
      <c r="H249" s="17"/>
      <c r="I249" s="41" t="str" cm="1">
        <f t="array" ref="I249">IFERROR(_xlfn.IFS(H249="Hard (Cash)","N/A",H249="Soft (In-Kind)", "Enter Source"),"Select Type")</f>
        <v>Select Type</v>
      </c>
      <c r="J249" s="124"/>
      <c r="K249" s="41" t="str">
        <f>IFERROR(VLOOKUP($J249,'Project Reference'!$S$2:$T$41,2),"Enter Project Number")</f>
        <v>Enter Project Number</v>
      </c>
      <c r="L249" s="41"/>
      <c r="M249" s="41"/>
      <c r="N249" s="15">
        <f t="shared" si="3"/>
        <v>0</v>
      </c>
      <c r="O249" s="19"/>
      <c r="P249" s="42" t="str">
        <f>IFERROR(VLOOKUP($J249,'Project Reference'!$B$2:$C$41,2)," ")</f>
        <v xml:space="preserve"> </v>
      </c>
      <c r="Q249" s="42" t="str">
        <f>IFERROR(VLOOKUP($J249,'Project Reference'!$B$2:$D$41,3)," ")</f>
        <v xml:space="preserve"> </v>
      </c>
      <c r="R249" s="42" t="str">
        <f>IFERROR(VLOOKUP($J249,'Project Reference'!$B$2:$E$41,4)," ")</f>
        <v xml:space="preserve"> </v>
      </c>
      <c r="S249" s="42" t="str">
        <f>IFERROR(VLOOKUP($J249,'Project Reference'!$B$2:$F$41,5,FALSE)," ")</f>
        <v xml:space="preserve"> </v>
      </c>
      <c r="T249" s="42" t="str">
        <f>IFERROR(VLOOKUP($J249,'Project Reference'!$B$2:$G$41,6,FALSE)," ")</f>
        <v xml:space="preserve"> </v>
      </c>
      <c r="U249" s="42" t="str">
        <f>IFERROR(VLOOKUP($J249,'Project Reference'!$B$2:$H$41,7,FALSE)," ")</f>
        <v xml:space="preserve"> </v>
      </c>
      <c r="V249" s="42" t="str">
        <f>IFERROR(VLOOKUP($J249,'Project Reference'!$B$2:$I$41,8,FALSE)," ")</f>
        <v xml:space="preserve"> </v>
      </c>
      <c r="W249" s="42" t="str">
        <f>IFERROR(VLOOKUP($J249,'Project Reference'!$B$2:$J$41,9,FALSE)," ")</f>
        <v xml:space="preserve"> </v>
      </c>
      <c r="X249" s="42" t="str">
        <f>IFERROR(VLOOKUP($J249,'Project Reference'!$B$2:$K$41,10)," ")</f>
        <v xml:space="preserve"> </v>
      </c>
      <c r="Y249" s="42" t="str">
        <f>IFERROR(VLOOKUP($J249,'Project Reference'!$B$2:$L$41,11)," ")</f>
        <v xml:space="preserve"> </v>
      </c>
      <c r="Z249" s="42" t="str">
        <f>IFERROR(VLOOKUP($J249,'Project Reference'!$B$2:$M$41,12)," ")</f>
        <v xml:space="preserve"> </v>
      </c>
      <c r="AA249" s="42" t="str">
        <f>IFERROR(VLOOKUP($J249,'Project Reference'!$B$2:$N$41,13)," ")</f>
        <v xml:space="preserve"> </v>
      </c>
    </row>
    <row r="250" spans="1:27" s="1" customFormat="1" x14ac:dyDescent="0.45">
      <c r="A250" s="43"/>
      <c r="B250" s="205"/>
      <c r="C250"/>
      <c r="D250" s="72"/>
      <c r="E250" s="72"/>
      <c r="F250" s="72"/>
      <c r="G250" s="72"/>
      <c r="H250" s="17"/>
      <c r="I250" s="41" t="str" cm="1">
        <f t="array" ref="I250">IFERROR(_xlfn.IFS(H250="Hard (Cash)","N/A",H250="Soft (In-Kind)", "Enter Source"),"Select Type")</f>
        <v>Select Type</v>
      </c>
      <c r="J250" s="124"/>
      <c r="K250" s="41" t="str">
        <f>IFERROR(VLOOKUP($J250,'Project Reference'!$S$2:$T$41,2),"Enter Project Number")</f>
        <v>Enter Project Number</v>
      </c>
      <c r="L250" s="41"/>
      <c r="M250" s="41"/>
      <c r="N250" s="15">
        <f t="shared" si="3"/>
        <v>0</v>
      </c>
      <c r="O250" s="19"/>
      <c r="P250" s="42" t="str">
        <f>IFERROR(VLOOKUP($J250,'Project Reference'!$B$2:$C$41,2)," ")</f>
        <v xml:space="preserve"> </v>
      </c>
      <c r="Q250" s="42" t="str">
        <f>IFERROR(VLOOKUP($J250,'Project Reference'!$B$2:$D$41,3)," ")</f>
        <v xml:space="preserve"> </v>
      </c>
      <c r="R250" s="42" t="str">
        <f>IFERROR(VLOOKUP($J250,'Project Reference'!$B$2:$E$41,4)," ")</f>
        <v xml:space="preserve"> </v>
      </c>
      <c r="S250" s="42" t="str">
        <f>IFERROR(VLOOKUP($J250,'Project Reference'!$B$2:$F$41,5,FALSE)," ")</f>
        <v xml:space="preserve"> </v>
      </c>
      <c r="T250" s="42" t="str">
        <f>IFERROR(VLOOKUP($J250,'Project Reference'!$B$2:$G$41,6,FALSE)," ")</f>
        <v xml:space="preserve"> </v>
      </c>
      <c r="U250" s="42" t="str">
        <f>IFERROR(VLOOKUP($J250,'Project Reference'!$B$2:$H$41,7,FALSE)," ")</f>
        <v xml:space="preserve"> </v>
      </c>
      <c r="V250" s="42" t="str">
        <f>IFERROR(VLOOKUP($J250,'Project Reference'!$B$2:$I$41,8,FALSE)," ")</f>
        <v xml:space="preserve"> </v>
      </c>
      <c r="W250" s="42" t="str">
        <f>IFERROR(VLOOKUP($J250,'Project Reference'!$B$2:$J$41,9,FALSE)," ")</f>
        <v xml:space="preserve"> </v>
      </c>
      <c r="X250" s="42" t="str">
        <f>IFERROR(VLOOKUP($J250,'Project Reference'!$B$2:$K$41,10)," ")</f>
        <v xml:space="preserve"> </v>
      </c>
      <c r="Y250" s="42" t="str">
        <f>IFERROR(VLOOKUP($J250,'Project Reference'!$B$2:$L$41,11)," ")</f>
        <v xml:space="preserve"> </v>
      </c>
      <c r="Z250" s="42" t="str">
        <f>IFERROR(VLOOKUP($J250,'Project Reference'!$B$2:$M$41,12)," ")</f>
        <v xml:space="preserve"> </v>
      </c>
      <c r="AA250" s="42" t="str">
        <f>IFERROR(VLOOKUP($J250,'Project Reference'!$B$2:$N$41,13)," ")</f>
        <v xml:space="preserve"> </v>
      </c>
    </row>
    <row r="251" spans="1:27" s="1" customFormat="1" x14ac:dyDescent="0.45">
      <c r="A251" s="43"/>
      <c r="B251" s="205"/>
      <c r="C251"/>
      <c r="D251" s="72"/>
      <c r="E251" s="72"/>
      <c r="F251" s="72"/>
      <c r="G251" s="72"/>
      <c r="H251" s="17"/>
      <c r="I251" s="41" t="str" cm="1">
        <f t="array" ref="I251">IFERROR(_xlfn.IFS(H251="Hard (Cash)","N/A",H251="Soft (In-Kind)", "Enter Source"),"Select Type")</f>
        <v>Select Type</v>
      </c>
      <c r="J251" s="124"/>
      <c r="K251" s="41" t="str">
        <f>IFERROR(VLOOKUP($J251,'Project Reference'!$S$2:$T$41,2),"Enter Project Number")</f>
        <v>Enter Project Number</v>
      </c>
      <c r="L251" s="41"/>
      <c r="M251" s="41"/>
      <c r="N251" s="15">
        <f t="shared" si="3"/>
        <v>0</v>
      </c>
      <c r="O251" s="19"/>
      <c r="P251" s="42" t="str">
        <f>IFERROR(VLOOKUP($J251,'Project Reference'!$B$2:$C$41,2)," ")</f>
        <v xml:space="preserve"> </v>
      </c>
      <c r="Q251" s="42" t="str">
        <f>IFERROR(VLOOKUP($J251,'Project Reference'!$B$2:$D$41,3)," ")</f>
        <v xml:space="preserve"> </v>
      </c>
      <c r="R251" s="42" t="str">
        <f>IFERROR(VLOOKUP($J251,'Project Reference'!$B$2:$E$41,4)," ")</f>
        <v xml:space="preserve"> </v>
      </c>
      <c r="S251" s="42" t="str">
        <f>IFERROR(VLOOKUP($J251,'Project Reference'!$B$2:$F$41,5,FALSE)," ")</f>
        <v xml:space="preserve"> </v>
      </c>
      <c r="T251" s="42" t="str">
        <f>IFERROR(VLOOKUP($J251,'Project Reference'!$B$2:$G$41,6,FALSE)," ")</f>
        <v xml:space="preserve"> </v>
      </c>
      <c r="U251" s="42" t="str">
        <f>IFERROR(VLOOKUP($J251,'Project Reference'!$B$2:$H$41,7,FALSE)," ")</f>
        <v xml:space="preserve"> </v>
      </c>
      <c r="V251" s="42" t="str">
        <f>IFERROR(VLOOKUP($J251,'Project Reference'!$B$2:$I$41,8,FALSE)," ")</f>
        <v xml:space="preserve"> </v>
      </c>
      <c r="W251" s="42" t="str">
        <f>IFERROR(VLOOKUP($J251,'Project Reference'!$B$2:$J$41,9,FALSE)," ")</f>
        <v xml:space="preserve"> </v>
      </c>
      <c r="X251" s="42" t="str">
        <f>IFERROR(VLOOKUP($J251,'Project Reference'!$B$2:$K$41,10)," ")</f>
        <v xml:space="preserve"> </v>
      </c>
      <c r="Y251" s="42" t="str">
        <f>IFERROR(VLOOKUP($J251,'Project Reference'!$B$2:$L$41,11)," ")</f>
        <v xml:space="preserve"> </v>
      </c>
      <c r="Z251" s="42" t="str">
        <f>IFERROR(VLOOKUP($J251,'Project Reference'!$B$2:$M$41,12)," ")</f>
        <v xml:space="preserve"> </v>
      </c>
      <c r="AA251" s="42" t="str">
        <f>IFERROR(VLOOKUP($J251,'Project Reference'!$B$2:$N$41,13)," ")</f>
        <v xml:space="preserve"> </v>
      </c>
    </row>
    <row r="252" spans="1:27" s="1" customFormat="1" x14ac:dyDescent="0.45">
      <c r="A252" s="43"/>
      <c r="B252" s="205"/>
      <c r="C252"/>
      <c r="D252" s="72"/>
      <c r="E252" s="72"/>
      <c r="F252" s="72"/>
      <c r="G252" s="72"/>
      <c r="H252" s="17"/>
      <c r="I252" s="41" t="str" cm="1">
        <f t="array" ref="I252">IFERROR(_xlfn.IFS(H252="Hard (Cash)","N/A",H252="Soft (In-Kind)", "Enter Source"),"Select Type")</f>
        <v>Select Type</v>
      </c>
      <c r="J252" s="124"/>
      <c r="K252" s="41" t="str">
        <f>IFERROR(VLOOKUP($J252,'Project Reference'!$S$2:$T$41,2),"Enter Project Number")</f>
        <v>Enter Project Number</v>
      </c>
      <c r="L252" s="41"/>
      <c r="M252" s="41"/>
      <c r="N252" s="15">
        <f t="shared" si="3"/>
        <v>0</v>
      </c>
      <c r="O252" s="19"/>
      <c r="P252" s="42" t="str">
        <f>IFERROR(VLOOKUP($J252,'Project Reference'!$B$2:$C$41,2)," ")</f>
        <v xml:space="preserve"> </v>
      </c>
      <c r="Q252" s="42" t="str">
        <f>IFERROR(VLOOKUP($J252,'Project Reference'!$B$2:$D$41,3)," ")</f>
        <v xml:space="preserve"> </v>
      </c>
      <c r="R252" s="42" t="str">
        <f>IFERROR(VLOOKUP($J252,'Project Reference'!$B$2:$E$41,4)," ")</f>
        <v xml:space="preserve"> </v>
      </c>
      <c r="S252" s="42" t="str">
        <f>IFERROR(VLOOKUP($J252,'Project Reference'!$B$2:$F$41,5,FALSE)," ")</f>
        <v xml:space="preserve"> </v>
      </c>
      <c r="T252" s="42" t="str">
        <f>IFERROR(VLOOKUP($J252,'Project Reference'!$B$2:$G$41,6,FALSE)," ")</f>
        <v xml:space="preserve"> </v>
      </c>
      <c r="U252" s="42" t="str">
        <f>IFERROR(VLOOKUP($J252,'Project Reference'!$B$2:$H$41,7,FALSE)," ")</f>
        <v xml:space="preserve"> </v>
      </c>
      <c r="V252" s="42" t="str">
        <f>IFERROR(VLOOKUP($J252,'Project Reference'!$B$2:$I$41,8,FALSE)," ")</f>
        <v xml:space="preserve"> </v>
      </c>
      <c r="W252" s="42" t="str">
        <f>IFERROR(VLOOKUP($J252,'Project Reference'!$B$2:$J$41,9,FALSE)," ")</f>
        <v xml:space="preserve"> </v>
      </c>
      <c r="X252" s="42" t="str">
        <f>IFERROR(VLOOKUP($J252,'Project Reference'!$B$2:$K$41,10)," ")</f>
        <v xml:space="preserve"> </v>
      </c>
      <c r="Y252" s="42" t="str">
        <f>IFERROR(VLOOKUP($J252,'Project Reference'!$B$2:$L$41,11)," ")</f>
        <v xml:space="preserve"> </v>
      </c>
      <c r="Z252" s="42" t="str">
        <f>IFERROR(VLOOKUP($J252,'Project Reference'!$B$2:$M$41,12)," ")</f>
        <v xml:space="preserve"> </v>
      </c>
      <c r="AA252" s="42" t="str">
        <f>IFERROR(VLOOKUP($J252,'Project Reference'!$B$2:$N$41,13)," ")</f>
        <v xml:space="preserve"> </v>
      </c>
    </row>
    <row r="253" spans="1:27" s="1" customFormat="1" x14ac:dyDescent="0.45">
      <c r="A253" s="43"/>
      <c r="B253" s="205"/>
      <c r="C253"/>
      <c r="D253" s="72"/>
      <c r="E253" s="72"/>
      <c r="F253" s="72"/>
      <c r="G253" s="72"/>
      <c r="H253" s="17"/>
      <c r="I253" s="41" t="str" cm="1">
        <f t="array" ref="I253">IFERROR(_xlfn.IFS(H253="Hard (Cash)","N/A",H253="Soft (In-Kind)", "Enter Source"),"Select Type")</f>
        <v>Select Type</v>
      </c>
      <c r="J253" s="124"/>
      <c r="K253" s="41" t="str">
        <f>IFERROR(VLOOKUP($J253,'Project Reference'!$S$2:$T$41,2),"Enter Project Number")</f>
        <v>Enter Project Number</v>
      </c>
      <c r="L253" s="41"/>
      <c r="M253" s="41"/>
      <c r="N253" s="15">
        <f t="shared" si="3"/>
        <v>0</v>
      </c>
      <c r="O253" s="19"/>
      <c r="P253" s="42" t="str">
        <f>IFERROR(VLOOKUP($J253,'Project Reference'!$B$2:$C$41,2)," ")</f>
        <v xml:space="preserve"> </v>
      </c>
      <c r="Q253" s="42" t="str">
        <f>IFERROR(VLOOKUP($J253,'Project Reference'!$B$2:$D$41,3)," ")</f>
        <v xml:space="preserve"> </v>
      </c>
      <c r="R253" s="42" t="str">
        <f>IFERROR(VLOOKUP($J253,'Project Reference'!$B$2:$E$41,4)," ")</f>
        <v xml:space="preserve"> </v>
      </c>
      <c r="S253" s="42" t="str">
        <f>IFERROR(VLOOKUP($J253,'Project Reference'!$B$2:$F$41,5,FALSE)," ")</f>
        <v xml:space="preserve"> </v>
      </c>
      <c r="T253" s="42" t="str">
        <f>IFERROR(VLOOKUP($J253,'Project Reference'!$B$2:$G$41,6,FALSE)," ")</f>
        <v xml:space="preserve"> </v>
      </c>
      <c r="U253" s="42" t="str">
        <f>IFERROR(VLOOKUP($J253,'Project Reference'!$B$2:$H$41,7,FALSE)," ")</f>
        <v xml:space="preserve"> </v>
      </c>
      <c r="V253" s="42" t="str">
        <f>IFERROR(VLOOKUP($J253,'Project Reference'!$B$2:$I$41,8,FALSE)," ")</f>
        <v xml:space="preserve"> </v>
      </c>
      <c r="W253" s="42" t="str">
        <f>IFERROR(VLOOKUP($J253,'Project Reference'!$B$2:$J$41,9,FALSE)," ")</f>
        <v xml:space="preserve"> </v>
      </c>
      <c r="X253" s="42" t="str">
        <f>IFERROR(VLOOKUP($J253,'Project Reference'!$B$2:$K$41,10)," ")</f>
        <v xml:space="preserve"> </v>
      </c>
      <c r="Y253" s="42" t="str">
        <f>IFERROR(VLOOKUP($J253,'Project Reference'!$B$2:$L$41,11)," ")</f>
        <v xml:space="preserve"> </v>
      </c>
      <c r="Z253" s="42" t="str">
        <f>IFERROR(VLOOKUP($J253,'Project Reference'!$B$2:$M$41,12)," ")</f>
        <v xml:space="preserve"> </v>
      </c>
      <c r="AA253" s="42" t="str">
        <f>IFERROR(VLOOKUP($J253,'Project Reference'!$B$2:$N$41,13)," ")</f>
        <v xml:space="preserve"> </v>
      </c>
    </row>
    <row r="254" spans="1:27" s="1" customFormat="1" x14ac:dyDescent="0.45">
      <c r="A254" s="43"/>
      <c r="B254" s="205"/>
      <c r="C254"/>
      <c r="D254" s="72"/>
      <c r="E254" s="72"/>
      <c r="F254" s="72"/>
      <c r="G254" s="72"/>
      <c r="H254" s="17"/>
      <c r="I254" s="41" t="str" cm="1">
        <f t="array" ref="I254">IFERROR(_xlfn.IFS(H254="Hard (Cash)","N/A",H254="Soft (In-Kind)", "Enter Source"),"Select Type")</f>
        <v>Select Type</v>
      </c>
      <c r="J254" s="124"/>
      <c r="K254" s="41" t="str">
        <f>IFERROR(VLOOKUP($J254,'Project Reference'!$S$2:$T$41,2),"Enter Project Number")</f>
        <v>Enter Project Number</v>
      </c>
      <c r="L254" s="41"/>
      <c r="M254" s="41"/>
      <c r="N254" s="15">
        <f t="shared" si="3"/>
        <v>0</v>
      </c>
      <c r="O254" s="19"/>
      <c r="P254" s="42" t="str">
        <f>IFERROR(VLOOKUP($J254,'Project Reference'!$B$2:$C$41,2)," ")</f>
        <v xml:space="preserve"> </v>
      </c>
      <c r="Q254" s="42" t="str">
        <f>IFERROR(VLOOKUP($J254,'Project Reference'!$B$2:$D$41,3)," ")</f>
        <v xml:space="preserve"> </v>
      </c>
      <c r="R254" s="42" t="str">
        <f>IFERROR(VLOOKUP($J254,'Project Reference'!$B$2:$E$41,4)," ")</f>
        <v xml:space="preserve"> </v>
      </c>
      <c r="S254" s="42" t="str">
        <f>IFERROR(VLOOKUP($J254,'Project Reference'!$B$2:$F$41,5,FALSE)," ")</f>
        <v xml:space="preserve"> </v>
      </c>
      <c r="T254" s="42" t="str">
        <f>IFERROR(VLOOKUP($J254,'Project Reference'!$B$2:$G$41,6,FALSE)," ")</f>
        <v xml:space="preserve"> </v>
      </c>
      <c r="U254" s="42" t="str">
        <f>IFERROR(VLOOKUP($J254,'Project Reference'!$B$2:$H$41,7,FALSE)," ")</f>
        <v xml:space="preserve"> </v>
      </c>
      <c r="V254" s="42" t="str">
        <f>IFERROR(VLOOKUP($J254,'Project Reference'!$B$2:$I$41,8,FALSE)," ")</f>
        <v xml:space="preserve"> </v>
      </c>
      <c r="W254" s="42" t="str">
        <f>IFERROR(VLOOKUP($J254,'Project Reference'!$B$2:$J$41,9,FALSE)," ")</f>
        <v xml:space="preserve"> </v>
      </c>
      <c r="X254" s="42" t="str">
        <f>IFERROR(VLOOKUP($J254,'Project Reference'!$B$2:$K$41,10)," ")</f>
        <v xml:space="preserve"> </v>
      </c>
      <c r="Y254" s="42" t="str">
        <f>IFERROR(VLOOKUP($J254,'Project Reference'!$B$2:$L$41,11)," ")</f>
        <v xml:space="preserve"> </v>
      </c>
      <c r="Z254" s="42" t="str">
        <f>IFERROR(VLOOKUP($J254,'Project Reference'!$B$2:$M$41,12)," ")</f>
        <v xml:space="preserve"> </v>
      </c>
      <c r="AA254" s="42" t="str">
        <f>IFERROR(VLOOKUP($J254,'Project Reference'!$B$2:$N$41,13)," ")</f>
        <v xml:space="preserve"> </v>
      </c>
    </row>
    <row r="255" spans="1:27" s="1" customFormat="1" x14ac:dyDescent="0.45">
      <c r="A255" s="43"/>
      <c r="B255" s="205"/>
      <c r="C255"/>
      <c r="D255" s="72"/>
      <c r="E255" s="72"/>
      <c r="F255" s="72"/>
      <c r="G255" s="72"/>
      <c r="H255" s="17"/>
      <c r="I255" s="41" t="str" cm="1">
        <f t="array" ref="I255">IFERROR(_xlfn.IFS(H255="Hard (Cash)","N/A",H255="Soft (In-Kind)", "Enter Source"),"Select Type")</f>
        <v>Select Type</v>
      </c>
      <c r="J255" s="124"/>
      <c r="K255" s="41" t="str">
        <f>IFERROR(VLOOKUP($J255,'Project Reference'!$S$2:$T$41,2),"Enter Project Number")</f>
        <v>Enter Project Number</v>
      </c>
      <c r="L255" s="41"/>
      <c r="M255" s="41"/>
      <c r="N255" s="15">
        <f t="shared" si="3"/>
        <v>0</v>
      </c>
      <c r="O255" s="19"/>
      <c r="P255" s="42" t="str">
        <f>IFERROR(VLOOKUP($J255,'Project Reference'!$B$2:$C$41,2)," ")</f>
        <v xml:space="preserve"> </v>
      </c>
      <c r="Q255" s="42" t="str">
        <f>IFERROR(VLOOKUP($J255,'Project Reference'!$B$2:$D$41,3)," ")</f>
        <v xml:space="preserve"> </v>
      </c>
      <c r="R255" s="42" t="str">
        <f>IFERROR(VLOOKUP($J255,'Project Reference'!$B$2:$E$41,4)," ")</f>
        <v xml:space="preserve"> </v>
      </c>
      <c r="S255" s="42" t="str">
        <f>IFERROR(VLOOKUP($J255,'Project Reference'!$B$2:$F$41,5,FALSE)," ")</f>
        <v xml:space="preserve"> </v>
      </c>
      <c r="T255" s="42" t="str">
        <f>IFERROR(VLOOKUP($J255,'Project Reference'!$B$2:$G$41,6,FALSE)," ")</f>
        <v xml:space="preserve"> </v>
      </c>
      <c r="U255" s="42" t="str">
        <f>IFERROR(VLOOKUP($J255,'Project Reference'!$B$2:$H$41,7,FALSE)," ")</f>
        <v xml:space="preserve"> </v>
      </c>
      <c r="V255" s="42" t="str">
        <f>IFERROR(VLOOKUP($J255,'Project Reference'!$B$2:$I$41,8,FALSE)," ")</f>
        <v xml:space="preserve"> </v>
      </c>
      <c r="W255" s="42" t="str">
        <f>IFERROR(VLOOKUP($J255,'Project Reference'!$B$2:$J$41,9,FALSE)," ")</f>
        <v xml:space="preserve"> </v>
      </c>
      <c r="X255" s="42" t="str">
        <f>IFERROR(VLOOKUP($J255,'Project Reference'!$B$2:$K$41,10)," ")</f>
        <v xml:space="preserve"> </v>
      </c>
      <c r="Y255" s="42" t="str">
        <f>IFERROR(VLOOKUP($J255,'Project Reference'!$B$2:$L$41,11)," ")</f>
        <v xml:space="preserve"> </v>
      </c>
      <c r="Z255" s="42" t="str">
        <f>IFERROR(VLOOKUP($J255,'Project Reference'!$B$2:$M$41,12)," ")</f>
        <v xml:space="preserve"> </v>
      </c>
      <c r="AA255" s="42" t="str">
        <f>IFERROR(VLOOKUP($J255,'Project Reference'!$B$2:$N$41,13)," ")</f>
        <v xml:space="preserve"> </v>
      </c>
    </row>
    <row r="256" spans="1:27" s="1" customFormat="1" x14ac:dyDescent="0.45">
      <c r="A256" s="43"/>
      <c r="B256" s="205"/>
      <c r="C256"/>
      <c r="D256" s="72"/>
      <c r="E256" s="72"/>
      <c r="F256" s="72"/>
      <c r="G256" s="72"/>
      <c r="H256" s="17"/>
      <c r="I256" s="41" t="str" cm="1">
        <f t="array" ref="I256">IFERROR(_xlfn.IFS(H256="Hard (Cash)","N/A",H256="Soft (In-Kind)", "Enter Source"),"Select Type")</f>
        <v>Select Type</v>
      </c>
      <c r="J256" s="124"/>
      <c r="K256" s="41" t="str">
        <f>IFERROR(VLOOKUP($J256,'Project Reference'!$S$2:$T$41,2),"Enter Project Number")</f>
        <v>Enter Project Number</v>
      </c>
      <c r="L256" s="41"/>
      <c r="M256" s="41"/>
      <c r="N256" s="15">
        <f t="shared" si="3"/>
        <v>0</v>
      </c>
      <c r="O256" s="19"/>
      <c r="P256" s="42" t="str">
        <f>IFERROR(VLOOKUP($J256,'Project Reference'!$B$2:$C$41,2)," ")</f>
        <v xml:space="preserve"> </v>
      </c>
      <c r="Q256" s="42" t="str">
        <f>IFERROR(VLOOKUP($J256,'Project Reference'!$B$2:$D$41,3)," ")</f>
        <v xml:space="preserve"> </v>
      </c>
      <c r="R256" s="42" t="str">
        <f>IFERROR(VLOOKUP($J256,'Project Reference'!$B$2:$E$41,4)," ")</f>
        <v xml:space="preserve"> </v>
      </c>
      <c r="S256" s="42" t="str">
        <f>IFERROR(VLOOKUP($J256,'Project Reference'!$B$2:$F$41,5,FALSE)," ")</f>
        <v xml:space="preserve"> </v>
      </c>
      <c r="T256" s="42" t="str">
        <f>IFERROR(VLOOKUP($J256,'Project Reference'!$B$2:$G$41,6,FALSE)," ")</f>
        <v xml:space="preserve"> </v>
      </c>
      <c r="U256" s="42" t="str">
        <f>IFERROR(VLOOKUP($J256,'Project Reference'!$B$2:$H$41,7,FALSE)," ")</f>
        <v xml:space="preserve"> </v>
      </c>
      <c r="V256" s="42" t="str">
        <f>IFERROR(VLOOKUP($J256,'Project Reference'!$B$2:$I$41,8,FALSE)," ")</f>
        <v xml:space="preserve"> </v>
      </c>
      <c r="W256" s="42" t="str">
        <f>IFERROR(VLOOKUP($J256,'Project Reference'!$B$2:$J$41,9,FALSE)," ")</f>
        <v xml:space="preserve"> </v>
      </c>
      <c r="X256" s="42" t="str">
        <f>IFERROR(VLOOKUP($J256,'Project Reference'!$B$2:$K$41,10)," ")</f>
        <v xml:space="preserve"> </v>
      </c>
      <c r="Y256" s="42" t="str">
        <f>IFERROR(VLOOKUP($J256,'Project Reference'!$B$2:$L$41,11)," ")</f>
        <v xml:space="preserve"> </v>
      </c>
      <c r="Z256" s="42" t="str">
        <f>IFERROR(VLOOKUP($J256,'Project Reference'!$B$2:$M$41,12)," ")</f>
        <v xml:space="preserve"> </v>
      </c>
      <c r="AA256" s="42" t="str">
        <f>IFERROR(VLOOKUP($J256,'Project Reference'!$B$2:$N$41,13)," ")</f>
        <v xml:space="preserve"> </v>
      </c>
    </row>
    <row r="257" spans="1:27" s="1" customFormat="1" x14ac:dyDescent="0.45">
      <c r="A257" s="43"/>
      <c r="B257" s="205"/>
      <c r="C257"/>
      <c r="D257" s="72"/>
      <c r="E257" s="72"/>
      <c r="F257" s="72"/>
      <c r="G257" s="72"/>
      <c r="H257" s="17"/>
      <c r="I257" s="41" t="str" cm="1">
        <f t="array" ref="I257">IFERROR(_xlfn.IFS(H257="Hard (Cash)","N/A",H257="Soft (In-Kind)", "Enter Source"),"Select Type")</f>
        <v>Select Type</v>
      </c>
      <c r="J257" s="124"/>
      <c r="K257" s="41" t="str">
        <f>IFERROR(VLOOKUP($J257,'Project Reference'!$S$2:$T$41,2),"Enter Project Number")</f>
        <v>Enter Project Number</v>
      </c>
      <c r="L257" s="41"/>
      <c r="M257" s="41"/>
      <c r="N257" s="15">
        <f t="shared" si="3"/>
        <v>0</v>
      </c>
      <c r="O257" s="19"/>
      <c r="P257" s="42" t="str">
        <f>IFERROR(VLOOKUP($J257,'Project Reference'!$B$2:$C$41,2)," ")</f>
        <v xml:space="preserve"> </v>
      </c>
      <c r="Q257" s="42" t="str">
        <f>IFERROR(VLOOKUP($J257,'Project Reference'!$B$2:$D$41,3)," ")</f>
        <v xml:space="preserve"> </v>
      </c>
      <c r="R257" s="42" t="str">
        <f>IFERROR(VLOOKUP($J257,'Project Reference'!$B$2:$E$41,4)," ")</f>
        <v xml:space="preserve"> </v>
      </c>
      <c r="S257" s="42" t="str">
        <f>IFERROR(VLOOKUP($J257,'Project Reference'!$B$2:$F$41,5,FALSE)," ")</f>
        <v xml:space="preserve"> </v>
      </c>
      <c r="T257" s="42" t="str">
        <f>IFERROR(VLOOKUP($J257,'Project Reference'!$B$2:$G$41,6,FALSE)," ")</f>
        <v xml:space="preserve"> </v>
      </c>
      <c r="U257" s="42" t="str">
        <f>IFERROR(VLOOKUP($J257,'Project Reference'!$B$2:$H$41,7,FALSE)," ")</f>
        <v xml:space="preserve"> </v>
      </c>
      <c r="V257" s="42" t="str">
        <f>IFERROR(VLOOKUP($J257,'Project Reference'!$B$2:$I$41,8,FALSE)," ")</f>
        <v xml:space="preserve"> </v>
      </c>
      <c r="W257" s="42" t="str">
        <f>IFERROR(VLOOKUP($J257,'Project Reference'!$B$2:$J$41,9,FALSE)," ")</f>
        <v xml:space="preserve"> </v>
      </c>
      <c r="X257" s="42" t="str">
        <f>IFERROR(VLOOKUP($J257,'Project Reference'!$B$2:$K$41,10)," ")</f>
        <v xml:space="preserve"> </v>
      </c>
      <c r="Y257" s="42" t="str">
        <f>IFERROR(VLOOKUP($J257,'Project Reference'!$B$2:$L$41,11)," ")</f>
        <v xml:space="preserve"> </v>
      </c>
      <c r="Z257" s="42" t="str">
        <f>IFERROR(VLOOKUP($J257,'Project Reference'!$B$2:$M$41,12)," ")</f>
        <v xml:space="preserve"> </v>
      </c>
      <c r="AA257" s="42" t="str">
        <f>IFERROR(VLOOKUP($J257,'Project Reference'!$B$2:$N$41,13)," ")</f>
        <v xml:space="preserve"> </v>
      </c>
    </row>
    <row r="258" spans="1:27" s="1" customFormat="1" x14ac:dyDescent="0.45">
      <c r="A258" s="43"/>
      <c r="B258" s="205"/>
      <c r="C258"/>
      <c r="D258" s="72"/>
      <c r="E258" s="72"/>
      <c r="F258" s="72"/>
      <c r="G258" s="72"/>
      <c r="H258" s="17"/>
      <c r="I258" s="41" t="str" cm="1">
        <f t="array" ref="I258">IFERROR(_xlfn.IFS(H258="Hard (Cash)","N/A",H258="Soft (In-Kind)", "Enter Source"),"Select Type")</f>
        <v>Select Type</v>
      </c>
      <c r="J258" s="124"/>
      <c r="K258" s="41" t="str">
        <f>IFERROR(VLOOKUP($J258,'Project Reference'!$S$2:$T$41,2),"Enter Project Number")</f>
        <v>Enter Project Number</v>
      </c>
      <c r="L258" s="41"/>
      <c r="M258" s="41"/>
      <c r="N258" s="15">
        <f t="shared" si="3"/>
        <v>0</v>
      </c>
      <c r="O258" s="19"/>
      <c r="P258" s="42" t="str">
        <f>IFERROR(VLOOKUP($J258,'Project Reference'!$B$2:$C$41,2)," ")</f>
        <v xml:space="preserve"> </v>
      </c>
      <c r="Q258" s="42" t="str">
        <f>IFERROR(VLOOKUP($J258,'Project Reference'!$B$2:$D$41,3)," ")</f>
        <v xml:space="preserve"> </v>
      </c>
      <c r="R258" s="42" t="str">
        <f>IFERROR(VLOOKUP($J258,'Project Reference'!$B$2:$E$41,4)," ")</f>
        <v xml:space="preserve"> </v>
      </c>
      <c r="S258" s="42" t="str">
        <f>IFERROR(VLOOKUP($J258,'Project Reference'!$B$2:$F$41,5,FALSE)," ")</f>
        <v xml:space="preserve"> </v>
      </c>
      <c r="T258" s="42" t="str">
        <f>IFERROR(VLOOKUP($J258,'Project Reference'!$B$2:$G$41,6,FALSE)," ")</f>
        <v xml:space="preserve"> </v>
      </c>
      <c r="U258" s="42" t="str">
        <f>IFERROR(VLOOKUP($J258,'Project Reference'!$B$2:$H$41,7,FALSE)," ")</f>
        <v xml:space="preserve"> </v>
      </c>
      <c r="V258" s="42" t="str">
        <f>IFERROR(VLOOKUP($J258,'Project Reference'!$B$2:$I$41,8,FALSE)," ")</f>
        <v xml:space="preserve"> </v>
      </c>
      <c r="W258" s="42" t="str">
        <f>IFERROR(VLOOKUP($J258,'Project Reference'!$B$2:$J$41,9,FALSE)," ")</f>
        <v xml:space="preserve"> </v>
      </c>
      <c r="X258" s="42" t="str">
        <f>IFERROR(VLOOKUP($J258,'Project Reference'!$B$2:$K$41,10)," ")</f>
        <v xml:space="preserve"> </v>
      </c>
      <c r="Y258" s="42" t="str">
        <f>IFERROR(VLOOKUP($J258,'Project Reference'!$B$2:$L$41,11)," ")</f>
        <v xml:space="preserve"> </v>
      </c>
      <c r="Z258" s="42" t="str">
        <f>IFERROR(VLOOKUP($J258,'Project Reference'!$B$2:$M$41,12)," ")</f>
        <v xml:space="preserve"> </v>
      </c>
      <c r="AA258" s="42" t="str">
        <f>IFERROR(VLOOKUP($J258,'Project Reference'!$B$2:$N$41,13)," ")</f>
        <v xml:space="preserve"> </v>
      </c>
    </row>
    <row r="259" spans="1:27" s="1" customFormat="1" x14ac:dyDescent="0.45">
      <c r="A259" s="43"/>
      <c r="B259" s="205"/>
      <c r="C259"/>
      <c r="D259" s="72"/>
      <c r="E259" s="72"/>
      <c r="F259" s="72"/>
      <c r="G259" s="72"/>
      <c r="H259" s="17"/>
      <c r="I259" s="41" t="str" cm="1">
        <f t="array" ref="I259">IFERROR(_xlfn.IFS(H259="Hard (Cash)","N/A",H259="Soft (In-Kind)", "Enter Source"),"Select Type")</f>
        <v>Select Type</v>
      </c>
      <c r="J259" s="124"/>
      <c r="K259" s="41" t="str">
        <f>IFERROR(VLOOKUP($J259,'Project Reference'!$S$2:$T$41,2),"Enter Project Number")</f>
        <v>Enter Project Number</v>
      </c>
      <c r="L259" s="41"/>
      <c r="M259" s="41"/>
      <c r="N259" s="15">
        <f t="shared" si="3"/>
        <v>0</v>
      </c>
      <c r="O259" s="19"/>
      <c r="P259" s="42" t="str">
        <f>IFERROR(VLOOKUP($J259,'Project Reference'!$B$2:$C$41,2)," ")</f>
        <v xml:space="preserve"> </v>
      </c>
      <c r="Q259" s="42" t="str">
        <f>IFERROR(VLOOKUP($J259,'Project Reference'!$B$2:$D$41,3)," ")</f>
        <v xml:space="preserve"> </v>
      </c>
      <c r="R259" s="42" t="str">
        <f>IFERROR(VLOOKUP($J259,'Project Reference'!$B$2:$E$41,4)," ")</f>
        <v xml:space="preserve"> </v>
      </c>
      <c r="S259" s="42" t="str">
        <f>IFERROR(VLOOKUP($J259,'Project Reference'!$B$2:$F$41,5,FALSE)," ")</f>
        <v xml:space="preserve"> </v>
      </c>
      <c r="T259" s="42" t="str">
        <f>IFERROR(VLOOKUP($J259,'Project Reference'!$B$2:$G$41,6,FALSE)," ")</f>
        <v xml:space="preserve"> </v>
      </c>
      <c r="U259" s="42" t="str">
        <f>IFERROR(VLOOKUP($J259,'Project Reference'!$B$2:$H$41,7,FALSE)," ")</f>
        <v xml:space="preserve"> </v>
      </c>
      <c r="V259" s="42" t="str">
        <f>IFERROR(VLOOKUP($J259,'Project Reference'!$B$2:$I$41,8,FALSE)," ")</f>
        <v xml:space="preserve"> </v>
      </c>
      <c r="W259" s="42" t="str">
        <f>IFERROR(VLOOKUP($J259,'Project Reference'!$B$2:$J$41,9,FALSE)," ")</f>
        <v xml:space="preserve"> </v>
      </c>
      <c r="X259" s="42" t="str">
        <f>IFERROR(VLOOKUP($J259,'Project Reference'!$B$2:$K$41,10)," ")</f>
        <v xml:space="preserve"> </v>
      </c>
      <c r="Y259" s="42" t="str">
        <f>IFERROR(VLOOKUP($J259,'Project Reference'!$B$2:$L$41,11)," ")</f>
        <v xml:space="preserve"> </v>
      </c>
      <c r="Z259" s="42" t="str">
        <f>IFERROR(VLOOKUP($J259,'Project Reference'!$B$2:$M$41,12)," ")</f>
        <v xml:space="preserve"> </v>
      </c>
      <c r="AA259" s="42" t="str">
        <f>IFERROR(VLOOKUP($J259,'Project Reference'!$B$2:$N$41,13)," ")</f>
        <v xml:space="preserve"> </v>
      </c>
    </row>
    <row r="260" spans="1:27" s="1" customFormat="1" x14ac:dyDescent="0.45">
      <c r="A260" s="43"/>
      <c r="B260" s="205"/>
      <c r="C260"/>
      <c r="D260" s="72"/>
      <c r="E260" s="72"/>
      <c r="F260" s="72"/>
      <c r="G260" s="72"/>
      <c r="H260" s="17"/>
      <c r="I260" s="41" t="str" cm="1">
        <f t="array" ref="I260">IFERROR(_xlfn.IFS(H260="Hard (Cash)","N/A",H260="Soft (In-Kind)", "Enter Source"),"Select Type")</f>
        <v>Select Type</v>
      </c>
      <c r="J260" s="124"/>
      <c r="K260" s="41" t="str">
        <f>IFERROR(VLOOKUP($J260,'Project Reference'!$S$2:$T$41,2),"Enter Project Number")</f>
        <v>Enter Project Number</v>
      </c>
      <c r="L260" s="41"/>
      <c r="M260" s="41"/>
      <c r="N260" s="15">
        <f t="shared" si="3"/>
        <v>0</v>
      </c>
      <c r="O260" s="19"/>
      <c r="P260" s="42" t="str">
        <f>IFERROR(VLOOKUP($J260,'Project Reference'!$B$2:$C$41,2)," ")</f>
        <v xml:space="preserve"> </v>
      </c>
      <c r="Q260" s="42" t="str">
        <f>IFERROR(VLOOKUP($J260,'Project Reference'!$B$2:$D$41,3)," ")</f>
        <v xml:space="preserve"> </v>
      </c>
      <c r="R260" s="42" t="str">
        <f>IFERROR(VLOOKUP($J260,'Project Reference'!$B$2:$E$41,4)," ")</f>
        <v xml:space="preserve"> </v>
      </c>
      <c r="S260" s="42" t="str">
        <f>IFERROR(VLOOKUP($J260,'Project Reference'!$B$2:$F$41,5,FALSE)," ")</f>
        <v xml:space="preserve"> </v>
      </c>
      <c r="T260" s="42" t="str">
        <f>IFERROR(VLOOKUP($J260,'Project Reference'!$B$2:$G$41,6,FALSE)," ")</f>
        <v xml:space="preserve"> </v>
      </c>
      <c r="U260" s="42" t="str">
        <f>IFERROR(VLOOKUP($J260,'Project Reference'!$B$2:$H$41,7,FALSE)," ")</f>
        <v xml:space="preserve"> </v>
      </c>
      <c r="V260" s="42" t="str">
        <f>IFERROR(VLOOKUP($J260,'Project Reference'!$B$2:$I$41,8,FALSE)," ")</f>
        <v xml:space="preserve"> </v>
      </c>
      <c r="W260" s="42" t="str">
        <f>IFERROR(VLOOKUP($J260,'Project Reference'!$B$2:$J$41,9,FALSE)," ")</f>
        <v xml:space="preserve"> </v>
      </c>
      <c r="X260" s="42" t="str">
        <f>IFERROR(VLOOKUP($J260,'Project Reference'!$B$2:$K$41,10)," ")</f>
        <v xml:space="preserve"> </v>
      </c>
      <c r="Y260" s="42" t="str">
        <f>IFERROR(VLOOKUP($J260,'Project Reference'!$B$2:$L$41,11)," ")</f>
        <v xml:space="preserve"> </v>
      </c>
      <c r="Z260" s="42" t="str">
        <f>IFERROR(VLOOKUP($J260,'Project Reference'!$B$2:$M$41,12)," ")</f>
        <v xml:space="preserve"> </v>
      </c>
      <c r="AA260" s="42" t="str">
        <f>IFERROR(VLOOKUP($J260,'Project Reference'!$B$2:$N$41,13)," ")</f>
        <v xml:space="preserve"> </v>
      </c>
    </row>
    <row r="261" spans="1:27" s="1" customFormat="1" x14ac:dyDescent="0.45">
      <c r="A261" s="43"/>
      <c r="B261" s="205"/>
      <c r="C261"/>
      <c r="D261" s="72"/>
      <c r="E261" s="72"/>
      <c r="F261" s="72"/>
      <c r="G261" s="72"/>
      <c r="H261" s="17"/>
      <c r="I261" s="41" t="str" cm="1">
        <f t="array" ref="I261">IFERROR(_xlfn.IFS(H261="Hard (Cash)","N/A",H261="Soft (In-Kind)", "Enter Source"),"Select Type")</f>
        <v>Select Type</v>
      </c>
      <c r="J261" s="124"/>
      <c r="K261" s="41" t="str">
        <f>IFERROR(VLOOKUP($J261,'Project Reference'!$S$2:$T$41,2),"Enter Project Number")</f>
        <v>Enter Project Number</v>
      </c>
      <c r="L261" s="41"/>
      <c r="M261" s="41"/>
      <c r="N261" s="15">
        <f t="shared" si="3"/>
        <v>0</v>
      </c>
      <c r="O261" s="19"/>
      <c r="P261" s="42" t="str">
        <f>IFERROR(VLOOKUP($J261,'Project Reference'!$B$2:$C$41,2)," ")</f>
        <v xml:space="preserve"> </v>
      </c>
      <c r="Q261" s="42" t="str">
        <f>IFERROR(VLOOKUP($J261,'Project Reference'!$B$2:$D$41,3)," ")</f>
        <v xml:space="preserve"> </v>
      </c>
      <c r="R261" s="42" t="str">
        <f>IFERROR(VLOOKUP($J261,'Project Reference'!$B$2:$E$41,4)," ")</f>
        <v xml:space="preserve"> </v>
      </c>
      <c r="S261" s="42" t="str">
        <f>IFERROR(VLOOKUP($J261,'Project Reference'!$B$2:$F$41,5,FALSE)," ")</f>
        <v xml:space="preserve"> </v>
      </c>
      <c r="T261" s="42" t="str">
        <f>IFERROR(VLOOKUP($J261,'Project Reference'!$B$2:$G$41,6,FALSE)," ")</f>
        <v xml:space="preserve"> </v>
      </c>
      <c r="U261" s="42" t="str">
        <f>IFERROR(VLOOKUP($J261,'Project Reference'!$B$2:$H$41,7,FALSE)," ")</f>
        <v xml:space="preserve"> </v>
      </c>
      <c r="V261" s="42" t="str">
        <f>IFERROR(VLOOKUP($J261,'Project Reference'!$B$2:$I$41,8,FALSE)," ")</f>
        <v xml:space="preserve"> </v>
      </c>
      <c r="W261" s="42" t="str">
        <f>IFERROR(VLOOKUP($J261,'Project Reference'!$B$2:$J$41,9,FALSE)," ")</f>
        <v xml:space="preserve"> </v>
      </c>
      <c r="X261" s="42" t="str">
        <f>IFERROR(VLOOKUP($J261,'Project Reference'!$B$2:$K$41,10)," ")</f>
        <v xml:space="preserve"> </v>
      </c>
      <c r="Y261" s="42" t="str">
        <f>IFERROR(VLOOKUP($J261,'Project Reference'!$B$2:$L$41,11)," ")</f>
        <v xml:space="preserve"> </v>
      </c>
      <c r="Z261" s="42" t="str">
        <f>IFERROR(VLOOKUP($J261,'Project Reference'!$B$2:$M$41,12)," ")</f>
        <v xml:space="preserve"> </v>
      </c>
      <c r="AA261" s="42" t="str">
        <f>IFERROR(VLOOKUP($J261,'Project Reference'!$B$2:$N$41,13)," ")</f>
        <v xml:space="preserve"> </v>
      </c>
    </row>
    <row r="262" spans="1:27" s="1" customFormat="1" x14ac:dyDescent="0.45">
      <c r="A262" s="43"/>
      <c r="B262" s="205"/>
      <c r="C262"/>
      <c r="D262" s="72"/>
      <c r="E262" s="72"/>
      <c r="F262" s="72"/>
      <c r="G262" s="72"/>
      <c r="H262" s="17"/>
      <c r="I262" s="41" t="str" cm="1">
        <f t="array" ref="I262">IFERROR(_xlfn.IFS(H262="Hard (Cash)","N/A",H262="Soft (In-Kind)", "Enter Source"),"Select Type")</f>
        <v>Select Type</v>
      </c>
      <c r="J262" s="124"/>
      <c r="K262" s="41" t="str">
        <f>IFERROR(VLOOKUP($J262,'Project Reference'!$S$2:$T$41,2),"Enter Project Number")</f>
        <v>Enter Project Number</v>
      </c>
      <c r="L262" s="41"/>
      <c r="M262" s="41"/>
      <c r="N262" s="15">
        <f t="shared" si="3"/>
        <v>0</v>
      </c>
      <c r="O262" s="19"/>
      <c r="P262" s="42" t="str">
        <f>IFERROR(VLOOKUP($J262,'Project Reference'!$B$2:$C$41,2)," ")</f>
        <v xml:space="preserve"> </v>
      </c>
      <c r="Q262" s="42" t="str">
        <f>IFERROR(VLOOKUP($J262,'Project Reference'!$B$2:$D$41,3)," ")</f>
        <v xml:space="preserve"> </v>
      </c>
      <c r="R262" s="42" t="str">
        <f>IFERROR(VLOOKUP($J262,'Project Reference'!$B$2:$E$41,4)," ")</f>
        <v xml:space="preserve"> </v>
      </c>
      <c r="S262" s="42" t="str">
        <f>IFERROR(VLOOKUP($J262,'Project Reference'!$B$2:$F$41,5,FALSE)," ")</f>
        <v xml:space="preserve"> </v>
      </c>
      <c r="T262" s="42" t="str">
        <f>IFERROR(VLOOKUP($J262,'Project Reference'!$B$2:$G$41,6,FALSE)," ")</f>
        <v xml:space="preserve"> </v>
      </c>
      <c r="U262" s="42" t="str">
        <f>IFERROR(VLOOKUP($J262,'Project Reference'!$B$2:$H$41,7,FALSE)," ")</f>
        <v xml:space="preserve"> </v>
      </c>
      <c r="V262" s="42" t="str">
        <f>IFERROR(VLOOKUP($J262,'Project Reference'!$B$2:$I$41,8,FALSE)," ")</f>
        <v xml:space="preserve"> </v>
      </c>
      <c r="W262" s="42" t="str">
        <f>IFERROR(VLOOKUP($J262,'Project Reference'!$B$2:$J$41,9,FALSE)," ")</f>
        <v xml:space="preserve"> </v>
      </c>
      <c r="X262" s="42" t="str">
        <f>IFERROR(VLOOKUP($J262,'Project Reference'!$B$2:$K$41,10)," ")</f>
        <v xml:space="preserve"> </v>
      </c>
      <c r="Y262" s="42" t="str">
        <f>IFERROR(VLOOKUP($J262,'Project Reference'!$B$2:$L$41,11)," ")</f>
        <v xml:space="preserve"> </v>
      </c>
      <c r="Z262" s="42" t="str">
        <f>IFERROR(VLOOKUP($J262,'Project Reference'!$B$2:$M$41,12)," ")</f>
        <v xml:space="preserve"> </v>
      </c>
      <c r="AA262" s="42" t="str">
        <f>IFERROR(VLOOKUP($J262,'Project Reference'!$B$2:$N$41,13)," ")</f>
        <v xml:space="preserve"> </v>
      </c>
    </row>
    <row r="263" spans="1:27" s="1" customFormat="1" x14ac:dyDescent="0.45">
      <c r="A263" s="43"/>
      <c r="B263" s="205"/>
      <c r="C263"/>
      <c r="D263" s="72"/>
      <c r="E263" s="72"/>
      <c r="F263" s="72"/>
      <c r="G263" s="72"/>
      <c r="H263" s="17"/>
      <c r="I263" s="41" t="str" cm="1">
        <f t="array" ref="I263">IFERROR(_xlfn.IFS(H263="Hard (Cash)","N/A",H263="Soft (In-Kind)", "Enter Source"),"Select Type")</f>
        <v>Select Type</v>
      </c>
      <c r="J263" s="124"/>
      <c r="K263" s="41" t="str">
        <f>IFERROR(VLOOKUP($J263,'Project Reference'!$S$2:$T$41,2),"Enter Project Number")</f>
        <v>Enter Project Number</v>
      </c>
      <c r="L263" s="41"/>
      <c r="M263" s="41"/>
      <c r="N263" s="15">
        <f t="shared" si="3"/>
        <v>0</v>
      </c>
      <c r="O263" s="19"/>
      <c r="P263" s="42" t="str">
        <f>IFERROR(VLOOKUP($J263,'Project Reference'!$B$2:$C$41,2)," ")</f>
        <v xml:space="preserve"> </v>
      </c>
      <c r="Q263" s="42" t="str">
        <f>IFERROR(VLOOKUP($J263,'Project Reference'!$B$2:$D$41,3)," ")</f>
        <v xml:space="preserve"> </v>
      </c>
      <c r="R263" s="42" t="str">
        <f>IFERROR(VLOOKUP($J263,'Project Reference'!$B$2:$E$41,4)," ")</f>
        <v xml:space="preserve"> </v>
      </c>
      <c r="S263" s="42" t="str">
        <f>IFERROR(VLOOKUP($J263,'Project Reference'!$B$2:$F$41,5,FALSE)," ")</f>
        <v xml:space="preserve"> </v>
      </c>
      <c r="T263" s="42" t="str">
        <f>IFERROR(VLOOKUP($J263,'Project Reference'!$B$2:$G$41,6,FALSE)," ")</f>
        <v xml:space="preserve"> </v>
      </c>
      <c r="U263" s="42" t="str">
        <f>IFERROR(VLOOKUP($J263,'Project Reference'!$B$2:$H$41,7,FALSE)," ")</f>
        <v xml:space="preserve"> </v>
      </c>
      <c r="V263" s="42" t="str">
        <f>IFERROR(VLOOKUP($J263,'Project Reference'!$B$2:$I$41,8,FALSE)," ")</f>
        <v xml:space="preserve"> </v>
      </c>
      <c r="W263" s="42" t="str">
        <f>IFERROR(VLOOKUP($J263,'Project Reference'!$B$2:$J$41,9,FALSE)," ")</f>
        <v xml:space="preserve"> </v>
      </c>
      <c r="X263" s="42" t="str">
        <f>IFERROR(VLOOKUP($J263,'Project Reference'!$B$2:$K$41,10)," ")</f>
        <v xml:space="preserve"> </v>
      </c>
      <c r="Y263" s="42" t="str">
        <f>IFERROR(VLOOKUP($J263,'Project Reference'!$B$2:$L$41,11)," ")</f>
        <v xml:space="preserve"> </v>
      </c>
      <c r="Z263" s="42" t="str">
        <f>IFERROR(VLOOKUP($J263,'Project Reference'!$B$2:$M$41,12)," ")</f>
        <v xml:space="preserve"> </v>
      </c>
      <c r="AA263" s="42" t="str">
        <f>IFERROR(VLOOKUP($J263,'Project Reference'!$B$2:$N$41,13)," ")</f>
        <v xml:space="preserve"> </v>
      </c>
    </row>
    <row r="264" spans="1:27" s="1" customFormat="1" x14ac:dyDescent="0.45">
      <c r="A264" s="43"/>
      <c r="B264" s="205"/>
      <c r="C264"/>
      <c r="D264" s="72"/>
      <c r="E264" s="72"/>
      <c r="F264" s="72"/>
      <c r="G264" s="72"/>
      <c r="H264" s="17"/>
      <c r="I264" s="41" t="str" cm="1">
        <f t="array" ref="I264">IFERROR(_xlfn.IFS(H264="Hard (Cash)","N/A",H264="Soft (In-Kind)", "Enter Source"),"Select Type")</f>
        <v>Select Type</v>
      </c>
      <c r="J264" s="124"/>
      <c r="K264" s="41" t="str">
        <f>IFERROR(VLOOKUP($J264,'Project Reference'!$S$2:$T$41,2),"Enter Project Number")</f>
        <v>Enter Project Number</v>
      </c>
      <c r="L264" s="41"/>
      <c r="M264" s="41"/>
      <c r="N264" s="15">
        <f t="shared" si="3"/>
        <v>0</v>
      </c>
      <c r="O264" s="19"/>
      <c r="P264" s="42" t="str">
        <f>IFERROR(VLOOKUP($J264,'Project Reference'!$B$2:$C$41,2)," ")</f>
        <v xml:space="preserve"> </v>
      </c>
      <c r="Q264" s="42" t="str">
        <f>IFERROR(VLOOKUP($J264,'Project Reference'!$B$2:$D$41,3)," ")</f>
        <v xml:space="preserve"> </v>
      </c>
      <c r="R264" s="42" t="str">
        <f>IFERROR(VLOOKUP($J264,'Project Reference'!$B$2:$E$41,4)," ")</f>
        <v xml:space="preserve"> </v>
      </c>
      <c r="S264" s="42" t="str">
        <f>IFERROR(VLOOKUP($J264,'Project Reference'!$B$2:$F$41,5,FALSE)," ")</f>
        <v xml:space="preserve"> </v>
      </c>
      <c r="T264" s="42" t="str">
        <f>IFERROR(VLOOKUP($J264,'Project Reference'!$B$2:$G$41,6,FALSE)," ")</f>
        <v xml:space="preserve"> </v>
      </c>
      <c r="U264" s="42" t="str">
        <f>IFERROR(VLOOKUP($J264,'Project Reference'!$B$2:$H$41,7,FALSE)," ")</f>
        <v xml:space="preserve"> </v>
      </c>
      <c r="V264" s="42" t="str">
        <f>IFERROR(VLOOKUP($J264,'Project Reference'!$B$2:$I$41,8,FALSE)," ")</f>
        <v xml:space="preserve"> </v>
      </c>
      <c r="W264" s="42" t="str">
        <f>IFERROR(VLOOKUP($J264,'Project Reference'!$B$2:$J$41,9,FALSE)," ")</f>
        <v xml:space="preserve"> </v>
      </c>
      <c r="X264" s="42" t="str">
        <f>IFERROR(VLOOKUP($J264,'Project Reference'!$B$2:$K$41,10)," ")</f>
        <v xml:space="preserve"> </v>
      </c>
      <c r="Y264" s="42" t="str">
        <f>IFERROR(VLOOKUP($J264,'Project Reference'!$B$2:$L$41,11)," ")</f>
        <v xml:space="preserve"> </v>
      </c>
      <c r="Z264" s="42" t="str">
        <f>IFERROR(VLOOKUP($J264,'Project Reference'!$B$2:$M$41,12)," ")</f>
        <v xml:space="preserve"> </v>
      </c>
      <c r="AA264" s="42" t="str">
        <f>IFERROR(VLOOKUP($J264,'Project Reference'!$B$2:$N$41,13)," ")</f>
        <v xml:space="preserve"> </v>
      </c>
    </row>
    <row r="265" spans="1:27" s="1" customFormat="1" x14ac:dyDescent="0.45">
      <c r="A265" s="43"/>
      <c r="B265" s="205"/>
      <c r="C265"/>
      <c r="D265" s="72"/>
      <c r="E265" s="72"/>
      <c r="F265" s="72"/>
      <c r="G265" s="72"/>
      <c r="H265" s="17"/>
      <c r="I265" s="41" t="str" cm="1">
        <f t="array" ref="I265">IFERROR(_xlfn.IFS(H265="Hard (Cash)","N/A",H265="Soft (In-Kind)", "Enter Source"),"Select Type")</f>
        <v>Select Type</v>
      </c>
      <c r="J265" s="124"/>
      <c r="K265" s="41" t="str">
        <f>IFERROR(VLOOKUP($J265,'Project Reference'!$S$2:$T$41,2),"Enter Project Number")</f>
        <v>Enter Project Number</v>
      </c>
      <c r="L265" s="41"/>
      <c r="M265" s="41"/>
      <c r="N265" s="15">
        <f t="shared" si="3"/>
        <v>0</v>
      </c>
      <c r="O265" s="19"/>
      <c r="P265" s="42" t="str">
        <f>IFERROR(VLOOKUP($J265,'Project Reference'!$B$2:$C$41,2)," ")</f>
        <v xml:space="preserve"> </v>
      </c>
      <c r="Q265" s="42" t="str">
        <f>IFERROR(VLOOKUP($J265,'Project Reference'!$B$2:$D$41,3)," ")</f>
        <v xml:space="preserve"> </v>
      </c>
      <c r="R265" s="42" t="str">
        <f>IFERROR(VLOOKUP($J265,'Project Reference'!$B$2:$E$41,4)," ")</f>
        <v xml:space="preserve"> </v>
      </c>
      <c r="S265" s="42" t="str">
        <f>IFERROR(VLOOKUP($J265,'Project Reference'!$B$2:$F$41,5,FALSE)," ")</f>
        <v xml:space="preserve"> </v>
      </c>
      <c r="T265" s="42" t="str">
        <f>IFERROR(VLOOKUP($J265,'Project Reference'!$B$2:$G$41,6,FALSE)," ")</f>
        <v xml:space="preserve"> </v>
      </c>
      <c r="U265" s="42" t="str">
        <f>IFERROR(VLOOKUP($J265,'Project Reference'!$B$2:$H$41,7,FALSE)," ")</f>
        <v xml:space="preserve"> </v>
      </c>
      <c r="V265" s="42" t="str">
        <f>IFERROR(VLOOKUP($J265,'Project Reference'!$B$2:$I$41,8,FALSE)," ")</f>
        <v xml:space="preserve"> </v>
      </c>
      <c r="W265" s="42" t="str">
        <f>IFERROR(VLOOKUP($J265,'Project Reference'!$B$2:$J$41,9,FALSE)," ")</f>
        <v xml:space="preserve"> </v>
      </c>
      <c r="X265" s="42" t="str">
        <f>IFERROR(VLOOKUP($J265,'Project Reference'!$B$2:$K$41,10)," ")</f>
        <v xml:space="preserve"> </v>
      </c>
      <c r="Y265" s="42" t="str">
        <f>IFERROR(VLOOKUP($J265,'Project Reference'!$B$2:$L$41,11)," ")</f>
        <v xml:space="preserve"> </v>
      </c>
      <c r="Z265" s="42" t="str">
        <f>IFERROR(VLOOKUP($J265,'Project Reference'!$B$2:$M$41,12)," ")</f>
        <v xml:space="preserve"> </v>
      </c>
      <c r="AA265" s="42" t="str">
        <f>IFERROR(VLOOKUP($J265,'Project Reference'!$B$2:$N$41,13)," ")</f>
        <v xml:space="preserve"> </v>
      </c>
    </row>
    <row r="266" spans="1:27" s="1" customFormat="1" x14ac:dyDescent="0.45">
      <c r="A266" s="43"/>
      <c r="B266" s="205"/>
      <c r="C266"/>
      <c r="D266" s="72"/>
      <c r="E266" s="72"/>
      <c r="F266" s="72"/>
      <c r="G266" s="72"/>
      <c r="H266" s="17"/>
      <c r="I266" s="41" t="str" cm="1">
        <f t="array" ref="I266">IFERROR(_xlfn.IFS(H266="Hard (Cash)","N/A",H266="Soft (In-Kind)", "Enter Source"),"Select Type")</f>
        <v>Select Type</v>
      </c>
      <c r="J266" s="124"/>
      <c r="K266" s="41" t="str">
        <f>IFERROR(VLOOKUP($J266,'Project Reference'!$S$2:$T$41,2),"Enter Project Number")</f>
        <v>Enter Project Number</v>
      </c>
      <c r="L266" s="41"/>
      <c r="M266" s="41"/>
      <c r="N266" s="15">
        <f t="shared" si="3"/>
        <v>0</v>
      </c>
      <c r="O266" s="19"/>
      <c r="P266" s="42" t="str">
        <f>IFERROR(VLOOKUP($J266,'Project Reference'!$B$2:$C$41,2)," ")</f>
        <v xml:space="preserve"> </v>
      </c>
      <c r="Q266" s="42" t="str">
        <f>IFERROR(VLOOKUP($J266,'Project Reference'!$B$2:$D$41,3)," ")</f>
        <v xml:space="preserve"> </v>
      </c>
      <c r="R266" s="42" t="str">
        <f>IFERROR(VLOOKUP($J266,'Project Reference'!$B$2:$E$41,4)," ")</f>
        <v xml:space="preserve"> </v>
      </c>
      <c r="S266" s="42" t="str">
        <f>IFERROR(VLOOKUP($J266,'Project Reference'!$B$2:$F$41,5,FALSE)," ")</f>
        <v xml:space="preserve"> </v>
      </c>
      <c r="T266" s="42" t="str">
        <f>IFERROR(VLOOKUP($J266,'Project Reference'!$B$2:$G$41,6,FALSE)," ")</f>
        <v xml:space="preserve"> </v>
      </c>
      <c r="U266" s="42" t="str">
        <f>IFERROR(VLOOKUP($J266,'Project Reference'!$B$2:$H$41,7,FALSE)," ")</f>
        <v xml:space="preserve"> </v>
      </c>
      <c r="V266" s="42" t="str">
        <f>IFERROR(VLOOKUP($J266,'Project Reference'!$B$2:$I$41,8,FALSE)," ")</f>
        <v xml:space="preserve"> </v>
      </c>
      <c r="W266" s="42" t="str">
        <f>IFERROR(VLOOKUP($J266,'Project Reference'!$B$2:$J$41,9,FALSE)," ")</f>
        <v xml:space="preserve"> </v>
      </c>
      <c r="X266" s="42" t="str">
        <f>IFERROR(VLOOKUP($J266,'Project Reference'!$B$2:$K$41,10)," ")</f>
        <v xml:space="preserve"> </v>
      </c>
      <c r="Y266" s="42" t="str">
        <f>IFERROR(VLOOKUP($J266,'Project Reference'!$B$2:$L$41,11)," ")</f>
        <v xml:space="preserve"> </v>
      </c>
      <c r="Z266" s="42" t="str">
        <f>IFERROR(VLOOKUP($J266,'Project Reference'!$B$2:$M$41,12)," ")</f>
        <v xml:space="preserve"> </v>
      </c>
      <c r="AA266" s="42" t="str">
        <f>IFERROR(VLOOKUP($J266,'Project Reference'!$B$2:$N$41,13)," ")</f>
        <v xml:space="preserve"> </v>
      </c>
    </row>
    <row r="267" spans="1:27" s="1" customFormat="1" x14ac:dyDescent="0.45">
      <c r="A267" s="43"/>
      <c r="B267" s="205"/>
      <c r="C267"/>
      <c r="D267" s="72"/>
      <c r="E267" s="72"/>
      <c r="F267" s="72"/>
      <c r="G267" s="72"/>
      <c r="H267" s="17"/>
      <c r="I267" s="41" t="str" cm="1">
        <f t="array" ref="I267">IFERROR(_xlfn.IFS(H267="Hard (Cash)","N/A",H267="Soft (In-Kind)", "Enter Source"),"Select Type")</f>
        <v>Select Type</v>
      </c>
      <c r="J267" s="124"/>
      <c r="K267" s="41" t="str">
        <f>IFERROR(VLOOKUP($J267,'Project Reference'!$S$2:$T$41,2),"Enter Project Number")</f>
        <v>Enter Project Number</v>
      </c>
      <c r="L267" s="41"/>
      <c r="M267" s="41"/>
      <c r="N267" s="15">
        <f t="shared" ref="N267:N330" si="4">SUM(D267:G267)</f>
        <v>0</v>
      </c>
      <c r="O267" s="19"/>
      <c r="P267" s="42" t="str">
        <f>IFERROR(VLOOKUP($J267,'Project Reference'!$B$2:$C$41,2)," ")</f>
        <v xml:space="preserve"> </v>
      </c>
      <c r="Q267" s="42" t="str">
        <f>IFERROR(VLOOKUP($J267,'Project Reference'!$B$2:$D$41,3)," ")</f>
        <v xml:space="preserve"> </v>
      </c>
      <c r="R267" s="42" t="str">
        <f>IFERROR(VLOOKUP($J267,'Project Reference'!$B$2:$E$41,4)," ")</f>
        <v xml:space="preserve"> </v>
      </c>
      <c r="S267" s="42" t="str">
        <f>IFERROR(VLOOKUP($J267,'Project Reference'!$B$2:$F$41,5,FALSE)," ")</f>
        <v xml:space="preserve"> </v>
      </c>
      <c r="T267" s="42" t="str">
        <f>IFERROR(VLOOKUP($J267,'Project Reference'!$B$2:$G$41,6,FALSE)," ")</f>
        <v xml:space="preserve"> </v>
      </c>
      <c r="U267" s="42" t="str">
        <f>IFERROR(VLOOKUP($J267,'Project Reference'!$B$2:$H$41,7,FALSE)," ")</f>
        <v xml:space="preserve"> </v>
      </c>
      <c r="V267" s="42" t="str">
        <f>IFERROR(VLOOKUP($J267,'Project Reference'!$B$2:$I$41,8,FALSE)," ")</f>
        <v xml:space="preserve"> </v>
      </c>
      <c r="W267" s="42" t="str">
        <f>IFERROR(VLOOKUP($J267,'Project Reference'!$B$2:$J$41,9,FALSE)," ")</f>
        <v xml:space="preserve"> </v>
      </c>
      <c r="X267" s="42" t="str">
        <f>IFERROR(VLOOKUP($J267,'Project Reference'!$B$2:$K$41,10)," ")</f>
        <v xml:space="preserve"> </v>
      </c>
      <c r="Y267" s="42" t="str">
        <f>IFERROR(VLOOKUP($J267,'Project Reference'!$B$2:$L$41,11)," ")</f>
        <v xml:space="preserve"> </v>
      </c>
      <c r="Z267" s="42" t="str">
        <f>IFERROR(VLOOKUP($J267,'Project Reference'!$B$2:$M$41,12)," ")</f>
        <v xml:space="preserve"> </v>
      </c>
      <c r="AA267" s="42" t="str">
        <f>IFERROR(VLOOKUP($J267,'Project Reference'!$B$2:$N$41,13)," ")</f>
        <v xml:space="preserve"> </v>
      </c>
    </row>
    <row r="268" spans="1:27" s="1" customFormat="1" x14ac:dyDescent="0.45">
      <c r="A268" s="43"/>
      <c r="B268" s="205"/>
      <c r="C268"/>
      <c r="D268" s="72"/>
      <c r="E268" s="72"/>
      <c r="F268" s="72"/>
      <c r="G268" s="72"/>
      <c r="H268" s="17"/>
      <c r="I268" s="41" t="str" cm="1">
        <f t="array" ref="I268">IFERROR(_xlfn.IFS(H268="Hard (Cash)","N/A",H268="Soft (In-Kind)", "Enter Source"),"Select Type")</f>
        <v>Select Type</v>
      </c>
      <c r="J268" s="124"/>
      <c r="K268" s="41" t="str">
        <f>IFERROR(VLOOKUP($J268,'Project Reference'!$S$2:$T$41,2),"Enter Project Number")</f>
        <v>Enter Project Number</v>
      </c>
      <c r="L268" s="41"/>
      <c r="M268" s="41"/>
      <c r="N268" s="15">
        <f t="shared" si="4"/>
        <v>0</v>
      </c>
      <c r="O268" s="19"/>
      <c r="P268" s="42" t="str">
        <f>IFERROR(VLOOKUP($J268,'Project Reference'!$B$2:$C$41,2)," ")</f>
        <v xml:space="preserve"> </v>
      </c>
      <c r="Q268" s="42" t="str">
        <f>IFERROR(VLOOKUP($J268,'Project Reference'!$B$2:$D$41,3)," ")</f>
        <v xml:space="preserve"> </v>
      </c>
      <c r="R268" s="42" t="str">
        <f>IFERROR(VLOOKUP($J268,'Project Reference'!$B$2:$E$41,4)," ")</f>
        <v xml:space="preserve"> </v>
      </c>
      <c r="S268" s="42" t="str">
        <f>IFERROR(VLOOKUP($J268,'Project Reference'!$B$2:$F$41,5,FALSE)," ")</f>
        <v xml:space="preserve"> </v>
      </c>
      <c r="T268" s="42" t="str">
        <f>IFERROR(VLOOKUP($J268,'Project Reference'!$B$2:$G$41,6,FALSE)," ")</f>
        <v xml:space="preserve"> </v>
      </c>
      <c r="U268" s="42" t="str">
        <f>IFERROR(VLOOKUP($J268,'Project Reference'!$B$2:$H$41,7,FALSE)," ")</f>
        <v xml:space="preserve"> </v>
      </c>
      <c r="V268" s="42" t="str">
        <f>IFERROR(VLOOKUP($J268,'Project Reference'!$B$2:$I$41,8,FALSE)," ")</f>
        <v xml:space="preserve"> </v>
      </c>
      <c r="W268" s="42" t="str">
        <f>IFERROR(VLOOKUP($J268,'Project Reference'!$B$2:$J$41,9,FALSE)," ")</f>
        <v xml:space="preserve"> </v>
      </c>
      <c r="X268" s="42" t="str">
        <f>IFERROR(VLOOKUP($J268,'Project Reference'!$B$2:$K$41,10)," ")</f>
        <v xml:space="preserve"> </v>
      </c>
      <c r="Y268" s="42" t="str">
        <f>IFERROR(VLOOKUP($J268,'Project Reference'!$B$2:$L$41,11)," ")</f>
        <v xml:space="preserve"> </v>
      </c>
      <c r="Z268" s="42" t="str">
        <f>IFERROR(VLOOKUP($J268,'Project Reference'!$B$2:$M$41,12)," ")</f>
        <v xml:space="preserve"> </v>
      </c>
      <c r="AA268" s="42" t="str">
        <f>IFERROR(VLOOKUP($J268,'Project Reference'!$B$2:$N$41,13)," ")</f>
        <v xml:space="preserve"> </v>
      </c>
    </row>
    <row r="269" spans="1:27" s="1" customFormat="1" x14ac:dyDescent="0.45">
      <c r="A269" s="43"/>
      <c r="B269" s="205"/>
      <c r="C269"/>
      <c r="D269" s="72"/>
      <c r="E269" s="72"/>
      <c r="F269" s="72"/>
      <c r="G269" s="72"/>
      <c r="H269" s="17"/>
      <c r="I269" s="41" t="str" cm="1">
        <f t="array" ref="I269">IFERROR(_xlfn.IFS(H269="Hard (Cash)","N/A",H269="Soft (In-Kind)", "Enter Source"),"Select Type")</f>
        <v>Select Type</v>
      </c>
      <c r="J269" s="124"/>
      <c r="K269" s="41" t="str">
        <f>IFERROR(VLOOKUP($J269,'Project Reference'!$S$2:$T$41,2),"Enter Project Number")</f>
        <v>Enter Project Number</v>
      </c>
      <c r="L269" s="41"/>
      <c r="M269" s="41"/>
      <c r="N269" s="15">
        <f t="shared" si="4"/>
        <v>0</v>
      </c>
      <c r="O269" s="19"/>
      <c r="P269" s="42" t="str">
        <f>IFERROR(VLOOKUP($J269,'Project Reference'!$B$2:$C$41,2)," ")</f>
        <v xml:space="preserve"> </v>
      </c>
      <c r="Q269" s="42" t="str">
        <f>IFERROR(VLOOKUP($J269,'Project Reference'!$B$2:$D$41,3)," ")</f>
        <v xml:space="preserve"> </v>
      </c>
      <c r="R269" s="42" t="str">
        <f>IFERROR(VLOOKUP($J269,'Project Reference'!$B$2:$E$41,4)," ")</f>
        <v xml:space="preserve"> </v>
      </c>
      <c r="S269" s="42" t="str">
        <f>IFERROR(VLOOKUP($J269,'Project Reference'!$B$2:$F$41,5,FALSE)," ")</f>
        <v xml:space="preserve"> </v>
      </c>
      <c r="T269" s="42" t="str">
        <f>IFERROR(VLOOKUP($J269,'Project Reference'!$B$2:$G$41,6,FALSE)," ")</f>
        <v xml:space="preserve"> </v>
      </c>
      <c r="U269" s="42" t="str">
        <f>IFERROR(VLOOKUP($J269,'Project Reference'!$B$2:$H$41,7,FALSE)," ")</f>
        <v xml:space="preserve"> </v>
      </c>
      <c r="V269" s="42" t="str">
        <f>IFERROR(VLOOKUP($J269,'Project Reference'!$B$2:$I$41,8,FALSE)," ")</f>
        <v xml:space="preserve"> </v>
      </c>
      <c r="W269" s="42" t="str">
        <f>IFERROR(VLOOKUP($J269,'Project Reference'!$B$2:$J$41,9,FALSE)," ")</f>
        <v xml:space="preserve"> </v>
      </c>
      <c r="X269" s="42" t="str">
        <f>IFERROR(VLOOKUP($J269,'Project Reference'!$B$2:$K$41,10)," ")</f>
        <v xml:space="preserve"> </v>
      </c>
      <c r="Y269" s="42" t="str">
        <f>IFERROR(VLOOKUP($J269,'Project Reference'!$B$2:$L$41,11)," ")</f>
        <v xml:space="preserve"> </v>
      </c>
      <c r="Z269" s="42" t="str">
        <f>IFERROR(VLOOKUP($J269,'Project Reference'!$B$2:$M$41,12)," ")</f>
        <v xml:space="preserve"> </v>
      </c>
      <c r="AA269" s="42" t="str">
        <f>IFERROR(VLOOKUP($J269,'Project Reference'!$B$2:$N$41,13)," ")</f>
        <v xml:space="preserve"> </v>
      </c>
    </row>
    <row r="270" spans="1:27" s="1" customFormat="1" x14ac:dyDescent="0.45">
      <c r="A270" s="43"/>
      <c r="B270" s="205"/>
      <c r="C270"/>
      <c r="D270" s="72"/>
      <c r="E270" s="72"/>
      <c r="F270" s="72"/>
      <c r="G270" s="72"/>
      <c r="H270" s="17"/>
      <c r="I270" s="41" t="str" cm="1">
        <f t="array" ref="I270">IFERROR(_xlfn.IFS(H270="Hard (Cash)","N/A",H270="Soft (In-Kind)", "Enter Source"),"Select Type")</f>
        <v>Select Type</v>
      </c>
      <c r="J270" s="124"/>
      <c r="K270" s="41" t="str">
        <f>IFERROR(VLOOKUP($J270,'Project Reference'!$S$2:$T$41,2),"Enter Project Number")</f>
        <v>Enter Project Number</v>
      </c>
      <c r="L270" s="41"/>
      <c r="M270" s="41"/>
      <c r="N270" s="15">
        <f t="shared" si="4"/>
        <v>0</v>
      </c>
      <c r="O270" s="19"/>
      <c r="P270" s="42" t="str">
        <f>IFERROR(VLOOKUP($J270,'Project Reference'!$B$2:$C$41,2)," ")</f>
        <v xml:space="preserve"> </v>
      </c>
      <c r="Q270" s="42" t="str">
        <f>IFERROR(VLOOKUP($J270,'Project Reference'!$B$2:$D$41,3)," ")</f>
        <v xml:space="preserve"> </v>
      </c>
      <c r="R270" s="42" t="str">
        <f>IFERROR(VLOOKUP($J270,'Project Reference'!$B$2:$E$41,4)," ")</f>
        <v xml:space="preserve"> </v>
      </c>
      <c r="S270" s="42" t="str">
        <f>IFERROR(VLOOKUP($J270,'Project Reference'!$B$2:$F$41,5,FALSE)," ")</f>
        <v xml:space="preserve"> </v>
      </c>
      <c r="T270" s="42" t="str">
        <f>IFERROR(VLOOKUP($J270,'Project Reference'!$B$2:$G$41,6,FALSE)," ")</f>
        <v xml:space="preserve"> </v>
      </c>
      <c r="U270" s="42" t="str">
        <f>IFERROR(VLOOKUP($J270,'Project Reference'!$B$2:$H$41,7,FALSE)," ")</f>
        <v xml:space="preserve"> </v>
      </c>
      <c r="V270" s="42" t="str">
        <f>IFERROR(VLOOKUP($J270,'Project Reference'!$B$2:$I$41,8,FALSE)," ")</f>
        <v xml:space="preserve"> </v>
      </c>
      <c r="W270" s="42" t="str">
        <f>IFERROR(VLOOKUP($J270,'Project Reference'!$B$2:$J$41,9,FALSE)," ")</f>
        <v xml:space="preserve"> </v>
      </c>
      <c r="X270" s="42" t="str">
        <f>IFERROR(VLOOKUP($J270,'Project Reference'!$B$2:$K$41,10)," ")</f>
        <v xml:space="preserve"> </v>
      </c>
      <c r="Y270" s="42" t="str">
        <f>IFERROR(VLOOKUP($J270,'Project Reference'!$B$2:$L$41,11)," ")</f>
        <v xml:space="preserve"> </v>
      </c>
      <c r="Z270" s="42" t="str">
        <f>IFERROR(VLOOKUP($J270,'Project Reference'!$B$2:$M$41,12)," ")</f>
        <v xml:space="preserve"> </v>
      </c>
      <c r="AA270" s="42" t="str">
        <f>IFERROR(VLOOKUP($J270,'Project Reference'!$B$2:$N$41,13)," ")</f>
        <v xml:space="preserve"> </v>
      </c>
    </row>
    <row r="271" spans="1:27" s="1" customFormat="1" x14ac:dyDescent="0.45">
      <c r="A271" s="43"/>
      <c r="B271" s="205"/>
      <c r="C271"/>
      <c r="D271" s="72"/>
      <c r="E271" s="72"/>
      <c r="F271" s="72"/>
      <c r="G271" s="72"/>
      <c r="H271" s="17"/>
      <c r="I271" s="41" t="str" cm="1">
        <f t="array" ref="I271">IFERROR(_xlfn.IFS(H271="Hard (Cash)","N/A",H271="Soft (In-Kind)", "Enter Source"),"Select Type")</f>
        <v>Select Type</v>
      </c>
      <c r="J271" s="124"/>
      <c r="K271" s="41" t="str">
        <f>IFERROR(VLOOKUP($J271,'Project Reference'!$S$2:$T$41,2),"Enter Project Number")</f>
        <v>Enter Project Number</v>
      </c>
      <c r="L271" s="41"/>
      <c r="M271" s="41"/>
      <c r="N271" s="15">
        <f t="shared" si="4"/>
        <v>0</v>
      </c>
      <c r="O271" s="19"/>
      <c r="P271" s="42" t="str">
        <f>IFERROR(VLOOKUP($J271,'Project Reference'!$B$2:$C$41,2)," ")</f>
        <v xml:space="preserve"> </v>
      </c>
      <c r="Q271" s="42" t="str">
        <f>IFERROR(VLOOKUP($J271,'Project Reference'!$B$2:$D$41,3)," ")</f>
        <v xml:space="preserve"> </v>
      </c>
      <c r="R271" s="42" t="str">
        <f>IFERROR(VLOOKUP($J271,'Project Reference'!$B$2:$E$41,4)," ")</f>
        <v xml:space="preserve"> </v>
      </c>
      <c r="S271" s="42" t="str">
        <f>IFERROR(VLOOKUP($J271,'Project Reference'!$B$2:$F$41,5,FALSE)," ")</f>
        <v xml:space="preserve"> </v>
      </c>
      <c r="T271" s="42" t="str">
        <f>IFERROR(VLOOKUP($J271,'Project Reference'!$B$2:$G$41,6,FALSE)," ")</f>
        <v xml:space="preserve"> </v>
      </c>
      <c r="U271" s="42" t="str">
        <f>IFERROR(VLOOKUP($J271,'Project Reference'!$B$2:$H$41,7,FALSE)," ")</f>
        <v xml:space="preserve"> </v>
      </c>
      <c r="V271" s="42" t="str">
        <f>IFERROR(VLOOKUP($J271,'Project Reference'!$B$2:$I$41,8,FALSE)," ")</f>
        <v xml:space="preserve"> </v>
      </c>
      <c r="W271" s="42" t="str">
        <f>IFERROR(VLOOKUP($J271,'Project Reference'!$B$2:$J$41,9,FALSE)," ")</f>
        <v xml:space="preserve"> </v>
      </c>
      <c r="X271" s="42" t="str">
        <f>IFERROR(VLOOKUP($J271,'Project Reference'!$B$2:$K$41,10)," ")</f>
        <v xml:space="preserve"> </v>
      </c>
      <c r="Y271" s="42" t="str">
        <f>IFERROR(VLOOKUP($J271,'Project Reference'!$B$2:$L$41,11)," ")</f>
        <v xml:space="preserve"> </v>
      </c>
      <c r="Z271" s="42" t="str">
        <f>IFERROR(VLOOKUP($J271,'Project Reference'!$B$2:$M$41,12)," ")</f>
        <v xml:space="preserve"> </v>
      </c>
      <c r="AA271" s="42" t="str">
        <f>IFERROR(VLOOKUP($J271,'Project Reference'!$B$2:$N$41,13)," ")</f>
        <v xml:space="preserve"> </v>
      </c>
    </row>
    <row r="272" spans="1:27" s="1" customFormat="1" x14ac:dyDescent="0.45">
      <c r="A272" s="43"/>
      <c r="B272" s="205"/>
      <c r="C272"/>
      <c r="D272" s="72"/>
      <c r="E272" s="72"/>
      <c r="F272" s="72"/>
      <c r="G272" s="72"/>
      <c r="H272" s="17"/>
      <c r="I272" s="41" t="str" cm="1">
        <f t="array" ref="I272">IFERROR(_xlfn.IFS(H272="Hard (Cash)","N/A",H272="Soft (In-Kind)", "Enter Source"),"Select Type")</f>
        <v>Select Type</v>
      </c>
      <c r="J272" s="124"/>
      <c r="K272" s="41" t="str">
        <f>IFERROR(VLOOKUP($J272,'Project Reference'!$S$2:$T$41,2),"Enter Project Number")</f>
        <v>Enter Project Number</v>
      </c>
      <c r="L272" s="41"/>
      <c r="M272" s="41"/>
      <c r="N272" s="15">
        <f t="shared" si="4"/>
        <v>0</v>
      </c>
      <c r="O272" s="19"/>
      <c r="P272" s="42" t="str">
        <f>IFERROR(VLOOKUP($J272,'Project Reference'!$B$2:$C$41,2)," ")</f>
        <v xml:space="preserve"> </v>
      </c>
      <c r="Q272" s="42" t="str">
        <f>IFERROR(VLOOKUP($J272,'Project Reference'!$B$2:$D$41,3)," ")</f>
        <v xml:space="preserve"> </v>
      </c>
      <c r="R272" s="42" t="str">
        <f>IFERROR(VLOOKUP($J272,'Project Reference'!$B$2:$E$41,4)," ")</f>
        <v xml:space="preserve"> </v>
      </c>
      <c r="S272" s="42" t="str">
        <f>IFERROR(VLOOKUP($J272,'Project Reference'!$B$2:$F$41,5,FALSE)," ")</f>
        <v xml:space="preserve"> </v>
      </c>
      <c r="T272" s="42" t="str">
        <f>IFERROR(VLOOKUP($J272,'Project Reference'!$B$2:$G$41,6,FALSE)," ")</f>
        <v xml:space="preserve"> </v>
      </c>
      <c r="U272" s="42" t="str">
        <f>IFERROR(VLOOKUP($J272,'Project Reference'!$B$2:$H$41,7,FALSE)," ")</f>
        <v xml:space="preserve"> </v>
      </c>
      <c r="V272" s="42" t="str">
        <f>IFERROR(VLOOKUP($J272,'Project Reference'!$B$2:$I$41,8,FALSE)," ")</f>
        <v xml:space="preserve"> </v>
      </c>
      <c r="W272" s="42" t="str">
        <f>IFERROR(VLOOKUP($J272,'Project Reference'!$B$2:$J$41,9,FALSE)," ")</f>
        <v xml:space="preserve"> </v>
      </c>
      <c r="X272" s="42" t="str">
        <f>IFERROR(VLOOKUP($J272,'Project Reference'!$B$2:$K$41,10)," ")</f>
        <v xml:space="preserve"> </v>
      </c>
      <c r="Y272" s="42" t="str">
        <f>IFERROR(VLOOKUP($J272,'Project Reference'!$B$2:$L$41,11)," ")</f>
        <v xml:space="preserve"> </v>
      </c>
      <c r="Z272" s="42" t="str">
        <f>IFERROR(VLOOKUP($J272,'Project Reference'!$B$2:$M$41,12)," ")</f>
        <v xml:space="preserve"> </v>
      </c>
      <c r="AA272" s="42" t="str">
        <f>IFERROR(VLOOKUP($J272,'Project Reference'!$B$2:$N$41,13)," ")</f>
        <v xml:space="preserve"> </v>
      </c>
    </row>
    <row r="273" spans="1:27" s="1" customFormat="1" x14ac:dyDescent="0.45">
      <c r="A273" s="43"/>
      <c r="B273" s="205"/>
      <c r="C273"/>
      <c r="D273" s="72"/>
      <c r="E273" s="72"/>
      <c r="F273" s="72"/>
      <c r="G273" s="72"/>
      <c r="H273" s="17"/>
      <c r="I273" s="41" t="str" cm="1">
        <f t="array" ref="I273">IFERROR(_xlfn.IFS(H273="Hard (Cash)","N/A",H273="Soft (In-Kind)", "Enter Source"),"Select Type")</f>
        <v>Select Type</v>
      </c>
      <c r="J273" s="124"/>
      <c r="K273" s="41" t="str">
        <f>IFERROR(VLOOKUP($J273,'Project Reference'!$S$2:$T$41,2),"Enter Project Number")</f>
        <v>Enter Project Number</v>
      </c>
      <c r="L273" s="41"/>
      <c r="M273" s="41"/>
      <c r="N273" s="15">
        <f t="shared" si="4"/>
        <v>0</v>
      </c>
      <c r="O273" s="19"/>
      <c r="P273" s="42" t="str">
        <f>IFERROR(VLOOKUP($J273,'Project Reference'!$B$2:$C$41,2)," ")</f>
        <v xml:space="preserve"> </v>
      </c>
      <c r="Q273" s="42" t="str">
        <f>IFERROR(VLOOKUP($J273,'Project Reference'!$B$2:$D$41,3)," ")</f>
        <v xml:space="preserve"> </v>
      </c>
      <c r="R273" s="42" t="str">
        <f>IFERROR(VLOOKUP($J273,'Project Reference'!$B$2:$E$41,4)," ")</f>
        <v xml:space="preserve"> </v>
      </c>
      <c r="S273" s="42" t="str">
        <f>IFERROR(VLOOKUP($J273,'Project Reference'!$B$2:$F$41,5,FALSE)," ")</f>
        <v xml:space="preserve"> </v>
      </c>
      <c r="T273" s="42" t="str">
        <f>IFERROR(VLOOKUP($J273,'Project Reference'!$B$2:$G$41,6,FALSE)," ")</f>
        <v xml:space="preserve"> </v>
      </c>
      <c r="U273" s="42" t="str">
        <f>IFERROR(VLOOKUP($J273,'Project Reference'!$B$2:$H$41,7,FALSE)," ")</f>
        <v xml:space="preserve"> </v>
      </c>
      <c r="V273" s="42" t="str">
        <f>IFERROR(VLOOKUP($J273,'Project Reference'!$B$2:$I$41,8,FALSE)," ")</f>
        <v xml:space="preserve"> </v>
      </c>
      <c r="W273" s="42" t="str">
        <f>IFERROR(VLOOKUP($J273,'Project Reference'!$B$2:$J$41,9,FALSE)," ")</f>
        <v xml:space="preserve"> </v>
      </c>
      <c r="X273" s="42" t="str">
        <f>IFERROR(VLOOKUP($J273,'Project Reference'!$B$2:$K$41,10)," ")</f>
        <v xml:space="preserve"> </v>
      </c>
      <c r="Y273" s="42" t="str">
        <f>IFERROR(VLOOKUP($J273,'Project Reference'!$B$2:$L$41,11)," ")</f>
        <v xml:space="preserve"> </v>
      </c>
      <c r="Z273" s="42" t="str">
        <f>IFERROR(VLOOKUP($J273,'Project Reference'!$B$2:$M$41,12)," ")</f>
        <v xml:space="preserve"> </v>
      </c>
      <c r="AA273" s="42" t="str">
        <f>IFERROR(VLOOKUP($J273,'Project Reference'!$B$2:$N$41,13)," ")</f>
        <v xml:space="preserve"> </v>
      </c>
    </row>
    <row r="274" spans="1:27" s="1" customFormat="1" x14ac:dyDescent="0.45">
      <c r="A274" s="43"/>
      <c r="B274" s="205"/>
      <c r="C274"/>
      <c r="D274" s="72"/>
      <c r="E274" s="72"/>
      <c r="F274" s="72"/>
      <c r="G274" s="72"/>
      <c r="H274" s="17"/>
      <c r="I274" s="41" t="str" cm="1">
        <f t="array" ref="I274">IFERROR(_xlfn.IFS(H274="Hard (Cash)","N/A",H274="Soft (In-Kind)", "Enter Source"),"Select Type")</f>
        <v>Select Type</v>
      </c>
      <c r="J274" s="124"/>
      <c r="K274" s="41" t="str">
        <f>IFERROR(VLOOKUP($J274,'Project Reference'!$S$2:$T$41,2),"Enter Project Number")</f>
        <v>Enter Project Number</v>
      </c>
      <c r="L274" s="41"/>
      <c r="M274" s="41"/>
      <c r="N274" s="15">
        <f t="shared" si="4"/>
        <v>0</v>
      </c>
      <c r="O274" s="19"/>
      <c r="P274" s="42" t="str">
        <f>IFERROR(VLOOKUP($J274,'Project Reference'!$B$2:$C$41,2)," ")</f>
        <v xml:space="preserve"> </v>
      </c>
      <c r="Q274" s="42" t="str">
        <f>IFERROR(VLOOKUP($J274,'Project Reference'!$B$2:$D$41,3)," ")</f>
        <v xml:space="preserve"> </v>
      </c>
      <c r="R274" s="42" t="str">
        <f>IFERROR(VLOOKUP($J274,'Project Reference'!$B$2:$E$41,4)," ")</f>
        <v xml:space="preserve"> </v>
      </c>
      <c r="S274" s="42" t="str">
        <f>IFERROR(VLOOKUP($J274,'Project Reference'!$B$2:$F$41,5,FALSE)," ")</f>
        <v xml:space="preserve"> </v>
      </c>
      <c r="T274" s="42" t="str">
        <f>IFERROR(VLOOKUP($J274,'Project Reference'!$B$2:$G$41,6,FALSE)," ")</f>
        <v xml:space="preserve"> </v>
      </c>
      <c r="U274" s="42" t="str">
        <f>IFERROR(VLOOKUP($J274,'Project Reference'!$B$2:$H$41,7,FALSE)," ")</f>
        <v xml:space="preserve"> </v>
      </c>
      <c r="V274" s="42" t="str">
        <f>IFERROR(VLOOKUP($J274,'Project Reference'!$B$2:$I$41,8,FALSE)," ")</f>
        <v xml:space="preserve"> </v>
      </c>
      <c r="W274" s="42" t="str">
        <f>IFERROR(VLOOKUP($J274,'Project Reference'!$B$2:$J$41,9,FALSE)," ")</f>
        <v xml:space="preserve"> </v>
      </c>
      <c r="X274" s="42" t="str">
        <f>IFERROR(VLOOKUP($J274,'Project Reference'!$B$2:$K$41,10)," ")</f>
        <v xml:space="preserve"> </v>
      </c>
      <c r="Y274" s="42" t="str">
        <f>IFERROR(VLOOKUP($J274,'Project Reference'!$B$2:$L$41,11)," ")</f>
        <v xml:space="preserve"> </v>
      </c>
      <c r="Z274" s="42" t="str">
        <f>IFERROR(VLOOKUP($J274,'Project Reference'!$B$2:$M$41,12)," ")</f>
        <v xml:space="preserve"> </v>
      </c>
      <c r="AA274" s="42" t="str">
        <f>IFERROR(VLOOKUP($J274,'Project Reference'!$B$2:$N$41,13)," ")</f>
        <v xml:space="preserve"> </v>
      </c>
    </row>
    <row r="275" spans="1:27" s="1" customFormat="1" x14ac:dyDescent="0.45">
      <c r="A275" s="43"/>
      <c r="B275" s="205"/>
      <c r="C275"/>
      <c r="D275" s="72"/>
      <c r="E275" s="72"/>
      <c r="F275" s="72"/>
      <c r="G275" s="72"/>
      <c r="H275" s="17"/>
      <c r="I275" s="41" t="str" cm="1">
        <f t="array" ref="I275">IFERROR(_xlfn.IFS(H275="Hard (Cash)","N/A",H275="Soft (In-Kind)", "Enter Source"),"Select Type")</f>
        <v>Select Type</v>
      </c>
      <c r="J275" s="124"/>
      <c r="K275" s="41" t="str">
        <f>IFERROR(VLOOKUP($J275,'Project Reference'!$S$2:$T$41,2),"Enter Project Number")</f>
        <v>Enter Project Number</v>
      </c>
      <c r="L275" s="41"/>
      <c r="M275" s="41"/>
      <c r="N275" s="15">
        <f t="shared" si="4"/>
        <v>0</v>
      </c>
      <c r="O275" s="19"/>
      <c r="P275" s="42" t="str">
        <f>IFERROR(VLOOKUP($J275,'Project Reference'!$B$2:$C$41,2)," ")</f>
        <v xml:space="preserve"> </v>
      </c>
      <c r="Q275" s="42" t="str">
        <f>IFERROR(VLOOKUP($J275,'Project Reference'!$B$2:$D$41,3)," ")</f>
        <v xml:space="preserve"> </v>
      </c>
      <c r="R275" s="42" t="str">
        <f>IFERROR(VLOOKUP($J275,'Project Reference'!$B$2:$E$41,4)," ")</f>
        <v xml:space="preserve"> </v>
      </c>
      <c r="S275" s="42" t="str">
        <f>IFERROR(VLOOKUP($J275,'Project Reference'!$B$2:$F$41,5,FALSE)," ")</f>
        <v xml:space="preserve"> </v>
      </c>
      <c r="T275" s="42" t="str">
        <f>IFERROR(VLOOKUP($J275,'Project Reference'!$B$2:$G$41,6,FALSE)," ")</f>
        <v xml:space="preserve"> </v>
      </c>
      <c r="U275" s="42" t="str">
        <f>IFERROR(VLOOKUP($J275,'Project Reference'!$B$2:$H$41,7,FALSE)," ")</f>
        <v xml:space="preserve"> </v>
      </c>
      <c r="V275" s="42" t="str">
        <f>IFERROR(VLOOKUP($J275,'Project Reference'!$B$2:$I$41,8,FALSE)," ")</f>
        <v xml:space="preserve"> </v>
      </c>
      <c r="W275" s="42" t="str">
        <f>IFERROR(VLOOKUP($J275,'Project Reference'!$B$2:$J$41,9,FALSE)," ")</f>
        <v xml:space="preserve"> </v>
      </c>
      <c r="X275" s="42" t="str">
        <f>IFERROR(VLOOKUP($J275,'Project Reference'!$B$2:$K$41,10)," ")</f>
        <v xml:space="preserve"> </v>
      </c>
      <c r="Y275" s="42" t="str">
        <f>IFERROR(VLOOKUP($J275,'Project Reference'!$B$2:$L$41,11)," ")</f>
        <v xml:space="preserve"> </v>
      </c>
      <c r="Z275" s="42" t="str">
        <f>IFERROR(VLOOKUP($J275,'Project Reference'!$B$2:$M$41,12)," ")</f>
        <v xml:space="preserve"> </v>
      </c>
      <c r="AA275" s="42" t="str">
        <f>IFERROR(VLOOKUP($J275,'Project Reference'!$B$2:$N$41,13)," ")</f>
        <v xml:space="preserve"> </v>
      </c>
    </row>
    <row r="276" spans="1:27" s="1" customFormat="1" x14ac:dyDescent="0.45">
      <c r="A276" s="43"/>
      <c r="B276" s="205"/>
      <c r="C276"/>
      <c r="D276" s="72"/>
      <c r="E276" s="72"/>
      <c r="F276" s="72"/>
      <c r="G276" s="72"/>
      <c r="H276" s="17"/>
      <c r="I276" s="41" t="str" cm="1">
        <f t="array" ref="I276">IFERROR(_xlfn.IFS(H276="Hard (Cash)","N/A",H276="Soft (In-Kind)", "Enter Source"),"Select Type")</f>
        <v>Select Type</v>
      </c>
      <c r="J276" s="124"/>
      <c r="K276" s="41" t="str">
        <f>IFERROR(VLOOKUP($J276,'Project Reference'!$S$2:$T$41,2),"Enter Project Number")</f>
        <v>Enter Project Number</v>
      </c>
      <c r="L276" s="41"/>
      <c r="M276" s="41"/>
      <c r="N276" s="15">
        <f t="shared" si="4"/>
        <v>0</v>
      </c>
      <c r="O276" s="19"/>
      <c r="P276" s="42" t="str">
        <f>IFERROR(VLOOKUP($J276,'Project Reference'!$B$2:$C$41,2)," ")</f>
        <v xml:space="preserve"> </v>
      </c>
      <c r="Q276" s="42" t="str">
        <f>IFERROR(VLOOKUP($J276,'Project Reference'!$B$2:$D$41,3)," ")</f>
        <v xml:space="preserve"> </v>
      </c>
      <c r="R276" s="42" t="str">
        <f>IFERROR(VLOOKUP($J276,'Project Reference'!$B$2:$E$41,4)," ")</f>
        <v xml:space="preserve"> </v>
      </c>
      <c r="S276" s="42" t="str">
        <f>IFERROR(VLOOKUP($J276,'Project Reference'!$B$2:$F$41,5,FALSE)," ")</f>
        <v xml:space="preserve"> </v>
      </c>
      <c r="T276" s="42" t="str">
        <f>IFERROR(VLOOKUP($J276,'Project Reference'!$B$2:$G$41,6,FALSE)," ")</f>
        <v xml:space="preserve"> </v>
      </c>
      <c r="U276" s="42" t="str">
        <f>IFERROR(VLOOKUP($J276,'Project Reference'!$B$2:$H$41,7,FALSE)," ")</f>
        <v xml:space="preserve"> </v>
      </c>
      <c r="V276" s="42" t="str">
        <f>IFERROR(VLOOKUP($J276,'Project Reference'!$B$2:$I$41,8,FALSE)," ")</f>
        <v xml:space="preserve"> </v>
      </c>
      <c r="W276" s="42" t="str">
        <f>IFERROR(VLOOKUP($J276,'Project Reference'!$B$2:$J$41,9,FALSE)," ")</f>
        <v xml:space="preserve"> </v>
      </c>
      <c r="X276" s="42" t="str">
        <f>IFERROR(VLOOKUP($J276,'Project Reference'!$B$2:$K$41,10)," ")</f>
        <v xml:space="preserve"> </v>
      </c>
      <c r="Y276" s="42" t="str">
        <f>IFERROR(VLOOKUP($J276,'Project Reference'!$B$2:$L$41,11)," ")</f>
        <v xml:space="preserve"> </v>
      </c>
      <c r="Z276" s="42" t="str">
        <f>IFERROR(VLOOKUP($J276,'Project Reference'!$B$2:$M$41,12)," ")</f>
        <v xml:space="preserve"> </v>
      </c>
      <c r="AA276" s="42" t="str">
        <f>IFERROR(VLOOKUP($J276,'Project Reference'!$B$2:$N$41,13)," ")</f>
        <v xml:space="preserve"> </v>
      </c>
    </row>
    <row r="277" spans="1:27" s="1" customFormat="1" x14ac:dyDescent="0.45">
      <c r="A277" s="43"/>
      <c r="B277" s="205"/>
      <c r="C277"/>
      <c r="D277" s="72"/>
      <c r="E277" s="72"/>
      <c r="F277" s="72"/>
      <c r="G277" s="72"/>
      <c r="H277" s="17"/>
      <c r="I277" s="41" t="str" cm="1">
        <f t="array" ref="I277">IFERROR(_xlfn.IFS(H277="Hard (Cash)","N/A",H277="Soft (In-Kind)", "Enter Source"),"Select Type")</f>
        <v>Select Type</v>
      </c>
      <c r="J277" s="124"/>
      <c r="K277" s="41" t="str">
        <f>IFERROR(VLOOKUP($J277,'Project Reference'!$S$2:$T$41,2),"Enter Project Number")</f>
        <v>Enter Project Number</v>
      </c>
      <c r="L277" s="41"/>
      <c r="M277" s="41"/>
      <c r="N277" s="15">
        <f t="shared" si="4"/>
        <v>0</v>
      </c>
      <c r="O277" s="19"/>
      <c r="P277" s="42" t="str">
        <f>IFERROR(VLOOKUP($J277,'Project Reference'!$B$2:$C$41,2)," ")</f>
        <v xml:space="preserve"> </v>
      </c>
      <c r="Q277" s="42" t="str">
        <f>IFERROR(VLOOKUP($J277,'Project Reference'!$B$2:$D$41,3)," ")</f>
        <v xml:space="preserve"> </v>
      </c>
      <c r="R277" s="42" t="str">
        <f>IFERROR(VLOOKUP($J277,'Project Reference'!$B$2:$E$41,4)," ")</f>
        <v xml:space="preserve"> </v>
      </c>
      <c r="S277" s="42" t="str">
        <f>IFERROR(VLOOKUP($J277,'Project Reference'!$B$2:$F$41,5,FALSE)," ")</f>
        <v xml:space="preserve"> </v>
      </c>
      <c r="T277" s="42" t="str">
        <f>IFERROR(VLOOKUP($J277,'Project Reference'!$B$2:$G$41,6,FALSE)," ")</f>
        <v xml:space="preserve"> </v>
      </c>
      <c r="U277" s="42" t="str">
        <f>IFERROR(VLOOKUP($J277,'Project Reference'!$B$2:$H$41,7,FALSE)," ")</f>
        <v xml:space="preserve"> </v>
      </c>
      <c r="V277" s="42" t="str">
        <f>IFERROR(VLOOKUP($J277,'Project Reference'!$B$2:$I$41,8,FALSE)," ")</f>
        <v xml:space="preserve"> </v>
      </c>
      <c r="W277" s="42" t="str">
        <f>IFERROR(VLOOKUP($J277,'Project Reference'!$B$2:$J$41,9,FALSE)," ")</f>
        <v xml:space="preserve"> </v>
      </c>
      <c r="X277" s="42" t="str">
        <f>IFERROR(VLOOKUP($J277,'Project Reference'!$B$2:$K$41,10)," ")</f>
        <v xml:space="preserve"> </v>
      </c>
      <c r="Y277" s="42" t="str">
        <f>IFERROR(VLOOKUP($J277,'Project Reference'!$B$2:$L$41,11)," ")</f>
        <v xml:space="preserve"> </v>
      </c>
      <c r="Z277" s="42" t="str">
        <f>IFERROR(VLOOKUP($J277,'Project Reference'!$B$2:$M$41,12)," ")</f>
        <v xml:space="preserve"> </v>
      </c>
      <c r="AA277" s="42" t="str">
        <f>IFERROR(VLOOKUP($J277,'Project Reference'!$B$2:$N$41,13)," ")</f>
        <v xml:space="preserve"> </v>
      </c>
    </row>
    <row r="278" spans="1:27" s="1" customFormat="1" x14ac:dyDescent="0.45">
      <c r="A278" s="43"/>
      <c r="B278" s="205"/>
      <c r="C278"/>
      <c r="D278" s="72"/>
      <c r="E278" s="72"/>
      <c r="F278" s="72"/>
      <c r="G278" s="72"/>
      <c r="H278" s="17"/>
      <c r="I278" s="41" t="str" cm="1">
        <f t="array" ref="I278">IFERROR(_xlfn.IFS(H278="Hard (Cash)","N/A",H278="Soft (In-Kind)", "Enter Source"),"Select Type")</f>
        <v>Select Type</v>
      </c>
      <c r="J278" s="124"/>
      <c r="K278" s="41" t="str">
        <f>IFERROR(VLOOKUP($J278,'Project Reference'!$S$2:$T$41,2),"Enter Project Number")</f>
        <v>Enter Project Number</v>
      </c>
      <c r="L278" s="41"/>
      <c r="M278" s="41"/>
      <c r="N278" s="15">
        <f t="shared" si="4"/>
        <v>0</v>
      </c>
      <c r="O278" s="19"/>
      <c r="P278" s="42" t="str">
        <f>IFERROR(VLOOKUP($J278,'Project Reference'!$B$2:$C$41,2)," ")</f>
        <v xml:space="preserve"> </v>
      </c>
      <c r="Q278" s="42" t="str">
        <f>IFERROR(VLOOKUP($J278,'Project Reference'!$B$2:$D$41,3)," ")</f>
        <v xml:space="preserve"> </v>
      </c>
      <c r="R278" s="42" t="str">
        <f>IFERROR(VLOOKUP($J278,'Project Reference'!$B$2:$E$41,4)," ")</f>
        <v xml:space="preserve"> </v>
      </c>
      <c r="S278" s="42" t="str">
        <f>IFERROR(VLOOKUP($J278,'Project Reference'!$B$2:$F$41,5,FALSE)," ")</f>
        <v xml:space="preserve"> </v>
      </c>
      <c r="T278" s="42" t="str">
        <f>IFERROR(VLOOKUP($J278,'Project Reference'!$B$2:$G$41,6,FALSE)," ")</f>
        <v xml:space="preserve"> </v>
      </c>
      <c r="U278" s="42" t="str">
        <f>IFERROR(VLOOKUP($J278,'Project Reference'!$B$2:$H$41,7,FALSE)," ")</f>
        <v xml:space="preserve"> </v>
      </c>
      <c r="V278" s="42" t="str">
        <f>IFERROR(VLOOKUP($J278,'Project Reference'!$B$2:$I$41,8,FALSE)," ")</f>
        <v xml:space="preserve"> </v>
      </c>
      <c r="W278" s="42" t="str">
        <f>IFERROR(VLOOKUP($J278,'Project Reference'!$B$2:$J$41,9,FALSE)," ")</f>
        <v xml:space="preserve"> </v>
      </c>
      <c r="X278" s="42" t="str">
        <f>IFERROR(VLOOKUP($J278,'Project Reference'!$B$2:$K$41,10)," ")</f>
        <v xml:space="preserve"> </v>
      </c>
      <c r="Y278" s="42" t="str">
        <f>IFERROR(VLOOKUP($J278,'Project Reference'!$B$2:$L$41,11)," ")</f>
        <v xml:space="preserve"> </v>
      </c>
      <c r="Z278" s="42" t="str">
        <f>IFERROR(VLOOKUP($J278,'Project Reference'!$B$2:$M$41,12)," ")</f>
        <v xml:space="preserve"> </v>
      </c>
      <c r="AA278" s="42" t="str">
        <f>IFERROR(VLOOKUP($J278,'Project Reference'!$B$2:$N$41,13)," ")</f>
        <v xml:space="preserve"> </v>
      </c>
    </row>
    <row r="279" spans="1:27" s="1" customFormat="1" x14ac:dyDescent="0.45">
      <c r="A279" s="43"/>
      <c r="B279" s="205"/>
      <c r="C279"/>
      <c r="D279" s="72"/>
      <c r="E279" s="72"/>
      <c r="F279" s="72"/>
      <c r="G279" s="72"/>
      <c r="H279" s="17"/>
      <c r="I279" s="41" t="str" cm="1">
        <f t="array" ref="I279">IFERROR(_xlfn.IFS(H279="Hard (Cash)","N/A",H279="Soft (In-Kind)", "Enter Source"),"Select Type")</f>
        <v>Select Type</v>
      </c>
      <c r="J279" s="124"/>
      <c r="K279" s="41" t="str">
        <f>IFERROR(VLOOKUP($J279,'Project Reference'!$S$2:$T$41,2),"Enter Project Number")</f>
        <v>Enter Project Number</v>
      </c>
      <c r="L279" s="41"/>
      <c r="M279" s="41"/>
      <c r="N279" s="15">
        <f t="shared" si="4"/>
        <v>0</v>
      </c>
      <c r="O279" s="19"/>
      <c r="P279" s="42" t="str">
        <f>IFERROR(VLOOKUP($J279,'Project Reference'!$B$2:$C$41,2)," ")</f>
        <v xml:space="preserve"> </v>
      </c>
      <c r="Q279" s="42" t="str">
        <f>IFERROR(VLOOKUP($J279,'Project Reference'!$B$2:$D$41,3)," ")</f>
        <v xml:space="preserve"> </v>
      </c>
      <c r="R279" s="42" t="str">
        <f>IFERROR(VLOOKUP($J279,'Project Reference'!$B$2:$E$41,4)," ")</f>
        <v xml:space="preserve"> </v>
      </c>
      <c r="S279" s="42" t="str">
        <f>IFERROR(VLOOKUP($J279,'Project Reference'!$B$2:$F$41,5,FALSE)," ")</f>
        <v xml:space="preserve"> </v>
      </c>
      <c r="T279" s="42" t="str">
        <f>IFERROR(VLOOKUP($J279,'Project Reference'!$B$2:$G$41,6,FALSE)," ")</f>
        <v xml:space="preserve"> </v>
      </c>
      <c r="U279" s="42" t="str">
        <f>IFERROR(VLOOKUP($J279,'Project Reference'!$B$2:$H$41,7,FALSE)," ")</f>
        <v xml:space="preserve"> </v>
      </c>
      <c r="V279" s="42" t="str">
        <f>IFERROR(VLOOKUP($J279,'Project Reference'!$B$2:$I$41,8,FALSE)," ")</f>
        <v xml:space="preserve"> </v>
      </c>
      <c r="W279" s="42" t="str">
        <f>IFERROR(VLOOKUP($J279,'Project Reference'!$B$2:$J$41,9,FALSE)," ")</f>
        <v xml:space="preserve"> </v>
      </c>
      <c r="X279" s="42" t="str">
        <f>IFERROR(VLOOKUP($J279,'Project Reference'!$B$2:$K$41,10)," ")</f>
        <v xml:space="preserve"> </v>
      </c>
      <c r="Y279" s="42" t="str">
        <f>IFERROR(VLOOKUP($J279,'Project Reference'!$B$2:$L$41,11)," ")</f>
        <v xml:space="preserve"> </v>
      </c>
      <c r="Z279" s="42" t="str">
        <f>IFERROR(VLOOKUP($J279,'Project Reference'!$B$2:$M$41,12)," ")</f>
        <v xml:space="preserve"> </v>
      </c>
      <c r="AA279" s="42" t="str">
        <f>IFERROR(VLOOKUP($J279,'Project Reference'!$B$2:$N$41,13)," ")</f>
        <v xml:space="preserve"> </v>
      </c>
    </row>
    <row r="280" spans="1:27" s="1" customFormat="1" x14ac:dyDescent="0.45">
      <c r="A280" s="43"/>
      <c r="B280" s="205"/>
      <c r="C280"/>
      <c r="D280" s="72"/>
      <c r="E280" s="72"/>
      <c r="F280" s="72"/>
      <c r="G280" s="72"/>
      <c r="H280" s="17"/>
      <c r="I280" s="41" t="str" cm="1">
        <f t="array" ref="I280">IFERROR(_xlfn.IFS(H280="Hard (Cash)","N/A",H280="Soft (In-Kind)", "Enter Source"),"Select Type")</f>
        <v>Select Type</v>
      </c>
      <c r="J280" s="124"/>
      <c r="K280" s="41" t="str">
        <f>IFERROR(VLOOKUP($J280,'Project Reference'!$S$2:$T$41,2),"Enter Project Number")</f>
        <v>Enter Project Number</v>
      </c>
      <c r="L280" s="41"/>
      <c r="M280" s="41"/>
      <c r="N280" s="15">
        <f t="shared" si="4"/>
        <v>0</v>
      </c>
      <c r="O280" s="19"/>
      <c r="P280" s="42" t="str">
        <f>IFERROR(VLOOKUP($J280,'Project Reference'!$B$2:$C$41,2)," ")</f>
        <v xml:space="preserve"> </v>
      </c>
      <c r="Q280" s="42" t="str">
        <f>IFERROR(VLOOKUP($J280,'Project Reference'!$B$2:$D$41,3)," ")</f>
        <v xml:space="preserve"> </v>
      </c>
      <c r="R280" s="42" t="str">
        <f>IFERROR(VLOOKUP($J280,'Project Reference'!$B$2:$E$41,4)," ")</f>
        <v xml:space="preserve"> </v>
      </c>
      <c r="S280" s="42" t="str">
        <f>IFERROR(VLOOKUP($J280,'Project Reference'!$B$2:$F$41,5,FALSE)," ")</f>
        <v xml:space="preserve"> </v>
      </c>
      <c r="T280" s="42" t="str">
        <f>IFERROR(VLOOKUP($J280,'Project Reference'!$B$2:$G$41,6,FALSE)," ")</f>
        <v xml:space="preserve"> </v>
      </c>
      <c r="U280" s="42" t="str">
        <f>IFERROR(VLOOKUP($J280,'Project Reference'!$B$2:$H$41,7,FALSE)," ")</f>
        <v xml:space="preserve"> </v>
      </c>
      <c r="V280" s="42" t="str">
        <f>IFERROR(VLOOKUP($J280,'Project Reference'!$B$2:$I$41,8,FALSE)," ")</f>
        <v xml:space="preserve"> </v>
      </c>
      <c r="W280" s="42" t="str">
        <f>IFERROR(VLOOKUP($J280,'Project Reference'!$B$2:$J$41,9,FALSE)," ")</f>
        <v xml:space="preserve"> </v>
      </c>
      <c r="X280" s="42" t="str">
        <f>IFERROR(VLOOKUP($J280,'Project Reference'!$B$2:$K$41,10)," ")</f>
        <v xml:space="preserve"> </v>
      </c>
      <c r="Y280" s="42" t="str">
        <f>IFERROR(VLOOKUP($J280,'Project Reference'!$B$2:$L$41,11)," ")</f>
        <v xml:space="preserve"> </v>
      </c>
      <c r="Z280" s="42" t="str">
        <f>IFERROR(VLOOKUP($J280,'Project Reference'!$B$2:$M$41,12)," ")</f>
        <v xml:space="preserve"> </v>
      </c>
      <c r="AA280" s="42" t="str">
        <f>IFERROR(VLOOKUP($J280,'Project Reference'!$B$2:$N$41,13)," ")</f>
        <v xml:space="preserve"> </v>
      </c>
    </row>
    <row r="281" spans="1:27" s="1" customFormat="1" x14ac:dyDescent="0.45">
      <c r="A281" s="43"/>
      <c r="B281" s="205"/>
      <c r="C281"/>
      <c r="D281" s="72"/>
      <c r="E281" s="72"/>
      <c r="F281" s="72"/>
      <c r="G281" s="72"/>
      <c r="H281" s="17"/>
      <c r="I281" s="41" t="str" cm="1">
        <f t="array" ref="I281">IFERROR(_xlfn.IFS(H281="Hard (Cash)","N/A",H281="Soft (In-Kind)", "Enter Source"),"Select Type")</f>
        <v>Select Type</v>
      </c>
      <c r="J281" s="124"/>
      <c r="K281" s="41" t="str">
        <f>IFERROR(VLOOKUP($J281,'Project Reference'!$S$2:$T$41,2),"Enter Project Number")</f>
        <v>Enter Project Number</v>
      </c>
      <c r="L281" s="41"/>
      <c r="M281" s="41"/>
      <c r="N281" s="15">
        <f t="shared" si="4"/>
        <v>0</v>
      </c>
      <c r="O281" s="19"/>
      <c r="P281" s="42" t="str">
        <f>IFERROR(VLOOKUP($J281,'Project Reference'!$B$2:$C$41,2)," ")</f>
        <v xml:space="preserve"> </v>
      </c>
      <c r="Q281" s="42" t="str">
        <f>IFERROR(VLOOKUP($J281,'Project Reference'!$B$2:$D$41,3)," ")</f>
        <v xml:space="preserve"> </v>
      </c>
      <c r="R281" s="42" t="str">
        <f>IFERROR(VLOOKUP($J281,'Project Reference'!$B$2:$E$41,4)," ")</f>
        <v xml:space="preserve"> </v>
      </c>
      <c r="S281" s="42" t="str">
        <f>IFERROR(VLOOKUP($J281,'Project Reference'!$B$2:$F$41,5,FALSE)," ")</f>
        <v xml:space="preserve"> </v>
      </c>
      <c r="T281" s="42" t="str">
        <f>IFERROR(VLOOKUP($J281,'Project Reference'!$B$2:$G$41,6,FALSE)," ")</f>
        <v xml:space="preserve"> </v>
      </c>
      <c r="U281" s="42" t="str">
        <f>IFERROR(VLOOKUP($J281,'Project Reference'!$B$2:$H$41,7,FALSE)," ")</f>
        <v xml:space="preserve"> </v>
      </c>
      <c r="V281" s="42" t="str">
        <f>IFERROR(VLOOKUP($J281,'Project Reference'!$B$2:$I$41,8,FALSE)," ")</f>
        <v xml:space="preserve"> </v>
      </c>
      <c r="W281" s="42" t="str">
        <f>IFERROR(VLOOKUP($J281,'Project Reference'!$B$2:$J$41,9,FALSE)," ")</f>
        <v xml:space="preserve"> </v>
      </c>
      <c r="X281" s="42" t="str">
        <f>IFERROR(VLOOKUP($J281,'Project Reference'!$B$2:$K$41,10)," ")</f>
        <v xml:space="preserve"> </v>
      </c>
      <c r="Y281" s="42" t="str">
        <f>IFERROR(VLOOKUP($J281,'Project Reference'!$B$2:$L$41,11)," ")</f>
        <v xml:space="preserve"> </v>
      </c>
      <c r="Z281" s="42" t="str">
        <f>IFERROR(VLOOKUP($J281,'Project Reference'!$B$2:$M$41,12)," ")</f>
        <v xml:space="preserve"> </v>
      </c>
      <c r="AA281" s="42" t="str">
        <f>IFERROR(VLOOKUP($J281,'Project Reference'!$B$2:$N$41,13)," ")</f>
        <v xml:space="preserve"> </v>
      </c>
    </row>
    <row r="282" spans="1:27" s="1" customFormat="1" x14ac:dyDescent="0.45">
      <c r="A282" s="43"/>
      <c r="B282" s="205"/>
      <c r="C282"/>
      <c r="D282" s="72"/>
      <c r="E282" s="72"/>
      <c r="F282" s="72"/>
      <c r="G282" s="72"/>
      <c r="H282" s="17"/>
      <c r="I282" s="41" t="str" cm="1">
        <f t="array" ref="I282">IFERROR(_xlfn.IFS(H282="Hard (Cash)","N/A",H282="Soft (In-Kind)", "Enter Source"),"Select Type")</f>
        <v>Select Type</v>
      </c>
      <c r="J282" s="124"/>
      <c r="K282" s="41" t="str">
        <f>IFERROR(VLOOKUP($J282,'Project Reference'!$S$2:$T$41,2),"Enter Project Number")</f>
        <v>Enter Project Number</v>
      </c>
      <c r="L282" s="41"/>
      <c r="M282" s="41"/>
      <c r="N282" s="15">
        <f t="shared" si="4"/>
        <v>0</v>
      </c>
      <c r="O282" s="19"/>
      <c r="P282" s="42" t="str">
        <f>IFERROR(VLOOKUP($J282,'Project Reference'!$B$2:$C$41,2)," ")</f>
        <v xml:space="preserve"> </v>
      </c>
      <c r="Q282" s="42" t="str">
        <f>IFERROR(VLOOKUP($J282,'Project Reference'!$B$2:$D$41,3)," ")</f>
        <v xml:space="preserve"> </v>
      </c>
      <c r="R282" s="42" t="str">
        <f>IFERROR(VLOOKUP($J282,'Project Reference'!$B$2:$E$41,4)," ")</f>
        <v xml:space="preserve"> </v>
      </c>
      <c r="S282" s="42" t="str">
        <f>IFERROR(VLOOKUP($J282,'Project Reference'!$B$2:$F$41,5,FALSE)," ")</f>
        <v xml:space="preserve"> </v>
      </c>
      <c r="T282" s="42" t="str">
        <f>IFERROR(VLOOKUP($J282,'Project Reference'!$B$2:$G$41,6,FALSE)," ")</f>
        <v xml:space="preserve"> </v>
      </c>
      <c r="U282" s="42" t="str">
        <f>IFERROR(VLOOKUP($J282,'Project Reference'!$B$2:$H$41,7,FALSE)," ")</f>
        <v xml:space="preserve"> </v>
      </c>
      <c r="V282" s="42" t="str">
        <f>IFERROR(VLOOKUP($J282,'Project Reference'!$B$2:$I$41,8,FALSE)," ")</f>
        <v xml:space="preserve"> </v>
      </c>
      <c r="W282" s="42" t="str">
        <f>IFERROR(VLOOKUP($J282,'Project Reference'!$B$2:$J$41,9,FALSE)," ")</f>
        <v xml:space="preserve"> </v>
      </c>
      <c r="X282" s="42" t="str">
        <f>IFERROR(VLOOKUP($J282,'Project Reference'!$B$2:$K$41,10)," ")</f>
        <v xml:space="preserve"> </v>
      </c>
      <c r="Y282" s="42" t="str">
        <f>IFERROR(VLOOKUP($J282,'Project Reference'!$B$2:$L$41,11)," ")</f>
        <v xml:space="preserve"> </v>
      </c>
      <c r="Z282" s="42" t="str">
        <f>IFERROR(VLOOKUP($J282,'Project Reference'!$B$2:$M$41,12)," ")</f>
        <v xml:space="preserve"> </v>
      </c>
      <c r="AA282" s="42" t="str">
        <f>IFERROR(VLOOKUP($J282,'Project Reference'!$B$2:$N$41,13)," ")</f>
        <v xml:space="preserve"> </v>
      </c>
    </row>
    <row r="283" spans="1:27" s="1" customFormat="1" x14ac:dyDescent="0.45">
      <c r="A283" s="43"/>
      <c r="B283" s="205"/>
      <c r="C283"/>
      <c r="D283" s="72"/>
      <c r="E283" s="72"/>
      <c r="F283" s="72"/>
      <c r="G283" s="72"/>
      <c r="H283" s="17"/>
      <c r="I283" s="41" t="str" cm="1">
        <f t="array" ref="I283">IFERROR(_xlfn.IFS(H283="Hard (Cash)","N/A",H283="Soft (In-Kind)", "Enter Source"),"Select Type")</f>
        <v>Select Type</v>
      </c>
      <c r="J283" s="124"/>
      <c r="K283" s="41" t="str">
        <f>IFERROR(VLOOKUP($J283,'Project Reference'!$S$2:$T$41,2),"Enter Project Number")</f>
        <v>Enter Project Number</v>
      </c>
      <c r="L283" s="41"/>
      <c r="M283" s="41"/>
      <c r="N283" s="15">
        <f t="shared" si="4"/>
        <v>0</v>
      </c>
      <c r="O283" s="19"/>
      <c r="P283" s="42" t="str">
        <f>IFERROR(VLOOKUP($J283,'Project Reference'!$B$2:$C$41,2)," ")</f>
        <v xml:space="preserve"> </v>
      </c>
      <c r="Q283" s="42" t="str">
        <f>IFERROR(VLOOKUP($J283,'Project Reference'!$B$2:$D$41,3)," ")</f>
        <v xml:space="preserve"> </v>
      </c>
      <c r="R283" s="42" t="str">
        <f>IFERROR(VLOOKUP($J283,'Project Reference'!$B$2:$E$41,4)," ")</f>
        <v xml:space="preserve"> </v>
      </c>
      <c r="S283" s="42" t="str">
        <f>IFERROR(VLOOKUP($J283,'Project Reference'!$B$2:$F$41,5,FALSE)," ")</f>
        <v xml:space="preserve"> </v>
      </c>
      <c r="T283" s="42" t="str">
        <f>IFERROR(VLOOKUP($J283,'Project Reference'!$B$2:$G$41,6,FALSE)," ")</f>
        <v xml:space="preserve"> </v>
      </c>
      <c r="U283" s="42" t="str">
        <f>IFERROR(VLOOKUP($J283,'Project Reference'!$B$2:$H$41,7,FALSE)," ")</f>
        <v xml:space="preserve"> </v>
      </c>
      <c r="V283" s="42" t="str">
        <f>IFERROR(VLOOKUP($J283,'Project Reference'!$B$2:$I$41,8,FALSE)," ")</f>
        <v xml:space="preserve"> </v>
      </c>
      <c r="W283" s="42" t="str">
        <f>IFERROR(VLOOKUP($J283,'Project Reference'!$B$2:$J$41,9,FALSE)," ")</f>
        <v xml:space="preserve"> </v>
      </c>
      <c r="X283" s="42" t="str">
        <f>IFERROR(VLOOKUP($J283,'Project Reference'!$B$2:$K$41,10)," ")</f>
        <v xml:space="preserve"> </v>
      </c>
      <c r="Y283" s="42" t="str">
        <f>IFERROR(VLOOKUP($J283,'Project Reference'!$B$2:$L$41,11)," ")</f>
        <v xml:space="preserve"> </v>
      </c>
      <c r="Z283" s="42" t="str">
        <f>IFERROR(VLOOKUP($J283,'Project Reference'!$B$2:$M$41,12)," ")</f>
        <v xml:space="preserve"> </v>
      </c>
      <c r="AA283" s="42" t="str">
        <f>IFERROR(VLOOKUP($J283,'Project Reference'!$B$2:$N$41,13)," ")</f>
        <v xml:space="preserve"> </v>
      </c>
    </row>
    <row r="284" spans="1:27" s="1" customFormat="1" x14ac:dyDescent="0.45">
      <c r="A284" s="43"/>
      <c r="B284" s="205"/>
      <c r="C284"/>
      <c r="D284" s="72"/>
      <c r="E284" s="72"/>
      <c r="F284" s="72"/>
      <c r="G284" s="72"/>
      <c r="H284" s="17"/>
      <c r="I284" s="41" t="str" cm="1">
        <f t="array" ref="I284">IFERROR(_xlfn.IFS(H284="Hard (Cash)","N/A",H284="Soft (In-Kind)", "Enter Source"),"Select Type")</f>
        <v>Select Type</v>
      </c>
      <c r="J284" s="124"/>
      <c r="K284" s="41" t="str">
        <f>IFERROR(VLOOKUP($J284,'Project Reference'!$S$2:$T$41,2),"Enter Project Number")</f>
        <v>Enter Project Number</v>
      </c>
      <c r="L284" s="41"/>
      <c r="M284" s="41"/>
      <c r="N284" s="15">
        <f t="shared" si="4"/>
        <v>0</v>
      </c>
      <c r="O284" s="19"/>
      <c r="P284" s="42" t="str">
        <f>IFERROR(VLOOKUP($J284,'Project Reference'!$B$2:$C$41,2)," ")</f>
        <v xml:space="preserve"> </v>
      </c>
      <c r="Q284" s="42" t="str">
        <f>IFERROR(VLOOKUP($J284,'Project Reference'!$B$2:$D$41,3)," ")</f>
        <v xml:space="preserve"> </v>
      </c>
      <c r="R284" s="42" t="str">
        <f>IFERROR(VLOOKUP($J284,'Project Reference'!$B$2:$E$41,4)," ")</f>
        <v xml:space="preserve"> </v>
      </c>
      <c r="S284" s="42" t="str">
        <f>IFERROR(VLOOKUP($J284,'Project Reference'!$B$2:$F$41,5,FALSE)," ")</f>
        <v xml:space="preserve"> </v>
      </c>
      <c r="T284" s="42" t="str">
        <f>IFERROR(VLOOKUP($J284,'Project Reference'!$B$2:$G$41,6,FALSE)," ")</f>
        <v xml:space="preserve"> </v>
      </c>
      <c r="U284" s="42" t="str">
        <f>IFERROR(VLOOKUP($J284,'Project Reference'!$B$2:$H$41,7,FALSE)," ")</f>
        <v xml:space="preserve"> </v>
      </c>
      <c r="V284" s="42" t="str">
        <f>IFERROR(VLOOKUP($J284,'Project Reference'!$B$2:$I$41,8,FALSE)," ")</f>
        <v xml:space="preserve"> </v>
      </c>
      <c r="W284" s="42" t="str">
        <f>IFERROR(VLOOKUP($J284,'Project Reference'!$B$2:$J$41,9,FALSE)," ")</f>
        <v xml:space="preserve"> </v>
      </c>
      <c r="X284" s="42" t="str">
        <f>IFERROR(VLOOKUP($J284,'Project Reference'!$B$2:$K$41,10)," ")</f>
        <v xml:space="preserve"> </v>
      </c>
      <c r="Y284" s="42" t="str">
        <f>IFERROR(VLOOKUP($J284,'Project Reference'!$B$2:$L$41,11)," ")</f>
        <v xml:space="preserve"> </v>
      </c>
      <c r="Z284" s="42" t="str">
        <f>IFERROR(VLOOKUP($J284,'Project Reference'!$B$2:$M$41,12)," ")</f>
        <v xml:space="preserve"> </v>
      </c>
      <c r="AA284" s="42" t="str">
        <f>IFERROR(VLOOKUP($J284,'Project Reference'!$B$2:$N$41,13)," ")</f>
        <v xml:space="preserve"> </v>
      </c>
    </row>
    <row r="285" spans="1:27" s="1" customFormat="1" x14ac:dyDescent="0.45">
      <c r="A285" s="43"/>
      <c r="B285" s="205"/>
      <c r="C285"/>
      <c r="D285" s="72"/>
      <c r="E285" s="72"/>
      <c r="F285" s="72"/>
      <c r="G285" s="72"/>
      <c r="H285" s="17"/>
      <c r="I285" s="41" t="str" cm="1">
        <f t="array" ref="I285">IFERROR(_xlfn.IFS(H285="Hard (Cash)","N/A",H285="Soft (In-Kind)", "Enter Source"),"Select Type")</f>
        <v>Select Type</v>
      </c>
      <c r="J285" s="124"/>
      <c r="K285" s="41" t="str">
        <f>IFERROR(VLOOKUP($J285,'Project Reference'!$S$2:$T$41,2),"Enter Project Number")</f>
        <v>Enter Project Number</v>
      </c>
      <c r="L285" s="41"/>
      <c r="M285" s="41"/>
      <c r="N285" s="15">
        <f t="shared" si="4"/>
        <v>0</v>
      </c>
      <c r="O285" s="19"/>
      <c r="P285" s="42" t="str">
        <f>IFERROR(VLOOKUP($J285,'Project Reference'!$B$2:$C$41,2)," ")</f>
        <v xml:space="preserve"> </v>
      </c>
      <c r="Q285" s="42" t="str">
        <f>IFERROR(VLOOKUP($J285,'Project Reference'!$B$2:$D$41,3)," ")</f>
        <v xml:space="preserve"> </v>
      </c>
      <c r="R285" s="42" t="str">
        <f>IFERROR(VLOOKUP($J285,'Project Reference'!$B$2:$E$41,4)," ")</f>
        <v xml:space="preserve"> </v>
      </c>
      <c r="S285" s="42" t="str">
        <f>IFERROR(VLOOKUP($J285,'Project Reference'!$B$2:$F$41,5,FALSE)," ")</f>
        <v xml:space="preserve"> </v>
      </c>
      <c r="T285" s="42" t="str">
        <f>IFERROR(VLOOKUP($J285,'Project Reference'!$B$2:$G$41,6,FALSE)," ")</f>
        <v xml:space="preserve"> </v>
      </c>
      <c r="U285" s="42" t="str">
        <f>IFERROR(VLOOKUP($J285,'Project Reference'!$B$2:$H$41,7,FALSE)," ")</f>
        <v xml:space="preserve"> </v>
      </c>
      <c r="V285" s="42" t="str">
        <f>IFERROR(VLOOKUP($J285,'Project Reference'!$B$2:$I$41,8,FALSE)," ")</f>
        <v xml:space="preserve"> </v>
      </c>
      <c r="W285" s="42" t="str">
        <f>IFERROR(VLOOKUP($J285,'Project Reference'!$B$2:$J$41,9,FALSE)," ")</f>
        <v xml:space="preserve"> </v>
      </c>
      <c r="X285" s="42" t="str">
        <f>IFERROR(VLOOKUP($J285,'Project Reference'!$B$2:$K$41,10)," ")</f>
        <v xml:space="preserve"> </v>
      </c>
      <c r="Y285" s="42" t="str">
        <f>IFERROR(VLOOKUP($J285,'Project Reference'!$B$2:$L$41,11)," ")</f>
        <v xml:space="preserve"> </v>
      </c>
      <c r="Z285" s="42" t="str">
        <f>IFERROR(VLOOKUP($J285,'Project Reference'!$B$2:$M$41,12)," ")</f>
        <v xml:space="preserve"> </v>
      </c>
      <c r="AA285" s="42" t="str">
        <f>IFERROR(VLOOKUP($J285,'Project Reference'!$B$2:$N$41,13)," ")</f>
        <v xml:space="preserve"> </v>
      </c>
    </row>
    <row r="286" spans="1:27" s="1" customFormat="1" x14ac:dyDescent="0.45">
      <c r="A286" s="43"/>
      <c r="B286" s="205"/>
      <c r="C286"/>
      <c r="D286" s="72"/>
      <c r="E286" s="72"/>
      <c r="F286" s="72"/>
      <c r="G286" s="72"/>
      <c r="H286" s="17"/>
      <c r="I286" s="41" t="str" cm="1">
        <f t="array" ref="I286">IFERROR(_xlfn.IFS(H286="Hard (Cash)","N/A",H286="Soft (In-Kind)", "Enter Source"),"Select Type")</f>
        <v>Select Type</v>
      </c>
      <c r="J286" s="124"/>
      <c r="K286" s="41" t="str">
        <f>IFERROR(VLOOKUP($J286,'Project Reference'!$S$2:$T$41,2),"Enter Project Number")</f>
        <v>Enter Project Number</v>
      </c>
      <c r="L286" s="41"/>
      <c r="M286" s="41"/>
      <c r="N286" s="15">
        <f t="shared" si="4"/>
        <v>0</v>
      </c>
      <c r="O286" s="19"/>
      <c r="P286" s="42" t="str">
        <f>IFERROR(VLOOKUP($J286,'Project Reference'!$B$2:$C$41,2)," ")</f>
        <v xml:space="preserve"> </v>
      </c>
      <c r="Q286" s="42" t="str">
        <f>IFERROR(VLOOKUP($J286,'Project Reference'!$B$2:$D$41,3)," ")</f>
        <v xml:space="preserve"> </v>
      </c>
      <c r="R286" s="42" t="str">
        <f>IFERROR(VLOOKUP($J286,'Project Reference'!$B$2:$E$41,4)," ")</f>
        <v xml:space="preserve"> </v>
      </c>
      <c r="S286" s="42" t="str">
        <f>IFERROR(VLOOKUP($J286,'Project Reference'!$B$2:$F$41,5,FALSE)," ")</f>
        <v xml:space="preserve"> </v>
      </c>
      <c r="T286" s="42" t="str">
        <f>IFERROR(VLOOKUP($J286,'Project Reference'!$B$2:$G$41,6,FALSE)," ")</f>
        <v xml:space="preserve"> </v>
      </c>
      <c r="U286" s="42" t="str">
        <f>IFERROR(VLOOKUP($J286,'Project Reference'!$B$2:$H$41,7,FALSE)," ")</f>
        <v xml:space="preserve"> </v>
      </c>
      <c r="V286" s="42" t="str">
        <f>IFERROR(VLOOKUP($J286,'Project Reference'!$B$2:$I$41,8,FALSE)," ")</f>
        <v xml:space="preserve"> </v>
      </c>
      <c r="W286" s="42" t="str">
        <f>IFERROR(VLOOKUP($J286,'Project Reference'!$B$2:$J$41,9,FALSE)," ")</f>
        <v xml:space="preserve"> </v>
      </c>
      <c r="X286" s="42" t="str">
        <f>IFERROR(VLOOKUP($J286,'Project Reference'!$B$2:$K$41,10)," ")</f>
        <v xml:space="preserve"> </v>
      </c>
      <c r="Y286" s="42" t="str">
        <f>IFERROR(VLOOKUP($J286,'Project Reference'!$B$2:$L$41,11)," ")</f>
        <v xml:space="preserve"> </v>
      </c>
      <c r="Z286" s="42" t="str">
        <f>IFERROR(VLOOKUP($J286,'Project Reference'!$B$2:$M$41,12)," ")</f>
        <v xml:space="preserve"> </v>
      </c>
      <c r="AA286" s="42" t="str">
        <f>IFERROR(VLOOKUP($J286,'Project Reference'!$B$2:$N$41,13)," ")</f>
        <v xml:space="preserve"> </v>
      </c>
    </row>
    <row r="287" spans="1:27" s="1" customFormat="1" x14ac:dyDescent="0.45">
      <c r="A287" s="43"/>
      <c r="B287" s="205"/>
      <c r="C287"/>
      <c r="D287" s="72"/>
      <c r="E287" s="72"/>
      <c r="F287" s="72"/>
      <c r="G287" s="72"/>
      <c r="H287" s="17"/>
      <c r="I287" s="41" t="str" cm="1">
        <f t="array" ref="I287">IFERROR(_xlfn.IFS(H287="Hard (Cash)","N/A",H287="Soft (In-Kind)", "Enter Source"),"Select Type")</f>
        <v>Select Type</v>
      </c>
      <c r="J287" s="124"/>
      <c r="K287" s="41" t="str">
        <f>IFERROR(VLOOKUP($J287,'Project Reference'!$S$2:$T$41,2),"Enter Project Number")</f>
        <v>Enter Project Number</v>
      </c>
      <c r="L287" s="41"/>
      <c r="M287" s="41"/>
      <c r="N287" s="15">
        <f t="shared" si="4"/>
        <v>0</v>
      </c>
      <c r="O287" s="19"/>
      <c r="P287" s="42" t="str">
        <f>IFERROR(VLOOKUP($J287,'Project Reference'!$B$2:$C$41,2)," ")</f>
        <v xml:space="preserve"> </v>
      </c>
      <c r="Q287" s="42" t="str">
        <f>IFERROR(VLOOKUP($J287,'Project Reference'!$B$2:$D$41,3)," ")</f>
        <v xml:space="preserve"> </v>
      </c>
      <c r="R287" s="42" t="str">
        <f>IFERROR(VLOOKUP($J287,'Project Reference'!$B$2:$E$41,4)," ")</f>
        <v xml:space="preserve"> </v>
      </c>
      <c r="S287" s="42" t="str">
        <f>IFERROR(VLOOKUP($J287,'Project Reference'!$B$2:$F$41,5,FALSE)," ")</f>
        <v xml:space="preserve"> </v>
      </c>
      <c r="T287" s="42" t="str">
        <f>IFERROR(VLOOKUP($J287,'Project Reference'!$B$2:$G$41,6,FALSE)," ")</f>
        <v xml:space="preserve"> </v>
      </c>
      <c r="U287" s="42" t="str">
        <f>IFERROR(VLOOKUP($J287,'Project Reference'!$B$2:$H$41,7,FALSE)," ")</f>
        <v xml:space="preserve"> </v>
      </c>
      <c r="V287" s="42" t="str">
        <f>IFERROR(VLOOKUP($J287,'Project Reference'!$B$2:$I$41,8,FALSE)," ")</f>
        <v xml:space="preserve"> </v>
      </c>
      <c r="W287" s="42" t="str">
        <f>IFERROR(VLOOKUP($J287,'Project Reference'!$B$2:$J$41,9,FALSE)," ")</f>
        <v xml:space="preserve"> </v>
      </c>
      <c r="X287" s="42" t="str">
        <f>IFERROR(VLOOKUP($J287,'Project Reference'!$B$2:$K$41,10)," ")</f>
        <v xml:space="preserve"> </v>
      </c>
      <c r="Y287" s="42" t="str">
        <f>IFERROR(VLOOKUP($J287,'Project Reference'!$B$2:$L$41,11)," ")</f>
        <v xml:space="preserve"> </v>
      </c>
      <c r="Z287" s="42" t="str">
        <f>IFERROR(VLOOKUP($J287,'Project Reference'!$B$2:$M$41,12)," ")</f>
        <v xml:space="preserve"> </v>
      </c>
      <c r="AA287" s="42" t="str">
        <f>IFERROR(VLOOKUP($J287,'Project Reference'!$B$2:$N$41,13)," ")</f>
        <v xml:space="preserve"> </v>
      </c>
    </row>
    <row r="288" spans="1:27" s="1" customFormat="1" x14ac:dyDescent="0.45">
      <c r="A288" s="43"/>
      <c r="B288" s="205"/>
      <c r="C288"/>
      <c r="D288" s="72"/>
      <c r="E288" s="72"/>
      <c r="F288" s="72"/>
      <c r="G288" s="72"/>
      <c r="H288" s="17"/>
      <c r="I288" s="41" t="str" cm="1">
        <f t="array" ref="I288">IFERROR(_xlfn.IFS(H288="Hard (Cash)","N/A",H288="Soft (In-Kind)", "Enter Source"),"Select Type")</f>
        <v>Select Type</v>
      </c>
      <c r="J288" s="124"/>
      <c r="K288" s="41" t="str">
        <f>IFERROR(VLOOKUP($J288,'Project Reference'!$S$2:$T$41,2),"Enter Project Number")</f>
        <v>Enter Project Number</v>
      </c>
      <c r="L288" s="41"/>
      <c r="M288" s="41"/>
      <c r="N288" s="15">
        <f t="shared" si="4"/>
        <v>0</v>
      </c>
      <c r="O288" s="19"/>
      <c r="P288" s="42" t="str">
        <f>IFERROR(VLOOKUP($J288,'Project Reference'!$B$2:$C$41,2)," ")</f>
        <v xml:space="preserve"> </v>
      </c>
      <c r="Q288" s="42" t="str">
        <f>IFERROR(VLOOKUP($J288,'Project Reference'!$B$2:$D$41,3)," ")</f>
        <v xml:space="preserve"> </v>
      </c>
      <c r="R288" s="42" t="str">
        <f>IFERROR(VLOOKUP($J288,'Project Reference'!$B$2:$E$41,4)," ")</f>
        <v xml:space="preserve"> </v>
      </c>
      <c r="S288" s="42" t="str">
        <f>IFERROR(VLOOKUP($J288,'Project Reference'!$B$2:$F$41,5,FALSE)," ")</f>
        <v xml:space="preserve"> </v>
      </c>
      <c r="T288" s="42" t="str">
        <f>IFERROR(VLOOKUP($J288,'Project Reference'!$B$2:$G$41,6,FALSE)," ")</f>
        <v xml:space="preserve"> </v>
      </c>
      <c r="U288" s="42" t="str">
        <f>IFERROR(VLOOKUP($J288,'Project Reference'!$B$2:$H$41,7,FALSE)," ")</f>
        <v xml:space="preserve"> </v>
      </c>
      <c r="V288" s="42" t="str">
        <f>IFERROR(VLOOKUP($J288,'Project Reference'!$B$2:$I$41,8,FALSE)," ")</f>
        <v xml:space="preserve"> </v>
      </c>
      <c r="W288" s="42" t="str">
        <f>IFERROR(VLOOKUP($J288,'Project Reference'!$B$2:$J$41,9,FALSE)," ")</f>
        <v xml:space="preserve"> </v>
      </c>
      <c r="X288" s="42" t="str">
        <f>IFERROR(VLOOKUP($J288,'Project Reference'!$B$2:$K$41,10)," ")</f>
        <v xml:space="preserve"> </v>
      </c>
      <c r="Y288" s="42" t="str">
        <f>IFERROR(VLOOKUP($J288,'Project Reference'!$B$2:$L$41,11)," ")</f>
        <v xml:space="preserve"> </v>
      </c>
      <c r="Z288" s="42" t="str">
        <f>IFERROR(VLOOKUP($J288,'Project Reference'!$B$2:$M$41,12)," ")</f>
        <v xml:space="preserve"> </v>
      </c>
      <c r="AA288" s="42" t="str">
        <f>IFERROR(VLOOKUP($J288,'Project Reference'!$B$2:$N$41,13)," ")</f>
        <v xml:space="preserve"> </v>
      </c>
    </row>
    <row r="289" spans="1:27" s="1" customFormat="1" x14ac:dyDescent="0.45">
      <c r="A289" s="43"/>
      <c r="B289" s="205"/>
      <c r="C289"/>
      <c r="D289" s="72"/>
      <c r="E289" s="72"/>
      <c r="F289" s="72"/>
      <c r="G289" s="72"/>
      <c r="H289" s="17"/>
      <c r="I289" s="41" t="str" cm="1">
        <f t="array" ref="I289">IFERROR(_xlfn.IFS(H289="Hard (Cash)","N/A",H289="Soft (In-Kind)", "Enter Source"),"Select Type")</f>
        <v>Select Type</v>
      </c>
      <c r="J289" s="124"/>
      <c r="K289" s="41" t="str">
        <f>IFERROR(VLOOKUP($J289,'Project Reference'!$S$2:$T$41,2),"Enter Project Number")</f>
        <v>Enter Project Number</v>
      </c>
      <c r="L289" s="41"/>
      <c r="M289" s="41"/>
      <c r="N289" s="15">
        <f t="shared" si="4"/>
        <v>0</v>
      </c>
      <c r="O289" s="19"/>
      <c r="P289" s="42" t="str">
        <f>IFERROR(VLOOKUP($J289,'Project Reference'!$B$2:$C$41,2)," ")</f>
        <v xml:space="preserve"> </v>
      </c>
      <c r="Q289" s="42" t="str">
        <f>IFERROR(VLOOKUP($J289,'Project Reference'!$B$2:$D$41,3)," ")</f>
        <v xml:space="preserve"> </v>
      </c>
      <c r="R289" s="42" t="str">
        <f>IFERROR(VLOOKUP($J289,'Project Reference'!$B$2:$E$41,4)," ")</f>
        <v xml:space="preserve"> </v>
      </c>
      <c r="S289" s="42" t="str">
        <f>IFERROR(VLOOKUP($J289,'Project Reference'!$B$2:$F$41,5,FALSE)," ")</f>
        <v xml:space="preserve"> </v>
      </c>
      <c r="T289" s="42" t="str">
        <f>IFERROR(VLOOKUP($J289,'Project Reference'!$B$2:$G$41,6,FALSE)," ")</f>
        <v xml:space="preserve"> </v>
      </c>
      <c r="U289" s="42" t="str">
        <f>IFERROR(VLOOKUP($J289,'Project Reference'!$B$2:$H$41,7,FALSE)," ")</f>
        <v xml:space="preserve"> </v>
      </c>
      <c r="V289" s="42" t="str">
        <f>IFERROR(VLOOKUP($J289,'Project Reference'!$B$2:$I$41,8,FALSE)," ")</f>
        <v xml:space="preserve"> </v>
      </c>
      <c r="W289" s="42" t="str">
        <f>IFERROR(VLOOKUP($J289,'Project Reference'!$B$2:$J$41,9,FALSE)," ")</f>
        <v xml:space="preserve"> </v>
      </c>
      <c r="X289" s="42" t="str">
        <f>IFERROR(VLOOKUP($J289,'Project Reference'!$B$2:$K$41,10)," ")</f>
        <v xml:space="preserve"> </v>
      </c>
      <c r="Y289" s="42" t="str">
        <f>IFERROR(VLOOKUP($J289,'Project Reference'!$B$2:$L$41,11)," ")</f>
        <v xml:space="preserve"> </v>
      </c>
      <c r="Z289" s="42" t="str">
        <f>IFERROR(VLOOKUP($J289,'Project Reference'!$B$2:$M$41,12)," ")</f>
        <v xml:space="preserve"> </v>
      </c>
      <c r="AA289" s="42" t="str">
        <f>IFERROR(VLOOKUP($J289,'Project Reference'!$B$2:$N$41,13)," ")</f>
        <v xml:space="preserve"> </v>
      </c>
    </row>
    <row r="290" spans="1:27" s="1" customFormat="1" x14ac:dyDescent="0.45">
      <c r="A290" s="43"/>
      <c r="B290" s="205"/>
      <c r="C290"/>
      <c r="D290" s="72"/>
      <c r="E290" s="72"/>
      <c r="F290" s="72"/>
      <c r="G290" s="72"/>
      <c r="H290" s="17"/>
      <c r="I290" s="41" t="str" cm="1">
        <f t="array" ref="I290">IFERROR(_xlfn.IFS(H290="Hard (Cash)","N/A",H290="Soft (In-Kind)", "Enter Source"),"Select Type")</f>
        <v>Select Type</v>
      </c>
      <c r="J290" s="124"/>
      <c r="K290" s="41" t="str">
        <f>IFERROR(VLOOKUP($J290,'Project Reference'!$S$2:$T$41,2),"Enter Project Number")</f>
        <v>Enter Project Number</v>
      </c>
      <c r="L290" s="41"/>
      <c r="M290" s="41"/>
      <c r="N290" s="15">
        <f t="shared" si="4"/>
        <v>0</v>
      </c>
      <c r="O290" s="19"/>
      <c r="P290" s="42" t="str">
        <f>IFERROR(VLOOKUP($J290,'Project Reference'!$B$2:$C$41,2)," ")</f>
        <v xml:space="preserve"> </v>
      </c>
      <c r="Q290" s="42" t="str">
        <f>IFERROR(VLOOKUP($J290,'Project Reference'!$B$2:$D$41,3)," ")</f>
        <v xml:space="preserve"> </v>
      </c>
      <c r="R290" s="42" t="str">
        <f>IFERROR(VLOOKUP($J290,'Project Reference'!$B$2:$E$41,4)," ")</f>
        <v xml:space="preserve"> </v>
      </c>
      <c r="S290" s="42" t="str">
        <f>IFERROR(VLOOKUP($J290,'Project Reference'!$B$2:$F$41,5,FALSE)," ")</f>
        <v xml:space="preserve"> </v>
      </c>
      <c r="T290" s="42" t="str">
        <f>IFERROR(VLOOKUP($J290,'Project Reference'!$B$2:$G$41,6,FALSE)," ")</f>
        <v xml:space="preserve"> </v>
      </c>
      <c r="U290" s="42" t="str">
        <f>IFERROR(VLOOKUP($J290,'Project Reference'!$B$2:$H$41,7,FALSE)," ")</f>
        <v xml:space="preserve"> </v>
      </c>
      <c r="V290" s="42" t="str">
        <f>IFERROR(VLOOKUP($J290,'Project Reference'!$B$2:$I$41,8,FALSE)," ")</f>
        <v xml:space="preserve"> </v>
      </c>
      <c r="W290" s="42" t="str">
        <f>IFERROR(VLOOKUP($J290,'Project Reference'!$B$2:$J$41,9,FALSE)," ")</f>
        <v xml:space="preserve"> </v>
      </c>
      <c r="X290" s="42" t="str">
        <f>IFERROR(VLOOKUP($J290,'Project Reference'!$B$2:$K$41,10)," ")</f>
        <v xml:space="preserve"> </v>
      </c>
      <c r="Y290" s="42" t="str">
        <f>IFERROR(VLOOKUP($J290,'Project Reference'!$B$2:$L$41,11)," ")</f>
        <v xml:space="preserve"> </v>
      </c>
      <c r="Z290" s="42" t="str">
        <f>IFERROR(VLOOKUP($J290,'Project Reference'!$B$2:$M$41,12)," ")</f>
        <v xml:space="preserve"> </v>
      </c>
      <c r="AA290" s="42" t="str">
        <f>IFERROR(VLOOKUP($J290,'Project Reference'!$B$2:$N$41,13)," ")</f>
        <v xml:space="preserve"> </v>
      </c>
    </row>
    <row r="291" spans="1:27" s="1" customFormat="1" x14ac:dyDescent="0.45">
      <c r="A291" s="43"/>
      <c r="B291" s="205"/>
      <c r="C291"/>
      <c r="D291" s="72"/>
      <c r="E291" s="72"/>
      <c r="F291" s="72"/>
      <c r="G291" s="72"/>
      <c r="H291" s="17"/>
      <c r="I291" s="41" t="str" cm="1">
        <f t="array" ref="I291">IFERROR(_xlfn.IFS(H291="Hard (Cash)","N/A",H291="Soft (In-Kind)", "Enter Source"),"Select Type")</f>
        <v>Select Type</v>
      </c>
      <c r="J291" s="124"/>
      <c r="K291" s="41" t="str">
        <f>IFERROR(VLOOKUP($J291,'Project Reference'!$S$2:$T$41,2),"Enter Project Number")</f>
        <v>Enter Project Number</v>
      </c>
      <c r="L291" s="41"/>
      <c r="M291" s="41"/>
      <c r="N291" s="15">
        <f t="shared" si="4"/>
        <v>0</v>
      </c>
      <c r="O291" s="19"/>
      <c r="P291" s="42" t="str">
        <f>IFERROR(VLOOKUP($J291,'Project Reference'!$B$2:$C$41,2)," ")</f>
        <v xml:space="preserve"> </v>
      </c>
      <c r="Q291" s="42" t="str">
        <f>IFERROR(VLOOKUP($J291,'Project Reference'!$B$2:$D$41,3)," ")</f>
        <v xml:space="preserve"> </v>
      </c>
      <c r="R291" s="42" t="str">
        <f>IFERROR(VLOOKUP($J291,'Project Reference'!$B$2:$E$41,4)," ")</f>
        <v xml:space="preserve"> </v>
      </c>
      <c r="S291" s="42" t="str">
        <f>IFERROR(VLOOKUP($J291,'Project Reference'!$B$2:$F$41,5,FALSE)," ")</f>
        <v xml:space="preserve"> </v>
      </c>
      <c r="T291" s="42" t="str">
        <f>IFERROR(VLOOKUP($J291,'Project Reference'!$B$2:$G$41,6,FALSE)," ")</f>
        <v xml:space="preserve"> </v>
      </c>
      <c r="U291" s="42" t="str">
        <f>IFERROR(VLOOKUP($J291,'Project Reference'!$B$2:$H$41,7,FALSE)," ")</f>
        <v xml:space="preserve"> </v>
      </c>
      <c r="V291" s="42" t="str">
        <f>IFERROR(VLOOKUP($J291,'Project Reference'!$B$2:$I$41,8,FALSE)," ")</f>
        <v xml:space="preserve"> </v>
      </c>
      <c r="W291" s="42" t="str">
        <f>IFERROR(VLOOKUP($J291,'Project Reference'!$B$2:$J$41,9,FALSE)," ")</f>
        <v xml:space="preserve"> </v>
      </c>
      <c r="X291" s="42" t="str">
        <f>IFERROR(VLOOKUP($J291,'Project Reference'!$B$2:$K$41,10)," ")</f>
        <v xml:space="preserve"> </v>
      </c>
      <c r="Y291" s="42" t="str">
        <f>IFERROR(VLOOKUP($J291,'Project Reference'!$B$2:$L$41,11)," ")</f>
        <v xml:space="preserve"> </v>
      </c>
      <c r="Z291" s="42" t="str">
        <f>IFERROR(VLOOKUP($J291,'Project Reference'!$B$2:$M$41,12)," ")</f>
        <v xml:space="preserve"> </v>
      </c>
      <c r="AA291" s="42" t="str">
        <f>IFERROR(VLOOKUP($J291,'Project Reference'!$B$2:$N$41,13)," ")</f>
        <v xml:space="preserve"> </v>
      </c>
    </row>
    <row r="292" spans="1:27" s="1" customFormat="1" x14ac:dyDescent="0.45">
      <c r="A292" s="43"/>
      <c r="B292" s="205"/>
      <c r="C292"/>
      <c r="D292" s="72"/>
      <c r="E292" s="72"/>
      <c r="F292" s="72"/>
      <c r="G292" s="72"/>
      <c r="H292" s="17"/>
      <c r="I292" s="41" t="str" cm="1">
        <f t="array" ref="I292">IFERROR(_xlfn.IFS(H292="Hard (Cash)","N/A",H292="Soft (In-Kind)", "Enter Source"),"Select Type")</f>
        <v>Select Type</v>
      </c>
      <c r="J292" s="124"/>
      <c r="K292" s="41" t="str">
        <f>IFERROR(VLOOKUP($J292,'Project Reference'!$S$2:$T$41,2),"Enter Project Number")</f>
        <v>Enter Project Number</v>
      </c>
      <c r="L292" s="41"/>
      <c r="M292" s="41"/>
      <c r="N292" s="15">
        <f t="shared" si="4"/>
        <v>0</v>
      </c>
      <c r="O292" s="19"/>
      <c r="P292" s="42" t="str">
        <f>IFERROR(VLOOKUP($J292,'Project Reference'!$B$2:$C$41,2)," ")</f>
        <v xml:space="preserve"> </v>
      </c>
      <c r="Q292" s="42" t="str">
        <f>IFERROR(VLOOKUP($J292,'Project Reference'!$B$2:$D$41,3)," ")</f>
        <v xml:space="preserve"> </v>
      </c>
      <c r="R292" s="42" t="str">
        <f>IFERROR(VLOOKUP($J292,'Project Reference'!$B$2:$E$41,4)," ")</f>
        <v xml:space="preserve"> </v>
      </c>
      <c r="S292" s="42" t="str">
        <f>IFERROR(VLOOKUP($J292,'Project Reference'!$B$2:$F$41,5,FALSE)," ")</f>
        <v xml:space="preserve"> </v>
      </c>
      <c r="T292" s="42" t="str">
        <f>IFERROR(VLOOKUP($J292,'Project Reference'!$B$2:$G$41,6,FALSE)," ")</f>
        <v xml:space="preserve"> </v>
      </c>
      <c r="U292" s="42" t="str">
        <f>IFERROR(VLOOKUP($J292,'Project Reference'!$B$2:$H$41,7,FALSE)," ")</f>
        <v xml:space="preserve"> </v>
      </c>
      <c r="V292" s="42" t="str">
        <f>IFERROR(VLOOKUP($J292,'Project Reference'!$B$2:$I$41,8,FALSE)," ")</f>
        <v xml:space="preserve"> </v>
      </c>
      <c r="W292" s="42" t="str">
        <f>IFERROR(VLOOKUP($J292,'Project Reference'!$B$2:$J$41,9,FALSE)," ")</f>
        <v xml:space="preserve"> </v>
      </c>
      <c r="X292" s="42" t="str">
        <f>IFERROR(VLOOKUP($J292,'Project Reference'!$B$2:$K$41,10)," ")</f>
        <v xml:space="preserve"> </v>
      </c>
      <c r="Y292" s="42" t="str">
        <f>IFERROR(VLOOKUP($J292,'Project Reference'!$B$2:$L$41,11)," ")</f>
        <v xml:space="preserve"> </v>
      </c>
      <c r="Z292" s="42" t="str">
        <f>IFERROR(VLOOKUP($J292,'Project Reference'!$B$2:$M$41,12)," ")</f>
        <v xml:space="preserve"> </v>
      </c>
      <c r="AA292" s="42" t="str">
        <f>IFERROR(VLOOKUP($J292,'Project Reference'!$B$2:$N$41,13)," ")</f>
        <v xml:space="preserve"> </v>
      </c>
    </row>
    <row r="293" spans="1:27" s="1" customFormat="1" x14ac:dyDescent="0.45">
      <c r="A293" s="43"/>
      <c r="B293" s="205"/>
      <c r="C293"/>
      <c r="D293" s="72"/>
      <c r="E293" s="72"/>
      <c r="F293" s="72"/>
      <c r="G293" s="72"/>
      <c r="H293" s="17"/>
      <c r="I293" s="41" t="str" cm="1">
        <f t="array" ref="I293">IFERROR(_xlfn.IFS(H293="Hard (Cash)","N/A",H293="Soft (In-Kind)", "Enter Source"),"Select Type")</f>
        <v>Select Type</v>
      </c>
      <c r="J293" s="124"/>
      <c r="K293" s="41" t="str">
        <f>IFERROR(VLOOKUP($J293,'Project Reference'!$S$2:$T$41,2),"Enter Project Number")</f>
        <v>Enter Project Number</v>
      </c>
      <c r="L293" s="41"/>
      <c r="M293" s="41"/>
      <c r="N293" s="15">
        <f t="shared" si="4"/>
        <v>0</v>
      </c>
      <c r="O293" s="19"/>
      <c r="P293" s="42" t="str">
        <f>IFERROR(VLOOKUP($J293,'Project Reference'!$B$2:$C$41,2)," ")</f>
        <v xml:space="preserve"> </v>
      </c>
      <c r="Q293" s="42" t="str">
        <f>IFERROR(VLOOKUP($J293,'Project Reference'!$B$2:$D$41,3)," ")</f>
        <v xml:space="preserve"> </v>
      </c>
      <c r="R293" s="42" t="str">
        <f>IFERROR(VLOOKUP($J293,'Project Reference'!$B$2:$E$41,4)," ")</f>
        <v xml:space="preserve"> </v>
      </c>
      <c r="S293" s="42" t="str">
        <f>IFERROR(VLOOKUP($J293,'Project Reference'!$B$2:$F$41,5,FALSE)," ")</f>
        <v xml:space="preserve"> </v>
      </c>
      <c r="T293" s="42" t="str">
        <f>IFERROR(VLOOKUP($J293,'Project Reference'!$B$2:$G$41,6,FALSE)," ")</f>
        <v xml:space="preserve"> </v>
      </c>
      <c r="U293" s="42" t="str">
        <f>IFERROR(VLOOKUP($J293,'Project Reference'!$B$2:$H$41,7,FALSE)," ")</f>
        <v xml:space="preserve"> </v>
      </c>
      <c r="V293" s="42" t="str">
        <f>IFERROR(VLOOKUP($J293,'Project Reference'!$B$2:$I$41,8,FALSE)," ")</f>
        <v xml:space="preserve"> </v>
      </c>
      <c r="W293" s="42" t="str">
        <f>IFERROR(VLOOKUP($J293,'Project Reference'!$B$2:$J$41,9,FALSE)," ")</f>
        <v xml:space="preserve"> </v>
      </c>
      <c r="X293" s="42" t="str">
        <f>IFERROR(VLOOKUP($J293,'Project Reference'!$B$2:$K$41,10)," ")</f>
        <v xml:space="preserve"> </v>
      </c>
      <c r="Y293" s="42" t="str">
        <f>IFERROR(VLOOKUP($J293,'Project Reference'!$B$2:$L$41,11)," ")</f>
        <v xml:space="preserve"> </v>
      </c>
      <c r="Z293" s="42" t="str">
        <f>IFERROR(VLOOKUP($J293,'Project Reference'!$B$2:$M$41,12)," ")</f>
        <v xml:space="preserve"> </v>
      </c>
      <c r="AA293" s="42" t="str">
        <f>IFERROR(VLOOKUP($J293,'Project Reference'!$B$2:$N$41,13)," ")</f>
        <v xml:space="preserve"> </v>
      </c>
    </row>
    <row r="294" spans="1:27" s="1" customFormat="1" x14ac:dyDescent="0.45">
      <c r="A294" s="43"/>
      <c r="B294" s="205"/>
      <c r="C294"/>
      <c r="D294" s="72"/>
      <c r="E294" s="72"/>
      <c r="F294" s="72"/>
      <c r="G294" s="72"/>
      <c r="H294" s="17"/>
      <c r="I294" s="41" t="str" cm="1">
        <f t="array" ref="I294">IFERROR(_xlfn.IFS(H294="Hard (Cash)","N/A",H294="Soft (In-Kind)", "Enter Source"),"Select Type")</f>
        <v>Select Type</v>
      </c>
      <c r="J294" s="124"/>
      <c r="K294" s="41" t="str">
        <f>IFERROR(VLOOKUP($J294,'Project Reference'!$S$2:$T$41,2),"Enter Project Number")</f>
        <v>Enter Project Number</v>
      </c>
      <c r="L294" s="41"/>
      <c r="M294" s="41"/>
      <c r="N294" s="15">
        <f t="shared" si="4"/>
        <v>0</v>
      </c>
      <c r="O294" s="19"/>
      <c r="P294" s="42" t="str">
        <f>IFERROR(VLOOKUP($J294,'Project Reference'!$B$2:$C$41,2)," ")</f>
        <v xml:space="preserve"> </v>
      </c>
      <c r="Q294" s="42" t="str">
        <f>IFERROR(VLOOKUP($J294,'Project Reference'!$B$2:$D$41,3)," ")</f>
        <v xml:space="preserve"> </v>
      </c>
      <c r="R294" s="42" t="str">
        <f>IFERROR(VLOOKUP($J294,'Project Reference'!$B$2:$E$41,4)," ")</f>
        <v xml:space="preserve"> </v>
      </c>
      <c r="S294" s="42" t="str">
        <f>IFERROR(VLOOKUP($J294,'Project Reference'!$B$2:$F$41,5,FALSE)," ")</f>
        <v xml:space="preserve"> </v>
      </c>
      <c r="T294" s="42" t="str">
        <f>IFERROR(VLOOKUP($J294,'Project Reference'!$B$2:$G$41,6,FALSE)," ")</f>
        <v xml:space="preserve"> </v>
      </c>
      <c r="U294" s="42" t="str">
        <f>IFERROR(VLOOKUP($J294,'Project Reference'!$B$2:$H$41,7,FALSE)," ")</f>
        <v xml:space="preserve"> </v>
      </c>
      <c r="V294" s="42" t="str">
        <f>IFERROR(VLOOKUP($J294,'Project Reference'!$B$2:$I$41,8,FALSE)," ")</f>
        <v xml:space="preserve"> </v>
      </c>
      <c r="W294" s="42" t="str">
        <f>IFERROR(VLOOKUP($J294,'Project Reference'!$B$2:$J$41,9,FALSE)," ")</f>
        <v xml:space="preserve"> </v>
      </c>
      <c r="X294" s="42" t="str">
        <f>IFERROR(VLOOKUP($J294,'Project Reference'!$B$2:$K$41,10)," ")</f>
        <v xml:space="preserve"> </v>
      </c>
      <c r="Y294" s="42" t="str">
        <f>IFERROR(VLOOKUP($J294,'Project Reference'!$B$2:$L$41,11)," ")</f>
        <v xml:space="preserve"> </v>
      </c>
      <c r="Z294" s="42" t="str">
        <f>IFERROR(VLOOKUP($J294,'Project Reference'!$B$2:$M$41,12)," ")</f>
        <v xml:space="preserve"> </v>
      </c>
      <c r="AA294" s="42" t="str">
        <f>IFERROR(VLOOKUP($J294,'Project Reference'!$B$2:$N$41,13)," ")</f>
        <v xml:space="preserve"> </v>
      </c>
    </row>
    <row r="295" spans="1:27" s="1" customFormat="1" x14ac:dyDescent="0.45">
      <c r="A295" s="43"/>
      <c r="B295" s="205"/>
      <c r="C295"/>
      <c r="D295" s="72"/>
      <c r="E295" s="72"/>
      <c r="F295" s="72"/>
      <c r="G295" s="72"/>
      <c r="H295" s="17"/>
      <c r="I295" s="41" t="str" cm="1">
        <f t="array" ref="I295">IFERROR(_xlfn.IFS(H295="Hard (Cash)","N/A",H295="Soft (In-Kind)", "Enter Source"),"Select Type")</f>
        <v>Select Type</v>
      </c>
      <c r="J295" s="124"/>
      <c r="K295" s="41" t="str">
        <f>IFERROR(VLOOKUP($J295,'Project Reference'!$S$2:$T$41,2),"Enter Project Number")</f>
        <v>Enter Project Number</v>
      </c>
      <c r="L295" s="41"/>
      <c r="M295" s="41"/>
      <c r="N295" s="15">
        <f t="shared" si="4"/>
        <v>0</v>
      </c>
      <c r="O295" s="19"/>
      <c r="P295" s="42" t="str">
        <f>IFERROR(VLOOKUP($J295,'Project Reference'!$B$2:$C$41,2)," ")</f>
        <v xml:space="preserve"> </v>
      </c>
      <c r="Q295" s="42" t="str">
        <f>IFERROR(VLOOKUP($J295,'Project Reference'!$B$2:$D$41,3)," ")</f>
        <v xml:space="preserve"> </v>
      </c>
      <c r="R295" s="42" t="str">
        <f>IFERROR(VLOOKUP($J295,'Project Reference'!$B$2:$E$41,4)," ")</f>
        <v xml:space="preserve"> </v>
      </c>
      <c r="S295" s="42" t="str">
        <f>IFERROR(VLOOKUP($J295,'Project Reference'!$B$2:$F$41,5,FALSE)," ")</f>
        <v xml:space="preserve"> </v>
      </c>
      <c r="T295" s="42" t="str">
        <f>IFERROR(VLOOKUP($J295,'Project Reference'!$B$2:$G$41,6,FALSE)," ")</f>
        <v xml:space="preserve"> </v>
      </c>
      <c r="U295" s="42" t="str">
        <f>IFERROR(VLOOKUP($J295,'Project Reference'!$B$2:$H$41,7,FALSE)," ")</f>
        <v xml:space="preserve"> </v>
      </c>
      <c r="V295" s="42" t="str">
        <f>IFERROR(VLOOKUP($J295,'Project Reference'!$B$2:$I$41,8,FALSE)," ")</f>
        <v xml:space="preserve"> </v>
      </c>
      <c r="W295" s="42" t="str">
        <f>IFERROR(VLOOKUP($J295,'Project Reference'!$B$2:$J$41,9,FALSE)," ")</f>
        <v xml:space="preserve"> </v>
      </c>
      <c r="X295" s="42" t="str">
        <f>IFERROR(VLOOKUP($J295,'Project Reference'!$B$2:$K$41,10)," ")</f>
        <v xml:space="preserve"> </v>
      </c>
      <c r="Y295" s="42" t="str">
        <f>IFERROR(VLOOKUP($J295,'Project Reference'!$B$2:$L$41,11)," ")</f>
        <v xml:space="preserve"> </v>
      </c>
      <c r="Z295" s="42" t="str">
        <f>IFERROR(VLOOKUP($J295,'Project Reference'!$B$2:$M$41,12)," ")</f>
        <v xml:space="preserve"> </v>
      </c>
      <c r="AA295" s="42" t="str">
        <f>IFERROR(VLOOKUP($J295,'Project Reference'!$B$2:$N$41,13)," ")</f>
        <v xml:space="preserve"> </v>
      </c>
    </row>
    <row r="296" spans="1:27" s="1" customFormat="1" x14ac:dyDescent="0.45">
      <c r="A296" s="43"/>
      <c r="B296" s="205"/>
      <c r="C296"/>
      <c r="D296" s="72"/>
      <c r="E296" s="72"/>
      <c r="F296" s="72"/>
      <c r="G296" s="72"/>
      <c r="H296" s="17"/>
      <c r="I296" s="41" t="str" cm="1">
        <f t="array" ref="I296">IFERROR(_xlfn.IFS(H296="Hard (Cash)","N/A",H296="Soft (In-Kind)", "Enter Source"),"Select Type")</f>
        <v>Select Type</v>
      </c>
      <c r="J296" s="124"/>
      <c r="K296" s="41" t="str">
        <f>IFERROR(VLOOKUP($J296,'Project Reference'!$S$2:$T$41,2),"Enter Project Number")</f>
        <v>Enter Project Number</v>
      </c>
      <c r="L296" s="41"/>
      <c r="M296" s="41"/>
      <c r="N296" s="15">
        <f t="shared" si="4"/>
        <v>0</v>
      </c>
      <c r="O296" s="19"/>
      <c r="P296" s="42" t="str">
        <f>IFERROR(VLOOKUP($J296,'Project Reference'!$B$2:$C$41,2)," ")</f>
        <v xml:space="preserve"> </v>
      </c>
      <c r="Q296" s="42" t="str">
        <f>IFERROR(VLOOKUP($J296,'Project Reference'!$B$2:$D$41,3)," ")</f>
        <v xml:space="preserve"> </v>
      </c>
      <c r="R296" s="42" t="str">
        <f>IFERROR(VLOOKUP($J296,'Project Reference'!$B$2:$E$41,4)," ")</f>
        <v xml:space="preserve"> </v>
      </c>
      <c r="S296" s="42" t="str">
        <f>IFERROR(VLOOKUP($J296,'Project Reference'!$B$2:$F$41,5,FALSE)," ")</f>
        <v xml:space="preserve"> </v>
      </c>
      <c r="T296" s="42" t="str">
        <f>IFERROR(VLOOKUP($J296,'Project Reference'!$B$2:$G$41,6,FALSE)," ")</f>
        <v xml:space="preserve"> </v>
      </c>
      <c r="U296" s="42" t="str">
        <f>IFERROR(VLOOKUP($J296,'Project Reference'!$B$2:$H$41,7,FALSE)," ")</f>
        <v xml:space="preserve"> </v>
      </c>
      <c r="V296" s="42" t="str">
        <f>IFERROR(VLOOKUP($J296,'Project Reference'!$B$2:$I$41,8,FALSE)," ")</f>
        <v xml:space="preserve"> </v>
      </c>
      <c r="W296" s="42" t="str">
        <f>IFERROR(VLOOKUP($J296,'Project Reference'!$B$2:$J$41,9,FALSE)," ")</f>
        <v xml:space="preserve"> </v>
      </c>
      <c r="X296" s="42" t="str">
        <f>IFERROR(VLOOKUP($J296,'Project Reference'!$B$2:$K$41,10)," ")</f>
        <v xml:space="preserve"> </v>
      </c>
      <c r="Y296" s="42" t="str">
        <f>IFERROR(VLOOKUP($J296,'Project Reference'!$B$2:$L$41,11)," ")</f>
        <v xml:space="preserve"> </v>
      </c>
      <c r="Z296" s="42" t="str">
        <f>IFERROR(VLOOKUP($J296,'Project Reference'!$B$2:$M$41,12)," ")</f>
        <v xml:space="preserve"> </v>
      </c>
      <c r="AA296" s="42" t="str">
        <f>IFERROR(VLOOKUP($J296,'Project Reference'!$B$2:$N$41,13)," ")</f>
        <v xml:space="preserve"> </v>
      </c>
    </row>
    <row r="297" spans="1:27" s="1" customFormat="1" x14ac:dyDescent="0.45">
      <c r="A297" s="43"/>
      <c r="B297" s="205"/>
      <c r="C297"/>
      <c r="D297" s="72"/>
      <c r="E297" s="72"/>
      <c r="F297" s="72"/>
      <c r="G297" s="72"/>
      <c r="H297" s="17"/>
      <c r="I297" s="41" t="str" cm="1">
        <f t="array" ref="I297">IFERROR(_xlfn.IFS(H297="Hard (Cash)","N/A",H297="Soft (In-Kind)", "Enter Source"),"Select Type")</f>
        <v>Select Type</v>
      </c>
      <c r="J297" s="124"/>
      <c r="K297" s="41" t="str">
        <f>IFERROR(VLOOKUP($J297,'Project Reference'!$S$2:$T$41,2),"Enter Project Number")</f>
        <v>Enter Project Number</v>
      </c>
      <c r="L297" s="41"/>
      <c r="M297" s="41"/>
      <c r="N297" s="15">
        <f t="shared" si="4"/>
        <v>0</v>
      </c>
      <c r="O297" s="19"/>
      <c r="P297" s="42" t="str">
        <f>IFERROR(VLOOKUP($J297,'Project Reference'!$B$2:$C$41,2)," ")</f>
        <v xml:space="preserve"> </v>
      </c>
      <c r="Q297" s="42" t="str">
        <f>IFERROR(VLOOKUP($J297,'Project Reference'!$B$2:$D$41,3)," ")</f>
        <v xml:space="preserve"> </v>
      </c>
      <c r="R297" s="42" t="str">
        <f>IFERROR(VLOOKUP($J297,'Project Reference'!$B$2:$E$41,4)," ")</f>
        <v xml:space="preserve"> </v>
      </c>
      <c r="S297" s="42" t="str">
        <f>IFERROR(VLOOKUP($J297,'Project Reference'!$B$2:$F$41,5,FALSE)," ")</f>
        <v xml:space="preserve"> </v>
      </c>
      <c r="T297" s="42" t="str">
        <f>IFERROR(VLOOKUP($J297,'Project Reference'!$B$2:$G$41,6,FALSE)," ")</f>
        <v xml:space="preserve"> </v>
      </c>
      <c r="U297" s="42" t="str">
        <f>IFERROR(VLOOKUP($J297,'Project Reference'!$B$2:$H$41,7,FALSE)," ")</f>
        <v xml:space="preserve"> </v>
      </c>
      <c r="V297" s="42" t="str">
        <f>IFERROR(VLOOKUP($J297,'Project Reference'!$B$2:$I$41,8,FALSE)," ")</f>
        <v xml:space="preserve"> </v>
      </c>
      <c r="W297" s="42" t="str">
        <f>IFERROR(VLOOKUP($J297,'Project Reference'!$B$2:$J$41,9,FALSE)," ")</f>
        <v xml:space="preserve"> </v>
      </c>
      <c r="X297" s="42" t="str">
        <f>IFERROR(VLOOKUP($J297,'Project Reference'!$B$2:$K$41,10)," ")</f>
        <v xml:space="preserve"> </v>
      </c>
      <c r="Y297" s="42" t="str">
        <f>IFERROR(VLOOKUP($J297,'Project Reference'!$B$2:$L$41,11)," ")</f>
        <v xml:space="preserve"> </v>
      </c>
      <c r="Z297" s="42" t="str">
        <f>IFERROR(VLOOKUP($J297,'Project Reference'!$B$2:$M$41,12)," ")</f>
        <v xml:space="preserve"> </v>
      </c>
      <c r="AA297" s="42" t="str">
        <f>IFERROR(VLOOKUP($J297,'Project Reference'!$B$2:$N$41,13)," ")</f>
        <v xml:space="preserve"> </v>
      </c>
    </row>
    <row r="298" spans="1:27" s="1" customFormat="1" x14ac:dyDescent="0.45">
      <c r="A298" s="43"/>
      <c r="B298" s="205"/>
      <c r="C298"/>
      <c r="D298" s="72"/>
      <c r="E298" s="72"/>
      <c r="F298" s="72"/>
      <c r="G298" s="72"/>
      <c r="H298" s="17"/>
      <c r="I298" s="41" t="str" cm="1">
        <f t="array" ref="I298">IFERROR(_xlfn.IFS(H298="Hard (Cash)","N/A",H298="Soft (In-Kind)", "Enter Source"),"Select Type")</f>
        <v>Select Type</v>
      </c>
      <c r="J298" s="124"/>
      <c r="K298" s="41" t="str">
        <f>IFERROR(VLOOKUP($J298,'Project Reference'!$S$2:$T$41,2),"Enter Project Number")</f>
        <v>Enter Project Number</v>
      </c>
      <c r="L298" s="41"/>
      <c r="M298" s="41"/>
      <c r="N298" s="15">
        <f t="shared" si="4"/>
        <v>0</v>
      </c>
      <c r="O298" s="19"/>
      <c r="P298" s="42" t="str">
        <f>IFERROR(VLOOKUP($J298,'Project Reference'!$B$2:$C$41,2)," ")</f>
        <v xml:space="preserve"> </v>
      </c>
      <c r="Q298" s="42" t="str">
        <f>IFERROR(VLOOKUP($J298,'Project Reference'!$B$2:$D$41,3)," ")</f>
        <v xml:space="preserve"> </v>
      </c>
      <c r="R298" s="42" t="str">
        <f>IFERROR(VLOOKUP($J298,'Project Reference'!$B$2:$E$41,4)," ")</f>
        <v xml:space="preserve"> </v>
      </c>
      <c r="S298" s="42" t="str">
        <f>IFERROR(VLOOKUP($J298,'Project Reference'!$B$2:$F$41,5,FALSE)," ")</f>
        <v xml:space="preserve"> </v>
      </c>
      <c r="T298" s="42" t="str">
        <f>IFERROR(VLOOKUP($J298,'Project Reference'!$B$2:$G$41,6,FALSE)," ")</f>
        <v xml:space="preserve"> </v>
      </c>
      <c r="U298" s="42" t="str">
        <f>IFERROR(VLOOKUP($J298,'Project Reference'!$B$2:$H$41,7,FALSE)," ")</f>
        <v xml:space="preserve"> </v>
      </c>
      <c r="V298" s="42" t="str">
        <f>IFERROR(VLOOKUP($J298,'Project Reference'!$B$2:$I$41,8,FALSE)," ")</f>
        <v xml:space="preserve"> </v>
      </c>
      <c r="W298" s="42" t="str">
        <f>IFERROR(VLOOKUP($J298,'Project Reference'!$B$2:$J$41,9,FALSE)," ")</f>
        <v xml:space="preserve"> </v>
      </c>
      <c r="X298" s="42" t="str">
        <f>IFERROR(VLOOKUP($J298,'Project Reference'!$B$2:$K$41,10)," ")</f>
        <v xml:space="preserve"> </v>
      </c>
      <c r="Y298" s="42" t="str">
        <f>IFERROR(VLOOKUP($J298,'Project Reference'!$B$2:$L$41,11)," ")</f>
        <v xml:space="preserve"> </v>
      </c>
      <c r="Z298" s="42" t="str">
        <f>IFERROR(VLOOKUP($J298,'Project Reference'!$B$2:$M$41,12)," ")</f>
        <v xml:space="preserve"> </v>
      </c>
      <c r="AA298" s="42" t="str">
        <f>IFERROR(VLOOKUP($J298,'Project Reference'!$B$2:$N$41,13)," ")</f>
        <v xml:space="preserve"> </v>
      </c>
    </row>
    <row r="299" spans="1:27" s="1" customFormat="1" x14ac:dyDescent="0.45">
      <c r="A299" s="43"/>
      <c r="B299" s="205"/>
      <c r="C299"/>
      <c r="D299" s="72"/>
      <c r="E299" s="72"/>
      <c r="F299" s="72"/>
      <c r="G299" s="72"/>
      <c r="H299" s="17"/>
      <c r="I299" s="41" t="str" cm="1">
        <f t="array" ref="I299">IFERROR(_xlfn.IFS(H299="Hard (Cash)","N/A",H299="Soft (In-Kind)", "Enter Source"),"Select Type")</f>
        <v>Select Type</v>
      </c>
      <c r="J299" s="124"/>
      <c r="K299" s="41" t="str">
        <f>IFERROR(VLOOKUP($J299,'Project Reference'!$S$2:$T$41,2),"Enter Project Number")</f>
        <v>Enter Project Number</v>
      </c>
      <c r="L299" s="41"/>
      <c r="M299" s="41"/>
      <c r="N299" s="15">
        <f t="shared" si="4"/>
        <v>0</v>
      </c>
      <c r="O299" s="19"/>
      <c r="P299" s="42" t="str">
        <f>IFERROR(VLOOKUP($J299,'Project Reference'!$B$2:$C$41,2)," ")</f>
        <v xml:space="preserve"> </v>
      </c>
      <c r="Q299" s="42" t="str">
        <f>IFERROR(VLOOKUP($J299,'Project Reference'!$B$2:$D$41,3)," ")</f>
        <v xml:space="preserve"> </v>
      </c>
      <c r="R299" s="42" t="str">
        <f>IFERROR(VLOOKUP($J299,'Project Reference'!$B$2:$E$41,4)," ")</f>
        <v xml:space="preserve"> </v>
      </c>
      <c r="S299" s="42" t="str">
        <f>IFERROR(VLOOKUP($J299,'Project Reference'!$B$2:$F$41,5,FALSE)," ")</f>
        <v xml:space="preserve"> </v>
      </c>
      <c r="T299" s="42" t="str">
        <f>IFERROR(VLOOKUP($J299,'Project Reference'!$B$2:$G$41,6,FALSE)," ")</f>
        <v xml:space="preserve"> </v>
      </c>
      <c r="U299" s="42" t="str">
        <f>IFERROR(VLOOKUP($J299,'Project Reference'!$B$2:$H$41,7,FALSE)," ")</f>
        <v xml:space="preserve"> </v>
      </c>
      <c r="V299" s="42" t="str">
        <f>IFERROR(VLOOKUP($J299,'Project Reference'!$B$2:$I$41,8,FALSE)," ")</f>
        <v xml:space="preserve"> </v>
      </c>
      <c r="W299" s="42" t="str">
        <f>IFERROR(VLOOKUP($J299,'Project Reference'!$B$2:$J$41,9,FALSE)," ")</f>
        <v xml:space="preserve"> </v>
      </c>
      <c r="X299" s="42" t="str">
        <f>IFERROR(VLOOKUP($J299,'Project Reference'!$B$2:$K$41,10)," ")</f>
        <v xml:space="preserve"> </v>
      </c>
      <c r="Y299" s="42" t="str">
        <f>IFERROR(VLOOKUP($J299,'Project Reference'!$B$2:$L$41,11)," ")</f>
        <v xml:space="preserve"> </v>
      </c>
      <c r="Z299" s="42" t="str">
        <f>IFERROR(VLOOKUP($J299,'Project Reference'!$B$2:$M$41,12)," ")</f>
        <v xml:space="preserve"> </v>
      </c>
      <c r="AA299" s="42" t="str">
        <f>IFERROR(VLOOKUP($J299,'Project Reference'!$B$2:$N$41,13)," ")</f>
        <v xml:space="preserve"> </v>
      </c>
    </row>
    <row r="300" spans="1:27" s="1" customFormat="1" x14ac:dyDescent="0.45">
      <c r="A300" s="43"/>
      <c r="B300" s="205"/>
      <c r="C300"/>
      <c r="D300" s="72"/>
      <c r="E300" s="72"/>
      <c r="F300" s="72"/>
      <c r="G300" s="72"/>
      <c r="H300" s="17"/>
      <c r="I300" s="41" t="str" cm="1">
        <f t="array" ref="I300">IFERROR(_xlfn.IFS(H300="Hard (Cash)","N/A",H300="Soft (In-Kind)", "Enter Source"),"Select Type")</f>
        <v>Select Type</v>
      </c>
      <c r="J300" s="124"/>
      <c r="K300" s="41" t="str">
        <f>IFERROR(VLOOKUP($J300,'Project Reference'!$S$2:$T$41,2),"Enter Project Number")</f>
        <v>Enter Project Number</v>
      </c>
      <c r="L300" s="41"/>
      <c r="M300" s="41"/>
      <c r="N300" s="15">
        <f t="shared" si="4"/>
        <v>0</v>
      </c>
      <c r="O300" s="19"/>
      <c r="P300" s="42" t="str">
        <f>IFERROR(VLOOKUP($J300,'Project Reference'!$B$2:$C$41,2)," ")</f>
        <v xml:space="preserve"> </v>
      </c>
      <c r="Q300" s="42" t="str">
        <f>IFERROR(VLOOKUP($J300,'Project Reference'!$B$2:$D$41,3)," ")</f>
        <v xml:space="preserve"> </v>
      </c>
      <c r="R300" s="42" t="str">
        <f>IFERROR(VLOOKUP($J300,'Project Reference'!$B$2:$E$41,4)," ")</f>
        <v xml:space="preserve"> </v>
      </c>
      <c r="S300" s="42" t="str">
        <f>IFERROR(VLOOKUP($J300,'Project Reference'!$B$2:$F$41,5,FALSE)," ")</f>
        <v xml:space="preserve"> </v>
      </c>
      <c r="T300" s="42" t="str">
        <f>IFERROR(VLOOKUP($J300,'Project Reference'!$B$2:$G$41,6,FALSE)," ")</f>
        <v xml:space="preserve"> </v>
      </c>
      <c r="U300" s="42" t="str">
        <f>IFERROR(VLOOKUP($J300,'Project Reference'!$B$2:$H$41,7,FALSE)," ")</f>
        <v xml:space="preserve"> </v>
      </c>
      <c r="V300" s="42" t="str">
        <f>IFERROR(VLOOKUP($J300,'Project Reference'!$B$2:$I$41,8,FALSE)," ")</f>
        <v xml:space="preserve"> </v>
      </c>
      <c r="W300" s="42" t="str">
        <f>IFERROR(VLOOKUP($J300,'Project Reference'!$B$2:$J$41,9,FALSE)," ")</f>
        <v xml:space="preserve"> </v>
      </c>
      <c r="X300" s="42" t="str">
        <f>IFERROR(VLOOKUP($J300,'Project Reference'!$B$2:$K$41,10)," ")</f>
        <v xml:space="preserve"> </v>
      </c>
      <c r="Y300" s="42" t="str">
        <f>IFERROR(VLOOKUP($J300,'Project Reference'!$B$2:$L$41,11)," ")</f>
        <v xml:space="preserve"> </v>
      </c>
      <c r="Z300" s="42" t="str">
        <f>IFERROR(VLOOKUP($J300,'Project Reference'!$B$2:$M$41,12)," ")</f>
        <v xml:space="preserve"> </v>
      </c>
      <c r="AA300" s="42" t="str">
        <f>IFERROR(VLOOKUP($J300,'Project Reference'!$B$2:$N$41,13)," ")</f>
        <v xml:space="preserve"> </v>
      </c>
    </row>
    <row r="301" spans="1:27" s="1" customFormat="1" x14ac:dyDescent="0.45">
      <c r="A301" s="43"/>
      <c r="B301" s="205"/>
      <c r="C301"/>
      <c r="D301" s="72"/>
      <c r="E301" s="72"/>
      <c r="F301" s="72"/>
      <c r="G301" s="72"/>
      <c r="H301" s="17"/>
      <c r="I301" s="41" t="str" cm="1">
        <f t="array" ref="I301">IFERROR(_xlfn.IFS(H301="Hard (Cash)","N/A",H301="Soft (In-Kind)", "Enter Source"),"Select Type")</f>
        <v>Select Type</v>
      </c>
      <c r="J301" s="124"/>
      <c r="K301" s="41" t="str">
        <f>IFERROR(VLOOKUP($J301,'Project Reference'!$S$2:$T$41,2),"Enter Project Number")</f>
        <v>Enter Project Number</v>
      </c>
      <c r="L301" s="41"/>
      <c r="M301" s="41"/>
      <c r="N301" s="15">
        <f t="shared" si="4"/>
        <v>0</v>
      </c>
      <c r="O301" s="19"/>
      <c r="P301" s="42" t="str">
        <f>IFERROR(VLOOKUP($J301,'Project Reference'!$B$2:$C$41,2)," ")</f>
        <v xml:space="preserve"> </v>
      </c>
      <c r="Q301" s="42" t="str">
        <f>IFERROR(VLOOKUP($J301,'Project Reference'!$B$2:$D$41,3)," ")</f>
        <v xml:space="preserve"> </v>
      </c>
      <c r="R301" s="42" t="str">
        <f>IFERROR(VLOOKUP($J301,'Project Reference'!$B$2:$E$41,4)," ")</f>
        <v xml:space="preserve"> </v>
      </c>
      <c r="S301" s="42" t="str">
        <f>IFERROR(VLOOKUP($J301,'Project Reference'!$B$2:$F$41,5,FALSE)," ")</f>
        <v xml:space="preserve"> </v>
      </c>
      <c r="T301" s="42" t="str">
        <f>IFERROR(VLOOKUP($J301,'Project Reference'!$B$2:$G$41,6,FALSE)," ")</f>
        <v xml:space="preserve"> </v>
      </c>
      <c r="U301" s="42" t="str">
        <f>IFERROR(VLOOKUP($J301,'Project Reference'!$B$2:$H$41,7,FALSE)," ")</f>
        <v xml:space="preserve"> </v>
      </c>
      <c r="V301" s="42" t="str">
        <f>IFERROR(VLOOKUP($J301,'Project Reference'!$B$2:$I$41,8,FALSE)," ")</f>
        <v xml:space="preserve"> </v>
      </c>
      <c r="W301" s="42" t="str">
        <f>IFERROR(VLOOKUP($J301,'Project Reference'!$B$2:$J$41,9,FALSE)," ")</f>
        <v xml:space="preserve"> </v>
      </c>
      <c r="X301" s="42" t="str">
        <f>IFERROR(VLOOKUP($J301,'Project Reference'!$B$2:$K$41,10)," ")</f>
        <v xml:space="preserve"> </v>
      </c>
      <c r="Y301" s="42" t="str">
        <f>IFERROR(VLOOKUP($J301,'Project Reference'!$B$2:$L$41,11)," ")</f>
        <v xml:space="preserve"> </v>
      </c>
      <c r="Z301" s="42" t="str">
        <f>IFERROR(VLOOKUP($J301,'Project Reference'!$B$2:$M$41,12)," ")</f>
        <v xml:space="preserve"> </v>
      </c>
      <c r="AA301" s="42" t="str">
        <f>IFERROR(VLOOKUP($J301,'Project Reference'!$B$2:$N$41,13)," ")</f>
        <v xml:space="preserve"> </v>
      </c>
    </row>
    <row r="302" spans="1:27" s="1" customFormat="1" x14ac:dyDescent="0.45">
      <c r="A302" s="43"/>
      <c r="B302" s="205"/>
      <c r="C302"/>
      <c r="D302" s="72"/>
      <c r="E302" s="72"/>
      <c r="F302" s="72"/>
      <c r="G302" s="72"/>
      <c r="H302" s="17"/>
      <c r="I302" s="41" t="str" cm="1">
        <f t="array" ref="I302">IFERROR(_xlfn.IFS(H302="Hard (Cash)","N/A",H302="Soft (In-Kind)", "Enter Source"),"Select Type")</f>
        <v>Select Type</v>
      </c>
      <c r="J302" s="124"/>
      <c r="K302" s="41" t="str">
        <f>IFERROR(VLOOKUP($J302,'Project Reference'!$S$2:$T$41,2),"Enter Project Number")</f>
        <v>Enter Project Number</v>
      </c>
      <c r="L302" s="41"/>
      <c r="M302" s="41"/>
      <c r="N302" s="15">
        <f t="shared" si="4"/>
        <v>0</v>
      </c>
      <c r="O302" s="19"/>
      <c r="P302" s="42" t="str">
        <f>IFERROR(VLOOKUP($J302,'Project Reference'!$B$2:$C$41,2)," ")</f>
        <v xml:space="preserve"> </v>
      </c>
      <c r="Q302" s="42" t="str">
        <f>IFERROR(VLOOKUP($J302,'Project Reference'!$B$2:$D$41,3)," ")</f>
        <v xml:space="preserve"> </v>
      </c>
      <c r="R302" s="42" t="str">
        <f>IFERROR(VLOOKUP($J302,'Project Reference'!$B$2:$E$41,4)," ")</f>
        <v xml:space="preserve"> </v>
      </c>
      <c r="S302" s="42" t="str">
        <f>IFERROR(VLOOKUP($J302,'Project Reference'!$B$2:$F$41,5,FALSE)," ")</f>
        <v xml:space="preserve"> </v>
      </c>
      <c r="T302" s="42" t="str">
        <f>IFERROR(VLOOKUP($J302,'Project Reference'!$B$2:$G$41,6,FALSE)," ")</f>
        <v xml:space="preserve"> </v>
      </c>
      <c r="U302" s="42" t="str">
        <f>IFERROR(VLOOKUP($J302,'Project Reference'!$B$2:$H$41,7,FALSE)," ")</f>
        <v xml:space="preserve"> </v>
      </c>
      <c r="V302" s="42" t="str">
        <f>IFERROR(VLOOKUP($J302,'Project Reference'!$B$2:$I$41,8,FALSE)," ")</f>
        <v xml:space="preserve"> </v>
      </c>
      <c r="W302" s="42" t="str">
        <f>IFERROR(VLOOKUP($J302,'Project Reference'!$B$2:$J$41,9,FALSE)," ")</f>
        <v xml:space="preserve"> </v>
      </c>
      <c r="X302" s="42" t="str">
        <f>IFERROR(VLOOKUP($J302,'Project Reference'!$B$2:$K$41,10)," ")</f>
        <v xml:space="preserve"> </v>
      </c>
      <c r="Y302" s="42" t="str">
        <f>IFERROR(VLOOKUP($J302,'Project Reference'!$B$2:$L$41,11)," ")</f>
        <v xml:space="preserve"> </v>
      </c>
      <c r="Z302" s="42" t="str">
        <f>IFERROR(VLOOKUP($J302,'Project Reference'!$B$2:$M$41,12)," ")</f>
        <v xml:space="preserve"> </v>
      </c>
      <c r="AA302" s="42" t="str">
        <f>IFERROR(VLOOKUP($J302,'Project Reference'!$B$2:$N$41,13)," ")</f>
        <v xml:space="preserve"> </v>
      </c>
    </row>
    <row r="303" spans="1:27" s="1" customFormat="1" x14ac:dyDescent="0.45">
      <c r="A303" s="43"/>
      <c r="B303" s="205"/>
      <c r="C303"/>
      <c r="D303" s="72"/>
      <c r="E303" s="72"/>
      <c r="F303" s="72"/>
      <c r="G303" s="72"/>
      <c r="H303" s="17"/>
      <c r="I303" s="41" t="str" cm="1">
        <f t="array" ref="I303">IFERROR(_xlfn.IFS(H303="Hard (Cash)","N/A",H303="Soft (In-Kind)", "Enter Source"),"Select Type")</f>
        <v>Select Type</v>
      </c>
      <c r="J303" s="124"/>
      <c r="K303" s="41" t="str">
        <f>IFERROR(VLOOKUP($J303,'Project Reference'!$S$2:$T$41,2),"Enter Project Number")</f>
        <v>Enter Project Number</v>
      </c>
      <c r="L303" s="41"/>
      <c r="M303" s="41"/>
      <c r="N303" s="15">
        <f t="shared" si="4"/>
        <v>0</v>
      </c>
      <c r="O303" s="19"/>
      <c r="P303" s="42" t="str">
        <f>IFERROR(VLOOKUP($J303,'Project Reference'!$B$2:$C$41,2)," ")</f>
        <v xml:space="preserve"> </v>
      </c>
      <c r="Q303" s="42" t="str">
        <f>IFERROR(VLOOKUP($J303,'Project Reference'!$B$2:$D$41,3)," ")</f>
        <v xml:space="preserve"> </v>
      </c>
      <c r="R303" s="42" t="str">
        <f>IFERROR(VLOOKUP($J303,'Project Reference'!$B$2:$E$41,4)," ")</f>
        <v xml:space="preserve"> </v>
      </c>
      <c r="S303" s="42" t="str">
        <f>IFERROR(VLOOKUP($J303,'Project Reference'!$B$2:$F$41,5,FALSE)," ")</f>
        <v xml:space="preserve"> </v>
      </c>
      <c r="T303" s="42" t="str">
        <f>IFERROR(VLOOKUP($J303,'Project Reference'!$B$2:$G$41,6,FALSE)," ")</f>
        <v xml:space="preserve"> </v>
      </c>
      <c r="U303" s="42" t="str">
        <f>IFERROR(VLOOKUP($J303,'Project Reference'!$B$2:$H$41,7,FALSE)," ")</f>
        <v xml:space="preserve"> </v>
      </c>
      <c r="V303" s="42" t="str">
        <f>IFERROR(VLOOKUP($J303,'Project Reference'!$B$2:$I$41,8,FALSE)," ")</f>
        <v xml:space="preserve"> </v>
      </c>
      <c r="W303" s="42" t="str">
        <f>IFERROR(VLOOKUP($J303,'Project Reference'!$B$2:$J$41,9,FALSE)," ")</f>
        <v xml:space="preserve"> </v>
      </c>
      <c r="X303" s="42" t="str">
        <f>IFERROR(VLOOKUP($J303,'Project Reference'!$B$2:$K$41,10)," ")</f>
        <v xml:space="preserve"> </v>
      </c>
      <c r="Y303" s="42" t="str">
        <f>IFERROR(VLOOKUP($J303,'Project Reference'!$B$2:$L$41,11)," ")</f>
        <v xml:space="preserve"> </v>
      </c>
      <c r="Z303" s="42" t="str">
        <f>IFERROR(VLOOKUP($J303,'Project Reference'!$B$2:$M$41,12)," ")</f>
        <v xml:space="preserve"> </v>
      </c>
      <c r="AA303" s="42" t="str">
        <f>IFERROR(VLOOKUP($J303,'Project Reference'!$B$2:$N$41,13)," ")</f>
        <v xml:space="preserve"> </v>
      </c>
    </row>
    <row r="304" spans="1:27" s="1" customFormat="1" x14ac:dyDescent="0.45">
      <c r="A304" s="43"/>
      <c r="B304" s="205"/>
      <c r="C304"/>
      <c r="D304" s="72"/>
      <c r="E304" s="72"/>
      <c r="F304" s="72"/>
      <c r="G304" s="72"/>
      <c r="H304" s="17"/>
      <c r="I304" s="41" t="str" cm="1">
        <f t="array" ref="I304">IFERROR(_xlfn.IFS(H304="Hard (Cash)","N/A",H304="Soft (In-Kind)", "Enter Source"),"Select Type")</f>
        <v>Select Type</v>
      </c>
      <c r="J304" s="124"/>
      <c r="K304" s="41" t="str">
        <f>IFERROR(VLOOKUP($J304,'Project Reference'!$S$2:$T$41,2),"Enter Project Number")</f>
        <v>Enter Project Number</v>
      </c>
      <c r="L304" s="41"/>
      <c r="M304" s="41"/>
      <c r="N304" s="15">
        <f t="shared" si="4"/>
        <v>0</v>
      </c>
      <c r="O304" s="19"/>
      <c r="P304" s="42" t="str">
        <f>IFERROR(VLOOKUP($J304,'Project Reference'!$B$2:$C$41,2)," ")</f>
        <v xml:space="preserve"> </v>
      </c>
      <c r="Q304" s="42" t="str">
        <f>IFERROR(VLOOKUP($J304,'Project Reference'!$B$2:$D$41,3)," ")</f>
        <v xml:space="preserve"> </v>
      </c>
      <c r="R304" s="42" t="str">
        <f>IFERROR(VLOOKUP($J304,'Project Reference'!$B$2:$E$41,4)," ")</f>
        <v xml:space="preserve"> </v>
      </c>
      <c r="S304" s="42" t="str">
        <f>IFERROR(VLOOKUP($J304,'Project Reference'!$B$2:$F$41,5,FALSE)," ")</f>
        <v xml:space="preserve"> </v>
      </c>
      <c r="T304" s="42" t="str">
        <f>IFERROR(VLOOKUP($J304,'Project Reference'!$B$2:$G$41,6,FALSE)," ")</f>
        <v xml:space="preserve"> </v>
      </c>
      <c r="U304" s="42" t="str">
        <f>IFERROR(VLOOKUP($J304,'Project Reference'!$B$2:$H$41,7,FALSE)," ")</f>
        <v xml:space="preserve"> </v>
      </c>
      <c r="V304" s="42" t="str">
        <f>IFERROR(VLOOKUP($J304,'Project Reference'!$B$2:$I$41,8,FALSE)," ")</f>
        <v xml:space="preserve"> </v>
      </c>
      <c r="W304" s="42" t="str">
        <f>IFERROR(VLOOKUP($J304,'Project Reference'!$B$2:$J$41,9,FALSE)," ")</f>
        <v xml:space="preserve"> </v>
      </c>
      <c r="X304" s="42" t="str">
        <f>IFERROR(VLOOKUP($J304,'Project Reference'!$B$2:$K$41,10)," ")</f>
        <v xml:space="preserve"> </v>
      </c>
      <c r="Y304" s="42" t="str">
        <f>IFERROR(VLOOKUP($J304,'Project Reference'!$B$2:$L$41,11)," ")</f>
        <v xml:space="preserve"> </v>
      </c>
      <c r="Z304" s="42" t="str">
        <f>IFERROR(VLOOKUP($J304,'Project Reference'!$B$2:$M$41,12)," ")</f>
        <v xml:space="preserve"> </v>
      </c>
      <c r="AA304" s="42" t="str">
        <f>IFERROR(VLOOKUP($J304,'Project Reference'!$B$2:$N$41,13)," ")</f>
        <v xml:space="preserve"> </v>
      </c>
    </row>
    <row r="305" spans="1:27" s="1" customFormat="1" x14ac:dyDescent="0.45">
      <c r="A305" s="43"/>
      <c r="B305" s="205"/>
      <c r="C305"/>
      <c r="D305" s="72"/>
      <c r="E305" s="72"/>
      <c r="F305" s="72"/>
      <c r="G305" s="72"/>
      <c r="H305" s="17"/>
      <c r="I305" s="41" t="str" cm="1">
        <f t="array" ref="I305">IFERROR(_xlfn.IFS(H305="Hard (Cash)","N/A",H305="Soft (In-Kind)", "Enter Source"),"Select Type")</f>
        <v>Select Type</v>
      </c>
      <c r="J305" s="124"/>
      <c r="K305" s="41" t="str">
        <f>IFERROR(VLOOKUP($J305,'Project Reference'!$S$2:$T$41,2),"Enter Project Number")</f>
        <v>Enter Project Number</v>
      </c>
      <c r="L305" s="41"/>
      <c r="M305" s="41"/>
      <c r="N305" s="15">
        <f t="shared" si="4"/>
        <v>0</v>
      </c>
      <c r="O305" s="19"/>
      <c r="P305" s="42" t="str">
        <f>IFERROR(VLOOKUP($J305,'Project Reference'!$B$2:$C$41,2)," ")</f>
        <v xml:space="preserve"> </v>
      </c>
      <c r="Q305" s="42" t="str">
        <f>IFERROR(VLOOKUP($J305,'Project Reference'!$B$2:$D$41,3)," ")</f>
        <v xml:space="preserve"> </v>
      </c>
      <c r="R305" s="42" t="str">
        <f>IFERROR(VLOOKUP($J305,'Project Reference'!$B$2:$E$41,4)," ")</f>
        <v xml:space="preserve"> </v>
      </c>
      <c r="S305" s="42" t="str">
        <f>IFERROR(VLOOKUP($J305,'Project Reference'!$B$2:$F$41,5,FALSE)," ")</f>
        <v xml:space="preserve"> </v>
      </c>
      <c r="T305" s="42" t="str">
        <f>IFERROR(VLOOKUP($J305,'Project Reference'!$B$2:$G$41,6,FALSE)," ")</f>
        <v xml:space="preserve"> </v>
      </c>
      <c r="U305" s="42" t="str">
        <f>IFERROR(VLOOKUP($J305,'Project Reference'!$B$2:$H$41,7,FALSE)," ")</f>
        <v xml:space="preserve"> </v>
      </c>
      <c r="V305" s="42" t="str">
        <f>IFERROR(VLOOKUP($J305,'Project Reference'!$B$2:$I$41,8,FALSE)," ")</f>
        <v xml:space="preserve"> </v>
      </c>
      <c r="W305" s="42" t="str">
        <f>IFERROR(VLOOKUP($J305,'Project Reference'!$B$2:$J$41,9,FALSE)," ")</f>
        <v xml:space="preserve"> </v>
      </c>
      <c r="X305" s="42" t="str">
        <f>IFERROR(VLOOKUP($J305,'Project Reference'!$B$2:$K$41,10)," ")</f>
        <v xml:space="preserve"> </v>
      </c>
      <c r="Y305" s="42" t="str">
        <f>IFERROR(VLOOKUP($J305,'Project Reference'!$B$2:$L$41,11)," ")</f>
        <v xml:space="preserve"> </v>
      </c>
      <c r="Z305" s="42" t="str">
        <f>IFERROR(VLOOKUP($J305,'Project Reference'!$B$2:$M$41,12)," ")</f>
        <v xml:space="preserve"> </v>
      </c>
      <c r="AA305" s="42" t="str">
        <f>IFERROR(VLOOKUP($J305,'Project Reference'!$B$2:$N$41,13)," ")</f>
        <v xml:space="preserve"> </v>
      </c>
    </row>
    <row r="306" spans="1:27" s="1" customFormat="1" x14ac:dyDescent="0.45">
      <c r="A306" s="43"/>
      <c r="B306" s="205"/>
      <c r="C306"/>
      <c r="D306" s="72"/>
      <c r="E306" s="72"/>
      <c r="F306" s="72"/>
      <c r="G306" s="72"/>
      <c r="H306" s="17"/>
      <c r="I306" s="41" t="str" cm="1">
        <f t="array" ref="I306">IFERROR(_xlfn.IFS(H306="Hard (Cash)","N/A",H306="Soft (In-Kind)", "Enter Source"),"Select Type")</f>
        <v>Select Type</v>
      </c>
      <c r="J306" s="124"/>
      <c r="K306" s="41" t="str">
        <f>IFERROR(VLOOKUP($J306,'Project Reference'!$S$2:$T$41,2),"Enter Project Number")</f>
        <v>Enter Project Number</v>
      </c>
      <c r="L306" s="41"/>
      <c r="M306" s="41"/>
      <c r="N306" s="15">
        <f t="shared" si="4"/>
        <v>0</v>
      </c>
      <c r="O306" s="19"/>
      <c r="P306" s="42" t="str">
        <f>IFERROR(VLOOKUP($J306,'Project Reference'!$B$2:$C$41,2)," ")</f>
        <v xml:space="preserve"> </v>
      </c>
      <c r="Q306" s="42" t="str">
        <f>IFERROR(VLOOKUP($J306,'Project Reference'!$B$2:$D$41,3)," ")</f>
        <v xml:space="preserve"> </v>
      </c>
      <c r="R306" s="42" t="str">
        <f>IFERROR(VLOOKUP($J306,'Project Reference'!$B$2:$E$41,4)," ")</f>
        <v xml:space="preserve"> </v>
      </c>
      <c r="S306" s="42" t="str">
        <f>IFERROR(VLOOKUP($J306,'Project Reference'!$B$2:$F$41,5,FALSE)," ")</f>
        <v xml:space="preserve"> </v>
      </c>
      <c r="T306" s="42" t="str">
        <f>IFERROR(VLOOKUP($J306,'Project Reference'!$B$2:$G$41,6,FALSE)," ")</f>
        <v xml:space="preserve"> </v>
      </c>
      <c r="U306" s="42" t="str">
        <f>IFERROR(VLOOKUP($J306,'Project Reference'!$B$2:$H$41,7,FALSE)," ")</f>
        <v xml:space="preserve"> </v>
      </c>
      <c r="V306" s="42" t="str">
        <f>IFERROR(VLOOKUP($J306,'Project Reference'!$B$2:$I$41,8,FALSE)," ")</f>
        <v xml:space="preserve"> </v>
      </c>
      <c r="W306" s="42" t="str">
        <f>IFERROR(VLOOKUP($J306,'Project Reference'!$B$2:$J$41,9,FALSE)," ")</f>
        <v xml:space="preserve"> </v>
      </c>
      <c r="X306" s="42" t="str">
        <f>IFERROR(VLOOKUP($J306,'Project Reference'!$B$2:$K$41,10)," ")</f>
        <v xml:space="preserve"> </v>
      </c>
      <c r="Y306" s="42" t="str">
        <f>IFERROR(VLOOKUP($J306,'Project Reference'!$B$2:$L$41,11)," ")</f>
        <v xml:space="preserve"> </v>
      </c>
      <c r="Z306" s="42" t="str">
        <f>IFERROR(VLOOKUP($J306,'Project Reference'!$B$2:$M$41,12)," ")</f>
        <v xml:space="preserve"> </v>
      </c>
      <c r="AA306" s="42" t="str">
        <f>IFERROR(VLOOKUP($J306,'Project Reference'!$B$2:$N$41,13)," ")</f>
        <v xml:space="preserve"> </v>
      </c>
    </row>
    <row r="307" spans="1:27" s="1" customFormat="1" x14ac:dyDescent="0.45">
      <c r="A307" s="43"/>
      <c r="B307" s="205"/>
      <c r="C307"/>
      <c r="D307" s="72"/>
      <c r="E307" s="72"/>
      <c r="F307" s="72"/>
      <c r="G307" s="72"/>
      <c r="H307" s="17"/>
      <c r="I307" s="41" t="str" cm="1">
        <f t="array" ref="I307">IFERROR(_xlfn.IFS(H307="Hard (Cash)","N/A",H307="Soft (In-Kind)", "Enter Source"),"Select Type")</f>
        <v>Select Type</v>
      </c>
      <c r="J307" s="124"/>
      <c r="K307" s="41" t="str">
        <f>IFERROR(VLOOKUP($J307,'Project Reference'!$S$2:$T$41,2),"Enter Project Number")</f>
        <v>Enter Project Number</v>
      </c>
      <c r="L307" s="41"/>
      <c r="M307" s="41"/>
      <c r="N307" s="15">
        <f t="shared" si="4"/>
        <v>0</v>
      </c>
      <c r="O307" s="19"/>
      <c r="P307" s="42" t="str">
        <f>IFERROR(VLOOKUP($J307,'Project Reference'!$B$2:$C$41,2)," ")</f>
        <v xml:space="preserve"> </v>
      </c>
      <c r="Q307" s="42" t="str">
        <f>IFERROR(VLOOKUP($J307,'Project Reference'!$B$2:$D$41,3)," ")</f>
        <v xml:space="preserve"> </v>
      </c>
      <c r="R307" s="42" t="str">
        <f>IFERROR(VLOOKUP($J307,'Project Reference'!$B$2:$E$41,4)," ")</f>
        <v xml:space="preserve"> </v>
      </c>
      <c r="S307" s="42" t="str">
        <f>IFERROR(VLOOKUP($J307,'Project Reference'!$B$2:$F$41,5,FALSE)," ")</f>
        <v xml:space="preserve"> </v>
      </c>
      <c r="T307" s="42" t="str">
        <f>IFERROR(VLOOKUP($J307,'Project Reference'!$B$2:$G$41,6,FALSE)," ")</f>
        <v xml:space="preserve"> </v>
      </c>
      <c r="U307" s="42" t="str">
        <f>IFERROR(VLOOKUP($J307,'Project Reference'!$B$2:$H$41,7,FALSE)," ")</f>
        <v xml:space="preserve"> </v>
      </c>
      <c r="V307" s="42" t="str">
        <f>IFERROR(VLOOKUP($J307,'Project Reference'!$B$2:$I$41,8,FALSE)," ")</f>
        <v xml:space="preserve"> </v>
      </c>
      <c r="W307" s="42" t="str">
        <f>IFERROR(VLOOKUP($J307,'Project Reference'!$B$2:$J$41,9,FALSE)," ")</f>
        <v xml:space="preserve"> </v>
      </c>
      <c r="X307" s="42" t="str">
        <f>IFERROR(VLOOKUP($J307,'Project Reference'!$B$2:$K$41,10)," ")</f>
        <v xml:space="preserve"> </v>
      </c>
      <c r="Y307" s="42" t="str">
        <f>IFERROR(VLOOKUP($J307,'Project Reference'!$B$2:$L$41,11)," ")</f>
        <v xml:space="preserve"> </v>
      </c>
      <c r="Z307" s="42" t="str">
        <f>IFERROR(VLOOKUP($J307,'Project Reference'!$B$2:$M$41,12)," ")</f>
        <v xml:space="preserve"> </v>
      </c>
      <c r="AA307" s="42" t="str">
        <f>IFERROR(VLOOKUP($J307,'Project Reference'!$B$2:$N$41,13)," ")</f>
        <v xml:space="preserve"> </v>
      </c>
    </row>
    <row r="308" spans="1:27" s="1" customFormat="1" x14ac:dyDescent="0.45">
      <c r="A308" s="43"/>
      <c r="B308" s="205"/>
      <c r="C308"/>
      <c r="D308" s="72"/>
      <c r="E308" s="72"/>
      <c r="F308" s="72"/>
      <c r="G308" s="72"/>
      <c r="H308" s="17"/>
      <c r="I308" s="41" t="str" cm="1">
        <f t="array" ref="I308">IFERROR(_xlfn.IFS(H308="Hard (Cash)","N/A",H308="Soft (In-Kind)", "Enter Source"),"Select Type")</f>
        <v>Select Type</v>
      </c>
      <c r="J308" s="124"/>
      <c r="K308" s="41" t="str">
        <f>IFERROR(VLOOKUP($J308,'Project Reference'!$S$2:$T$41,2),"Enter Project Number")</f>
        <v>Enter Project Number</v>
      </c>
      <c r="L308" s="41"/>
      <c r="M308" s="41"/>
      <c r="N308" s="15">
        <f t="shared" si="4"/>
        <v>0</v>
      </c>
      <c r="O308" s="19"/>
      <c r="P308" s="42" t="str">
        <f>IFERROR(VLOOKUP($J308,'Project Reference'!$B$2:$C$41,2)," ")</f>
        <v xml:space="preserve"> </v>
      </c>
      <c r="Q308" s="42" t="str">
        <f>IFERROR(VLOOKUP($J308,'Project Reference'!$B$2:$D$41,3)," ")</f>
        <v xml:space="preserve"> </v>
      </c>
      <c r="R308" s="42" t="str">
        <f>IFERROR(VLOOKUP($J308,'Project Reference'!$B$2:$E$41,4)," ")</f>
        <v xml:space="preserve"> </v>
      </c>
      <c r="S308" s="42" t="str">
        <f>IFERROR(VLOOKUP($J308,'Project Reference'!$B$2:$F$41,5,FALSE)," ")</f>
        <v xml:space="preserve"> </v>
      </c>
      <c r="T308" s="42" t="str">
        <f>IFERROR(VLOOKUP($J308,'Project Reference'!$B$2:$G$41,6,FALSE)," ")</f>
        <v xml:space="preserve"> </v>
      </c>
      <c r="U308" s="42" t="str">
        <f>IFERROR(VLOOKUP($J308,'Project Reference'!$B$2:$H$41,7,FALSE)," ")</f>
        <v xml:space="preserve"> </v>
      </c>
      <c r="V308" s="42" t="str">
        <f>IFERROR(VLOOKUP($J308,'Project Reference'!$B$2:$I$41,8,FALSE)," ")</f>
        <v xml:space="preserve"> </v>
      </c>
      <c r="W308" s="42" t="str">
        <f>IFERROR(VLOOKUP($J308,'Project Reference'!$B$2:$J$41,9,FALSE)," ")</f>
        <v xml:space="preserve"> </v>
      </c>
      <c r="X308" s="42" t="str">
        <f>IFERROR(VLOOKUP($J308,'Project Reference'!$B$2:$K$41,10)," ")</f>
        <v xml:space="preserve"> </v>
      </c>
      <c r="Y308" s="42" t="str">
        <f>IFERROR(VLOOKUP($J308,'Project Reference'!$B$2:$L$41,11)," ")</f>
        <v xml:space="preserve"> </v>
      </c>
      <c r="Z308" s="42" t="str">
        <f>IFERROR(VLOOKUP($J308,'Project Reference'!$B$2:$M$41,12)," ")</f>
        <v xml:space="preserve"> </v>
      </c>
      <c r="AA308" s="42" t="str">
        <f>IFERROR(VLOOKUP($J308,'Project Reference'!$B$2:$N$41,13)," ")</f>
        <v xml:space="preserve"> </v>
      </c>
    </row>
    <row r="309" spans="1:27" s="1" customFormat="1" x14ac:dyDescent="0.45">
      <c r="A309" s="43"/>
      <c r="B309" s="205"/>
      <c r="C309"/>
      <c r="D309" s="72"/>
      <c r="E309" s="72"/>
      <c r="F309" s="72"/>
      <c r="G309" s="72"/>
      <c r="H309" s="17"/>
      <c r="I309" s="41" t="str" cm="1">
        <f t="array" ref="I309">IFERROR(_xlfn.IFS(H309="Hard (Cash)","N/A",H309="Soft (In-Kind)", "Enter Source"),"Select Type")</f>
        <v>Select Type</v>
      </c>
      <c r="J309" s="124"/>
      <c r="K309" s="41" t="str">
        <f>IFERROR(VLOOKUP($J309,'Project Reference'!$S$2:$T$41,2),"Enter Project Number")</f>
        <v>Enter Project Number</v>
      </c>
      <c r="L309" s="41"/>
      <c r="M309" s="41"/>
      <c r="N309" s="15">
        <f t="shared" si="4"/>
        <v>0</v>
      </c>
      <c r="O309" s="19"/>
      <c r="P309" s="42" t="str">
        <f>IFERROR(VLOOKUP($J309,'Project Reference'!$B$2:$C$41,2)," ")</f>
        <v xml:space="preserve"> </v>
      </c>
      <c r="Q309" s="42" t="str">
        <f>IFERROR(VLOOKUP($J309,'Project Reference'!$B$2:$D$41,3)," ")</f>
        <v xml:space="preserve"> </v>
      </c>
      <c r="R309" s="42" t="str">
        <f>IFERROR(VLOOKUP($J309,'Project Reference'!$B$2:$E$41,4)," ")</f>
        <v xml:space="preserve"> </v>
      </c>
      <c r="S309" s="42" t="str">
        <f>IFERROR(VLOOKUP($J309,'Project Reference'!$B$2:$F$41,5,FALSE)," ")</f>
        <v xml:space="preserve"> </v>
      </c>
      <c r="T309" s="42" t="str">
        <f>IFERROR(VLOOKUP($J309,'Project Reference'!$B$2:$G$41,6,FALSE)," ")</f>
        <v xml:space="preserve"> </v>
      </c>
      <c r="U309" s="42" t="str">
        <f>IFERROR(VLOOKUP($J309,'Project Reference'!$B$2:$H$41,7,FALSE)," ")</f>
        <v xml:space="preserve"> </v>
      </c>
      <c r="V309" s="42" t="str">
        <f>IFERROR(VLOOKUP($J309,'Project Reference'!$B$2:$I$41,8,FALSE)," ")</f>
        <v xml:space="preserve"> </v>
      </c>
      <c r="W309" s="42" t="str">
        <f>IFERROR(VLOOKUP($J309,'Project Reference'!$B$2:$J$41,9,FALSE)," ")</f>
        <v xml:space="preserve"> </v>
      </c>
      <c r="X309" s="42" t="str">
        <f>IFERROR(VLOOKUP($J309,'Project Reference'!$B$2:$K$41,10)," ")</f>
        <v xml:space="preserve"> </v>
      </c>
      <c r="Y309" s="42" t="str">
        <f>IFERROR(VLOOKUP($J309,'Project Reference'!$B$2:$L$41,11)," ")</f>
        <v xml:space="preserve"> </v>
      </c>
      <c r="Z309" s="42" t="str">
        <f>IFERROR(VLOOKUP($J309,'Project Reference'!$B$2:$M$41,12)," ")</f>
        <v xml:space="preserve"> </v>
      </c>
      <c r="AA309" s="42" t="str">
        <f>IFERROR(VLOOKUP($J309,'Project Reference'!$B$2:$N$41,13)," ")</f>
        <v xml:space="preserve"> </v>
      </c>
    </row>
    <row r="310" spans="1:27" s="1" customFormat="1" x14ac:dyDescent="0.45">
      <c r="A310" s="43"/>
      <c r="B310" s="205"/>
      <c r="C310"/>
      <c r="D310" s="72"/>
      <c r="E310" s="72"/>
      <c r="F310" s="72"/>
      <c r="G310" s="72"/>
      <c r="H310" s="17"/>
      <c r="I310" s="41" t="str" cm="1">
        <f t="array" ref="I310">IFERROR(_xlfn.IFS(H310="Hard (Cash)","N/A",H310="Soft (In-Kind)", "Enter Source"),"Select Type")</f>
        <v>Select Type</v>
      </c>
      <c r="J310" s="124"/>
      <c r="K310" s="41" t="str">
        <f>IFERROR(VLOOKUP($J310,'Project Reference'!$S$2:$T$41,2),"Enter Project Number")</f>
        <v>Enter Project Number</v>
      </c>
      <c r="L310" s="41"/>
      <c r="M310" s="41"/>
      <c r="N310" s="15">
        <f t="shared" si="4"/>
        <v>0</v>
      </c>
      <c r="O310" s="19"/>
      <c r="P310" s="42" t="str">
        <f>IFERROR(VLOOKUP($J310,'Project Reference'!$B$2:$C$41,2)," ")</f>
        <v xml:space="preserve"> </v>
      </c>
      <c r="Q310" s="42" t="str">
        <f>IFERROR(VLOOKUP($J310,'Project Reference'!$B$2:$D$41,3)," ")</f>
        <v xml:space="preserve"> </v>
      </c>
      <c r="R310" s="42" t="str">
        <f>IFERROR(VLOOKUP($J310,'Project Reference'!$B$2:$E$41,4)," ")</f>
        <v xml:space="preserve"> </v>
      </c>
      <c r="S310" s="42" t="str">
        <f>IFERROR(VLOOKUP($J310,'Project Reference'!$B$2:$F$41,5,FALSE)," ")</f>
        <v xml:space="preserve"> </v>
      </c>
      <c r="T310" s="42" t="str">
        <f>IFERROR(VLOOKUP($J310,'Project Reference'!$B$2:$G$41,6,FALSE)," ")</f>
        <v xml:space="preserve"> </v>
      </c>
      <c r="U310" s="42" t="str">
        <f>IFERROR(VLOOKUP($J310,'Project Reference'!$B$2:$H$41,7,FALSE)," ")</f>
        <v xml:space="preserve"> </v>
      </c>
      <c r="V310" s="42" t="str">
        <f>IFERROR(VLOOKUP($J310,'Project Reference'!$B$2:$I$41,8,FALSE)," ")</f>
        <v xml:space="preserve"> </v>
      </c>
      <c r="W310" s="42" t="str">
        <f>IFERROR(VLOOKUP($J310,'Project Reference'!$B$2:$J$41,9,FALSE)," ")</f>
        <v xml:space="preserve"> </v>
      </c>
      <c r="X310" s="42" t="str">
        <f>IFERROR(VLOOKUP($J310,'Project Reference'!$B$2:$K$41,10)," ")</f>
        <v xml:space="preserve"> </v>
      </c>
      <c r="Y310" s="42" t="str">
        <f>IFERROR(VLOOKUP($J310,'Project Reference'!$B$2:$L$41,11)," ")</f>
        <v xml:space="preserve"> </v>
      </c>
      <c r="Z310" s="42" t="str">
        <f>IFERROR(VLOOKUP($J310,'Project Reference'!$B$2:$M$41,12)," ")</f>
        <v xml:space="preserve"> </v>
      </c>
      <c r="AA310" s="42" t="str">
        <f>IFERROR(VLOOKUP($J310,'Project Reference'!$B$2:$N$41,13)," ")</f>
        <v xml:space="preserve"> </v>
      </c>
    </row>
    <row r="311" spans="1:27" s="1" customFormat="1" x14ac:dyDescent="0.45">
      <c r="A311" s="43"/>
      <c r="B311" s="205"/>
      <c r="C311"/>
      <c r="D311" s="72"/>
      <c r="E311" s="72"/>
      <c r="F311" s="72"/>
      <c r="G311" s="72"/>
      <c r="H311" s="17"/>
      <c r="I311" s="41" t="str" cm="1">
        <f t="array" ref="I311">IFERROR(_xlfn.IFS(H311="Hard (Cash)","N/A",H311="Soft (In-Kind)", "Enter Source"),"Select Type")</f>
        <v>Select Type</v>
      </c>
      <c r="J311" s="124"/>
      <c r="K311" s="41" t="str">
        <f>IFERROR(VLOOKUP($J311,'Project Reference'!$S$2:$T$41,2),"Enter Project Number")</f>
        <v>Enter Project Number</v>
      </c>
      <c r="L311" s="41"/>
      <c r="M311" s="41"/>
      <c r="N311" s="15">
        <f t="shared" si="4"/>
        <v>0</v>
      </c>
      <c r="O311" s="19"/>
      <c r="P311" s="42" t="str">
        <f>IFERROR(VLOOKUP($J311,'Project Reference'!$B$2:$C$41,2)," ")</f>
        <v xml:space="preserve"> </v>
      </c>
      <c r="Q311" s="42" t="str">
        <f>IFERROR(VLOOKUP($J311,'Project Reference'!$B$2:$D$41,3)," ")</f>
        <v xml:space="preserve"> </v>
      </c>
      <c r="R311" s="42" t="str">
        <f>IFERROR(VLOOKUP($J311,'Project Reference'!$B$2:$E$41,4)," ")</f>
        <v xml:space="preserve"> </v>
      </c>
      <c r="S311" s="42" t="str">
        <f>IFERROR(VLOOKUP($J311,'Project Reference'!$B$2:$F$41,5,FALSE)," ")</f>
        <v xml:space="preserve"> </v>
      </c>
      <c r="T311" s="42" t="str">
        <f>IFERROR(VLOOKUP($J311,'Project Reference'!$B$2:$G$41,6,FALSE)," ")</f>
        <v xml:space="preserve"> </v>
      </c>
      <c r="U311" s="42" t="str">
        <f>IFERROR(VLOOKUP($J311,'Project Reference'!$B$2:$H$41,7,FALSE)," ")</f>
        <v xml:space="preserve"> </v>
      </c>
      <c r="V311" s="42" t="str">
        <f>IFERROR(VLOOKUP($J311,'Project Reference'!$B$2:$I$41,8,FALSE)," ")</f>
        <v xml:space="preserve"> </v>
      </c>
      <c r="W311" s="42" t="str">
        <f>IFERROR(VLOOKUP($J311,'Project Reference'!$B$2:$J$41,9,FALSE)," ")</f>
        <v xml:space="preserve"> </v>
      </c>
      <c r="X311" s="42" t="str">
        <f>IFERROR(VLOOKUP($J311,'Project Reference'!$B$2:$K$41,10)," ")</f>
        <v xml:space="preserve"> </v>
      </c>
      <c r="Y311" s="42" t="str">
        <f>IFERROR(VLOOKUP($J311,'Project Reference'!$B$2:$L$41,11)," ")</f>
        <v xml:space="preserve"> </v>
      </c>
      <c r="Z311" s="42" t="str">
        <f>IFERROR(VLOOKUP($J311,'Project Reference'!$B$2:$M$41,12)," ")</f>
        <v xml:space="preserve"> </v>
      </c>
      <c r="AA311" s="42" t="str">
        <f>IFERROR(VLOOKUP($J311,'Project Reference'!$B$2:$N$41,13)," ")</f>
        <v xml:space="preserve"> </v>
      </c>
    </row>
    <row r="312" spans="1:27" s="1" customFormat="1" x14ac:dyDescent="0.45">
      <c r="A312" s="43"/>
      <c r="B312" s="205"/>
      <c r="C312"/>
      <c r="D312" s="72"/>
      <c r="E312" s="72"/>
      <c r="F312" s="72"/>
      <c r="G312" s="72"/>
      <c r="H312" s="17"/>
      <c r="I312" s="41" t="str" cm="1">
        <f t="array" ref="I312">IFERROR(_xlfn.IFS(H312="Hard (Cash)","N/A",H312="Soft (In-Kind)", "Enter Source"),"Select Type")</f>
        <v>Select Type</v>
      </c>
      <c r="J312" s="124"/>
      <c r="K312" s="41" t="str">
        <f>IFERROR(VLOOKUP($J312,'Project Reference'!$S$2:$T$41,2),"Enter Project Number")</f>
        <v>Enter Project Number</v>
      </c>
      <c r="L312" s="41"/>
      <c r="M312" s="41"/>
      <c r="N312" s="15">
        <f t="shared" si="4"/>
        <v>0</v>
      </c>
      <c r="O312" s="19"/>
      <c r="P312" s="42" t="str">
        <f>IFERROR(VLOOKUP($J312,'Project Reference'!$B$2:$C$41,2)," ")</f>
        <v xml:space="preserve"> </v>
      </c>
      <c r="Q312" s="42" t="str">
        <f>IFERROR(VLOOKUP($J312,'Project Reference'!$B$2:$D$41,3)," ")</f>
        <v xml:space="preserve"> </v>
      </c>
      <c r="R312" s="42" t="str">
        <f>IFERROR(VLOOKUP($J312,'Project Reference'!$B$2:$E$41,4)," ")</f>
        <v xml:space="preserve"> </v>
      </c>
      <c r="S312" s="42" t="str">
        <f>IFERROR(VLOOKUP($J312,'Project Reference'!$B$2:$F$41,5,FALSE)," ")</f>
        <v xml:space="preserve"> </v>
      </c>
      <c r="T312" s="42" t="str">
        <f>IFERROR(VLOOKUP($J312,'Project Reference'!$B$2:$G$41,6,FALSE)," ")</f>
        <v xml:space="preserve"> </v>
      </c>
      <c r="U312" s="42" t="str">
        <f>IFERROR(VLOOKUP($J312,'Project Reference'!$B$2:$H$41,7,FALSE)," ")</f>
        <v xml:space="preserve"> </v>
      </c>
      <c r="V312" s="42" t="str">
        <f>IFERROR(VLOOKUP($J312,'Project Reference'!$B$2:$I$41,8,FALSE)," ")</f>
        <v xml:space="preserve"> </v>
      </c>
      <c r="W312" s="42" t="str">
        <f>IFERROR(VLOOKUP($J312,'Project Reference'!$B$2:$J$41,9,FALSE)," ")</f>
        <v xml:space="preserve"> </v>
      </c>
      <c r="X312" s="42" t="str">
        <f>IFERROR(VLOOKUP($J312,'Project Reference'!$B$2:$K$41,10)," ")</f>
        <v xml:space="preserve"> </v>
      </c>
      <c r="Y312" s="42" t="str">
        <f>IFERROR(VLOOKUP($J312,'Project Reference'!$B$2:$L$41,11)," ")</f>
        <v xml:space="preserve"> </v>
      </c>
      <c r="Z312" s="42" t="str">
        <f>IFERROR(VLOOKUP($J312,'Project Reference'!$B$2:$M$41,12)," ")</f>
        <v xml:space="preserve"> </v>
      </c>
      <c r="AA312" s="42" t="str">
        <f>IFERROR(VLOOKUP($J312,'Project Reference'!$B$2:$N$41,13)," ")</f>
        <v xml:space="preserve"> </v>
      </c>
    </row>
    <row r="313" spans="1:27" s="1" customFormat="1" x14ac:dyDescent="0.45">
      <c r="A313" s="43"/>
      <c r="B313" s="205"/>
      <c r="C313"/>
      <c r="D313" s="72"/>
      <c r="E313" s="72"/>
      <c r="F313" s="72"/>
      <c r="G313" s="72"/>
      <c r="H313" s="17"/>
      <c r="I313" s="41" t="str" cm="1">
        <f t="array" ref="I313">IFERROR(_xlfn.IFS(H313="Hard (Cash)","N/A",H313="Soft (In-Kind)", "Enter Source"),"Select Type")</f>
        <v>Select Type</v>
      </c>
      <c r="J313" s="124"/>
      <c r="K313" s="41" t="str">
        <f>IFERROR(VLOOKUP($J313,'Project Reference'!$S$2:$T$41,2),"Enter Project Number")</f>
        <v>Enter Project Number</v>
      </c>
      <c r="L313" s="41"/>
      <c r="M313" s="41"/>
      <c r="N313" s="15">
        <f t="shared" si="4"/>
        <v>0</v>
      </c>
      <c r="O313" s="19"/>
      <c r="P313" s="42" t="str">
        <f>IFERROR(VLOOKUP($J313,'Project Reference'!$B$2:$C$41,2)," ")</f>
        <v xml:space="preserve"> </v>
      </c>
      <c r="Q313" s="42" t="str">
        <f>IFERROR(VLOOKUP($J313,'Project Reference'!$B$2:$D$41,3)," ")</f>
        <v xml:space="preserve"> </v>
      </c>
      <c r="R313" s="42" t="str">
        <f>IFERROR(VLOOKUP($J313,'Project Reference'!$B$2:$E$41,4)," ")</f>
        <v xml:space="preserve"> </v>
      </c>
      <c r="S313" s="42" t="str">
        <f>IFERROR(VLOOKUP($J313,'Project Reference'!$B$2:$F$41,5,FALSE)," ")</f>
        <v xml:space="preserve"> </v>
      </c>
      <c r="T313" s="42" t="str">
        <f>IFERROR(VLOOKUP($J313,'Project Reference'!$B$2:$G$41,6,FALSE)," ")</f>
        <v xml:space="preserve"> </v>
      </c>
      <c r="U313" s="42" t="str">
        <f>IFERROR(VLOOKUP($J313,'Project Reference'!$B$2:$H$41,7,FALSE)," ")</f>
        <v xml:space="preserve"> </v>
      </c>
      <c r="V313" s="42" t="str">
        <f>IFERROR(VLOOKUP($J313,'Project Reference'!$B$2:$I$41,8,FALSE)," ")</f>
        <v xml:space="preserve"> </v>
      </c>
      <c r="W313" s="42" t="str">
        <f>IFERROR(VLOOKUP($J313,'Project Reference'!$B$2:$J$41,9,FALSE)," ")</f>
        <v xml:space="preserve"> </v>
      </c>
      <c r="X313" s="42" t="str">
        <f>IFERROR(VLOOKUP($J313,'Project Reference'!$B$2:$K$41,10)," ")</f>
        <v xml:space="preserve"> </v>
      </c>
      <c r="Y313" s="42" t="str">
        <f>IFERROR(VLOOKUP($J313,'Project Reference'!$B$2:$L$41,11)," ")</f>
        <v xml:space="preserve"> </v>
      </c>
      <c r="Z313" s="42" t="str">
        <f>IFERROR(VLOOKUP($J313,'Project Reference'!$B$2:$M$41,12)," ")</f>
        <v xml:space="preserve"> </v>
      </c>
      <c r="AA313" s="42" t="str">
        <f>IFERROR(VLOOKUP($J313,'Project Reference'!$B$2:$N$41,13)," ")</f>
        <v xml:space="preserve"> </v>
      </c>
    </row>
    <row r="314" spans="1:27" s="1" customFormat="1" x14ac:dyDescent="0.45">
      <c r="A314" s="43"/>
      <c r="B314" s="205"/>
      <c r="C314"/>
      <c r="D314" s="72"/>
      <c r="E314" s="72"/>
      <c r="F314" s="72"/>
      <c r="G314" s="72"/>
      <c r="H314" s="17"/>
      <c r="I314" s="41" t="str" cm="1">
        <f t="array" ref="I314">IFERROR(_xlfn.IFS(H314="Hard (Cash)","N/A",H314="Soft (In-Kind)", "Enter Source"),"Select Type")</f>
        <v>Select Type</v>
      </c>
      <c r="J314" s="124"/>
      <c r="K314" s="41" t="str">
        <f>IFERROR(VLOOKUP($J314,'Project Reference'!$S$2:$T$41,2),"Enter Project Number")</f>
        <v>Enter Project Number</v>
      </c>
      <c r="L314" s="41"/>
      <c r="M314" s="41"/>
      <c r="N314" s="15">
        <f t="shared" si="4"/>
        <v>0</v>
      </c>
      <c r="O314" s="19"/>
      <c r="P314" s="42" t="str">
        <f>IFERROR(VLOOKUP($J314,'Project Reference'!$B$2:$C$41,2)," ")</f>
        <v xml:space="preserve"> </v>
      </c>
      <c r="Q314" s="42" t="str">
        <f>IFERROR(VLOOKUP($J314,'Project Reference'!$B$2:$D$41,3)," ")</f>
        <v xml:space="preserve"> </v>
      </c>
      <c r="R314" s="42" t="str">
        <f>IFERROR(VLOOKUP($J314,'Project Reference'!$B$2:$E$41,4)," ")</f>
        <v xml:space="preserve"> </v>
      </c>
      <c r="S314" s="42" t="str">
        <f>IFERROR(VLOOKUP($J314,'Project Reference'!$B$2:$F$41,5,FALSE)," ")</f>
        <v xml:space="preserve"> </v>
      </c>
      <c r="T314" s="42" t="str">
        <f>IFERROR(VLOOKUP($J314,'Project Reference'!$B$2:$G$41,6,FALSE)," ")</f>
        <v xml:space="preserve"> </v>
      </c>
      <c r="U314" s="42" t="str">
        <f>IFERROR(VLOOKUP($J314,'Project Reference'!$B$2:$H$41,7,FALSE)," ")</f>
        <v xml:space="preserve"> </v>
      </c>
      <c r="V314" s="42" t="str">
        <f>IFERROR(VLOOKUP($J314,'Project Reference'!$B$2:$I$41,8,FALSE)," ")</f>
        <v xml:space="preserve"> </v>
      </c>
      <c r="W314" s="42" t="str">
        <f>IFERROR(VLOOKUP($J314,'Project Reference'!$B$2:$J$41,9,FALSE)," ")</f>
        <v xml:space="preserve"> </v>
      </c>
      <c r="X314" s="42" t="str">
        <f>IFERROR(VLOOKUP($J314,'Project Reference'!$B$2:$K$41,10)," ")</f>
        <v xml:space="preserve"> </v>
      </c>
      <c r="Y314" s="42" t="str">
        <f>IFERROR(VLOOKUP($J314,'Project Reference'!$B$2:$L$41,11)," ")</f>
        <v xml:space="preserve"> </v>
      </c>
      <c r="Z314" s="42" t="str">
        <f>IFERROR(VLOOKUP($J314,'Project Reference'!$B$2:$M$41,12)," ")</f>
        <v xml:space="preserve"> </v>
      </c>
      <c r="AA314" s="42" t="str">
        <f>IFERROR(VLOOKUP($J314,'Project Reference'!$B$2:$N$41,13)," ")</f>
        <v xml:space="preserve"> </v>
      </c>
    </row>
    <row r="315" spans="1:27" s="1" customFormat="1" x14ac:dyDescent="0.45">
      <c r="A315" s="43"/>
      <c r="B315" s="205"/>
      <c r="C315"/>
      <c r="D315" s="72"/>
      <c r="E315" s="72"/>
      <c r="F315" s="72"/>
      <c r="G315" s="72"/>
      <c r="H315" s="17"/>
      <c r="I315" s="41" t="str" cm="1">
        <f t="array" ref="I315">IFERROR(_xlfn.IFS(H315="Hard (Cash)","N/A",H315="Soft (In-Kind)", "Enter Source"),"Select Type")</f>
        <v>Select Type</v>
      </c>
      <c r="J315" s="124"/>
      <c r="K315" s="41" t="str">
        <f>IFERROR(VLOOKUP($J315,'Project Reference'!$S$2:$T$41,2),"Enter Project Number")</f>
        <v>Enter Project Number</v>
      </c>
      <c r="L315" s="41"/>
      <c r="M315" s="41"/>
      <c r="N315" s="15">
        <f t="shared" si="4"/>
        <v>0</v>
      </c>
      <c r="O315" s="19"/>
      <c r="P315" s="42" t="str">
        <f>IFERROR(VLOOKUP($J315,'Project Reference'!$B$2:$C$41,2)," ")</f>
        <v xml:space="preserve"> </v>
      </c>
      <c r="Q315" s="42" t="str">
        <f>IFERROR(VLOOKUP($J315,'Project Reference'!$B$2:$D$41,3)," ")</f>
        <v xml:space="preserve"> </v>
      </c>
      <c r="R315" s="42" t="str">
        <f>IFERROR(VLOOKUP($J315,'Project Reference'!$B$2:$E$41,4)," ")</f>
        <v xml:space="preserve"> </v>
      </c>
      <c r="S315" s="42" t="str">
        <f>IFERROR(VLOOKUP($J315,'Project Reference'!$B$2:$F$41,5,FALSE)," ")</f>
        <v xml:space="preserve"> </v>
      </c>
      <c r="T315" s="42" t="str">
        <f>IFERROR(VLOOKUP($J315,'Project Reference'!$B$2:$G$41,6,FALSE)," ")</f>
        <v xml:space="preserve"> </v>
      </c>
      <c r="U315" s="42" t="str">
        <f>IFERROR(VLOOKUP($J315,'Project Reference'!$B$2:$H$41,7,FALSE)," ")</f>
        <v xml:space="preserve"> </v>
      </c>
      <c r="V315" s="42" t="str">
        <f>IFERROR(VLOOKUP($J315,'Project Reference'!$B$2:$I$41,8,FALSE)," ")</f>
        <v xml:space="preserve"> </v>
      </c>
      <c r="W315" s="42" t="str">
        <f>IFERROR(VLOOKUP($J315,'Project Reference'!$B$2:$J$41,9,FALSE)," ")</f>
        <v xml:space="preserve"> </v>
      </c>
      <c r="X315" s="42" t="str">
        <f>IFERROR(VLOOKUP($J315,'Project Reference'!$B$2:$K$41,10)," ")</f>
        <v xml:space="preserve"> </v>
      </c>
      <c r="Y315" s="42" t="str">
        <f>IFERROR(VLOOKUP($J315,'Project Reference'!$B$2:$L$41,11)," ")</f>
        <v xml:space="preserve"> </v>
      </c>
      <c r="Z315" s="42" t="str">
        <f>IFERROR(VLOOKUP($J315,'Project Reference'!$B$2:$M$41,12)," ")</f>
        <v xml:space="preserve"> </v>
      </c>
      <c r="AA315" s="42" t="str">
        <f>IFERROR(VLOOKUP($J315,'Project Reference'!$B$2:$N$41,13)," ")</f>
        <v xml:space="preserve"> </v>
      </c>
    </row>
    <row r="316" spans="1:27" s="1" customFormat="1" x14ac:dyDescent="0.45">
      <c r="A316" s="43"/>
      <c r="B316" s="205"/>
      <c r="C316"/>
      <c r="D316" s="72"/>
      <c r="E316" s="72"/>
      <c r="F316" s="72"/>
      <c r="G316" s="72"/>
      <c r="H316" s="17"/>
      <c r="I316" s="41" t="str" cm="1">
        <f t="array" ref="I316">IFERROR(_xlfn.IFS(H316="Hard (Cash)","N/A",H316="Soft (In-Kind)", "Enter Source"),"Select Type")</f>
        <v>Select Type</v>
      </c>
      <c r="J316" s="124"/>
      <c r="K316" s="41" t="str">
        <f>IFERROR(VLOOKUP($J316,'Project Reference'!$S$2:$T$41,2),"Enter Project Number")</f>
        <v>Enter Project Number</v>
      </c>
      <c r="L316" s="41"/>
      <c r="M316" s="41"/>
      <c r="N316" s="15">
        <f t="shared" si="4"/>
        <v>0</v>
      </c>
      <c r="O316" s="19"/>
      <c r="P316" s="42" t="str">
        <f>IFERROR(VLOOKUP($J316,'Project Reference'!$B$2:$C$41,2)," ")</f>
        <v xml:space="preserve"> </v>
      </c>
      <c r="Q316" s="42" t="str">
        <f>IFERROR(VLOOKUP($J316,'Project Reference'!$B$2:$D$41,3)," ")</f>
        <v xml:space="preserve"> </v>
      </c>
      <c r="R316" s="42" t="str">
        <f>IFERROR(VLOOKUP($J316,'Project Reference'!$B$2:$E$41,4)," ")</f>
        <v xml:space="preserve"> </v>
      </c>
      <c r="S316" s="42" t="str">
        <f>IFERROR(VLOOKUP($J316,'Project Reference'!$B$2:$F$41,5,FALSE)," ")</f>
        <v xml:space="preserve"> </v>
      </c>
      <c r="T316" s="42" t="str">
        <f>IFERROR(VLOOKUP($J316,'Project Reference'!$B$2:$G$41,6,FALSE)," ")</f>
        <v xml:space="preserve"> </v>
      </c>
      <c r="U316" s="42" t="str">
        <f>IFERROR(VLOOKUP($J316,'Project Reference'!$B$2:$H$41,7,FALSE)," ")</f>
        <v xml:space="preserve"> </v>
      </c>
      <c r="V316" s="42" t="str">
        <f>IFERROR(VLOOKUP($J316,'Project Reference'!$B$2:$I$41,8,FALSE)," ")</f>
        <v xml:space="preserve"> </v>
      </c>
      <c r="W316" s="42" t="str">
        <f>IFERROR(VLOOKUP($J316,'Project Reference'!$B$2:$J$41,9,FALSE)," ")</f>
        <v xml:space="preserve"> </v>
      </c>
      <c r="X316" s="42" t="str">
        <f>IFERROR(VLOOKUP($J316,'Project Reference'!$B$2:$K$41,10)," ")</f>
        <v xml:space="preserve"> </v>
      </c>
      <c r="Y316" s="42" t="str">
        <f>IFERROR(VLOOKUP($J316,'Project Reference'!$B$2:$L$41,11)," ")</f>
        <v xml:space="preserve"> </v>
      </c>
      <c r="Z316" s="42" t="str">
        <f>IFERROR(VLOOKUP($J316,'Project Reference'!$B$2:$M$41,12)," ")</f>
        <v xml:space="preserve"> </v>
      </c>
      <c r="AA316" s="42" t="str">
        <f>IFERROR(VLOOKUP($J316,'Project Reference'!$B$2:$N$41,13)," ")</f>
        <v xml:space="preserve"> </v>
      </c>
    </row>
    <row r="317" spans="1:27" s="1" customFormat="1" x14ac:dyDescent="0.45">
      <c r="A317" s="43"/>
      <c r="B317" s="205"/>
      <c r="C317"/>
      <c r="D317" s="72"/>
      <c r="E317" s="72"/>
      <c r="F317" s="72"/>
      <c r="G317" s="72"/>
      <c r="H317" s="17"/>
      <c r="I317" s="41" t="str" cm="1">
        <f t="array" ref="I317">IFERROR(_xlfn.IFS(H317="Hard (Cash)","N/A",H317="Soft (In-Kind)", "Enter Source"),"Select Type")</f>
        <v>Select Type</v>
      </c>
      <c r="J317" s="124"/>
      <c r="K317" s="41" t="str">
        <f>IFERROR(VLOOKUP($J317,'Project Reference'!$S$2:$T$41,2),"Enter Project Number")</f>
        <v>Enter Project Number</v>
      </c>
      <c r="L317" s="41"/>
      <c r="M317" s="41"/>
      <c r="N317" s="15">
        <f t="shared" si="4"/>
        <v>0</v>
      </c>
      <c r="O317" s="19"/>
      <c r="P317" s="42" t="str">
        <f>IFERROR(VLOOKUP($J317,'Project Reference'!$B$2:$C$41,2)," ")</f>
        <v xml:space="preserve"> </v>
      </c>
      <c r="Q317" s="42" t="str">
        <f>IFERROR(VLOOKUP($J317,'Project Reference'!$B$2:$D$41,3)," ")</f>
        <v xml:space="preserve"> </v>
      </c>
      <c r="R317" s="42" t="str">
        <f>IFERROR(VLOOKUP($J317,'Project Reference'!$B$2:$E$41,4)," ")</f>
        <v xml:space="preserve"> </v>
      </c>
      <c r="S317" s="42" t="str">
        <f>IFERROR(VLOOKUP($J317,'Project Reference'!$B$2:$F$41,5,FALSE)," ")</f>
        <v xml:space="preserve"> </v>
      </c>
      <c r="T317" s="42" t="str">
        <f>IFERROR(VLOOKUP($J317,'Project Reference'!$B$2:$G$41,6,FALSE)," ")</f>
        <v xml:space="preserve"> </v>
      </c>
      <c r="U317" s="42" t="str">
        <f>IFERROR(VLOOKUP($J317,'Project Reference'!$B$2:$H$41,7,FALSE)," ")</f>
        <v xml:space="preserve"> </v>
      </c>
      <c r="V317" s="42" t="str">
        <f>IFERROR(VLOOKUP($J317,'Project Reference'!$B$2:$I$41,8,FALSE)," ")</f>
        <v xml:space="preserve"> </v>
      </c>
      <c r="W317" s="42" t="str">
        <f>IFERROR(VLOOKUP($J317,'Project Reference'!$B$2:$J$41,9,FALSE)," ")</f>
        <v xml:space="preserve"> </v>
      </c>
      <c r="X317" s="42" t="str">
        <f>IFERROR(VLOOKUP($J317,'Project Reference'!$B$2:$K$41,10)," ")</f>
        <v xml:space="preserve"> </v>
      </c>
      <c r="Y317" s="42" t="str">
        <f>IFERROR(VLOOKUP($J317,'Project Reference'!$B$2:$L$41,11)," ")</f>
        <v xml:space="preserve"> </v>
      </c>
      <c r="Z317" s="42" t="str">
        <f>IFERROR(VLOOKUP($J317,'Project Reference'!$B$2:$M$41,12)," ")</f>
        <v xml:space="preserve"> </v>
      </c>
      <c r="AA317" s="42" t="str">
        <f>IFERROR(VLOOKUP($J317,'Project Reference'!$B$2:$N$41,13)," ")</f>
        <v xml:space="preserve"> </v>
      </c>
    </row>
    <row r="318" spans="1:27" s="1" customFormat="1" x14ac:dyDescent="0.45">
      <c r="A318" s="43"/>
      <c r="B318" s="205"/>
      <c r="C318"/>
      <c r="D318" s="72"/>
      <c r="E318" s="72"/>
      <c r="F318" s="72"/>
      <c r="G318" s="72"/>
      <c r="H318" s="17"/>
      <c r="I318" s="41" t="str" cm="1">
        <f t="array" ref="I318">IFERROR(_xlfn.IFS(H318="Hard (Cash)","N/A",H318="Soft (In-Kind)", "Enter Source"),"Select Type")</f>
        <v>Select Type</v>
      </c>
      <c r="J318" s="124"/>
      <c r="K318" s="41" t="str">
        <f>IFERROR(VLOOKUP($J318,'Project Reference'!$S$2:$T$41,2),"Enter Project Number")</f>
        <v>Enter Project Number</v>
      </c>
      <c r="L318" s="41"/>
      <c r="M318" s="41"/>
      <c r="N318" s="15">
        <f t="shared" si="4"/>
        <v>0</v>
      </c>
      <c r="O318" s="19"/>
      <c r="P318" s="42" t="str">
        <f>IFERROR(VLOOKUP($J318,'Project Reference'!$B$2:$C$41,2)," ")</f>
        <v xml:space="preserve"> </v>
      </c>
      <c r="Q318" s="42" t="str">
        <f>IFERROR(VLOOKUP($J318,'Project Reference'!$B$2:$D$41,3)," ")</f>
        <v xml:space="preserve"> </v>
      </c>
      <c r="R318" s="42" t="str">
        <f>IFERROR(VLOOKUP($J318,'Project Reference'!$B$2:$E$41,4)," ")</f>
        <v xml:space="preserve"> </v>
      </c>
      <c r="S318" s="42" t="str">
        <f>IFERROR(VLOOKUP($J318,'Project Reference'!$B$2:$F$41,5,FALSE)," ")</f>
        <v xml:space="preserve"> </v>
      </c>
      <c r="T318" s="42" t="str">
        <f>IFERROR(VLOOKUP($J318,'Project Reference'!$B$2:$G$41,6,FALSE)," ")</f>
        <v xml:space="preserve"> </v>
      </c>
      <c r="U318" s="42" t="str">
        <f>IFERROR(VLOOKUP($J318,'Project Reference'!$B$2:$H$41,7,FALSE)," ")</f>
        <v xml:space="preserve"> </v>
      </c>
      <c r="V318" s="42" t="str">
        <f>IFERROR(VLOOKUP($J318,'Project Reference'!$B$2:$I$41,8,FALSE)," ")</f>
        <v xml:space="preserve"> </v>
      </c>
      <c r="W318" s="42" t="str">
        <f>IFERROR(VLOOKUP($J318,'Project Reference'!$B$2:$J$41,9,FALSE)," ")</f>
        <v xml:space="preserve"> </v>
      </c>
      <c r="X318" s="42" t="str">
        <f>IFERROR(VLOOKUP($J318,'Project Reference'!$B$2:$K$41,10)," ")</f>
        <v xml:space="preserve"> </v>
      </c>
      <c r="Y318" s="42" t="str">
        <f>IFERROR(VLOOKUP($J318,'Project Reference'!$B$2:$L$41,11)," ")</f>
        <v xml:space="preserve"> </v>
      </c>
      <c r="Z318" s="42" t="str">
        <f>IFERROR(VLOOKUP($J318,'Project Reference'!$B$2:$M$41,12)," ")</f>
        <v xml:space="preserve"> </v>
      </c>
      <c r="AA318" s="42" t="str">
        <f>IFERROR(VLOOKUP($J318,'Project Reference'!$B$2:$N$41,13)," ")</f>
        <v xml:space="preserve"> </v>
      </c>
    </row>
    <row r="319" spans="1:27" s="1" customFormat="1" x14ac:dyDescent="0.45">
      <c r="A319" s="43"/>
      <c r="B319" s="205"/>
      <c r="C319"/>
      <c r="D319" s="72"/>
      <c r="E319" s="72"/>
      <c r="F319" s="72"/>
      <c r="G319" s="72"/>
      <c r="H319" s="17"/>
      <c r="I319" s="41" t="str" cm="1">
        <f t="array" ref="I319">IFERROR(_xlfn.IFS(H319="Hard (Cash)","N/A",H319="Soft (In-Kind)", "Enter Source"),"Select Type")</f>
        <v>Select Type</v>
      </c>
      <c r="J319" s="124"/>
      <c r="K319" s="41" t="str">
        <f>IFERROR(VLOOKUP($J319,'Project Reference'!$S$2:$T$41,2),"Enter Project Number")</f>
        <v>Enter Project Number</v>
      </c>
      <c r="L319" s="41"/>
      <c r="M319" s="41"/>
      <c r="N319" s="15">
        <f t="shared" si="4"/>
        <v>0</v>
      </c>
      <c r="O319" s="19"/>
      <c r="P319" s="42" t="str">
        <f>IFERROR(VLOOKUP($J319,'Project Reference'!$B$2:$C$41,2)," ")</f>
        <v xml:space="preserve"> </v>
      </c>
      <c r="Q319" s="42" t="str">
        <f>IFERROR(VLOOKUP($J319,'Project Reference'!$B$2:$D$41,3)," ")</f>
        <v xml:space="preserve"> </v>
      </c>
      <c r="R319" s="42" t="str">
        <f>IFERROR(VLOOKUP($J319,'Project Reference'!$B$2:$E$41,4)," ")</f>
        <v xml:space="preserve"> </v>
      </c>
      <c r="S319" s="42" t="str">
        <f>IFERROR(VLOOKUP($J319,'Project Reference'!$B$2:$F$41,5,FALSE)," ")</f>
        <v xml:space="preserve"> </v>
      </c>
      <c r="T319" s="42" t="str">
        <f>IFERROR(VLOOKUP($J319,'Project Reference'!$B$2:$G$41,6,FALSE)," ")</f>
        <v xml:space="preserve"> </v>
      </c>
      <c r="U319" s="42" t="str">
        <f>IFERROR(VLOOKUP($J319,'Project Reference'!$B$2:$H$41,7,FALSE)," ")</f>
        <v xml:space="preserve"> </v>
      </c>
      <c r="V319" s="42" t="str">
        <f>IFERROR(VLOOKUP($J319,'Project Reference'!$B$2:$I$41,8,FALSE)," ")</f>
        <v xml:space="preserve"> </v>
      </c>
      <c r="W319" s="42" t="str">
        <f>IFERROR(VLOOKUP($J319,'Project Reference'!$B$2:$J$41,9,FALSE)," ")</f>
        <v xml:space="preserve"> </v>
      </c>
      <c r="X319" s="42" t="str">
        <f>IFERROR(VLOOKUP($J319,'Project Reference'!$B$2:$K$41,10)," ")</f>
        <v xml:space="preserve"> </v>
      </c>
      <c r="Y319" s="42" t="str">
        <f>IFERROR(VLOOKUP($J319,'Project Reference'!$B$2:$L$41,11)," ")</f>
        <v xml:space="preserve"> </v>
      </c>
      <c r="Z319" s="42" t="str">
        <f>IFERROR(VLOOKUP($J319,'Project Reference'!$B$2:$M$41,12)," ")</f>
        <v xml:space="preserve"> </v>
      </c>
      <c r="AA319" s="42" t="str">
        <f>IFERROR(VLOOKUP($J319,'Project Reference'!$B$2:$N$41,13)," ")</f>
        <v xml:space="preserve"> </v>
      </c>
    </row>
    <row r="320" spans="1:27" s="1" customFormat="1" x14ac:dyDescent="0.45">
      <c r="A320" s="43"/>
      <c r="B320" s="205"/>
      <c r="C320"/>
      <c r="D320" s="72"/>
      <c r="E320" s="72"/>
      <c r="F320" s="72"/>
      <c r="G320" s="72"/>
      <c r="H320" s="17"/>
      <c r="I320" s="41" t="str" cm="1">
        <f t="array" ref="I320">IFERROR(_xlfn.IFS(H320="Hard (Cash)","N/A",H320="Soft (In-Kind)", "Enter Source"),"Select Type")</f>
        <v>Select Type</v>
      </c>
      <c r="J320" s="124"/>
      <c r="K320" s="41" t="str">
        <f>IFERROR(VLOOKUP($J320,'Project Reference'!$S$2:$T$41,2),"Enter Project Number")</f>
        <v>Enter Project Number</v>
      </c>
      <c r="L320" s="41"/>
      <c r="M320" s="41"/>
      <c r="N320" s="15">
        <f t="shared" si="4"/>
        <v>0</v>
      </c>
      <c r="O320" s="19"/>
      <c r="P320" s="42" t="str">
        <f>IFERROR(VLOOKUP($J320,'Project Reference'!$B$2:$C$41,2)," ")</f>
        <v xml:space="preserve"> </v>
      </c>
      <c r="Q320" s="42" t="str">
        <f>IFERROR(VLOOKUP($J320,'Project Reference'!$B$2:$D$41,3)," ")</f>
        <v xml:space="preserve"> </v>
      </c>
      <c r="R320" s="42" t="str">
        <f>IFERROR(VLOOKUP($J320,'Project Reference'!$B$2:$E$41,4)," ")</f>
        <v xml:space="preserve"> </v>
      </c>
      <c r="S320" s="42" t="str">
        <f>IFERROR(VLOOKUP($J320,'Project Reference'!$B$2:$F$41,5,FALSE)," ")</f>
        <v xml:space="preserve"> </v>
      </c>
      <c r="T320" s="42" t="str">
        <f>IFERROR(VLOOKUP($J320,'Project Reference'!$B$2:$G$41,6,FALSE)," ")</f>
        <v xml:space="preserve"> </v>
      </c>
      <c r="U320" s="42" t="str">
        <f>IFERROR(VLOOKUP($J320,'Project Reference'!$B$2:$H$41,7,FALSE)," ")</f>
        <v xml:space="preserve"> </v>
      </c>
      <c r="V320" s="42" t="str">
        <f>IFERROR(VLOOKUP($J320,'Project Reference'!$B$2:$I$41,8,FALSE)," ")</f>
        <v xml:space="preserve"> </v>
      </c>
      <c r="W320" s="42" t="str">
        <f>IFERROR(VLOOKUP($J320,'Project Reference'!$B$2:$J$41,9,FALSE)," ")</f>
        <v xml:space="preserve"> </v>
      </c>
      <c r="X320" s="42" t="str">
        <f>IFERROR(VLOOKUP($J320,'Project Reference'!$B$2:$K$41,10)," ")</f>
        <v xml:space="preserve"> </v>
      </c>
      <c r="Y320" s="42" t="str">
        <f>IFERROR(VLOOKUP($J320,'Project Reference'!$B$2:$L$41,11)," ")</f>
        <v xml:space="preserve"> </v>
      </c>
      <c r="Z320" s="42" t="str">
        <f>IFERROR(VLOOKUP($J320,'Project Reference'!$B$2:$M$41,12)," ")</f>
        <v xml:space="preserve"> </v>
      </c>
      <c r="AA320" s="42" t="str">
        <f>IFERROR(VLOOKUP($J320,'Project Reference'!$B$2:$N$41,13)," ")</f>
        <v xml:space="preserve"> </v>
      </c>
    </row>
    <row r="321" spans="1:27" s="1" customFormat="1" x14ac:dyDescent="0.45">
      <c r="A321" s="43"/>
      <c r="B321" s="205"/>
      <c r="C321"/>
      <c r="D321" s="72"/>
      <c r="E321" s="72"/>
      <c r="F321" s="72"/>
      <c r="G321" s="72"/>
      <c r="H321" s="17"/>
      <c r="I321" s="41" t="str" cm="1">
        <f t="array" ref="I321">IFERROR(_xlfn.IFS(H321="Hard (Cash)","N/A",H321="Soft (In-Kind)", "Enter Source"),"Select Type")</f>
        <v>Select Type</v>
      </c>
      <c r="J321" s="124"/>
      <c r="K321" s="41" t="str">
        <f>IFERROR(VLOOKUP($J321,'Project Reference'!$S$2:$T$41,2),"Enter Project Number")</f>
        <v>Enter Project Number</v>
      </c>
      <c r="L321" s="41"/>
      <c r="M321" s="41"/>
      <c r="N321" s="15">
        <f t="shared" si="4"/>
        <v>0</v>
      </c>
      <c r="O321" s="19"/>
      <c r="P321" s="42" t="str">
        <f>IFERROR(VLOOKUP($J321,'Project Reference'!$B$2:$C$41,2)," ")</f>
        <v xml:space="preserve"> </v>
      </c>
      <c r="Q321" s="42" t="str">
        <f>IFERROR(VLOOKUP($J321,'Project Reference'!$B$2:$D$41,3)," ")</f>
        <v xml:space="preserve"> </v>
      </c>
      <c r="R321" s="42" t="str">
        <f>IFERROR(VLOOKUP($J321,'Project Reference'!$B$2:$E$41,4)," ")</f>
        <v xml:space="preserve"> </v>
      </c>
      <c r="S321" s="42" t="str">
        <f>IFERROR(VLOOKUP($J321,'Project Reference'!$B$2:$F$41,5,FALSE)," ")</f>
        <v xml:space="preserve"> </v>
      </c>
      <c r="T321" s="42" t="str">
        <f>IFERROR(VLOOKUP($J321,'Project Reference'!$B$2:$G$41,6,FALSE)," ")</f>
        <v xml:space="preserve"> </v>
      </c>
      <c r="U321" s="42" t="str">
        <f>IFERROR(VLOOKUP($J321,'Project Reference'!$B$2:$H$41,7,FALSE)," ")</f>
        <v xml:space="preserve"> </v>
      </c>
      <c r="V321" s="42" t="str">
        <f>IFERROR(VLOOKUP($J321,'Project Reference'!$B$2:$I$41,8,FALSE)," ")</f>
        <v xml:space="preserve"> </v>
      </c>
      <c r="W321" s="42" t="str">
        <f>IFERROR(VLOOKUP($J321,'Project Reference'!$B$2:$J$41,9,FALSE)," ")</f>
        <v xml:space="preserve"> </v>
      </c>
      <c r="X321" s="42" t="str">
        <f>IFERROR(VLOOKUP($J321,'Project Reference'!$B$2:$K$41,10)," ")</f>
        <v xml:space="preserve"> </v>
      </c>
      <c r="Y321" s="42" t="str">
        <f>IFERROR(VLOOKUP($J321,'Project Reference'!$B$2:$L$41,11)," ")</f>
        <v xml:space="preserve"> </v>
      </c>
      <c r="Z321" s="42" t="str">
        <f>IFERROR(VLOOKUP($J321,'Project Reference'!$B$2:$M$41,12)," ")</f>
        <v xml:space="preserve"> </v>
      </c>
      <c r="AA321" s="42" t="str">
        <f>IFERROR(VLOOKUP($J321,'Project Reference'!$B$2:$N$41,13)," ")</f>
        <v xml:space="preserve"> </v>
      </c>
    </row>
    <row r="322" spans="1:27" s="1" customFormat="1" x14ac:dyDescent="0.45">
      <c r="A322" s="43"/>
      <c r="B322" s="205"/>
      <c r="C322"/>
      <c r="D322" s="72"/>
      <c r="E322" s="72"/>
      <c r="F322" s="72"/>
      <c r="G322" s="72"/>
      <c r="H322" s="17"/>
      <c r="I322" s="41" t="str" cm="1">
        <f t="array" ref="I322">IFERROR(_xlfn.IFS(H322="Hard (Cash)","N/A",H322="Soft (In-Kind)", "Enter Source"),"Select Type")</f>
        <v>Select Type</v>
      </c>
      <c r="J322" s="124"/>
      <c r="K322" s="41" t="str">
        <f>IFERROR(VLOOKUP($J322,'Project Reference'!$S$2:$T$41,2),"Enter Project Number")</f>
        <v>Enter Project Number</v>
      </c>
      <c r="L322" s="41"/>
      <c r="M322" s="41"/>
      <c r="N322" s="15">
        <f t="shared" si="4"/>
        <v>0</v>
      </c>
      <c r="O322" s="19"/>
      <c r="P322" s="42" t="str">
        <f>IFERROR(VLOOKUP($J322,'Project Reference'!$B$2:$C$41,2)," ")</f>
        <v xml:space="preserve"> </v>
      </c>
      <c r="Q322" s="42" t="str">
        <f>IFERROR(VLOOKUP($J322,'Project Reference'!$B$2:$D$41,3)," ")</f>
        <v xml:space="preserve"> </v>
      </c>
      <c r="R322" s="42" t="str">
        <f>IFERROR(VLOOKUP($J322,'Project Reference'!$B$2:$E$41,4)," ")</f>
        <v xml:space="preserve"> </v>
      </c>
      <c r="S322" s="42" t="str">
        <f>IFERROR(VLOOKUP($J322,'Project Reference'!$B$2:$F$41,5,FALSE)," ")</f>
        <v xml:space="preserve"> </v>
      </c>
      <c r="T322" s="42" t="str">
        <f>IFERROR(VLOOKUP($J322,'Project Reference'!$B$2:$G$41,6,FALSE)," ")</f>
        <v xml:space="preserve"> </v>
      </c>
      <c r="U322" s="42" t="str">
        <f>IFERROR(VLOOKUP($J322,'Project Reference'!$B$2:$H$41,7,FALSE)," ")</f>
        <v xml:space="preserve"> </v>
      </c>
      <c r="V322" s="42" t="str">
        <f>IFERROR(VLOOKUP($J322,'Project Reference'!$B$2:$I$41,8,FALSE)," ")</f>
        <v xml:space="preserve"> </v>
      </c>
      <c r="W322" s="42" t="str">
        <f>IFERROR(VLOOKUP($J322,'Project Reference'!$B$2:$J$41,9,FALSE)," ")</f>
        <v xml:space="preserve"> </v>
      </c>
      <c r="X322" s="42" t="str">
        <f>IFERROR(VLOOKUP($J322,'Project Reference'!$B$2:$K$41,10)," ")</f>
        <v xml:space="preserve"> </v>
      </c>
      <c r="Y322" s="42" t="str">
        <f>IFERROR(VLOOKUP($J322,'Project Reference'!$B$2:$L$41,11)," ")</f>
        <v xml:space="preserve"> </v>
      </c>
      <c r="Z322" s="42" t="str">
        <f>IFERROR(VLOOKUP($J322,'Project Reference'!$B$2:$M$41,12)," ")</f>
        <v xml:space="preserve"> </v>
      </c>
      <c r="AA322" s="42" t="str">
        <f>IFERROR(VLOOKUP($J322,'Project Reference'!$B$2:$N$41,13)," ")</f>
        <v xml:space="preserve"> </v>
      </c>
    </row>
    <row r="323" spans="1:27" s="1" customFormat="1" x14ac:dyDescent="0.45">
      <c r="A323" s="43"/>
      <c r="B323" s="205"/>
      <c r="C323"/>
      <c r="D323" s="72"/>
      <c r="E323" s="72"/>
      <c r="F323" s="72"/>
      <c r="G323" s="72"/>
      <c r="H323" s="17"/>
      <c r="I323" s="41" t="str" cm="1">
        <f t="array" ref="I323">IFERROR(_xlfn.IFS(H323="Hard (Cash)","N/A",H323="Soft (In-Kind)", "Enter Source"),"Select Type")</f>
        <v>Select Type</v>
      </c>
      <c r="J323" s="124"/>
      <c r="K323" s="41" t="str">
        <f>IFERROR(VLOOKUP($J323,'Project Reference'!$S$2:$T$41,2),"Enter Project Number")</f>
        <v>Enter Project Number</v>
      </c>
      <c r="L323" s="41"/>
      <c r="M323" s="41"/>
      <c r="N323" s="15">
        <f t="shared" si="4"/>
        <v>0</v>
      </c>
      <c r="O323" s="19"/>
      <c r="P323" s="42" t="str">
        <f>IFERROR(VLOOKUP($J323,'Project Reference'!$B$2:$C$41,2)," ")</f>
        <v xml:space="preserve"> </v>
      </c>
      <c r="Q323" s="42" t="str">
        <f>IFERROR(VLOOKUP($J323,'Project Reference'!$B$2:$D$41,3)," ")</f>
        <v xml:space="preserve"> </v>
      </c>
      <c r="R323" s="42" t="str">
        <f>IFERROR(VLOOKUP($J323,'Project Reference'!$B$2:$E$41,4)," ")</f>
        <v xml:space="preserve"> </v>
      </c>
      <c r="S323" s="42" t="str">
        <f>IFERROR(VLOOKUP($J323,'Project Reference'!$B$2:$F$41,5,FALSE)," ")</f>
        <v xml:space="preserve"> </v>
      </c>
      <c r="T323" s="42" t="str">
        <f>IFERROR(VLOOKUP($J323,'Project Reference'!$B$2:$G$41,6,FALSE)," ")</f>
        <v xml:space="preserve"> </v>
      </c>
      <c r="U323" s="42" t="str">
        <f>IFERROR(VLOOKUP($J323,'Project Reference'!$B$2:$H$41,7,FALSE)," ")</f>
        <v xml:space="preserve"> </v>
      </c>
      <c r="V323" s="42" t="str">
        <f>IFERROR(VLOOKUP($J323,'Project Reference'!$B$2:$I$41,8,FALSE)," ")</f>
        <v xml:space="preserve"> </v>
      </c>
      <c r="W323" s="42" t="str">
        <f>IFERROR(VLOOKUP($J323,'Project Reference'!$B$2:$J$41,9,FALSE)," ")</f>
        <v xml:space="preserve"> </v>
      </c>
      <c r="X323" s="42" t="str">
        <f>IFERROR(VLOOKUP($J323,'Project Reference'!$B$2:$K$41,10)," ")</f>
        <v xml:space="preserve"> </v>
      </c>
      <c r="Y323" s="42" t="str">
        <f>IFERROR(VLOOKUP($J323,'Project Reference'!$B$2:$L$41,11)," ")</f>
        <v xml:space="preserve"> </v>
      </c>
      <c r="Z323" s="42" t="str">
        <f>IFERROR(VLOOKUP($J323,'Project Reference'!$B$2:$M$41,12)," ")</f>
        <v xml:space="preserve"> </v>
      </c>
      <c r="AA323" s="42" t="str">
        <f>IFERROR(VLOOKUP($J323,'Project Reference'!$B$2:$N$41,13)," ")</f>
        <v xml:space="preserve"> </v>
      </c>
    </row>
    <row r="324" spans="1:27" s="1" customFormat="1" x14ac:dyDescent="0.45">
      <c r="A324" s="43"/>
      <c r="B324" s="205"/>
      <c r="C324"/>
      <c r="D324" s="72"/>
      <c r="E324" s="72"/>
      <c r="F324" s="72"/>
      <c r="G324" s="72"/>
      <c r="H324" s="17"/>
      <c r="I324" s="41" t="str" cm="1">
        <f t="array" ref="I324">IFERROR(_xlfn.IFS(H324="Hard (Cash)","N/A",H324="Soft (In-Kind)", "Enter Source"),"Select Type")</f>
        <v>Select Type</v>
      </c>
      <c r="J324" s="124"/>
      <c r="K324" s="41" t="str">
        <f>IFERROR(VLOOKUP($J324,'Project Reference'!$S$2:$T$41,2),"Enter Project Number")</f>
        <v>Enter Project Number</v>
      </c>
      <c r="L324" s="41"/>
      <c r="M324" s="41"/>
      <c r="N324" s="15">
        <f t="shared" si="4"/>
        <v>0</v>
      </c>
      <c r="O324" s="19"/>
      <c r="P324" s="42" t="str">
        <f>IFERROR(VLOOKUP($J324,'Project Reference'!$B$2:$C$41,2)," ")</f>
        <v xml:space="preserve"> </v>
      </c>
      <c r="Q324" s="42" t="str">
        <f>IFERROR(VLOOKUP($J324,'Project Reference'!$B$2:$D$41,3)," ")</f>
        <v xml:space="preserve"> </v>
      </c>
      <c r="R324" s="42" t="str">
        <f>IFERROR(VLOOKUP($J324,'Project Reference'!$B$2:$E$41,4)," ")</f>
        <v xml:space="preserve"> </v>
      </c>
      <c r="S324" s="42" t="str">
        <f>IFERROR(VLOOKUP($J324,'Project Reference'!$B$2:$F$41,5,FALSE)," ")</f>
        <v xml:space="preserve"> </v>
      </c>
      <c r="T324" s="42" t="str">
        <f>IFERROR(VLOOKUP($J324,'Project Reference'!$B$2:$G$41,6,FALSE)," ")</f>
        <v xml:space="preserve"> </v>
      </c>
      <c r="U324" s="42" t="str">
        <f>IFERROR(VLOOKUP($J324,'Project Reference'!$B$2:$H$41,7,FALSE)," ")</f>
        <v xml:space="preserve"> </v>
      </c>
      <c r="V324" s="42" t="str">
        <f>IFERROR(VLOOKUP($J324,'Project Reference'!$B$2:$I$41,8,FALSE)," ")</f>
        <v xml:space="preserve"> </v>
      </c>
      <c r="W324" s="42" t="str">
        <f>IFERROR(VLOOKUP($J324,'Project Reference'!$B$2:$J$41,9,FALSE)," ")</f>
        <v xml:space="preserve"> </v>
      </c>
      <c r="X324" s="42" t="str">
        <f>IFERROR(VLOOKUP($J324,'Project Reference'!$B$2:$K$41,10)," ")</f>
        <v xml:space="preserve"> </v>
      </c>
      <c r="Y324" s="42" t="str">
        <f>IFERROR(VLOOKUP($J324,'Project Reference'!$B$2:$L$41,11)," ")</f>
        <v xml:space="preserve"> </v>
      </c>
      <c r="Z324" s="42" t="str">
        <f>IFERROR(VLOOKUP($J324,'Project Reference'!$B$2:$M$41,12)," ")</f>
        <v xml:space="preserve"> </v>
      </c>
      <c r="AA324" s="42" t="str">
        <f>IFERROR(VLOOKUP($J324,'Project Reference'!$B$2:$N$41,13)," ")</f>
        <v xml:space="preserve"> </v>
      </c>
    </row>
    <row r="325" spans="1:27" s="1" customFormat="1" x14ac:dyDescent="0.45">
      <c r="A325" s="43"/>
      <c r="B325" s="205"/>
      <c r="C325"/>
      <c r="D325" s="72"/>
      <c r="E325" s="72"/>
      <c r="F325" s="72"/>
      <c r="G325" s="72"/>
      <c r="H325" s="17"/>
      <c r="I325" s="41" t="str" cm="1">
        <f t="array" ref="I325">IFERROR(_xlfn.IFS(H325="Hard (Cash)","N/A",H325="Soft (In-Kind)", "Enter Source"),"Select Type")</f>
        <v>Select Type</v>
      </c>
      <c r="J325" s="124"/>
      <c r="K325" s="41" t="str">
        <f>IFERROR(VLOOKUP($J325,'Project Reference'!$S$2:$T$41,2),"Enter Project Number")</f>
        <v>Enter Project Number</v>
      </c>
      <c r="L325" s="41"/>
      <c r="M325" s="41"/>
      <c r="N325" s="15">
        <f t="shared" si="4"/>
        <v>0</v>
      </c>
      <c r="O325" s="19"/>
      <c r="P325" s="42" t="str">
        <f>IFERROR(VLOOKUP($J325,'Project Reference'!$B$2:$C$41,2)," ")</f>
        <v xml:space="preserve"> </v>
      </c>
      <c r="Q325" s="42" t="str">
        <f>IFERROR(VLOOKUP($J325,'Project Reference'!$B$2:$D$41,3)," ")</f>
        <v xml:space="preserve"> </v>
      </c>
      <c r="R325" s="42" t="str">
        <f>IFERROR(VLOOKUP($J325,'Project Reference'!$B$2:$E$41,4)," ")</f>
        <v xml:space="preserve"> </v>
      </c>
      <c r="S325" s="42" t="str">
        <f>IFERROR(VLOOKUP($J325,'Project Reference'!$B$2:$F$41,5,FALSE)," ")</f>
        <v xml:space="preserve"> </v>
      </c>
      <c r="T325" s="42" t="str">
        <f>IFERROR(VLOOKUP($J325,'Project Reference'!$B$2:$G$41,6,FALSE)," ")</f>
        <v xml:space="preserve"> </v>
      </c>
      <c r="U325" s="42" t="str">
        <f>IFERROR(VLOOKUP($J325,'Project Reference'!$B$2:$H$41,7,FALSE)," ")</f>
        <v xml:space="preserve"> </v>
      </c>
      <c r="V325" s="42" t="str">
        <f>IFERROR(VLOOKUP($J325,'Project Reference'!$B$2:$I$41,8,FALSE)," ")</f>
        <v xml:space="preserve"> </v>
      </c>
      <c r="W325" s="42" t="str">
        <f>IFERROR(VLOOKUP($J325,'Project Reference'!$B$2:$J$41,9,FALSE)," ")</f>
        <v xml:space="preserve"> </v>
      </c>
      <c r="X325" s="42" t="str">
        <f>IFERROR(VLOOKUP($J325,'Project Reference'!$B$2:$K$41,10)," ")</f>
        <v xml:space="preserve"> </v>
      </c>
      <c r="Y325" s="42" t="str">
        <f>IFERROR(VLOOKUP($J325,'Project Reference'!$B$2:$L$41,11)," ")</f>
        <v xml:space="preserve"> </v>
      </c>
      <c r="Z325" s="42" t="str">
        <f>IFERROR(VLOOKUP($J325,'Project Reference'!$B$2:$M$41,12)," ")</f>
        <v xml:space="preserve"> </v>
      </c>
      <c r="AA325" s="42" t="str">
        <f>IFERROR(VLOOKUP($J325,'Project Reference'!$B$2:$N$41,13)," ")</f>
        <v xml:space="preserve"> </v>
      </c>
    </row>
    <row r="326" spans="1:27" s="1" customFormat="1" x14ac:dyDescent="0.45">
      <c r="A326" s="43"/>
      <c r="B326" s="205"/>
      <c r="C326"/>
      <c r="D326" s="72"/>
      <c r="E326" s="72"/>
      <c r="F326" s="72"/>
      <c r="G326" s="72"/>
      <c r="H326" s="17"/>
      <c r="I326" s="41" t="str" cm="1">
        <f t="array" ref="I326">IFERROR(_xlfn.IFS(H326="Hard (Cash)","N/A",H326="Soft (In-Kind)", "Enter Source"),"Select Type")</f>
        <v>Select Type</v>
      </c>
      <c r="J326" s="124"/>
      <c r="K326" s="41" t="str">
        <f>IFERROR(VLOOKUP($J326,'Project Reference'!$S$2:$T$41,2),"Enter Project Number")</f>
        <v>Enter Project Number</v>
      </c>
      <c r="L326" s="41"/>
      <c r="M326" s="41"/>
      <c r="N326" s="15">
        <f t="shared" si="4"/>
        <v>0</v>
      </c>
      <c r="O326" s="19"/>
      <c r="P326" s="42" t="str">
        <f>IFERROR(VLOOKUP($J326,'Project Reference'!$B$2:$C$41,2)," ")</f>
        <v xml:space="preserve"> </v>
      </c>
      <c r="Q326" s="42" t="str">
        <f>IFERROR(VLOOKUP($J326,'Project Reference'!$B$2:$D$41,3)," ")</f>
        <v xml:space="preserve"> </v>
      </c>
      <c r="R326" s="42" t="str">
        <f>IFERROR(VLOOKUP($J326,'Project Reference'!$B$2:$E$41,4)," ")</f>
        <v xml:space="preserve"> </v>
      </c>
      <c r="S326" s="42" t="str">
        <f>IFERROR(VLOOKUP($J326,'Project Reference'!$B$2:$F$41,5,FALSE)," ")</f>
        <v xml:space="preserve"> </v>
      </c>
      <c r="T326" s="42" t="str">
        <f>IFERROR(VLOOKUP($J326,'Project Reference'!$B$2:$G$41,6,FALSE)," ")</f>
        <v xml:space="preserve"> </v>
      </c>
      <c r="U326" s="42" t="str">
        <f>IFERROR(VLOOKUP($J326,'Project Reference'!$B$2:$H$41,7,FALSE)," ")</f>
        <v xml:space="preserve"> </v>
      </c>
      <c r="V326" s="42" t="str">
        <f>IFERROR(VLOOKUP($J326,'Project Reference'!$B$2:$I$41,8,FALSE)," ")</f>
        <v xml:space="preserve"> </v>
      </c>
      <c r="W326" s="42" t="str">
        <f>IFERROR(VLOOKUP($J326,'Project Reference'!$B$2:$J$41,9,FALSE)," ")</f>
        <v xml:space="preserve"> </v>
      </c>
      <c r="X326" s="42" t="str">
        <f>IFERROR(VLOOKUP($J326,'Project Reference'!$B$2:$K$41,10)," ")</f>
        <v xml:space="preserve"> </v>
      </c>
      <c r="Y326" s="42" t="str">
        <f>IFERROR(VLOOKUP($J326,'Project Reference'!$B$2:$L$41,11)," ")</f>
        <v xml:space="preserve"> </v>
      </c>
      <c r="Z326" s="42" t="str">
        <f>IFERROR(VLOOKUP($J326,'Project Reference'!$B$2:$M$41,12)," ")</f>
        <v xml:space="preserve"> </v>
      </c>
      <c r="AA326" s="42" t="str">
        <f>IFERROR(VLOOKUP($J326,'Project Reference'!$B$2:$N$41,13)," ")</f>
        <v xml:space="preserve"> </v>
      </c>
    </row>
    <row r="327" spans="1:27" s="1" customFormat="1" x14ac:dyDescent="0.45">
      <c r="A327" s="43"/>
      <c r="B327" s="205"/>
      <c r="C327"/>
      <c r="D327" s="72"/>
      <c r="E327" s="72"/>
      <c r="F327" s="72"/>
      <c r="G327" s="72"/>
      <c r="H327" s="17"/>
      <c r="I327" s="41" t="str" cm="1">
        <f t="array" ref="I327">IFERROR(_xlfn.IFS(H327="Hard (Cash)","N/A",H327="Soft (In-Kind)", "Enter Source"),"Select Type")</f>
        <v>Select Type</v>
      </c>
      <c r="J327" s="124"/>
      <c r="K327" s="41" t="str">
        <f>IFERROR(VLOOKUP($J327,'Project Reference'!$S$2:$T$41,2),"Enter Project Number")</f>
        <v>Enter Project Number</v>
      </c>
      <c r="L327" s="41"/>
      <c r="M327" s="41"/>
      <c r="N327" s="15">
        <f t="shared" si="4"/>
        <v>0</v>
      </c>
      <c r="O327" s="19"/>
      <c r="P327" s="42" t="str">
        <f>IFERROR(VLOOKUP($J327,'Project Reference'!$B$2:$C$41,2)," ")</f>
        <v xml:space="preserve"> </v>
      </c>
      <c r="Q327" s="42" t="str">
        <f>IFERROR(VLOOKUP($J327,'Project Reference'!$B$2:$D$41,3)," ")</f>
        <v xml:space="preserve"> </v>
      </c>
      <c r="R327" s="42" t="str">
        <f>IFERROR(VLOOKUP($J327,'Project Reference'!$B$2:$E$41,4)," ")</f>
        <v xml:space="preserve"> </v>
      </c>
      <c r="S327" s="42" t="str">
        <f>IFERROR(VLOOKUP($J327,'Project Reference'!$B$2:$F$41,5,FALSE)," ")</f>
        <v xml:space="preserve"> </v>
      </c>
      <c r="T327" s="42" t="str">
        <f>IFERROR(VLOOKUP($J327,'Project Reference'!$B$2:$G$41,6,FALSE)," ")</f>
        <v xml:space="preserve"> </v>
      </c>
      <c r="U327" s="42" t="str">
        <f>IFERROR(VLOOKUP($J327,'Project Reference'!$B$2:$H$41,7,FALSE)," ")</f>
        <v xml:space="preserve"> </v>
      </c>
      <c r="V327" s="42" t="str">
        <f>IFERROR(VLOOKUP($J327,'Project Reference'!$B$2:$I$41,8,FALSE)," ")</f>
        <v xml:space="preserve"> </v>
      </c>
      <c r="W327" s="42" t="str">
        <f>IFERROR(VLOOKUP($J327,'Project Reference'!$B$2:$J$41,9,FALSE)," ")</f>
        <v xml:space="preserve"> </v>
      </c>
      <c r="X327" s="42" t="str">
        <f>IFERROR(VLOOKUP($J327,'Project Reference'!$B$2:$K$41,10)," ")</f>
        <v xml:space="preserve"> </v>
      </c>
      <c r="Y327" s="42" t="str">
        <f>IFERROR(VLOOKUP($J327,'Project Reference'!$B$2:$L$41,11)," ")</f>
        <v xml:space="preserve"> </v>
      </c>
      <c r="Z327" s="42" t="str">
        <f>IFERROR(VLOOKUP($J327,'Project Reference'!$B$2:$M$41,12)," ")</f>
        <v xml:space="preserve"> </v>
      </c>
      <c r="AA327" s="42" t="str">
        <f>IFERROR(VLOOKUP($J327,'Project Reference'!$B$2:$N$41,13)," ")</f>
        <v xml:space="preserve"> </v>
      </c>
    </row>
    <row r="328" spans="1:27" s="1" customFormat="1" x14ac:dyDescent="0.45">
      <c r="A328" s="43"/>
      <c r="B328" s="205"/>
      <c r="C328"/>
      <c r="D328" s="72"/>
      <c r="E328" s="72"/>
      <c r="F328" s="72"/>
      <c r="G328" s="72"/>
      <c r="H328" s="17"/>
      <c r="I328" s="41" t="str" cm="1">
        <f t="array" ref="I328">IFERROR(_xlfn.IFS(H328="Hard (Cash)","N/A",H328="Soft (In-Kind)", "Enter Source"),"Select Type")</f>
        <v>Select Type</v>
      </c>
      <c r="J328" s="124"/>
      <c r="K328" s="41" t="str">
        <f>IFERROR(VLOOKUP($J328,'Project Reference'!$S$2:$T$41,2),"Enter Project Number")</f>
        <v>Enter Project Number</v>
      </c>
      <c r="L328" s="41"/>
      <c r="M328" s="41"/>
      <c r="N328" s="15">
        <f t="shared" si="4"/>
        <v>0</v>
      </c>
      <c r="O328" s="19"/>
      <c r="P328" s="42" t="str">
        <f>IFERROR(VLOOKUP($J328,'Project Reference'!$B$2:$C$41,2)," ")</f>
        <v xml:space="preserve"> </v>
      </c>
      <c r="Q328" s="42" t="str">
        <f>IFERROR(VLOOKUP($J328,'Project Reference'!$B$2:$D$41,3)," ")</f>
        <v xml:space="preserve"> </v>
      </c>
      <c r="R328" s="42" t="str">
        <f>IFERROR(VLOOKUP($J328,'Project Reference'!$B$2:$E$41,4)," ")</f>
        <v xml:space="preserve"> </v>
      </c>
      <c r="S328" s="42" t="str">
        <f>IFERROR(VLOOKUP($J328,'Project Reference'!$B$2:$F$41,5,FALSE)," ")</f>
        <v xml:space="preserve"> </v>
      </c>
      <c r="T328" s="42" t="str">
        <f>IFERROR(VLOOKUP($J328,'Project Reference'!$B$2:$G$41,6,FALSE)," ")</f>
        <v xml:space="preserve"> </v>
      </c>
      <c r="U328" s="42" t="str">
        <f>IFERROR(VLOOKUP($J328,'Project Reference'!$B$2:$H$41,7,FALSE)," ")</f>
        <v xml:space="preserve"> </v>
      </c>
      <c r="V328" s="42" t="str">
        <f>IFERROR(VLOOKUP($J328,'Project Reference'!$B$2:$I$41,8,FALSE)," ")</f>
        <v xml:space="preserve"> </v>
      </c>
      <c r="W328" s="42" t="str">
        <f>IFERROR(VLOOKUP($J328,'Project Reference'!$B$2:$J$41,9,FALSE)," ")</f>
        <v xml:space="preserve"> </v>
      </c>
      <c r="X328" s="42" t="str">
        <f>IFERROR(VLOOKUP($J328,'Project Reference'!$B$2:$K$41,10)," ")</f>
        <v xml:space="preserve"> </v>
      </c>
      <c r="Y328" s="42" t="str">
        <f>IFERROR(VLOOKUP($J328,'Project Reference'!$B$2:$L$41,11)," ")</f>
        <v xml:space="preserve"> </v>
      </c>
      <c r="Z328" s="42" t="str">
        <f>IFERROR(VLOOKUP($J328,'Project Reference'!$B$2:$M$41,12)," ")</f>
        <v xml:space="preserve"> </v>
      </c>
      <c r="AA328" s="42" t="str">
        <f>IFERROR(VLOOKUP($J328,'Project Reference'!$B$2:$N$41,13)," ")</f>
        <v xml:space="preserve"> </v>
      </c>
    </row>
    <row r="329" spans="1:27" s="1" customFormat="1" x14ac:dyDescent="0.45">
      <c r="A329" s="43"/>
      <c r="B329" s="205"/>
      <c r="C329"/>
      <c r="D329" s="72"/>
      <c r="E329" s="72"/>
      <c r="F329" s="72"/>
      <c r="G329" s="72"/>
      <c r="H329" s="17"/>
      <c r="I329" s="41" t="str" cm="1">
        <f t="array" ref="I329">IFERROR(_xlfn.IFS(H329="Hard (Cash)","N/A",H329="Soft (In-Kind)", "Enter Source"),"Select Type")</f>
        <v>Select Type</v>
      </c>
      <c r="J329" s="124"/>
      <c r="K329" s="41" t="str">
        <f>IFERROR(VLOOKUP($J329,'Project Reference'!$S$2:$T$41,2),"Enter Project Number")</f>
        <v>Enter Project Number</v>
      </c>
      <c r="L329" s="41"/>
      <c r="M329" s="41"/>
      <c r="N329" s="15">
        <f t="shared" si="4"/>
        <v>0</v>
      </c>
      <c r="O329" s="19"/>
      <c r="P329" s="42" t="str">
        <f>IFERROR(VLOOKUP($J329,'Project Reference'!$B$2:$C$41,2)," ")</f>
        <v xml:space="preserve"> </v>
      </c>
      <c r="Q329" s="42" t="str">
        <f>IFERROR(VLOOKUP($J329,'Project Reference'!$B$2:$D$41,3)," ")</f>
        <v xml:space="preserve"> </v>
      </c>
      <c r="R329" s="42" t="str">
        <f>IFERROR(VLOOKUP($J329,'Project Reference'!$B$2:$E$41,4)," ")</f>
        <v xml:space="preserve"> </v>
      </c>
      <c r="S329" s="42" t="str">
        <f>IFERROR(VLOOKUP($J329,'Project Reference'!$B$2:$F$41,5,FALSE)," ")</f>
        <v xml:space="preserve"> </v>
      </c>
      <c r="T329" s="42" t="str">
        <f>IFERROR(VLOOKUP($J329,'Project Reference'!$B$2:$G$41,6,FALSE)," ")</f>
        <v xml:space="preserve"> </v>
      </c>
      <c r="U329" s="42" t="str">
        <f>IFERROR(VLOOKUP($J329,'Project Reference'!$B$2:$H$41,7,FALSE)," ")</f>
        <v xml:space="preserve"> </v>
      </c>
      <c r="V329" s="42" t="str">
        <f>IFERROR(VLOOKUP($J329,'Project Reference'!$B$2:$I$41,8,FALSE)," ")</f>
        <v xml:space="preserve"> </v>
      </c>
      <c r="W329" s="42" t="str">
        <f>IFERROR(VLOOKUP($J329,'Project Reference'!$B$2:$J$41,9,FALSE)," ")</f>
        <v xml:space="preserve"> </v>
      </c>
      <c r="X329" s="42" t="str">
        <f>IFERROR(VLOOKUP($J329,'Project Reference'!$B$2:$K$41,10)," ")</f>
        <v xml:space="preserve"> </v>
      </c>
      <c r="Y329" s="42" t="str">
        <f>IFERROR(VLOOKUP($J329,'Project Reference'!$B$2:$L$41,11)," ")</f>
        <v xml:space="preserve"> </v>
      </c>
      <c r="Z329" s="42" t="str">
        <f>IFERROR(VLOOKUP($J329,'Project Reference'!$B$2:$M$41,12)," ")</f>
        <v xml:space="preserve"> </v>
      </c>
      <c r="AA329" s="42" t="str">
        <f>IFERROR(VLOOKUP($J329,'Project Reference'!$B$2:$N$41,13)," ")</f>
        <v xml:space="preserve"> </v>
      </c>
    </row>
    <row r="330" spans="1:27" s="1" customFormat="1" x14ac:dyDescent="0.45">
      <c r="A330" s="43"/>
      <c r="B330" s="205"/>
      <c r="C330"/>
      <c r="D330" s="72"/>
      <c r="E330" s="72"/>
      <c r="F330" s="72"/>
      <c r="G330" s="72"/>
      <c r="H330" s="17"/>
      <c r="I330" s="41" t="str" cm="1">
        <f t="array" ref="I330">IFERROR(_xlfn.IFS(H330="Hard (Cash)","N/A",H330="Soft (In-Kind)", "Enter Source"),"Select Type")</f>
        <v>Select Type</v>
      </c>
      <c r="J330" s="124"/>
      <c r="K330" s="41" t="str">
        <f>IFERROR(VLOOKUP($J330,'Project Reference'!$S$2:$T$41,2),"Enter Project Number")</f>
        <v>Enter Project Number</v>
      </c>
      <c r="L330" s="41"/>
      <c r="M330" s="41"/>
      <c r="N330" s="15">
        <f t="shared" si="4"/>
        <v>0</v>
      </c>
      <c r="O330" s="19"/>
      <c r="P330" s="42" t="str">
        <f>IFERROR(VLOOKUP($J330,'Project Reference'!$B$2:$C$41,2)," ")</f>
        <v xml:space="preserve"> </v>
      </c>
      <c r="Q330" s="42" t="str">
        <f>IFERROR(VLOOKUP($J330,'Project Reference'!$B$2:$D$41,3)," ")</f>
        <v xml:space="preserve"> </v>
      </c>
      <c r="R330" s="42" t="str">
        <f>IFERROR(VLOOKUP($J330,'Project Reference'!$B$2:$E$41,4)," ")</f>
        <v xml:space="preserve"> </v>
      </c>
      <c r="S330" s="42" t="str">
        <f>IFERROR(VLOOKUP($J330,'Project Reference'!$B$2:$F$41,5,FALSE)," ")</f>
        <v xml:space="preserve"> </v>
      </c>
      <c r="T330" s="42" t="str">
        <f>IFERROR(VLOOKUP($J330,'Project Reference'!$B$2:$G$41,6,FALSE)," ")</f>
        <v xml:space="preserve"> </v>
      </c>
      <c r="U330" s="42" t="str">
        <f>IFERROR(VLOOKUP($J330,'Project Reference'!$B$2:$H$41,7,FALSE)," ")</f>
        <v xml:space="preserve"> </v>
      </c>
      <c r="V330" s="42" t="str">
        <f>IFERROR(VLOOKUP($J330,'Project Reference'!$B$2:$I$41,8,FALSE)," ")</f>
        <v xml:space="preserve"> </v>
      </c>
      <c r="W330" s="42" t="str">
        <f>IFERROR(VLOOKUP($J330,'Project Reference'!$B$2:$J$41,9,FALSE)," ")</f>
        <v xml:space="preserve"> </v>
      </c>
      <c r="X330" s="42" t="str">
        <f>IFERROR(VLOOKUP($J330,'Project Reference'!$B$2:$K$41,10)," ")</f>
        <v xml:space="preserve"> </v>
      </c>
      <c r="Y330" s="42" t="str">
        <f>IFERROR(VLOOKUP($J330,'Project Reference'!$B$2:$L$41,11)," ")</f>
        <v xml:space="preserve"> </v>
      </c>
      <c r="Z330" s="42" t="str">
        <f>IFERROR(VLOOKUP($J330,'Project Reference'!$B$2:$M$41,12)," ")</f>
        <v xml:space="preserve"> </v>
      </c>
      <c r="AA330" s="42" t="str">
        <f>IFERROR(VLOOKUP($J330,'Project Reference'!$B$2:$N$41,13)," ")</f>
        <v xml:space="preserve"> </v>
      </c>
    </row>
    <row r="331" spans="1:27" s="1" customFormat="1" x14ac:dyDescent="0.45">
      <c r="A331" s="43"/>
      <c r="B331" s="205"/>
      <c r="C331"/>
      <c r="D331" s="72"/>
      <c r="E331" s="72"/>
      <c r="F331" s="72"/>
      <c r="G331" s="72"/>
      <c r="H331" s="17"/>
      <c r="I331" s="41" t="str" cm="1">
        <f t="array" ref="I331">IFERROR(_xlfn.IFS(H331="Hard (Cash)","N/A",H331="Soft (In-Kind)", "Enter Source"),"Select Type")</f>
        <v>Select Type</v>
      </c>
      <c r="J331" s="124"/>
      <c r="K331" s="41" t="str">
        <f>IFERROR(VLOOKUP($J331,'Project Reference'!$S$2:$T$41,2),"Enter Project Number")</f>
        <v>Enter Project Number</v>
      </c>
      <c r="L331" s="41"/>
      <c r="M331" s="41"/>
      <c r="N331" s="15">
        <f t="shared" ref="N331:N394" si="5">SUM(D331:G331)</f>
        <v>0</v>
      </c>
      <c r="O331" s="19"/>
      <c r="P331" s="42" t="str">
        <f>IFERROR(VLOOKUP($J331,'Project Reference'!$B$2:$C$41,2)," ")</f>
        <v xml:space="preserve"> </v>
      </c>
      <c r="Q331" s="42" t="str">
        <f>IFERROR(VLOOKUP($J331,'Project Reference'!$B$2:$D$41,3)," ")</f>
        <v xml:space="preserve"> </v>
      </c>
      <c r="R331" s="42" t="str">
        <f>IFERROR(VLOOKUP($J331,'Project Reference'!$B$2:$E$41,4)," ")</f>
        <v xml:space="preserve"> </v>
      </c>
      <c r="S331" s="42" t="str">
        <f>IFERROR(VLOOKUP($J331,'Project Reference'!$B$2:$F$41,5,FALSE)," ")</f>
        <v xml:space="preserve"> </v>
      </c>
      <c r="T331" s="42" t="str">
        <f>IFERROR(VLOOKUP($J331,'Project Reference'!$B$2:$G$41,6,FALSE)," ")</f>
        <v xml:space="preserve"> </v>
      </c>
      <c r="U331" s="42" t="str">
        <f>IFERROR(VLOOKUP($J331,'Project Reference'!$B$2:$H$41,7,FALSE)," ")</f>
        <v xml:space="preserve"> </v>
      </c>
      <c r="V331" s="42" t="str">
        <f>IFERROR(VLOOKUP($J331,'Project Reference'!$B$2:$I$41,8,FALSE)," ")</f>
        <v xml:space="preserve"> </v>
      </c>
      <c r="W331" s="42" t="str">
        <f>IFERROR(VLOOKUP($J331,'Project Reference'!$B$2:$J$41,9,FALSE)," ")</f>
        <v xml:space="preserve"> </v>
      </c>
      <c r="X331" s="42" t="str">
        <f>IFERROR(VLOOKUP($J331,'Project Reference'!$B$2:$K$41,10)," ")</f>
        <v xml:space="preserve"> </v>
      </c>
      <c r="Y331" s="42" t="str">
        <f>IFERROR(VLOOKUP($J331,'Project Reference'!$B$2:$L$41,11)," ")</f>
        <v xml:space="preserve"> </v>
      </c>
      <c r="Z331" s="42" t="str">
        <f>IFERROR(VLOOKUP($J331,'Project Reference'!$B$2:$M$41,12)," ")</f>
        <v xml:space="preserve"> </v>
      </c>
      <c r="AA331" s="42" t="str">
        <f>IFERROR(VLOOKUP($J331,'Project Reference'!$B$2:$N$41,13)," ")</f>
        <v xml:space="preserve"> </v>
      </c>
    </row>
    <row r="332" spans="1:27" s="1" customFormat="1" x14ac:dyDescent="0.45">
      <c r="A332" s="43"/>
      <c r="B332" s="205"/>
      <c r="C332"/>
      <c r="D332" s="72"/>
      <c r="E332" s="72"/>
      <c r="F332" s="72"/>
      <c r="G332" s="72"/>
      <c r="H332" s="17"/>
      <c r="I332" s="41" t="str" cm="1">
        <f t="array" ref="I332">IFERROR(_xlfn.IFS(H332="Hard (Cash)","N/A",H332="Soft (In-Kind)", "Enter Source"),"Select Type")</f>
        <v>Select Type</v>
      </c>
      <c r="J332" s="124"/>
      <c r="K332" s="41" t="str">
        <f>IFERROR(VLOOKUP($J332,'Project Reference'!$S$2:$T$41,2),"Enter Project Number")</f>
        <v>Enter Project Number</v>
      </c>
      <c r="L332" s="41"/>
      <c r="M332" s="41"/>
      <c r="N332" s="15">
        <f t="shared" si="5"/>
        <v>0</v>
      </c>
      <c r="O332" s="19"/>
      <c r="P332" s="42" t="str">
        <f>IFERROR(VLOOKUP($J332,'Project Reference'!$B$2:$C$41,2)," ")</f>
        <v xml:space="preserve"> </v>
      </c>
      <c r="Q332" s="42" t="str">
        <f>IFERROR(VLOOKUP($J332,'Project Reference'!$B$2:$D$41,3)," ")</f>
        <v xml:space="preserve"> </v>
      </c>
      <c r="R332" s="42" t="str">
        <f>IFERROR(VLOOKUP($J332,'Project Reference'!$B$2:$E$41,4)," ")</f>
        <v xml:space="preserve"> </v>
      </c>
      <c r="S332" s="42" t="str">
        <f>IFERROR(VLOOKUP($J332,'Project Reference'!$B$2:$F$41,5,FALSE)," ")</f>
        <v xml:space="preserve"> </v>
      </c>
      <c r="T332" s="42" t="str">
        <f>IFERROR(VLOOKUP($J332,'Project Reference'!$B$2:$G$41,6,FALSE)," ")</f>
        <v xml:space="preserve"> </v>
      </c>
      <c r="U332" s="42" t="str">
        <f>IFERROR(VLOOKUP($J332,'Project Reference'!$B$2:$H$41,7,FALSE)," ")</f>
        <v xml:space="preserve"> </v>
      </c>
      <c r="V332" s="42" t="str">
        <f>IFERROR(VLOOKUP($J332,'Project Reference'!$B$2:$I$41,8,FALSE)," ")</f>
        <v xml:space="preserve"> </v>
      </c>
      <c r="W332" s="42" t="str">
        <f>IFERROR(VLOOKUP($J332,'Project Reference'!$B$2:$J$41,9,FALSE)," ")</f>
        <v xml:space="preserve"> </v>
      </c>
      <c r="X332" s="42" t="str">
        <f>IFERROR(VLOOKUP($J332,'Project Reference'!$B$2:$K$41,10)," ")</f>
        <v xml:space="preserve"> </v>
      </c>
      <c r="Y332" s="42" t="str">
        <f>IFERROR(VLOOKUP($J332,'Project Reference'!$B$2:$L$41,11)," ")</f>
        <v xml:space="preserve"> </v>
      </c>
      <c r="Z332" s="42" t="str">
        <f>IFERROR(VLOOKUP($J332,'Project Reference'!$B$2:$M$41,12)," ")</f>
        <v xml:space="preserve"> </v>
      </c>
      <c r="AA332" s="42" t="str">
        <f>IFERROR(VLOOKUP($J332,'Project Reference'!$B$2:$N$41,13)," ")</f>
        <v xml:space="preserve"> </v>
      </c>
    </row>
    <row r="333" spans="1:27" s="1" customFormat="1" x14ac:dyDescent="0.45">
      <c r="A333" s="43"/>
      <c r="B333" s="205"/>
      <c r="C333"/>
      <c r="D333" s="72"/>
      <c r="E333" s="72"/>
      <c r="F333" s="72"/>
      <c r="G333" s="72"/>
      <c r="H333" s="17"/>
      <c r="I333" s="41" t="str" cm="1">
        <f t="array" ref="I333">IFERROR(_xlfn.IFS(H333="Hard (Cash)","N/A",H333="Soft (In-Kind)", "Enter Source"),"Select Type")</f>
        <v>Select Type</v>
      </c>
      <c r="J333" s="124"/>
      <c r="K333" s="41" t="str">
        <f>IFERROR(VLOOKUP($J333,'Project Reference'!$S$2:$T$41,2),"Enter Project Number")</f>
        <v>Enter Project Number</v>
      </c>
      <c r="L333" s="41"/>
      <c r="M333" s="41"/>
      <c r="N333" s="15">
        <f t="shared" si="5"/>
        <v>0</v>
      </c>
      <c r="O333" s="19"/>
      <c r="P333" s="42" t="str">
        <f>IFERROR(VLOOKUP($J333,'Project Reference'!$B$2:$C$41,2)," ")</f>
        <v xml:space="preserve"> </v>
      </c>
      <c r="Q333" s="42" t="str">
        <f>IFERROR(VLOOKUP($J333,'Project Reference'!$B$2:$D$41,3)," ")</f>
        <v xml:space="preserve"> </v>
      </c>
      <c r="R333" s="42" t="str">
        <f>IFERROR(VLOOKUP($J333,'Project Reference'!$B$2:$E$41,4)," ")</f>
        <v xml:space="preserve"> </v>
      </c>
      <c r="S333" s="42" t="str">
        <f>IFERROR(VLOOKUP($J333,'Project Reference'!$B$2:$F$41,5,FALSE)," ")</f>
        <v xml:space="preserve"> </v>
      </c>
      <c r="T333" s="42" t="str">
        <f>IFERROR(VLOOKUP($J333,'Project Reference'!$B$2:$G$41,6,FALSE)," ")</f>
        <v xml:space="preserve"> </v>
      </c>
      <c r="U333" s="42" t="str">
        <f>IFERROR(VLOOKUP($J333,'Project Reference'!$B$2:$H$41,7,FALSE)," ")</f>
        <v xml:space="preserve"> </v>
      </c>
      <c r="V333" s="42" t="str">
        <f>IFERROR(VLOOKUP($J333,'Project Reference'!$B$2:$I$41,8,FALSE)," ")</f>
        <v xml:space="preserve"> </v>
      </c>
      <c r="W333" s="42" t="str">
        <f>IFERROR(VLOOKUP($J333,'Project Reference'!$B$2:$J$41,9,FALSE)," ")</f>
        <v xml:space="preserve"> </v>
      </c>
      <c r="X333" s="42" t="str">
        <f>IFERROR(VLOOKUP($J333,'Project Reference'!$B$2:$K$41,10)," ")</f>
        <v xml:space="preserve"> </v>
      </c>
      <c r="Y333" s="42" t="str">
        <f>IFERROR(VLOOKUP($J333,'Project Reference'!$B$2:$L$41,11)," ")</f>
        <v xml:space="preserve"> </v>
      </c>
      <c r="Z333" s="42" t="str">
        <f>IFERROR(VLOOKUP($J333,'Project Reference'!$B$2:$M$41,12)," ")</f>
        <v xml:space="preserve"> </v>
      </c>
      <c r="AA333" s="42" t="str">
        <f>IFERROR(VLOOKUP($J333,'Project Reference'!$B$2:$N$41,13)," ")</f>
        <v xml:space="preserve"> </v>
      </c>
    </row>
    <row r="334" spans="1:27" s="1" customFormat="1" x14ac:dyDescent="0.45">
      <c r="A334" s="43"/>
      <c r="B334" s="205"/>
      <c r="C334"/>
      <c r="D334" s="72"/>
      <c r="E334" s="72"/>
      <c r="F334" s="72"/>
      <c r="G334" s="72"/>
      <c r="H334" s="17"/>
      <c r="I334" s="41" t="str" cm="1">
        <f t="array" ref="I334">IFERROR(_xlfn.IFS(H334="Hard (Cash)","N/A",H334="Soft (In-Kind)", "Enter Source"),"Select Type")</f>
        <v>Select Type</v>
      </c>
      <c r="J334" s="124"/>
      <c r="K334" s="41" t="str">
        <f>IFERROR(VLOOKUP($J334,'Project Reference'!$S$2:$T$41,2),"Enter Project Number")</f>
        <v>Enter Project Number</v>
      </c>
      <c r="L334" s="41"/>
      <c r="M334" s="41"/>
      <c r="N334" s="15">
        <f t="shared" si="5"/>
        <v>0</v>
      </c>
      <c r="O334" s="19"/>
      <c r="P334" s="42" t="str">
        <f>IFERROR(VLOOKUP($J334,'Project Reference'!$B$2:$C$41,2)," ")</f>
        <v xml:space="preserve"> </v>
      </c>
      <c r="Q334" s="42" t="str">
        <f>IFERROR(VLOOKUP($J334,'Project Reference'!$B$2:$D$41,3)," ")</f>
        <v xml:space="preserve"> </v>
      </c>
      <c r="R334" s="42" t="str">
        <f>IFERROR(VLOOKUP($J334,'Project Reference'!$B$2:$E$41,4)," ")</f>
        <v xml:space="preserve"> </v>
      </c>
      <c r="S334" s="42" t="str">
        <f>IFERROR(VLOOKUP($J334,'Project Reference'!$B$2:$F$41,5,FALSE)," ")</f>
        <v xml:space="preserve"> </v>
      </c>
      <c r="T334" s="42" t="str">
        <f>IFERROR(VLOOKUP($J334,'Project Reference'!$B$2:$G$41,6,FALSE)," ")</f>
        <v xml:space="preserve"> </v>
      </c>
      <c r="U334" s="42" t="str">
        <f>IFERROR(VLOOKUP($J334,'Project Reference'!$B$2:$H$41,7,FALSE)," ")</f>
        <v xml:space="preserve"> </v>
      </c>
      <c r="V334" s="42" t="str">
        <f>IFERROR(VLOOKUP($J334,'Project Reference'!$B$2:$I$41,8,FALSE)," ")</f>
        <v xml:space="preserve"> </v>
      </c>
      <c r="W334" s="42" t="str">
        <f>IFERROR(VLOOKUP($J334,'Project Reference'!$B$2:$J$41,9,FALSE)," ")</f>
        <v xml:space="preserve"> </v>
      </c>
      <c r="X334" s="42" t="str">
        <f>IFERROR(VLOOKUP($J334,'Project Reference'!$B$2:$K$41,10)," ")</f>
        <v xml:space="preserve"> </v>
      </c>
      <c r="Y334" s="42" t="str">
        <f>IFERROR(VLOOKUP($J334,'Project Reference'!$B$2:$L$41,11)," ")</f>
        <v xml:space="preserve"> </v>
      </c>
      <c r="Z334" s="42" t="str">
        <f>IFERROR(VLOOKUP($J334,'Project Reference'!$B$2:$M$41,12)," ")</f>
        <v xml:space="preserve"> </v>
      </c>
      <c r="AA334" s="42" t="str">
        <f>IFERROR(VLOOKUP($J334,'Project Reference'!$B$2:$N$41,13)," ")</f>
        <v xml:space="preserve"> </v>
      </c>
    </row>
    <row r="335" spans="1:27" s="1" customFormat="1" x14ac:dyDescent="0.45">
      <c r="A335" s="43"/>
      <c r="B335" s="205"/>
      <c r="C335"/>
      <c r="D335" s="72"/>
      <c r="E335" s="72"/>
      <c r="F335" s="72"/>
      <c r="G335" s="72"/>
      <c r="H335" s="17"/>
      <c r="I335" s="41" t="str" cm="1">
        <f t="array" ref="I335">IFERROR(_xlfn.IFS(H335="Hard (Cash)","N/A",H335="Soft (In-Kind)", "Enter Source"),"Select Type")</f>
        <v>Select Type</v>
      </c>
      <c r="J335" s="124"/>
      <c r="K335" s="41" t="str">
        <f>IFERROR(VLOOKUP($J335,'Project Reference'!$S$2:$T$41,2),"Enter Project Number")</f>
        <v>Enter Project Number</v>
      </c>
      <c r="L335" s="41"/>
      <c r="M335" s="41"/>
      <c r="N335" s="15">
        <f t="shared" si="5"/>
        <v>0</v>
      </c>
      <c r="O335" s="19"/>
      <c r="P335" s="42" t="str">
        <f>IFERROR(VLOOKUP($J335,'Project Reference'!$B$2:$C$41,2)," ")</f>
        <v xml:space="preserve"> </v>
      </c>
      <c r="Q335" s="42" t="str">
        <f>IFERROR(VLOOKUP($J335,'Project Reference'!$B$2:$D$41,3)," ")</f>
        <v xml:space="preserve"> </v>
      </c>
      <c r="R335" s="42" t="str">
        <f>IFERROR(VLOOKUP($J335,'Project Reference'!$B$2:$E$41,4)," ")</f>
        <v xml:space="preserve"> </v>
      </c>
      <c r="S335" s="42" t="str">
        <f>IFERROR(VLOOKUP($J335,'Project Reference'!$B$2:$F$41,5,FALSE)," ")</f>
        <v xml:space="preserve"> </v>
      </c>
      <c r="T335" s="42" t="str">
        <f>IFERROR(VLOOKUP($J335,'Project Reference'!$B$2:$G$41,6,FALSE)," ")</f>
        <v xml:space="preserve"> </v>
      </c>
      <c r="U335" s="42" t="str">
        <f>IFERROR(VLOOKUP($J335,'Project Reference'!$B$2:$H$41,7,FALSE)," ")</f>
        <v xml:space="preserve"> </v>
      </c>
      <c r="V335" s="42" t="str">
        <f>IFERROR(VLOOKUP($J335,'Project Reference'!$B$2:$I$41,8,FALSE)," ")</f>
        <v xml:space="preserve"> </v>
      </c>
      <c r="W335" s="42" t="str">
        <f>IFERROR(VLOOKUP($J335,'Project Reference'!$B$2:$J$41,9,FALSE)," ")</f>
        <v xml:space="preserve"> </v>
      </c>
      <c r="X335" s="42" t="str">
        <f>IFERROR(VLOOKUP($J335,'Project Reference'!$B$2:$K$41,10)," ")</f>
        <v xml:space="preserve"> </v>
      </c>
      <c r="Y335" s="42" t="str">
        <f>IFERROR(VLOOKUP($J335,'Project Reference'!$B$2:$L$41,11)," ")</f>
        <v xml:space="preserve"> </v>
      </c>
      <c r="Z335" s="42" t="str">
        <f>IFERROR(VLOOKUP($J335,'Project Reference'!$B$2:$M$41,12)," ")</f>
        <v xml:space="preserve"> </v>
      </c>
      <c r="AA335" s="42" t="str">
        <f>IFERROR(VLOOKUP($J335,'Project Reference'!$B$2:$N$41,13)," ")</f>
        <v xml:space="preserve"> </v>
      </c>
    </row>
    <row r="336" spans="1:27" s="1" customFormat="1" x14ac:dyDescent="0.45">
      <c r="A336" s="43"/>
      <c r="B336" s="205"/>
      <c r="C336"/>
      <c r="D336" s="72"/>
      <c r="E336" s="72"/>
      <c r="F336" s="72"/>
      <c r="G336" s="72"/>
      <c r="H336" s="17"/>
      <c r="I336" s="41" t="str" cm="1">
        <f t="array" ref="I336">IFERROR(_xlfn.IFS(H336="Hard (Cash)","N/A",H336="Soft (In-Kind)", "Enter Source"),"Select Type")</f>
        <v>Select Type</v>
      </c>
      <c r="J336" s="124"/>
      <c r="K336" s="41" t="str">
        <f>IFERROR(VLOOKUP($J336,'Project Reference'!$S$2:$T$41,2),"Enter Project Number")</f>
        <v>Enter Project Number</v>
      </c>
      <c r="L336" s="41"/>
      <c r="M336" s="41"/>
      <c r="N336" s="15">
        <f t="shared" si="5"/>
        <v>0</v>
      </c>
      <c r="O336" s="19"/>
      <c r="P336" s="42" t="str">
        <f>IFERROR(VLOOKUP($J336,'Project Reference'!$B$2:$C$41,2)," ")</f>
        <v xml:space="preserve"> </v>
      </c>
      <c r="Q336" s="42" t="str">
        <f>IFERROR(VLOOKUP($J336,'Project Reference'!$B$2:$D$41,3)," ")</f>
        <v xml:space="preserve"> </v>
      </c>
      <c r="R336" s="42" t="str">
        <f>IFERROR(VLOOKUP($J336,'Project Reference'!$B$2:$E$41,4)," ")</f>
        <v xml:space="preserve"> </v>
      </c>
      <c r="S336" s="42" t="str">
        <f>IFERROR(VLOOKUP($J336,'Project Reference'!$B$2:$F$41,5,FALSE)," ")</f>
        <v xml:space="preserve"> </v>
      </c>
      <c r="T336" s="42" t="str">
        <f>IFERROR(VLOOKUP($J336,'Project Reference'!$B$2:$G$41,6,FALSE)," ")</f>
        <v xml:space="preserve"> </v>
      </c>
      <c r="U336" s="42" t="str">
        <f>IFERROR(VLOOKUP($J336,'Project Reference'!$B$2:$H$41,7,FALSE)," ")</f>
        <v xml:space="preserve"> </v>
      </c>
      <c r="V336" s="42" t="str">
        <f>IFERROR(VLOOKUP($J336,'Project Reference'!$B$2:$I$41,8,FALSE)," ")</f>
        <v xml:space="preserve"> </v>
      </c>
      <c r="W336" s="42" t="str">
        <f>IFERROR(VLOOKUP($J336,'Project Reference'!$B$2:$J$41,9,FALSE)," ")</f>
        <v xml:space="preserve"> </v>
      </c>
      <c r="X336" s="42" t="str">
        <f>IFERROR(VLOOKUP($J336,'Project Reference'!$B$2:$K$41,10)," ")</f>
        <v xml:space="preserve"> </v>
      </c>
      <c r="Y336" s="42" t="str">
        <f>IFERROR(VLOOKUP($J336,'Project Reference'!$B$2:$L$41,11)," ")</f>
        <v xml:space="preserve"> </v>
      </c>
      <c r="Z336" s="42" t="str">
        <f>IFERROR(VLOOKUP($J336,'Project Reference'!$B$2:$M$41,12)," ")</f>
        <v xml:space="preserve"> </v>
      </c>
      <c r="AA336" s="42" t="str">
        <f>IFERROR(VLOOKUP($J336,'Project Reference'!$B$2:$N$41,13)," ")</f>
        <v xml:space="preserve"> </v>
      </c>
    </row>
    <row r="337" spans="1:27" s="1" customFormat="1" x14ac:dyDescent="0.45">
      <c r="A337" s="43"/>
      <c r="B337" s="205"/>
      <c r="C337"/>
      <c r="D337" s="72"/>
      <c r="E337" s="72"/>
      <c r="F337" s="72"/>
      <c r="G337" s="72"/>
      <c r="H337" s="17"/>
      <c r="I337" s="41" t="str" cm="1">
        <f t="array" ref="I337">IFERROR(_xlfn.IFS(H337="Hard (Cash)","N/A",H337="Soft (In-Kind)", "Enter Source"),"Select Type")</f>
        <v>Select Type</v>
      </c>
      <c r="J337" s="124"/>
      <c r="K337" s="41" t="str">
        <f>IFERROR(VLOOKUP($J337,'Project Reference'!$S$2:$T$41,2),"Enter Project Number")</f>
        <v>Enter Project Number</v>
      </c>
      <c r="L337" s="41"/>
      <c r="M337" s="41"/>
      <c r="N337" s="15">
        <f t="shared" si="5"/>
        <v>0</v>
      </c>
      <c r="O337" s="19"/>
      <c r="P337" s="42" t="str">
        <f>IFERROR(VLOOKUP($J337,'Project Reference'!$B$2:$C$41,2)," ")</f>
        <v xml:space="preserve"> </v>
      </c>
      <c r="Q337" s="42" t="str">
        <f>IFERROR(VLOOKUP($J337,'Project Reference'!$B$2:$D$41,3)," ")</f>
        <v xml:space="preserve"> </v>
      </c>
      <c r="R337" s="42" t="str">
        <f>IFERROR(VLOOKUP($J337,'Project Reference'!$B$2:$E$41,4)," ")</f>
        <v xml:space="preserve"> </v>
      </c>
      <c r="S337" s="42" t="str">
        <f>IFERROR(VLOOKUP($J337,'Project Reference'!$B$2:$F$41,5,FALSE)," ")</f>
        <v xml:space="preserve"> </v>
      </c>
      <c r="T337" s="42" t="str">
        <f>IFERROR(VLOOKUP($J337,'Project Reference'!$B$2:$G$41,6,FALSE)," ")</f>
        <v xml:space="preserve"> </v>
      </c>
      <c r="U337" s="42" t="str">
        <f>IFERROR(VLOOKUP($J337,'Project Reference'!$B$2:$H$41,7,FALSE)," ")</f>
        <v xml:space="preserve"> </v>
      </c>
      <c r="V337" s="42" t="str">
        <f>IFERROR(VLOOKUP($J337,'Project Reference'!$B$2:$I$41,8,FALSE)," ")</f>
        <v xml:space="preserve"> </v>
      </c>
      <c r="W337" s="42" t="str">
        <f>IFERROR(VLOOKUP($J337,'Project Reference'!$B$2:$J$41,9,FALSE)," ")</f>
        <v xml:space="preserve"> </v>
      </c>
      <c r="X337" s="42" t="str">
        <f>IFERROR(VLOOKUP($J337,'Project Reference'!$B$2:$K$41,10)," ")</f>
        <v xml:space="preserve"> </v>
      </c>
      <c r="Y337" s="42" t="str">
        <f>IFERROR(VLOOKUP($J337,'Project Reference'!$B$2:$L$41,11)," ")</f>
        <v xml:space="preserve"> </v>
      </c>
      <c r="Z337" s="42" t="str">
        <f>IFERROR(VLOOKUP($J337,'Project Reference'!$B$2:$M$41,12)," ")</f>
        <v xml:space="preserve"> </v>
      </c>
      <c r="AA337" s="42" t="str">
        <f>IFERROR(VLOOKUP($J337,'Project Reference'!$B$2:$N$41,13)," ")</f>
        <v xml:space="preserve"> </v>
      </c>
    </row>
    <row r="338" spans="1:27" s="1" customFormat="1" x14ac:dyDescent="0.45">
      <c r="A338" s="43"/>
      <c r="B338" s="205"/>
      <c r="C338"/>
      <c r="D338" s="72"/>
      <c r="E338" s="72"/>
      <c r="F338" s="72"/>
      <c r="G338" s="72"/>
      <c r="H338" s="17"/>
      <c r="I338" s="41" t="str" cm="1">
        <f t="array" ref="I338">IFERROR(_xlfn.IFS(H338="Hard (Cash)","N/A",H338="Soft (In-Kind)", "Enter Source"),"Select Type")</f>
        <v>Select Type</v>
      </c>
      <c r="J338" s="124"/>
      <c r="K338" s="41" t="str">
        <f>IFERROR(VLOOKUP($J338,'Project Reference'!$S$2:$T$41,2),"Enter Project Number")</f>
        <v>Enter Project Number</v>
      </c>
      <c r="L338" s="41"/>
      <c r="M338" s="41"/>
      <c r="N338" s="15">
        <f t="shared" si="5"/>
        <v>0</v>
      </c>
      <c r="O338" s="19"/>
      <c r="P338" s="42" t="str">
        <f>IFERROR(VLOOKUP($J338,'Project Reference'!$B$2:$C$41,2)," ")</f>
        <v xml:space="preserve"> </v>
      </c>
      <c r="Q338" s="42" t="str">
        <f>IFERROR(VLOOKUP($J338,'Project Reference'!$B$2:$D$41,3)," ")</f>
        <v xml:space="preserve"> </v>
      </c>
      <c r="R338" s="42" t="str">
        <f>IFERROR(VLOOKUP($J338,'Project Reference'!$B$2:$E$41,4)," ")</f>
        <v xml:space="preserve"> </v>
      </c>
      <c r="S338" s="42" t="str">
        <f>IFERROR(VLOOKUP($J338,'Project Reference'!$B$2:$F$41,5,FALSE)," ")</f>
        <v xml:space="preserve"> </v>
      </c>
      <c r="T338" s="42" t="str">
        <f>IFERROR(VLOOKUP($J338,'Project Reference'!$B$2:$G$41,6,FALSE)," ")</f>
        <v xml:space="preserve"> </v>
      </c>
      <c r="U338" s="42" t="str">
        <f>IFERROR(VLOOKUP($J338,'Project Reference'!$B$2:$H$41,7,FALSE)," ")</f>
        <v xml:space="preserve"> </v>
      </c>
      <c r="V338" s="42" t="str">
        <f>IFERROR(VLOOKUP($J338,'Project Reference'!$B$2:$I$41,8,FALSE)," ")</f>
        <v xml:space="preserve"> </v>
      </c>
      <c r="W338" s="42" t="str">
        <f>IFERROR(VLOOKUP($J338,'Project Reference'!$B$2:$J$41,9,FALSE)," ")</f>
        <v xml:space="preserve"> </v>
      </c>
      <c r="X338" s="42" t="str">
        <f>IFERROR(VLOOKUP($J338,'Project Reference'!$B$2:$K$41,10)," ")</f>
        <v xml:space="preserve"> </v>
      </c>
      <c r="Y338" s="42" t="str">
        <f>IFERROR(VLOOKUP($J338,'Project Reference'!$B$2:$L$41,11)," ")</f>
        <v xml:space="preserve"> </v>
      </c>
      <c r="Z338" s="42" t="str">
        <f>IFERROR(VLOOKUP($J338,'Project Reference'!$B$2:$M$41,12)," ")</f>
        <v xml:space="preserve"> </v>
      </c>
      <c r="AA338" s="42" t="str">
        <f>IFERROR(VLOOKUP($J338,'Project Reference'!$B$2:$N$41,13)," ")</f>
        <v xml:space="preserve"> </v>
      </c>
    </row>
    <row r="339" spans="1:27" s="1" customFormat="1" x14ac:dyDescent="0.45">
      <c r="A339" s="43"/>
      <c r="B339" s="205"/>
      <c r="C339"/>
      <c r="D339" s="72"/>
      <c r="E339" s="72"/>
      <c r="F339" s="72"/>
      <c r="G339" s="72"/>
      <c r="H339" s="17"/>
      <c r="I339" s="41" t="str" cm="1">
        <f t="array" ref="I339">IFERROR(_xlfn.IFS(H339="Hard (Cash)","N/A",H339="Soft (In-Kind)", "Enter Source"),"Select Type")</f>
        <v>Select Type</v>
      </c>
      <c r="J339" s="124"/>
      <c r="K339" s="41" t="str">
        <f>IFERROR(VLOOKUP($J339,'Project Reference'!$S$2:$T$41,2),"Enter Project Number")</f>
        <v>Enter Project Number</v>
      </c>
      <c r="L339" s="41"/>
      <c r="M339" s="41"/>
      <c r="N339" s="15">
        <f t="shared" si="5"/>
        <v>0</v>
      </c>
      <c r="O339" s="19"/>
      <c r="P339" s="42" t="str">
        <f>IFERROR(VLOOKUP($J339,'Project Reference'!$B$2:$C$41,2)," ")</f>
        <v xml:space="preserve"> </v>
      </c>
      <c r="Q339" s="42" t="str">
        <f>IFERROR(VLOOKUP($J339,'Project Reference'!$B$2:$D$41,3)," ")</f>
        <v xml:space="preserve"> </v>
      </c>
      <c r="R339" s="42" t="str">
        <f>IFERROR(VLOOKUP($J339,'Project Reference'!$B$2:$E$41,4)," ")</f>
        <v xml:space="preserve"> </v>
      </c>
      <c r="S339" s="42" t="str">
        <f>IFERROR(VLOOKUP($J339,'Project Reference'!$B$2:$F$41,5,FALSE)," ")</f>
        <v xml:space="preserve"> </v>
      </c>
      <c r="T339" s="42" t="str">
        <f>IFERROR(VLOOKUP($J339,'Project Reference'!$B$2:$G$41,6,FALSE)," ")</f>
        <v xml:space="preserve"> </v>
      </c>
      <c r="U339" s="42" t="str">
        <f>IFERROR(VLOOKUP($J339,'Project Reference'!$B$2:$H$41,7,FALSE)," ")</f>
        <v xml:space="preserve"> </v>
      </c>
      <c r="V339" s="42" t="str">
        <f>IFERROR(VLOOKUP($J339,'Project Reference'!$B$2:$I$41,8,FALSE)," ")</f>
        <v xml:space="preserve"> </v>
      </c>
      <c r="W339" s="42" t="str">
        <f>IFERROR(VLOOKUP($J339,'Project Reference'!$B$2:$J$41,9,FALSE)," ")</f>
        <v xml:space="preserve"> </v>
      </c>
      <c r="X339" s="42" t="str">
        <f>IFERROR(VLOOKUP($J339,'Project Reference'!$B$2:$K$41,10)," ")</f>
        <v xml:space="preserve"> </v>
      </c>
      <c r="Y339" s="42" t="str">
        <f>IFERROR(VLOOKUP($J339,'Project Reference'!$B$2:$L$41,11)," ")</f>
        <v xml:space="preserve"> </v>
      </c>
      <c r="Z339" s="42" t="str">
        <f>IFERROR(VLOOKUP($J339,'Project Reference'!$B$2:$M$41,12)," ")</f>
        <v xml:space="preserve"> </v>
      </c>
      <c r="AA339" s="42" t="str">
        <f>IFERROR(VLOOKUP($J339,'Project Reference'!$B$2:$N$41,13)," ")</f>
        <v xml:space="preserve"> </v>
      </c>
    </row>
    <row r="340" spans="1:27" s="1" customFormat="1" x14ac:dyDescent="0.45">
      <c r="A340" s="43"/>
      <c r="B340" s="205"/>
      <c r="C340"/>
      <c r="D340" s="72"/>
      <c r="E340" s="72"/>
      <c r="F340" s="72"/>
      <c r="G340" s="72"/>
      <c r="H340" s="17"/>
      <c r="I340" s="41" t="str" cm="1">
        <f t="array" ref="I340">IFERROR(_xlfn.IFS(H340="Hard (Cash)","N/A",H340="Soft (In-Kind)", "Enter Source"),"Select Type")</f>
        <v>Select Type</v>
      </c>
      <c r="J340" s="124"/>
      <c r="K340" s="41" t="str">
        <f>IFERROR(VLOOKUP($J340,'Project Reference'!$S$2:$T$41,2),"Enter Project Number")</f>
        <v>Enter Project Number</v>
      </c>
      <c r="L340" s="41"/>
      <c r="M340" s="41"/>
      <c r="N340" s="15">
        <f t="shared" si="5"/>
        <v>0</v>
      </c>
      <c r="O340" s="19"/>
      <c r="P340" s="42" t="str">
        <f>IFERROR(VLOOKUP($J340,'Project Reference'!$B$2:$C$41,2)," ")</f>
        <v xml:space="preserve"> </v>
      </c>
      <c r="Q340" s="42" t="str">
        <f>IFERROR(VLOOKUP($J340,'Project Reference'!$B$2:$D$41,3)," ")</f>
        <v xml:space="preserve"> </v>
      </c>
      <c r="R340" s="42" t="str">
        <f>IFERROR(VLOOKUP($J340,'Project Reference'!$B$2:$E$41,4)," ")</f>
        <v xml:space="preserve"> </v>
      </c>
      <c r="S340" s="42" t="str">
        <f>IFERROR(VLOOKUP($J340,'Project Reference'!$B$2:$F$41,5,FALSE)," ")</f>
        <v xml:space="preserve"> </v>
      </c>
      <c r="T340" s="42" t="str">
        <f>IFERROR(VLOOKUP($J340,'Project Reference'!$B$2:$G$41,6,FALSE)," ")</f>
        <v xml:space="preserve"> </v>
      </c>
      <c r="U340" s="42" t="str">
        <f>IFERROR(VLOOKUP($J340,'Project Reference'!$B$2:$H$41,7,FALSE)," ")</f>
        <v xml:space="preserve"> </v>
      </c>
      <c r="V340" s="42" t="str">
        <f>IFERROR(VLOOKUP($J340,'Project Reference'!$B$2:$I$41,8,FALSE)," ")</f>
        <v xml:space="preserve"> </v>
      </c>
      <c r="W340" s="42" t="str">
        <f>IFERROR(VLOOKUP($J340,'Project Reference'!$B$2:$J$41,9,FALSE)," ")</f>
        <v xml:space="preserve"> </v>
      </c>
      <c r="X340" s="42" t="str">
        <f>IFERROR(VLOOKUP($J340,'Project Reference'!$B$2:$K$41,10)," ")</f>
        <v xml:space="preserve"> </v>
      </c>
      <c r="Y340" s="42" t="str">
        <f>IFERROR(VLOOKUP($J340,'Project Reference'!$B$2:$L$41,11)," ")</f>
        <v xml:space="preserve"> </v>
      </c>
      <c r="Z340" s="42" t="str">
        <f>IFERROR(VLOOKUP($J340,'Project Reference'!$B$2:$M$41,12)," ")</f>
        <v xml:space="preserve"> </v>
      </c>
      <c r="AA340" s="42" t="str">
        <f>IFERROR(VLOOKUP($J340,'Project Reference'!$B$2:$N$41,13)," ")</f>
        <v xml:space="preserve"> </v>
      </c>
    </row>
    <row r="341" spans="1:27" s="1" customFormat="1" x14ac:dyDescent="0.45">
      <c r="A341" s="43"/>
      <c r="B341" s="205"/>
      <c r="C341"/>
      <c r="D341" s="72"/>
      <c r="E341" s="72"/>
      <c r="F341" s="72"/>
      <c r="G341" s="72"/>
      <c r="H341" s="17"/>
      <c r="I341" s="41" t="str" cm="1">
        <f t="array" ref="I341">IFERROR(_xlfn.IFS(H341="Hard (Cash)","N/A",H341="Soft (In-Kind)", "Enter Source"),"Select Type")</f>
        <v>Select Type</v>
      </c>
      <c r="J341" s="124"/>
      <c r="K341" s="41" t="str">
        <f>IFERROR(VLOOKUP($J341,'Project Reference'!$S$2:$T$41,2),"Enter Project Number")</f>
        <v>Enter Project Number</v>
      </c>
      <c r="L341" s="41"/>
      <c r="M341" s="41"/>
      <c r="N341" s="15">
        <f t="shared" si="5"/>
        <v>0</v>
      </c>
      <c r="O341" s="19"/>
      <c r="P341" s="42" t="str">
        <f>IFERROR(VLOOKUP($J341,'Project Reference'!$B$2:$C$41,2)," ")</f>
        <v xml:space="preserve"> </v>
      </c>
      <c r="Q341" s="42" t="str">
        <f>IFERROR(VLOOKUP($J341,'Project Reference'!$B$2:$D$41,3)," ")</f>
        <v xml:space="preserve"> </v>
      </c>
      <c r="R341" s="42" t="str">
        <f>IFERROR(VLOOKUP($J341,'Project Reference'!$B$2:$E$41,4)," ")</f>
        <v xml:space="preserve"> </v>
      </c>
      <c r="S341" s="42" t="str">
        <f>IFERROR(VLOOKUP($J341,'Project Reference'!$B$2:$F$41,5,FALSE)," ")</f>
        <v xml:space="preserve"> </v>
      </c>
      <c r="T341" s="42" t="str">
        <f>IFERROR(VLOOKUP($J341,'Project Reference'!$B$2:$G$41,6,FALSE)," ")</f>
        <v xml:space="preserve"> </v>
      </c>
      <c r="U341" s="42" t="str">
        <f>IFERROR(VLOOKUP($J341,'Project Reference'!$B$2:$H$41,7,FALSE)," ")</f>
        <v xml:space="preserve"> </v>
      </c>
      <c r="V341" s="42" t="str">
        <f>IFERROR(VLOOKUP($J341,'Project Reference'!$B$2:$I$41,8,FALSE)," ")</f>
        <v xml:space="preserve"> </v>
      </c>
      <c r="W341" s="42" t="str">
        <f>IFERROR(VLOOKUP($J341,'Project Reference'!$B$2:$J$41,9,FALSE)," ")</f>
        <v xml:space="preserve"> </v>
      </c>
      <c r="X341" s="42" t="str">
        <f>IFERROR(VLOOKUP($J341,'Project Reference'!$B$2:$K$41,10)," ")</f>
        <v xml:space="preserve"> </v>
      </c>
      <c r="Y341" s="42" t="str">
        <f>IFERROR(VLOOKUP($J341,'Project Reference'!$B$2:$L$41,11)," ")</f>
        <v xml:space="preserve"> </v>
      </c>
      <c r="Z341" s="42" t="str">
        <f>IFERROR(VLOOKUP($J341,'Project Reference'!$B$2:$M$41,12)," ")</f>
        <v xml:space="preserve"> </v>
      </c>
      <c r="AA341" s="42" t="str">
        <f>IFERROR(VLOOKUP($J341,'Project Reference'!$B$2:$N$41,13)," ")</f>
        <v xml:space="preserve"> </v>
      </c>
    </row>
    <row r="342" spans="1:27" s="1" customFormat="1" x14ac:dyDescent="0.45">
      <c r="A342" s="43"/>
      <c r="B342" s="205"/>
      <c r="C342"/>
      <c r="D342" s="72"/>
      <c r="E342" s="72"/>
      <c r="F342" s="72"/>
      <c r="G342" s="72"/>
      <c r="H342" s="17"/>
      <c r="I342" s="41" t="str" cm="1">
        <f t="array" ref="I342">IFERROR(_xlfn.IFS(H342="Hard (Cash)","N/A",H342="Soft (In-Kind)", "Enter Source"),"Select Type")</f>
        <v>Select Type</v>
      </c>
      <c r="J342" s="124"/>
      <c r="K342" s="41" t="str">
        <f>IFERROR(VLOOKUP($J342,'Project Reference'!$S$2:$T$41,2),"Enter Project Number")</f>
        <v>Enter Project Number</v>
      </c>
      <c r="L342" s="41"/>
      <c r="M342" s="41"/>
      <c r="N342" s="15">
        <f t="shared" si="5"/>
        <v>0</v>
      </c>
      <c r="O342" s="19"/>
      <c r="P342" s="42" t="str">
        <f>IFERROR(VLOOKUP($J342,'Project Reference'!$B$2:$C$41,2)," ")</f>
        <v xml:space="preserve"> </v>
      </c>
      <c r="Q342" s="42" t="str">
        <f>IFERROR(VLOOKUP($J342,'Project Reference'!$B$2:$D$41,3)," ")</f>
        <v xml:space="preserve"> </v>
      </c>
      <c r="R342" s="42" t="str">
        <f>IFERROR(VLOOKUP($J342,'Project Reference'!$B$2:$E$41,4)," ")</f>
        <v xml:space="preserve"> </v>
      </c>
      <c r="S342" s="42" t="str">
        <f>IFERROR(VLOOKUP($J342,'Project Reference'!$B$2:$F$41,5,FALSE)," ")</f>
        <v xml:space="preserve"> </v>
      </c>
      <c r="T342" s="42" t="str">
        <f>IFERROR(VLOOKUP($J342,'Project Reference'!$B$2:$G$41,6,FALSE)," ")</f>
        <v xml:space="preserve"> </v>
      </c>
      <c r="U342" s="42" t="str">
        <f>IFERROR(VLOOKUP($J342,'Project Reference'!$B$2:$H$41,7,FALSE)," ")</f>
        <v xml:space="preserve"> </v>
      </c>
      <c r="V342" s="42" t="str">
        <f>IFERROR(VLOOKUP($J342,'Project Reference'!$B$2:$I$41,8,FALSE)," ")</f>
        <v xml:space="preserve"> </v>
      </c>
      <c r="W342" s="42" t="str">
        <f>IFERROR(VLOOKUP($J342,'Project Reference'!$B$2:$J$41,9,FALSE)," ")</f>
        <v xml:space="preserve"> </v>
      </c>
      <c r="X342" s="42" t="str">
        <f>IFERROR(VLOOKUP($J342,'Project Reference'!$B$2:$K$41,10)," ")</f>
        <v xml:space="preserve"> </v>
      </c>
      <c r="Y342" s="42" t="str">
        <f>IFERROR(VLOOKUP($J342,'Project Reference'!$B$2:$L$41,11)," ")</f>
        <v xml:space="preserve"> </v>
      </c>
      <c r="Z342" s="42" t="str">
        <f>IFERROR(VLOOKUP($J342,'Project Reference'!$B$2:$M$41,12)," ")</f>
        <v xml:space="preserve"> </v>
      </c>
      <c r="AA342" s="42" t="str">
        <f>IFERROR(VLOOKUP($J342,'Project Reference'!$B$2:$N$41,13)," ")</f>
        <v xml:space="preserve"> </v>
      </c>
    </row>
    <row r="343" spans="1:27" s="1" customFormat="1" x14ac:dyDescent="0.45">
      <c r="A343" s="43"/>
      <c r="B343" s="205"/>
      <c r="C343"/>
      <c r="D343" s="72"/>
      <c r="E343" s="72"/>
      <c r="F343" s="72"/>
      <c r="G343" s="72"/>
      <c r="H343" s="17"/>
      <c r="I343" s="41" t="str" cm="1">
        <f t="array" ref="I343">IFERROR(_xlfn.IFS(H343="Hard (Cash)","N/A",H343="Soft (In-Kind)", "Enter Source"),"Select Type")</f>
        <v>Select Type</v>
      </c>
      <c r="J343" s="124"/>
      <c r="K343" s="41" t="str">
        <f>IFERROR(VLOOKUP($J343,'Project Reference'!$S$2:$T$41,2),"Enter Project Number")</f>
        <v>Enter Project Number</v>
      </c>
      <c r="L343" s="41"/>
      <c r="M343" s="41"/>
      <c r="N343" s="15">
        <f t="shared" si="5"/>
        <v>0</v>
      </c>
      <c r="O343" s="19"/>
      <c r="P343" s="42" t="str">
        <f>IFERROR(VLOOKUP($J343,'Project Reference'!$B$2:$C$41,2)," ")</f>
        <v xml:space="preserve"> </v>
      </c>
      <c r="Q343" s="42" t="str">
        <f>IFERROR(VLOOKUP($J343,'Project Reference'!$B$2:$D$41,3)," ")</f>
        <v xml:space="preserve"> </v>
      </c>
      <c r="R343" s="42" t="str">
        <f>IFERROR(VLOOKUP($J343,'Project Reference'!$B$2:$E$41,4)," ")</f>
        <v xml:space="preserve"> </v>
      </c>
      <c r="S343" s="42" t="str">
        <f>IFERROR(VLOOKUP($J343,'Project Reference'!$B$2:$F$41,5,FALSE)," ")</f>
        <v xml:space="preserve"> </v>
      </c>
      <c r="T343" s="42" t="str">
        <f>IFERROR(VLOOKUP($J343,'Project Reference'!$B$2:$G$41,6,FALSE)," ")</f>
        <v xml:space="preserve"> </v>
      </c>
      <c r="U343" s="42" t="str">
        <f>IFERROR(VLOOKUP($J343,'Project Reference'!$B$2:$H$41,7,FALSE)," ")</f>
        <v xml:space="preserve"> </v>
      </c>
      <c r="V343" s="42" t="str">
        <f>IFERROR(VLOOKUP($J343,'Project Reference'!$B$2:$I$41,8,FALSE)," ")</f>
        <v xml:space="preserve"> </v>
      </c>
      <c r="W343" s="42" t="str">
        <f>IFERROR(VLOOKUP($J343,'Project Reference'!$B$2:$J$41,9,FALSE)," ")</f>
        <v xml:space="preserve"> </v>
      </c>
      <c r="X343" s="42" t="str">
        <f>IFERROR(VLOOKUP($J343,'Project Reference'!$B$2:$K$41,10)," ")</f>
        <v xml:space="preserve"> </v>
      </c>
      <c r="Y343" s="42" t="str">
        <f>IFERROR(VLOOKUP($J343,'Project Reference'!$B$2:$L$41,11)," ")</f>
        <v xml:space="preserve"> </v>
      </c>
      <c r="Z343" s="42" t="str">
        <f>IFERROR(VLOOKUP($J343,'Project Reference'!$B$2:$M$41,12)," ")</f>
        <v xml:space="preserve"> </v>
      </c>
      <c r="AA343" s="42" t="str">
        <f>IFERROR(VLOOKUP($J343,'Project Reference'!$B$2:$N$41,13)," ")</f>
        <v xml:space="preserve"> </v>
      </c>
    </row>
    <row r="344" spans="1:27" s="1" customFormat="1" x14ac:dyDescent="0.45">
      <c r="A344" s="43"/>
      <c r="B344" s="205"/>
      <c r="C344"/>
      <c r="D344" s="72"/>
      <c r="E344" s="72"/>
      <c r="F344" s="72"/>
      <c r="G344" s="72"/>
      <c r="H344" s="17"/>
      <c r="I344" s="41" t="str" cm="1">
        <f t="array" ref="I344">IFERROR(_xlfn.IFS(H344="Hard (Cash)","N/A",H344="Soft (In-Kind)", "Enter Source"),"Select Type")</f>
        <v>Select Type</v>
      </c>
      <c r="J344" s="124"/>
      <c r="K344" s="41" t="str">
        <f>IFERROR(VLOOKUP($J344,'Project Reference'!$S$2:$T$41,2),"Enter Project Number")</f>
        <v>Enter Project Number</v>
      </c>
      <c r="L344" s="41"/>
      <c r="M344" s="41"/>
      <c r="N344" s="15">
        <f t="shared" si="5"/>
        <v>0</v>
      </c>
      <c r="O344" s="19"/>
      <c r="P344" s="42" t="str">
        <f>IFERROR(VLOOKUP($J344,'Project Reference'!$B$2:$C$41,2)," ")</f>
        <v xml:space="preserve"> </v>
      </c>
      <c r="Q344" s="42" t="str">
        <f>IFERROR(VLOOKUP($J344,'Project Reference'!$B$2:$D$41,3)," ")</f>
        <v xml:space="preserve"> </v>
      </c>
      <c r="R344" s="42" t="str">
        <f>IFERROR(VLOOKUP($J344,'Project Reference'!$B$2:$E$41,4)," ")</f>
        <v xml:space="preserve"> </v>
      </c>
      <c r="S344" s="42" t="str">
        <f>IFERROR(VLOOKUP($J344,'Project Reference'!$B$2:$F$41,5,FALSE)," ")</f>
        <v xml:space="preserve"> </v>
      </c>
      <c r="T344" s="42" t="str">
        <f>IFERROR(VLOOKUP($J344,'Project Reference'!$B$2:$G$41,6,FALSE)," ")</f>
        <v xml:space="preserve"> </v>
      </c>
      <c r="U344" s="42" t="str">
        <f>IFERROR(VLOOKUP($J344,'Project Reference'!$B$2:$H$41,7,FALSE)," ")</f>
        <v xml:space="preserve"> </v>
      </c>
      <c r="V344" s="42" t="str">
        <f>IFERROR(VLOOKUP($J344,'Project Reference'!$B$2:$I$41,8,FALSE)," ")</f>
        <v xml:space="preserve"> </v>
      </c>
      <c r="W344" s="42" t="str">
        <f>IFERROR(VLOOKUP($J344,'Project Reference'!$B$2:$J$41,9,FALSE)," ")</f>
        <v xml:space="preserve"> </v>
      </c>
      <c r="X344" s="42" t="str">
        <f>IFERROR(VLOOKUP($J344,'Project Reference'!$B$2:$K$41,10)," ")</f>
        <v xml:space="preserve"> </v>
      </c>
      <c r="Y344" s="42" t="str">
        <f>IFERROR(VLOOKUP($J344,'Project Reference'!$B$2:$L$41,11)," ")</f>
        <v xml:space="preserve"> </v>
      </c>
      <c r="Z344" s="42" t="str">
        <f>IFERROR(VLOOKUP($J344,'Project Reference'!$B$2:$M$41,12)," ")</f>
        <v xml:space="preserve"> </v>
      </c>
      <c r="AA344" s="42" t="str">
        <f>IFERROR(VLOOKUP($J344,'Project Reference'!$B$2:$N$41,13)," ")</f>
        <v xml:space="preserve"> </v>
      </c>
    </row>
    <row r="345" spans="1:27" s="1" customFormat="1" x14ac:dyDescent="0.45">
      <c r="A345" s="43"/>
      <c r="B345" s="205"/>
      <c r="C345"/>
      <c r="D345" s="72"/>
      <c r="E345" s="72"/>
      <c r="F345" s="72"/>
      <c r="G345" s="72"/>
      <c r="H345" s="17"/>
      <c r="I345" s="41" t="str" cm="1">
        <f t="array" ref="I345">IFERROR(_xlfn.IFS(H345="Hard (Cash)","N/A",H345="Soft (In-Kind)", "Enter Source"),"Select Type")</f>
        <v>Select Type</v>
      </c>
      <c r="J345" s="124"/>
      <c r="K345" s="41" t="str">
        <f>IFERROR(VLOOKUP($J345,'Project Reference'!$S$2:$T$41,2),"Enter Project Number")</f>
        <v>Enter Project Number</v>
      </c>
      <c r="L345" s="41"/>
      <c r="M345" s="41"/>
      <c r="N345" s="15">
        <f t="shared" si="5"/>
        <v>0</v>
      </c>
      <c r="O345" s="19"/>
      <c r="P345" s="42" t="str">
        <f>IFERROR(VLOOKUP($J345,'Project Reference'!$B$2:$C$41,2)," ")</f>
        <v xml:space="preserve"> </v>
      </c>
      <c r="Q345" s="42" t="str">
        <f>IFERROR(VLOOKUP($J345,'Project Reference'!$B$2:$D$41,3)," ")</f>
        <v xml:space="preserve"> </v>
      </c>
      <c r="R345" s="42" t="str">
        <f>IFERROR(VLOOKUP($J345,'Project Reference'!$B$2:$E$41,4)," ")</f>
        <v xml:space="preserve"> </v>
      </c>
      <c r="S345" s="42" t="str">
        <f>IFERROR(VLOOKUP($J345,'Project Reference'!$B$2:$F$41,5,FALSE)," ")</f>
        <v xml:space="preserve"> </v>
      </c>
      <c r="T345" s="42" t="str">
        <f>IFERROR(VLOOKUP($J345,'Project Reference'!$B$2:$G$41,6,FALSE)," ")</f>
        <v xml:space="preserve"> </v>
      </c>
      <c r="U345" s="42" t="str">
        <f>IFERROR(VLOOKUP($J345,'Project Reference'!$B$2:$H$41,7,FALSE)," ")</f>
        <v xml:space="preserve"> </v>
      </c>
      <c r="V345" s="42" t="str">
        <f>IFERROR(VLOOKUP($J345,'Project Reference'!$B$2:$I$41,8,FALSE)," ")</f>
        <v xml:space="preserve"> </v>
      </c>
      <c r="W345" s="42" t="str">
        <f>IFERROR(VLOOKUP($J345,'Project Reference'!$B$2:$J$41,9,FALSE)," ")</f>
        <v xml:space="preserve"> </v>
      </c>
      <c r="X345" s="42" t="str">
        <f>IFERROR(VLOOKUP($J345,'Project Reference'!$B$2:$K$41,10)," ")</f>
        <v xml:space="preserve"> </v>
      </c>
      <c r="Y345" s="42" t="str">
        <f>IFERROR(VLOOKUP($J345,'Project Reference'!$B$2:$L$41,11)," ")</f>
        <v xml:space="preserve"> </v>
      </c>
      <c r="Z345" s="42" t="str">
        <f>IFERROR(VLOOKUP($J345,'Project Reference'!$B$2:$M$41,12)," ")</f>
        <v xml:space="preserve"> </v>
      </c>
      <c r="AA345" s="42" t="str">
        <f>IFERROR(VLOOKUP($J345,'Project Reference'!$B$2:$N$41,13)," ")</f>
        <v xml:space="preserve"> </v>
      </c>
    </row>
    <row r="346" spans="1:27" s="1" customFormat="1" x14ac:dyDescent="0.45">
      <c r="A346" s="43"/>
      <c r="B346" s="205"/>
      <c r="C346"/>
      <c r="D346" s="72"/>
      <c r="E346" s="72"/>
      <c r="F346" s="72"/>
      <c r="G346" s="72"/>
      <c r="H346" s="17"/>
      <c r="I346" s="41" t="str" cm="1">
        <f t="array" ref="I346">IFERROR(_xlfn.IFS(H346="Hard (Cash)","N/A",H346="Soft (In-Kind)", "Enter Source"),"Select Type")</f>
        <v>Select Type</v>
      </c>
      <c r="J346" s="124"/>
      <c r="K346" s="41" t="str">
        <f>IFERROR(VLOOKUP($J346,'Project Reference'!$S$2:$T$41,2),"Enter Project Number")</f>
        <v>Enter Project Number</v>
      </c>
      <c r="L346" s="41"/>
      <c r="M346" s="41"/>
      <c r="N346" s="15">
        <f t="shared" si="5"/>
        <v>0</v>
      </c>
      <c r="O346" s="19"/>
      <c r="P346" s="42" t="str">
        <f>IFERROR(VLOOKUP($J346,'Project Reference'!$B$2:$C$41,2)," ")</f>
        <v xml:space="preserve"> </v>
      </c>
      <c r="Q346" s="42" t="str">
        <f>IFERROR(VLOOKUP($J346,'Project Reference'!$B$2:$D$41,3)," ")</f>
        <v xml:space="preserve"> </v>
      </c>
      <c r="R346" s="42" t="str">
        <f>IFERROR(VLOOKUP($J346,'Project Reference'!$B$2:$E$41,4)," ")</f>
        <v xml:space="preserve"> </v>
      </c>
      <c r="S346" s="42" t="str">
        <f>IFERROR(VLOOKUP($J346,'Project Reference'!$B$2:$F$41,5,FALSE)," ")</f>
        <v xml:space="preserve"> </v>
      </c>
      <c r="T346" s="42" t="str">
        <f>IFERROR(VLOOKUP($J346,'Project Reference'!$B$2:$G$41,6,FALSE)," ")</f>
        <v xml:space="preserve"> </v>
      </c>
      <c r="U346" s="42" t="str">
        <f>IFERROR(VLOOKUP($J346,'Project Reference'!$B$2:$H$41,7,FALSE)," ")</f>
        <v xml:space="preserve"> </v>
      </c>
      <c r="V346" s="42" t="str">
        <f>IFERROR(VLOOKUP($J346,'Project Reference'!$B$2:$I$41,8,FALSE)," ")</f>
        <v xml:space="preserve"> </v>
      </c>
      <c r="W346" s="42" t="str">
        <f>IFERROR(VLOOKUP($J346,'Project Reference'!$B$2:$J$41,9,FALSE)," ")</f>
        <v xml:space="preserve"> </v>
      </c>
      <c r="X346" s="42" t="str">
        <f>IFERROR(VLOOKUP($J346,'Project Reference'!$B$2:$K$41,10)," ")</f>
        <v xml:space="preserve"> </v>
      </c>
      <c r="Y346" s="42" t="str">
        <f>IFERROR(VLOOKUP($J346,'Project Reference'!$B$2:$L$41,11)," ")</f>
        <v xml:space="preserve"> </v>
      </c>
      <c r="Z346" s="42" t="str">
        <f>IFERROR(VLOOKUP($J346,'Project Reference'!$B$2:$M$41,12)," ")</f>
        <v xml:space="preserve"> </v>
      </c>
      <c r="AA346" s="42" t="str">
        <f>IFERROR(VLOOKUP($J346,'Project Reference'!$B$2:$N$41,13)," ")</f>
        <v xml:space="preserve"> </v>
      </c>
    </row>
    <row r="347" spans="1:27" s="1" customFormat="1" x14ac:dyDescent="0.45">
      <c r="A347" s="43"/>
      <c r="B347" s="205"/>
      <c r="C347"/>
      <c r="D347" s="72"/>
      <c r="E347" s="72"/>
      <c r="F347" s="72"/>
      <c r="G347" s="72"/>
      <c r="H347" s="17"/>
      <c r="I347" s="41" t="str" cm="1">
        <f t="array" ref="I347">IFERROR(_xlfn.IFS(H347="Hard (Cash)","N/A",H347="Soft (In-Kind)", "Enter Source"),"Select Type")</f>
        <v>Select Type</v>
      </c>
      <c r="J347" s="124"/>
      <c r="K347" s="41" t="str">
        <f>IFERROR(VLOOKUP($J347,'Project Reference'!$S$2:$T$41,2),"Enter Project Number")</f>
        <v>Enter Project Number</v>
      </c>
      <c r="L347" s="41"/>
      <c r="M347" s="41"/>
      <c r="N347" s="15">
        <f t="shared" si="5"/>
        <v>0</v>
      </c>
      <c r="O347" s="19"/>
      <c r="P347" s="42" t="str">
        <f>IFERROR(VLOOKUP($J347,'Project Reference'!$B$2:$C$41,2)," ")</f>
        <v xml:space="preserve"> </v>
      </c>
      <c r="Q347" s="42" t="str">
        <f>IFERROR(VLOOKUP($J347,'Project Reference'!$B$2:$D$41,3)," ")</f>
        <v xml:space="preserve"> </v>
      </c>
      <c r="R347" s="42" t="str">
        <f>IFERROR(VLOOKUP($J347,'Project Reference'!$B$2:$E$41,4)," ")</f>
        <v xml:space="preserve"> </v>
      </c>
      <c r="S347" s="42" t="str">
        <f>IFERROR(VLOOKUP($J347,'Project Reference'!$B$2:$F$41,5,FALSE)," ")</f>
        <v xml:space="preserve"> </v>
      </c>
      <c r="T347" s="42" t="str">
        <f>IFERROR(VLOOKUP($J347,'Project Reference'!$B$2:$G$41,6,FALSE)," ")</f>
        <v xml:space="preserve"> </v>
      </c>
      <c r="U347" s="42" t="str">
        <f>IFERROR(VLOOKUP($J347,'Project Reference'!$B$2:$H$41,7,FALSE)," ")</f>
        <v xml:space="preserve"> </v>
      </c>
      <c r="V347" s="42" t="str">
        <f>IFERROR(VLOOKUP($J347,'Project Reference'!$B$2:$I$41,8,FALSE)," ")</f>
        <v xml:space="preserve"> </v>
      </c>
      <c r="W347" s="42" t="str">
        <f>IFERROR(VLOOKUP($J347,'Project Reference'!$B$2:$J$41,9,FALSE)," ")</f>
        <v xml:space="preserve"> </v>
      </c>
      <c r="X347" s="42" t="str">
        <f>IFERROR(VLOOKUP($J347,'Project Reference'!$B$2:$K$41,10)," ")</f>
        <v xml:space="preserve"> </v>
      </c>
      <c r="Y347" s="42" t="str">
        <f>IFERROR(VLOOKUP($J347,'Project Reference'!$B$2:$L$41,11)," ")</f>
        <v xml:space="preserve"> </v>
      </c>
      <c r="Z347" s="42" t="str">
        <f>IFERROR(VLOOKUP($J347,'Project Reference'!$B$2:$M$41,12)," ")</f>
        <v xml:space="preserve"> </v>
      </c>
      <c r="AA347" s="42" t="str">
        <f>IFERROR(VLOOKUP($J347,'Project Reference'!$B$2:$N$41,13)," ")</f>
        <v xml:space="preserve"> </v>
      </c>
    </row>
    <row r="348" spans="1:27" s="1" customFormat="1" x14ac:dyDescent="0.45">
      <c r="A348" s="43"/>
      <c r="B348" s="205"/>
      <c r="C348"/>
      <c r="D348" s="72"/>
      <c r="E348" s="72"/>
      <c r="F348" s="72"/>
      <c r="G348" s="72"/>
      <c r="H348" s="17"/>
      <c r="I348" s="41" t="str" cm="1">
        <f t="array" ref="I348">IFERROR(_xlfn.IFS(H348="Hard (Cash)","N/A",H348="Soft (In-Kind)", "Enter Source"),"Select Type")</f>
        <v>Select Type</v>
      </c>
      <c r="J348" s="124"/>
      <c r="K348" s="41" t="str">
        <f>IFERROR(VLOOKUP($J348,'Project Reference'!$S$2:$T$41,2),"Enter Project Number")</f>
        <v>Enter Project Number</v>
      </c>
      <c r="L348" s="41"/>
      <c r="M348" s="41"/>
      <c r="N348" s="15">
        <f t="shared" si="5"/>
        <v>0</v>
      </c>
      <c r="O348" s="19"/>
      <c r="P348" s="42" t="str">
        <f>IFERROR(VLOOKUP($J348,'Project Reference'!$B$2:$C$41,2)," ")</f>
        <v xml:space="preserve"> </v>
      </c>
      <c r="Q348" s="42" t="str">
        <f>IFERROR(VLOOKUP($J348,'Project Reference'!$B$2:$D$41,3)," ")</f>
        <v xml:space="preserve"> </v>
      </c>
      <c r="R348" s="42" t="str">
        <f>IFERROR(VLOOKUP($J348,'Project Reference'!$B$2:$E$41,4)," ")</f>
        <v xml:space="preserve"> </v>
      </c>
      <c r="S348" s="42" t="str">
        <f>IFERROR(VLOOKUP($J348,'Project Reference'!$B$2:$F$41,5,FALSE)," ")</f>
        <v xml:space="preserve"> </v>
      </c>
      <c r="T348" s="42" t="str">
        <f>IFERROR(VLOOKUP($J348,'Project Reference'!$B$2:$G$41,6,FALSE)," ")</f>
        <v xml:space="preserve"> </v>
      </c>
      <c r="U348" s="42" t="str">
        <f>IFERROR(VLOOKUP($J348,'Project Reference'!$B$2:$H$41,7,FALSE)," ")</f>
        <v xml:space="preserve"> </v>
      </c>
      <c r="V348" s="42" t="str">
        <f>IFERROR(VLOOKUP($J348,'Project Reference'!$B$2:$I$41,8,FALSE)," ")</f>
        <v xml:space="preserve"> </v>
      </c>
      <c r="W348" s="42" t="str">
        <f>IFERROR(VLOOKUP($J348,'Project Reference'!$B$2:$J$41,9,FALSE)," ")</f>
        <v xml:space="preserve"> </v>
      </c>
      <c r="X348" s="42" t="str">
        <f>IFERROR(VLOOKUP($J348,'Project Reference'!$B$2:$K$41,10)," ")</f>
        <v xml:space="preserve"> </v>
      </c>
      <c r="Y348" s="42" t="str">
        <f>IFERROR(VLOOKUP($J348,'Project Reference'!$B$2:$L$41,11)," ")</f>
        <v xml:space="preserve"> </v>
      </c>
      <c r="Z348" s="42" t="str">
        <f>IFERROR(VLOOKUP($J348,'Project Reference'!$B$2:$M$41,12)," ")</f>
        <v xml:space="preserve"> </v>
      </c>
      <c r="AA348" s="42" t="str">
        <f>IFERROR(VLOOKUP($J348,'Project Reference'!$B$2:$N$41,13)," ")</f>
        <v xml:space="preserve"> </v>
      </c>
    </row>
    <row r="349" spans="1:27" s="1" customFormat="1" x14ac:dyDescent="0.45">
      <c r="A349" s="43"/>
      <c r="B349" s="205"/>
      <c r="C349"/>
      <c r="D349" s="72"/>
      <c r="E349" s="72"/>
      <c r="F349" s="72"/>
      <c r="G349" s="72"/>
      <c r="H349" s="17"/>
      <c r="I349" s="41" t="str" cm="1">
        <f t="array" ref="I349">IFERROR(_xlfn.IFS(H349="Hard (Cash)","N/A",H349="Soft (In-Kind)", "Enter Source"),"Select Type")</f>
        <v>Select Type</v>
      </c>
      <c r="J349" s="124"/>
      <c r="K349" s="41" t="str">
        <f>IFERROR(VLOOKUP($J349,'Project Reference'!$S$2:$T$41,2),"Enter Project Number")</f>
        <v>Enter Project Number</v>
      </c>
      <c r="L349" s="41"/>
      <c r="M349" s="41"/>
      <c r="N349" s="15">
        <f t="shared" si="5"/>
        <v>0</v>
      </c>
      <c r="O349" s="19"/>
      <c r="P349" s="42" t="str">
        <f>IFERROR(VLOOKUP($J349,'Project Reference'!$B$2:$C$41,2)," ")</f>
        <v xml:space="preserve"> </v>
      </c>
      <c r="Q349" s="42" t="str">
        <f>IFERROR(VLOOKUP($J349,'Project Reference'!$B$2:$D$41,3)," ")</f>
        <v xml:space="preserve"> </v>
      </c>
      <c r="R349" s="42" t="str">
        <f>IFERROR(VLOOKUP($J349,'Project Reference'!$B$2:$E$41,4)," ")</f>
        <v xml:space="preserve"> </v>
      </c>
      <c r="S349" s="42" t="str">
        <f>IFERROR(VLOOKUP($J349,'Project Reference'!$B$2:$F$41,5,FALSE)," ")</f>
        <v xml:space="preserve"> </v>
      </c>
      <c r="T349" s="42" t="str">
        <f>IFERROR(VLOOKUP($J349,'Project Reference'!$B$2:$G$41,6,FALSE)," ")</f>
        <v xml:space="preserve"> </v>
      </c>
      <c r="U349" s="42" t="str">
        <f>IFERROR(VLOOKUP($J349,'Project Reference'!$B$2:$H$41,7,FALSE)," ")</f>
        <v xml:space="preserve"> </v>
      </c>
      <c r="V349" s="42" t="str">
        <f>IFERROR(VLOOKUP($J349,'Project Reference'!$B$2:$I$41,8,FALSE)," ")</f>
        <v xml:space="preserve"> </v>
      </c>
      <c r="W349" s="42" t="str">
        <f>IFERROR(VLOOKUP($J349,'Project Reference'!$B$2:$J$41,9,FALSE)," ")</f>
        <v xml:space="preserve"> </v>
      </c>
      <c r="X349" s="42" t="str">
        <f>IFERROR(VLOOKUP($J349,'Project Reference'!$B$2:$K$41,10)," ")</f>
        <v xml:space="preserve"> </v>
      </c>
      <c r="Y349" s="42" t="str">
        <f>IFERROR(VLOOKUP($J349,'Project Reference'!$B$2:$L$41,11)," ")</f>
        <v xml:space="preserve"> </v>
      </c>
      <c r="Z349" s="42" t="str">
        <f>IFERROR(VLOOKUP($J349,'Project Reference'!$B$2:$M$41,12)," ")</f>
        <v xml:space="preserve"> </v>
      </c>
      <c r="AA349" s="42" t="str">
        <f>IFERROR(VLOOKUP($J349,'Project Reference'!$B$2:$N$41,13)," ")</f>
        <v xml:space="preserve"> </v>
      </c>
    </row>
    <row r="350" spans="1:27" s="1" customFormat="1" x14ac:dyDescent="0.45">
      <c r="A350" s="43"/>
      <c r="B350" s="205"/>
      <c r="C350"/>
      <c r="D350" s="72"/>
      <c r="E350" s="72"/>
      <c r="F350" s="72"/>
      <c r="G350" s="72"/>
      <c r="H350" s="17"/>
      <c r="I350" s="41" t="str" cm="1">
        <f t="array" ref="I350">IFERROR(_xlfn.IFS(H350="Hard (Cash)","N/A",H350="Soft (In-Kind)", "Enter Source"),"Select Type")</f>
        <v>Select Type</v>
      </c>
      <c r="J350" s="124"/>
      <c r="K350" s="41" t="str">
        <f>IFERROR(VLOOKUP($J350,'Project Reference'!$S$2:$T$41,2),"Enter Project Number")</f>
        <v>Enter Project Number</v>
      </c>
      <c r="L350" s="41"/>
      <c r="M350" s="41"/>
      <c r="N350" s="15">
        <f t="shared" si="5"/>
        <v>0</v>
      </c>
      <c r="O350" s="19"/>
      <c r="P350" s="42" t="str">
        <f>IFERROR(VLOOKUP($J350,'Project Reference'!$B$2:$C$41,2)," ")</f>
        <v xml:space="preserve"> </v>
      </c>
      <c r="Q350" s="42" t="str">
        <f>IFERROR(VLOOKUP($J350,'Project Reference'!$B$2:$D$41,3)," ")</f>
        <v xml:space="preserve"> </v>
      </c>
      <c r="R350" s="42" t="str">
        <f>IFERROR(VLOOKUP($J350,'Project Reference'!$B$2:$E$41,4)," ")</f>
        <v xml:space="preserve"> </v>
      </c>
      <c r="S350" s="42" t="str">
        <f>IFERROR(VLOOKUP($J350,'Project Reference'!$B$2:$F$41,5,FALSE)," ")</f>
        <v xml:space="preserve"> </v>
      </c>
      <c r="T350" s="42" t="str">
        <f>IFERROR(VLOOKUP($J350,'Project Reference'!$B$2:$G$41,6,FALSE)," ")</f>
        <v xml:space="preserve"> </v>
      </c>
      <c r="U350" s="42" t="str">
        <f>IFERROR(VLOOKUP($J350,'Project Reference'!$B$2:$H$41,7,FALSE)," ")</f>
        <v xml:space="preserve"> </v>
      </c>
      <c r="V350" s="42" t="str">
        <f>IFERROR(VLOOKUP($J350,'Project Reference'!$B$2:$I$41,8,FALSE)," ")</f>
        <v xml:space="preserve"> </v>
      </c>
      <c r="W350" s="42" t="str">
        <f>IFERROR(VLOOKUP($J350,'Project Reference'!$B$2:$J$41,9,FALSE)," ")</f>
        <v xml:space="preserve"> </v>
      </c>
      <c r="X350" s="42" t="str">
        <f>IFERROR(VLOOKUP($J350,'Project Reference'!$B$2:$K$41,10)," ")</f>
        <v xml:space="preserve"> </v>
      </c>
      <c r="Y350" s="42" t="str">
        <f>IFERROR(VLOOKUP($J350,'Project Reference'!$B$2:$L$41,11)," ")</f>
        <v xml:space="preserve"> </v>
      </c>
      <c r="Z350" s="42" t="str">
        <f>IFERROR(VLOOKUP($J350,'Project Reference'!$B$2:$M$41,12)," ")</f>
        <v xml:space="preserve"> </v>
      </c>
      <c r="AA350" s="42" t="str">
        <f>IFERROR(VLOOKUP($J350,'Project Reference'!$B$2:$N$41,13)," ")</f>
        <v xml:space="preserve"> </v>
      </c>
    </row>
    <row r="351" spans="1:27" s="1" customFormat="1" x14ac:dyDescent="0.45">
      <c r="A351" s="43"/>
      <c r="B351" s="205"/>
      <c r="C351"/>
      <c r="D351" s="72"/>
      <c r="E351" s="72"/>
      <c r="F351" s="72"/>
      <c r="G351" s="72"/>
      <c r="H351" s="17"/>
      <c r="I351" s="41" t="str" cm="1">
        <f t="array" ref="I351">IFERROR(_xlfn.IFS(H351="Hard (Cash)","N/A",H351="Soft (In-Kind)", "Enter Source"),"Select Type")</f>
        <v>Select Type</v>
      </c>
      <c r="J351" s="124"/>
      <c r="K351" s="41" t="str">
        <f>IFERROR(VLOOKUP($J351,'Project Reference'!$S$2:$T$41,2),"Enter Project Number")</f>
        <v>Enter Project Number</v>
      </c>
      <c r="L351" s="41"/>
      <c r="M351" s="41"/>
      <c r="N351" s="15">
        <f t="shared" si="5"/>
        <v>0</v>
      </c>
      <c r="O351" s="19"/>
      <c r="P351" s="42" t="str">
        <f>IFERROR(VLOOKUP($J351,'Project Reference'!$B$2:$C$41,2)," ")</f>
        <v xml:space="preserve"> </v>
      </c>
      <c r="Q351" s="42" t="str">
        <f>IFERROR(VLOOKUP($J351,'Project Reference'!$B$2:$D$41,3)," ")</f>
        <v xml:space="preserve"> </v>
      </c>
      <c r="R351" s="42" t="str">
        <f>IFERROR(VLOOKUP($J351,'Project Reference'!$B$2:$E$41,4)," ")</f>
        <v xml:space="preserve"> </v>
      </c>
      <c r="S351" s="42" t="str">
        <f>IFERROR(VLOOKUP($J351,'Project Reference'!$B$2:$F$41,5,FALSE)," ")</f>
        <v xml:space="preserve"> </v>
      </c>
      <c r="T351" s="42" t="str">
        <f>IFERROR(VLOOKUP($J351,'Project Reference'!$B$2:$G$41,6,FALSE)," ")</f>
        <v xml:space="preserve"> </v>
      </c>
      <c r="U351" s="42" t="str">
        <f>IFERROR(VLOOKUP($J351,'Project Reference'!$B$2:$H$41,7,FALSE)," ")</f>
        <v xml:space="preserve"> </v>
      </c>
      <c r="V351" s="42" t="str">
        <f>IFERROR(VLOOKUP($J351,'Project Reference'!$B$2:$I$41,8,FALSE)," ")</f>
        <v xml:space="preserve"> </v>
      </c>
      <c r="W351" s="42" t="str">
        <f>IFERROR(VLOOKUP($J351,'Project Reference'!$B$2:$J$41,9,FALSE)," ")</f>
        <v xml:space="preserve"> </v>
      </c>
      <c r="X351" s="42" t="str">
        <f>IFERROR(VLOOKUP($J351,'Project Reference'!$B$2:$K$41,10)," ")</f>
        <v xml:space="preserve"> </v>
      </c>
      <c r="Y351" s="42" t="str">
        <f>IFERROR(VLOOKUP($J351,'Project Reference'!$B$2:$L$41,11)," ")</f>
        <v xml:space="preserve"> </v>
      </c>
      <c r="Z351" s="42" t="str">
        <f>IFERROR(VLOOKUP($J351,'Project Reference'!$B$2:$M$41,12)," ")</f>
        <v xml:space="preserve"> </v>
      </c>
      <c r="AA351" s="42" t="str">
        <f>IFERROR(VLOOKUP($J351,'Project Reference'!$B$2:$N$41,13)," ")</f>
        <v xml:space="preserve"> </v>
      </c>
    </row>
    <row r="352" spans="1:27" s="1" customFormat="1" x14ac:dyDescent="0.45">
      <c r="A352" s="43"/>
      <c r="B352" s="205"/>
      <c r="C352"/>
      <c r="D352" s="72"/>
      <c r="E352" s="72"/>
      <c r="F352" s="72"/>
      <c r="G352" s="72"/>
      <c r="H352" s="17"/>
      <c r="I352" s="41" t="str" cm="1">
        <f t="array" ref="I352">IFERROR(_xlfn.IFS(H352="Hard (Cash)","N/A",H352="Soft (In-Kind)", "Enter Source"),"Select Type")</f>
        <v>Select Type</v>
      </c>
      <c r="J352" s="124"/>
      <c r="K352" s="41" t="str">
        <f>IFERROR(VLOOKUP($J352,'Project Reference'!$S$2:$T$41,2),"Enter Project Number")</f>
        <v>Enter Project Number</v>
      </c>
      <c r="L352" s="41"/>
      <c r="M352" s="41"/>
      <c r="N352" s="15">
        <f t="shared" si="5"/>
        <v>0</v>
      </c>
      <c r="O352" s="19"/>
      <c r="P352" s="42" t="str">
        <f>IFERROR(VLOOKUP($J352,'Project Reference'!$B$2:$C$41,2)," ")</f>
        <v xml:space="preserve"> </v>
      </c>
      <c r="Q352" s="42" t="str">
        <f>IFERROR(VLOOKUP($J352,'Project Reference'!$B$2:$D$41,3)," ")</f>
        <v xml:space="preserve"> </v>
      </c>
      <c r="R352" s="42" t="str">
        <f>IFERROR(VLOOKUP($J352,'Project Reference'!$B$2:$E$41,4)," ")</f>
        <v xml:space="preserve"> </v>
      </c>
      <c r="S352" s="42" t="str">
        <f>IFERROR(VLOOKUP($J352,'Project Reference'!$B$2:$F$41,5,FALSE)," ")</f>
        <v xml:space="preserve"> </v>
      </c>
      <c r="T352" s="42" t="str">
        <f>IFERROR(VLOOKUP($J352,'Project Reference'!$B$2:$G$41,6,FALSE)," ")</f>
        <v xml:space="preserve"> </v>
      </c>
      <c r="U352" s="42" t="str">
        <f>IFERROR(VLOOKUP($J352,'Project Reference'!$B$2:$H$41,7,FALSE)," ")</f>
        <v xml:space="preserve"> </v>
      </c>
      <c r="V352" s="42" t="str">
        <f>IFERROR(VLOOKUP($J352,'Project Reference'!$B$2:$I$41,8,FALSE)," ")</f>
        <v xml:space="preserve"> </v>
      </c>
      <c r="W352" s="42" t="str">
        <f>IFERROR(VLOOKUP($J352,'Project Reference'!$B$2:$J$41,9,FALSE)," ")</f>
        <v xml:space="preserve"> </v>
      </c>
      <c r="X352" s="42" t="str">
        <f>IFERROR(VLOOKUP($J352,'Project Reference'!$B$2:$K$41,10)," ")</f>
        <v xml:space="preserve"> </v>
      </c>
      <c r="Y352" s="42" t="str">
        <f>IFERROR(VLOOKUP($J352,'Project Reference'!$B$2:$L$41,11)," ")</f>
        <v xml:space="preserve"> </v>
      </c>
      <c r="Z352" s="42" t="str">
        <f>IFERROR(VLOOKUP($J352,'Project Reference'!$B$2:$M$41,12)," ")</f>
        <v xml:space="preserve"> </v>
      </c>
      <c r="AA352" s="42" t="str">
        <f>IFERROR(VLOOKUP($J352,'Project Reference'!$B$2:$N$41,13)," ")</f>
        <v xml:space="preserve"> </v>
      </c>
    </row>
    <row r="353" spans="1:27" s="1" customFormat="1" x14ac:dyDescent="0.45">
      <c r="A353" s="43"/>
      <c r="B353" s="205"/>
      <c r="C353"/>
      <c r="D353" s="72"/>
      <c r="E353" s="72"/>
      <c r="F353" s="72"/>
      <c r="G353" s="72"/>
      <c r="H353" s="17"/>
      <c r="I353" s="41" t="str" cm="1">
        <f t="array" ref="I353">IFERROR(_xlfn.IFS(H353="Hard (Cash)","N/A",H353="Soft (In-Kind)", "Enter Source"),"Select Type")</f>
        <v>Select Type</v>
      </c>
      <c r="J353" s="124"/>
      <c r="K353" s="41" t="str">
        <f>IFERROR(VLOOKUP($J353,'Project Reference'!$S$2:$T$41,2),"Enter Project Number")</f>
        <v>Enter Project Number</v>
      </c>
      <c r="L353" s="41"/>
      <c r="M353" s="41"/>
      <c r="N353" s="15">
        <f t="shared" si="5"/>
        <v>0</v>
      </c>
      <c r="O353" s="19"/>
      <c r="P353" s="42" t="str">
        <f>IFERROR(VLOOKUP($J353,'Project Reference'!$B$2:$C$41,2)," ")</f>
        <v xml:space="preserve"> </v>
      </c>
      <c r="Q353" s="42" t="str">
        <f>IFERROR(VLOOKUP($J353,'Project Reference'!$B$2:$D$41,3)," ")</f>
        <v xml:space="preserve"> </v>
      </c>
      <c r="R353" s="42" t="str">
        <f>IFERROR(VLOOKUP($J353,'Project Reference'!$B$2:$E$41,4)," ")</f>
        <v xml:space="preserve"> </v>
      </c>
      <c r="S353" s="42" t="str">
        <f>IFERROR(VLOOKUP($J353,'Project Reference'!$B$2:$F$41,5,FALSE)," ")</f>
        <v xml:space="preserve"> </v>
      </c>
      <c r="T353" s="42" t="str">
        <f>IFERROR(VLOOKUP($J353,'Project Reference'!$B$2:$G$41,6,FALSE)," ")</f>
        <v xml:space="preserve"> </v>
      </c>
      <c r="U353" s="42" t="str">
        <f>IFERROR(VLOOKUP($J353,'Project Reference'!$B$2:$H$41,7,FALSE)," ")</f>
        <v xml:space="preserve"> </v>
      </c>
      <c r="V353" s="42" t="str">
        <f>IFERROR(VLOOKUP($J353,'Project Reference'!$B$2:$I$41,8,FALSE)," ")</f>
        <v xml:space="preserve"> </v>
      </c>
      <c r="W353" s="42" t="str">
        <f>IFERROR(VLOOKUP($J353,'Project Reference'!$B$2:$J$41,9,FALSE)," ")</f>
        <v xml:space="preserve"> </v>
      </c>
      <c r="X353" s="42" t="str">
        <f>IFERROR(VLOOKUP($J353,'Project Reference'!$B$2:$K$41,10)," ")</f>
        <v xml:space="preserve"> </v>
      </c>
      <c r="Y353" s="42" t="str">
        <f>IFERROR(VLOOKUP($J353,'Project Reference'!$B$2:$L$41,11)," ")</f>
        <v xml:space="preserve"> </v>
      </c>
      <c r="Z353" s="42" t="str">
        <f>IFERROR(VLOOKUP($J353,'Project Reference'!$B$2:$M$41,12)," ")</f>
        <v xml:space="preserve"> </v>
      </c>
      <c r="AA353" s="42" t="str">
        <f>IFERROR(VLOOKUP($J353,'Project Reference'!$B$2:$N$41,13)," ")</f>
        <v xml:space="preserve"> </v>
      </c>
    </row>
    <row r="354" spans="1:27" s="1" customFormat="1" x14ac:dyDescent="0.45">
      <c r="A354" s="43"/>
      <c r="B354" s="205"/>
      <c r="C354"/>
      <c r="D354" s="72"/>
      <c r="E354" s="72"/>
      <c r="F354" s="72"/>
      <c r="G354" s="72"/>
      <c r="H354" s="17"/>
      <c r="I354" s="41" t="str" cm="1">
        <f t="array" ref="I354">IFERROR(_xlfn.IFS(H354="Hard (Cash)","N/A",H354="Soft (In-Kind)", "Enter Source"),"Select Type")</f>
        <v>Select Type</v>
      </c>
      <c r="J354" s="124"/>
      <c r="K354" s="41" t="str">
        <f>IFERROR(VLOOKUP($J354,'Project Reference'!$S$2:$T$41,2),"Enter Project Number")</f>
        <v>Enter Project Number</v>
      </c>
      <c r="L354" s="41"/>
      <c r="M354" s="41"/>
      <c r="N354" s="15">
        <f t="shared" si="5"/>
        <v>0</v>
      </c>
      <c r="O354" s="19"/>
      <c r="P354" s="42" t="str">
        <f>IFERROR(VLOOKUP($J354,'Project Reference'!$B$2:$C$41,2)," ")</f>
        <v xml:space="preserve"> </v>
      </c>
      <c r="Q354" s="42" t="str">
        <f>IFERROR(VLOOKUP($J354,'Project Reference'!$B$2:$D$41,3)," ")</f>
        <v xml:space="preserve"> </v>
      </c>
      <c r="R354" s="42" t="str">
        <f>IFERROR(VLOOKUP($J354,'Project Reference'!$B$2:$E$41,4)," ")</f>
        <v xml:space="preserve"> </v>
      </c>
      <c r="S354" s="42" t="str">
        <f>IFERROR(VLOOKUP($J354,'Project Reference'!$B$2:$F$41,5,FALSE)," ")</f>
        <v xml:space="preserve"> </v>
      </c>
      <c r="T354" s="42" t="str">
        <f>IFERROR(VLOOKUP($J354,'Project Reference'!$B$2:$G$41,6,FALSE)," ")</f>
        <v xml:space="preserve"> </v>
      </c>
      <c r="U354" s="42" t="str">
        <f>IFERROR(VLOOKUP($J354,'Project Reference'!$B$2:$H$41,7,FALSE)," ")</f>
        <v xml:space="preserve"> </v>
      </c>
      <c r="V354" s="42" t="str">
        <f>IFERROR(VLOOKUP($J354,'Project Reference'!$B$2:$I$41,8,FALSE)," ")</f>
        <v xml:space="preserve"> </v>
      </c>
      <c r="W354" s="42" t="str">
        <f>IFERROR(VLOOKUP($J354,'Project Reference'!$B$2:$J$41,9,FALSE)," ")</f>
        <v xml:space="preserve"> </v>
      </c>
      <c r="X354" s="42" t="str">
        <f>IFERROR(VLOOKUP($J354,'Project Reference'!$B$2:$K$41,10)," ")</f>
        <v xml:space="preserve"> </v>
      </c>
      <c r="Y354" s="42" t="str">
        <f>IFERROR(VLOOKUP($J354,'Project Reference'!$B$2:$L$41,11)," ")</f>
        <v xml:space="preserve"> </v>
      </c>
      <c r="Z354" s="42" t="str">
        <f>IFERROR(VLOOKUP($J354,'Project Reference'!$B$2:$M$41,12)," ")</f>
        <v xml:space="preserve"> </v>
      </c>
      <c r="AA354" s="42" t="str">
        <f>IFERROR(VLOOKUP($J354,'Project Reference'!$B$2:$N$41,13)," ")</f>
        <v xml:space="preserve"> </v>
      </c>
    </row>
    <row r="355" spans="1:27" s="1" customFormat="1" x14ac:dyDescent="0.45">
      <c r="A355" s="43"/>
      <c r="B355" s="205"/>
      <c r="C355"/>
      <c r="D355" s="72"/>
      <c r="E355" s="72"/>
      <c r="F355" s="72"/>
      <c r="G355" s="72"/>
      <c r="H355" s="17"/>
      <c r="I355" s="41" t="str" cm="1">
        <f t="array" ref="I355">IFERROR(_xlfn.IFS(H355="Hard (Cash)","N/A",H355="Soft (In-Kind)", "Enter Source"),"Select Type")</f>
        <v>Select Type</v>
      </c>
      <c r="J355" s="124"/>
      <c r="K355" s="41" t="str">
        <f>IFERROR(VLOOKUP($J355,'Project Reference'!$S$2:$T$41,2),"Enter Project Number")</f>
        <v>Enter Project Number</v>
      </c>
      <c r="L355" s="41"/>
      <c r="M355" s="41"/>
      <c r="N355" s="15">
        <f t="shared" si="5"/>
        <v>0</v>
      </c>
      <c r="O355" s="19"/>
      <c r="P355" s="42" t="str">
        <f>IFERROR(VLOOKUP($J355,'Project Reference'!$B$2:$C$41,2)," ")</f>
        <v xml:space="preserve"> </v>
      </c>
      <c r="Q355" s="42" t="str">
        <f>IFERROR(VLOOKUP($J355,'Project Reference'!$B$2:$D$41,3)," ")</f>
        <v xml:space="preserve"> </v>
      </c>
      <c r="R355" s="42" t="str">
        <f>IFERROR(VLOOKUP($J355,'Project Reference'!$B$2:$E$41,4)," ")</f>
        <v xml:space="preserve"> </v>
      </c>
      <c r="S355" s="42" t="str">
        <f>IFERROR(VLOOKUP($J355,'Project Reference'!$B$2:$F$41,5,FALSE)," ")</f>
        <v xml:space="preserve"> </v>
      </c>
      <c r="T355" s="42" t="str">
        <f>IFERROR(VLOOKUP($J355,'Project Reference'!$B$2:$G$41,6,FALSE)," ")</f>
        <v xml:space="preserve"> </v>
      </c>
      <c r="U355" s="42" t="str">
        <f>IFERROR(VLOOKUP($J355,'Project Reference'!$B$2:$H$41,7,FALSE)," ")</f>
        <v xml:space="preserve"> </v>
      </c>
      <c r="V355" s="42" t="str">
        <f>IFERROR(VLOOKUP($J355,'Project Reference'!$B$2:$I$41,8,FALSE)," ")</f>
        <v xml:space="preserve"> </v>
      </c>
      <c r="W355" s="42" t="str">
        <f>IFERROR(VLOOKUP($J355,'Project Reference'!$B$2:$J$41,9,FALSE)," ")</f>
        <v xml:space="preserve"> </v>
      </c>
      <c r="X355" s="42" t="str">
        <f>IFERROR(VLOOKUP($J355,'Project Reference'!$B$2:$K$41,10)," ")</f>
        <v xml:space="preserve"> </v>
      </c>
      <c r="Y355" s="42" t="str">
        <f>IFERROR(VLOOKUP($J355,'Project Reference'!$B$2:$L$41,11)," ")</f>
        <v xml:space="preserve"> </v>
      </c>
      <c r="Z355" s="42" t="str">
        <f>IFERROR(VLOOKUP($J355,'Project Reference'!$B$2:$M$41,12)," ")</f>
        <v xml:space="preserve"> </v>
      </c>
      <c r="AA355" s="42" t="str">
        <f>IFERROR(VLOOKUP($J355,'Project Reference'!$B$2:$N$41,13)," ")</f>
        <v xml:space="preserve"> </v>
      </c>
    </row>
    <row r="356" spans="1:27" s="1" customFormat="1" x14ac:dyDescent="0.45">
      <c r="A356" s="43"/>
      <c r="B356" s="205"/>
      <c r="C356"/>
      <c r="D356" s="72"/>
      <c r="E356" s="72"/>
      <c r="F356" s="72"/>
      <c r="G356" s="72"/>
      <c r="H356" s="17"/>
      <c r="I356" s="41" t="str" cm="1">
        <f t="array" ref="I356">IFERROR(_xlfn.IFS(H356="Hard (Cash)","N/A",H356="Soft (In-Kind)", "Enter Source"),"Select Type")</f>
        <v>Select Type</v>
      </c>
      <c r="J356" s="124"/>
      <c r="K356" s="41" t="str">
        <f>IFERROR(VLOOKUP($J356,'Project Reference'!$S$2:$T$41,2),"Enter Project Number")</f>
        <v>Enter Project Number</v>
      </c>
      <c r="L356" s="41"/>
      <c r="M356" s="41"/>
      <c r="N356" s="15">
        <f t="shared" si="5"/>
        <v>0</v>
      </c>
      <c r="O356" s="19"/>
      <c r="P356" s="42" t="str">
        <f>IFERROR(VLOOKUP($J356,'Project Reference'!$B$2:$C$41,2)," ")</f>
        <v xml:space="preserve"> </v>
      </c>
      <c r="Q356" s="42" t="str">
        <f>IFERROR(VLOOKUP($J356,'Project Reference'!$B$2:$D$41,3)," ")</f>
        <v xml:space="preserve"> </v>
      </c>
      <c r="R356" s="42" t="str">
        <f>IFERROR(VLOOKUP($J356,'Project Reference'!$B$2:$E$41,4)," ")</f>
        <v xml:space="preserve"> </v>
      </c>
      <c r="S356" s="42" t="str">
        <f>IFERROR(VLOOKUP($J356,'Project Reference'!$B$2:$F$41,5,FALSE)," ")</f>
        <v xml:space="preserve"> </v>
      </c>
      <c r="T356" s="42" t="str">
        <f>IFERROR(VLOOKUP($J356,'Project Reference'!$B$2:$G$41,6,FALSE)," ")</f>
        <v xml:space="preserve"> </v>
      </c>
      <c r="U356" s="42" t="str">
        <f>IFERROR(VLOOKUP($J356,'Project Reference'!$B$2:$H$41,7,FALSE)," ")</f>
        <v xml:space="preserve"> </v>
      </c>
      <c r="V356" s="42" t="str">
        <f>IFERROR(VLOOKUP($J356,'Project Reference'!$B$2:$I$41,8,FALSE)," ")</f>
        <v xml:space="preserve"> </v>
      </c>
      <c r="W356" s="42" t="str">
        <f>IFERROR(VLOOKUP($J356,'Project Reference'!$B$2:$J$41,9,FALSE)," ")</f>
        <v xml:space="preserve"> </v>
      </c>
      <c r="X356" s="42" t="str">
        <f>IFERROR(VLOOKUP($J356,'Project Reference'!$B$2:$K$41,10)," ")</f>
        <v xml:space="preserve"> </v>
      </c>
      <c r="Y356" s="42" t="str">
        <f>IFERROR(VLOOKUP($J356,'Project Reference'!$B$2:$L$41,11)," ")</f>
        <v xml:space="preserve"> </v>
      </c>
      <c r="Z356" s="42" t="str">
        <f>IFERROR(VLOOKUP($J356,'Project Reference'!$B$2:$M$41,12)," ")</f>
        <v xml:space="preserve"> </v>
      </c>
      <c r="AA356" s="42" t="str">
        <f>IFERROR(VLOOKUP($J356,'Project Reference'!$B$2:$N$41,13)," ")</f>
        <v xml:space="preserve"> </v>
      </c>
    </row>
    <row r="357" spans="1:27" s="1" customFormat="1" x14ac:dyDescent="0.45">
      <c r="A357" s="43"/>
      <c r="B357" s="205"/>
      <c r="C357"/>
      <c r="D357" s="72"/>
      <c r="E357" s="72"/>
      <c r="F357" s="72"/>
      <c r="G357" s="72"/>
      <c r="H357" s="17"/>
      <c r="I357" s="41" t="str" cm="1">
        <f t="array" ref="I357">IFERROR(_xlfn.IFS(H357="Hard (Cash)","N/A",H357="Soft (In-Kind)", "Enter Source"),"Select Type")</f>
        <v>Select Type</v>
      </c>
      <c r="J357" s="124"/>
      <c r="K357" s="41" t="str">
        <f>IFERROR(VLOOKUP($J357,'Project Reference'!$S$2:$T$41,2),"Enter Project Number")</f>
        <v>Enter Project Number</v>
      </c>
      <c r="L357" s="41"/>
      <c r="M357" s="41"/>
      <c r="N357" s="15">
        <f t="shared" si="5"/>
        <v>0</v>
      </c>
      <c r="O357" s="19"/>
      <c r="P357" s="42" t="str">
        <f>IFERROR(VLOOKUP($J357,'Project Reference'!$B$2:$C$41,2)," ")</f>
        <v xml:space="preserve"> </v>
      </c>
      <c r="Q357" s="42" t="str">
        <f>IFERROR(VLOOKUP($J357,'Project Reference'!$B$2:$D$41,3)," ")</f>
        <v xml:space="preserve"> </v>
      </c>
      <c r="R357" s="42" t="str">
        <f>IFERROR(VLOOKUP($J357,'Project Reference'!$B$2:$E$41,4)," ")</f>
        <v xml:space="preserve"> </v>
      </c>
      <c r="S357" s="42" t="str">
        <f>IFERROR(VLOOKUP($J357,'Project Reference'!$B$2:$F$41,5,FALSE)," ")</f>
        <v xml:space="preserve"> </v>
      </c>
      <c r="T357" s="42" t="str">
        <f>IFERROR(VLOOKUP($J357,'Project Reference'!$B$2:$G$41,6,FALSE)," ")</f>
        <v xml:space="preserve"> </v>
      </c>
      <c r="U357" s="42" t="str">
        <f>IFERROR(VLOOKUP($J357,'Project Reference'!$B$2:$H$41,7,FALSE)," ")</f>
        <v xml:space="preserve"> </v>
      </c>
      <c r="V357" s="42" t="str">
        <f>IFERROR(VLOOKUP($J357,'Project Reference'!$B$2:$I$41,8,FALSE)," ")</f>
        <v xml:space="preserve"> </v>
      </c>
      <c r="W357" s="42" t="str">
        <f>IFERROR(VLOOKUP($J357,'Project Reference'!$B$2:$J$41,9,FALSE)," ")</f>
        <v xml:space="preserve"> </v>
      </c>
      <c r="X357" s="42" t="str">
        <f>IFERROR(VLOOKUP($J357,'Project Reference'!$B$2:$K$41,10)," ")</f>
        <v xml:space="preserve"> </v>
      </c>
      <c r="Y357" s="42" t="str">
        <f>IFERROR(VLOOKUP($J357,'Project Reference'!$B$2:$L$41,11)," ")</f>
        <v xml:space="preserve"> </v>
      </c>
      <c r="Z357" s="42" t="str">
        <f>IFERROR(VLOOKUP($J357,'Project Reference'!$B$2:$M$41,12)," ")</f>
        <v xml:space="preserve"> </v>
      </c>
      <c r="AA357" s="42" t="str">
        <f>IFERROR(VLOOKUP($J357,'Project Reference'!$B$2:$N$41,13)," ")</f>
        <v xml:space="preserve"> </v>
      </c>
    </row>
    <row r="358" spans="1:27" s="1" customFormat="1" x14ac:dyDescent="0.45">
      <c r="A358" s="43"/>
      <c r="B358" s="205"/>
      <c r="C358"/>
      <c r="D358" s="72"/>
      <c r="E358" s="72"/>
      <c r="F358" s="72"/>
      <c r="G358" s="72"/>
      <c r="H358" s="17"/>
      <c r="I358" s="41" t="str" cm="1">
        <f t="array" ref="I358">IFERROR(_xlfn.IFS(H358="Hard (Cash)","N/A",H358="Soft (In-Kind)", "Enter Source"),"Select Type")</f>
        <v>Select Type</v>
      </c>
      <c r="J358" s="124"/>
      <c r="K358" s="41" t="str">
        <f>IFERROR(VLOOKUP($J358,'Project Reference'!$S$2:$T$41,2),"Enter Project Number")</f>
        <v>Enter Project Number</v>
      </c>
      <c r="L358" s="41"/>
      <c r="M358" s="41"/>
      <c r="N358" s="15">
        <f t="shared" si="5"/>
        <v>0</v>
      </c>
      <c r="O358" s="19"/>
      <c r="P358" s="42" t="str">
        <f>IFERROR(VLOOKUP($J358,'Project Reference'!$B$2:$C$41,2)," ")</f>
        <v xml:space="preserve"> </v>
      </c>
      <c r="Q358" s="42" t="str">
        <f>IFERROR(VLOOKUP($J358,'Project Reference'!$B$2:$D$41,3)," ")</f>
        <v xml:space="preserve"> </v>
      </c>
      <c r="R358" s="42" t="str">
        <f>IFERROR(VLOOKUP($J358,'Project Reference'!$B$2:$E$41,4)," ")</f>
        <v xml:space="preserve"> </v>
      </c>
      <c r="S358" s="42" t="str">
        <f>IFERROR(VLOOKUP($J358,'Project Reference'!$B$2:$F$41,5,FALSE)," ")</f>
        <v xml:space="preserve"> </v>
      </c>
      <c r="T358" s="42" t="str">
        <f>IFERROR(VLOOKUP($J358,'Project Reference'!$B$2:$G$41,6,FALSE)," ")</f>
        <v xml:space="preserve"> </v>
      </c>
      <c r="U358" s="42" t="str">
        <f>IFERROR(VLOOKUP($J358,'Project Reference'!$B$2:$H$41,7,FALSE)," ")</f>
        <v xml:space="preserve"> </v>
      </c>
      <c r="V358" s="42" t="str">
        <f>IFERROR(VLOOKUP($J358,'Project Reference'!$B$2:$I$41,8,FALSE)," ")</f>
        <v xml:space="preserve"> </v>
      </c>
      <c r="W358" s="42" t="str">
        <f>IFERROR(VLOOKUP($J358,'Project Reference'!$B$2:$J$41,9,FALSE)," ")</f>
        <v xml:space="preserve"> </v>
      </c>
      <c r="X358" s="42" t="str">
        <f>IFERROR(VLOOKUP($J358,'Project Reference'!$B$2:$K$41,10)," ")</f>
        <v xml:space="preserve"> </v>
      </c>
      <c r="Y358" s="42" t="str">
        <f>IFERROR(VLOOKUP($J358,'Project Reference'!$B$2:$L$41,11)," ")</f>
        <v xml:space="preserve"> </v>
      </c>
      <c r="Z358" s="42" t="str">
        <f>IFERROR(VLOOKUP($J358,'Project Reference'!$B$2:$M$41,12)," ")</f>
        <v xml:space="preserve"> </v>
      </c>
      <c r="AA358" s="42" t="str">
        <f>IFERROR(VLOOKUP($J358,'Project Reference'!$B$2:$N$41,13)," ")</f>
        <v xml:space="preserve"> </v>
      </c>
    </row>
    <row r="359" spans="1:27" s="1" customFormat="1" x14ac:dyDescent="0.45">
      <c r="A359" s="43"/>
      <c r="B359" s="205"/>
      <c r="C359"/>
      <c r="D359" s="72"/>
      <c r="E359" s="72"/>
      <c r="F359" s="72"/>
      <c r="G359" s="72"/>
      <c r="H359" s="17"/>
      <c r="I359" s="41" t="str" cm="1">
        <f t="array" ref="I359">IFERROR(_xlfn.IFS(H359="Hard (Cash)","N/A",H359="Soft (In-Kind)", "Enter Source"),"Select Type")</f>
        <v>Select Type</v>
      </c>
      <c r="J359" s="124"/>
      <c r="K359" s="41" t="str">
        <f>IFERROR(VLOOKUP($J359,'Project Reference'!$S$2:$T$41,2),"Enter Project Number")</f>
        <v>Enter Project Number</v>
      </c>
      <c r="L359" s="41"/>
      <c r="M359" s="41"/>
      <c r="N359" s="15">
        <f t="shared" si="5"/>
        <v>0</v>
      </c>
      <c r="O359" s="19"/>
      <c r="P359" s="42" t="str">
        <f>IFERROR(VLOOKUP($J359,'Project Reference'!$B$2:$C$41,2)," ")</f>
        <v xml:space="preserve"> </v>
      </c>
      <c r="Q359" s="42" t="str">
        <f>IFERROR(VLOOKUP($J359,'Project Reference'!$B$2:$D$41,3)," ")</f>
        <v xml:space="preserve"> </v>
      </c>
      <c r="R359" s="42" t="str">
        <f>IFERROR(VLOOKUP($J359,'Project Reference'!$B$2:$E$41,4)," ")</f>
        <v xml:space="preserve"> </v>
      </c>
      <c r="S359" s="42" t="str">
        <f>IFERROR(VLOOKUP($J359,'Project Reference'!$B$2:$F$41,5,FALSE)," ")</f>
        <v xml:space="preserve"> </v>
      </c>
      <c r="T359" s="42" t="str">
        <f>IFERROR(VLOOKUP($J359,'Project Reference'!$B$2:$G$41,6,FALSE)," ")</f>
        <v xml:space="preserve"> </v>
      </c>
      <c r="U359" s="42" t="str">
        <f>IFERROR(VLOOKUP($J359,'Project Reference'!$B$2:$H$41,7,FALSE)," ")</f>
        <v xml:space="preserve"> </v>
      </c>
      <c r="V359" s="42" t="str">
        <f>IFERROR(VLOOKUP($J359,'Project Reference'!$B$2:$I$41,8,FALSE)," ")</f>
        <v xml:space="preserve"> </v>
      </c>
      <c r="W359" s="42" t="str">
        <f>IFERROR(VLOOKUP($J359,'Project Reference'!$B$2:$J$41,9,FALSE)," ")</f>
        <v xml:space="preserve"> </v>
      </c>
      <c r="X359" s="42" t="str">
        <f>IFERROR(VLOOKUP($J359,'Project Reference'!$B$2:$K$41,10)," ")</f>
        <v xml:space="preserve"> </v>
      </c>
      <c r="Y359" s="42" t="str">
        <f>IFERROR(VLOOKUP($J359,'Project Reference'!$B$2:$L$41,11)," ")</f>
        <v xml:space="preserve"> </v>
      </c>
      <c r="Z359" s="42" t="str">
        <f>IFERROR(VLOOKUP($J359,'Project Reference'!$B$2:$M$41,12)," ")</f>
        <v xml:space="preserve"> </v>
      </c>
      <c r="AA359" s="42" t="str">
        <f>IFERROR(VLOOKUP($J359,'Project Reference'!$B$2:$N$41,13)," ")</f>
        <v xml:space="preserve"> </v>
      </c>
    </row>
    <row r="360" spans="1:27" s="1" customFormat="1" x14ac:dyDescent="0.45">
      <c r="A360" s="43"/>
      <c r="B360" s="205"/>
      <c r="C360"/>
      <c r="D360" s="72"/>
      <c r="E360" s="72"/>
      <c r="F360" s="72"/>
      <c r="G360" s="72"/>
      <c r="H360" s="17"/>
      <c r="I360" s="41" t="str" cm="1">
        <f t="array" ref="I360">IFERROR(_xlfn.IFS(H360="Hard (Cash)","N/A",H360="Soft (In-Kind)", "Enter Source"),"Select Type")</f>
        <v>Select Type</v>
      </c>
      <c r="J360" s="124"/>
      <c r="K360" s="41" t="str">
        <f>IFERROR(VLOOKUP($J360,'Project Reference'!$S$2:$T$41,2),"Enter Project Number")</f>
        <v>Enter Project Number</v>
      </c>
      <c r="L360" s="41"/>
      <c r="M360" s="41"/>
      <c r="N360" s="15">
        <f t="shared" si="5"/>
        <v>0</v>
      </c>
      <c r="O360" s="19"/>
      <c r="P360" s="42" t="str">
        <f>IFERROR(VLOOKUP($J360,'Project Reference'!$B$2:$C$41,2)," ")</f>
        <v xml:space="preserve"> </v>
      </c>
      <c r="Q360" s="42" t="str">
        <f>IFERROR(VLOOKUP($J360,'Project Reference'!$B$2:$D$41,3)," ")</f>
        <v xml:space="preserve"> </v>
      </c>
      <c r="R360" s="42" t="str">
        <f>IFERROR(VLOOKUP($J360,'Project Reference'!$B$2:$E$41,4)," ")</f>
        <v xml:space="preserve"> </v>
      </c>
      <c r="S360" s="42" t="str">
        <f>IFERROR(VLOOKUP($J360,'Project Reference'!$B$2:$F$41,5,FALSE)," ")</f>
        <v xml:space="preserve"> </v>
      </c>
      <c r="T360" s="42" t="str">
        <f>IFERROR(VLOOKUP($J360,'Project Reference'!$B$2:$G$41,6,FALSE)," ")</f>
        <v xml:space="preserve"> </v>
      </c>
      <c r="U360" s="42" t="str">
        <f>IFERROR(VLOOKUP($J360,'Project Reference'!$B$2:$H$41,7,FALSE)," ")</f>
        <v xml:space="preserve"> </v>
      </c>
      <c r="V360" s="42" t="str">
        <f>IFERROR(VLOOKUP($J360,'Project Reference'!$B$2:$I$41,8,FALSE)," ")</f>
        <v xml:space="preserve"> </v>
      </c>
      <c r="W360" s="42" t="str">
        <f>IFERROR(VLOOKUP($J360,'Project Reference'!$B$2:$J$41,9,FALSE)," ")</f>
        <v xml:space="preserve"> </v>
      </c>
      <c r="X360" s="42" t="str">
        <f>IFERROR(VLOOKUP($J360,'Project Reference'!$B$2:$K$41,10)," ")</f>
        <v xml:space="preserve"> </v>
      </c>
      <c r="Y360" s="42" t="str">
        <f>IFERROR(VLOOKUP($J360,'Project Reference'!$B$2:$L$41,11)," ")</f>
        <v xml:space="preserve"> </v>
      </c>
      <c r="Z360" s="42" t="str">
        <f>IFERROR(VLOOKUP($J360,'Project Reference'!$B$2:$M$41,12)," ")</f>
        <v xml:space="preserve"> </v>
      </c>
      <c r="AA360" s="42" t="str">
        <f>IFERROR(VLOOKUP($J360,'Project Reference'!$B$2:$N$41,13)," ")</f>
        <v xml:space="preserve"> </v>
      </c>
    </row>
    <row r="361" spans="1:27" s="1" customFormat="1" x14ac:dyDescent="0.45">
      <c r="A361" s="43"/>
      <c r="B361" s="205"/>
      <c r="C361"/>
      <c r="D361" s="72"/>
      <c r="E361" s="72"/>
      <c r="F361" s="72"/>
      <c r="G361" s="72"/>
      <c r="H361" s="17"/>
      <c r="I361" s="41" t="str" cm="1">
        <f t="array" ref="I361">IFERROR(_xlfn.IFS(H361="Hard (Cash)","N/A",H361="Soft (In-Kind)", "Enter Source"),"Select Type")</f>
        <v>Select Type</v>
      </c>
      <c r="J361" s="124"/>
      <c r="K361" s="41" t="str">
        <f>IFERROR(VLOOKUP($J361,'Project Reference'!$S$2:$T$41,2),"Enter Project Number")</f>
        <v>Enter Project Number</v>
      </c>
      <c r="L361" s="41"/>
      <c r="M361" s="41"/>
      <c r="N361" s="15">
        <f t="shared" si="5"/>
        <v>0</v>
      </c>
      <c r="O361" s="19"/>
      <c r="P361" s="42" t="str">
        <f>IFERROR(VLOOKUP($J361,'Project Reference'!$B$2:$C$41,2)," ")</f>
        <v xml:space="preserve"> </v>
      </c>
      <c r="Q361" s="42" t="str">
        <f>IFERROR(VLOOKUP($J361,'Project Reference'!$B$2:$D$41,3)," ")</f>
        <v xml:space="preserve"> </v>
      </c>
      <c r="R361" s="42" t="str">
        <f>IFERROR(VLOOKUP($J361,'Project Reference'!$B$2:$E$41,4)," ")</f>
        <v xml:space="preserve"> </v>
      </c>
      <c r="S361" s="42" t="str">
        <f>IFERROR(VLOOKUP($J361,'Project Reference'!$B$2:$F$41,5,FALSE)," ")</f>
        <v xml:space="preserve"> </v>
      </c>
      <c r="T361" s="42" t="str">
        <f>IFERROR(VLOOKUP($J361,'Project Reference'!$B$2:$G$41,6,FALSE)," ")</f>
        <v xml:space="preserve"> </v>
      </c>
      <c r="U361" s="42" t="str">
        <f>IFERROR(VLOOKUP($J361,'Project Reference'!$B$2:$H$41,7,FALSE)," ")</f>
        <v xml:space="preserve"> </v>
      </c>
      <c r="V361" s="42" t="str">
        <f>IFERROR(VLOOKUP($J361,'Project Reference'!$B$2:$I$41,8,FALSE)," ")</f>
        <v xml:space="preserve"> </v>
      </c>
      <c r="W361" s="42" t="str">
        <f>IFERROR(VLOOKUP($J361,'Project Reference'!$B$2:$J$41,9,FALSE)," ")</f>
        <v xml:space="preserve"> </v>
      </c>
      <c r="X361" s="42" t="str">
        <f>IFERROR(VLOOKUP($J361,'Project Reference'!$B$2:$K$41,10)," ")</f>
        <v xml:space="preserve"> </v>
      </c>
      <c r="Y361" s="42" t="str">
        <f>IFERROR(VLOOKUP($J361,'Project Reference'!$B$2:$L$41,11)," ")</f>
        <v xml:space="preserve"> </v>
      </c>
      <c r="Z361" s="42" t="str">
        <f>IFERROR(VLOOKUP($J361,'Project Reference'!$B$2:$M$41,12)," ")</f>
        <v xml:space="preserve"> </v>
      </c>
      <c r="AA361" s="42" t="str">
        <f>IFERROR(VLOOKUP($J361,'Project Reference'!$B$2:$N$41,13)," ")</f>
        <v xml:space="preserve"> </v>
      </c>
    </row>
    <row r="362" spans="1:27" s="1" customFormat="1" x14ac:dyDescent="0.45">
      <c r="A362" s="43"/>
      <c r="B362" s="205"/>
      <c r="C362"/>
      <c r="D362" s="72"/>
      <c r="E362" s="72"/>
      <c r="F362" s="72"/>
      <c r="G362" s="72"/>
      <c r="H362" s="17"/>
      <c r="I362" s="41" t="str" cm="1">
        <f t="array" ref="I362">IFERROR(_xlfn.IFS(H362="Hard (Cash)","N/A",H362="Soft (In-Kind)", "Enter Source"),"Select Type")</f>
        <v>Select Type</v>
      </c>
      <c r="J362" s="124"/>
      <c r="K362" s="41" t="str">
        <f>IFERROR(VLOOKUP($J362,'Project Reference'!$S$2:$T$41,2),"Enter Project Number")</f>
        <v>Enter Project Number</v>
      </c>
      <c r="L362" s="41"/>
      <c r="M362" s="41"/>
      <c r="N362" s="15">
        <f t="shared" si="5"/>
        <v>0</v>
      </c>
      <c r="O362" s="19"/>
      <c r="P362" s="42" t="str">
        <f>IFERROR(VLOOKUP($J362,'Project Reference'!$B$2:$C$41,2)," ")</f>
        <v xml:space="preserve"> </v>
      </c>
      <c r="Q362" s="42" t="str">
        <f>IFERROR(VLOOKUP($J362,'Project Reference'!$B$2:$D$41,3)," ")</f>
        <v xml:space="preserve"> </v>
      </c>
      <c r="R362" s="42" t="str">
        <f>IFERROR(VLOOKUP($J362,'Project Reference'!$B$2:$E$41,4)," ")</f>
        <v xml:space="preserve"> </v>
      </c>
      <c r="S362" s="42" t="str">
        <f>IFERROR(VLOOKUP($J362,'Project Reference'!$B$2:$F$41,5,FALSE)," ")</f>
        <v xml:space="preserve"> </v>
      </c>
      <c r="T362" s="42" t="str">
        <f>IFERROR(VLOOKUP($J362,'Project Reference'!$B$2:$G$41,6,FALSE)," ")</f>
        <v xml:space="preserve"> </v>
      </c>
      <c r="U362" s="42" t="str">
        <f>IFERROR(VLOOKUP($J362,'Project Reference'!$B$2:$H$41,7,FALSE)," ")</f>
        <v xml:space="preserve"> </v>
      </c>
      <c r="V362" s="42" t="str">
        <f>IFERROR(VLOOKUP($J362,'Project Reference'!$B$2:$I$41,8,FALSE)," ")</f>
        <v xml:space="preserve"> </v>
      </c>
      <c r="W362" s="42" t="str">
        <f>IFERROR(VLOOKUP($J362,'Project Reference'!$B$2:$J$41,9,FALSE)," ")</f>
        <v xml:space="preserve"> </v>
      </c>
      <c r="X362" s="42" t="str">
        <f>IFERROR(VLOOKUP($J362,'Project Reference'!$B$2:$K$41,10)," ")</f>
        <v xml:space="preserve"> </v>
      </c>
      <c r="Y362" s="42" t="str">
        <f>IFERROR(VLOOKUP($J362,'Project Reference'!$B$2:$L$41,11)," ")</f>
        <v xml:space="preserve"> </v>
      </c>
      <c r="Z362" s="42" t="str">
        <f>IFERROR(VLOOKUP($J362,'Project Reference'!$B$2:$M$41,12)," ")</f>
        <v xml:space="preserve"> </v>
      </c>
      <c r="AA362" s="42" t="str">
        <f>IFERROR(VLOOKUP($J362,'Project Reference'!$B$2:$N$41,13)," ")</f>
        <v xml:space="preserve"> </v>
      </c>
    </row>
    <row r="363" spans="1:27" s="1" customFormat="1" x14ac:dyDescent="0.45">
      <c r="A363" s="43"/>
      <c r="B363" s="205"/>
      <c r="C363"/>
      <c r="D363" s="72"/>
      <c r="E363" s="72"/>
      <c r="F363" s="72"/>
      <c r="G363" s="72"/>
      <c r="H363" s="17"/>
      <c r="I363" s="41" t="str" cm="1">
        <f t="array" ref="I363">IFERROR(_xlfn.IFS(H363="Hard (Cash)","N/A",H363="Soft (In-Kind)", "Enter Source"),"Select Type")</f>
        <v>Select Type</v>
      </c>
      <c r="J363" s="124"/>
      <c r="K363" s="41" t="str">
        <f>IFERROR(VLOOKUP($J363,'Project Reference'!$S$2:$T$41,2),"Enter Project Number")</f>
        <v>Enter Project Number</v>
      </c>
      <c r="L363" s="41"/>
      <c r="M363" s="41"/>
      <c r="N363" s="15">
        <f t="shared" si="5"/>
        <v>0</v>
      </c>
      <c r="O363" s="19"/>
      <c r="P363" s="42" t="str">
        <f>IFERROR(VLOOKUP($J363,'Project Reference'!$B$2:$C$41,2)," ")</f>
        <v xml:space="preserve"> </v>
      </c>
      <c r="Q363" s="42" t="str">
        <f>IFERROR(VLOOKUP($J363,'Project Reference'!$B$2:$D$41,3)," ")</f>
        <v xml:space="preserve"> </v>
      </c>
      <c r="R363" s="42" t="str">
        <f>IFERROR(VLOOKUP($J363,'Project Reference'!$B$2:$E$41,4)," ")</f>
        <v xml:space="preserve"> </v>
      </c>
      <c r="S363" s="42" t="str">
        <f>IFERROR(VLOOKUP($J363,'Project Reference'!$B$2:$F$41,5,FALSE)," ")</f>
        <v xml:space="preserve"> </v>
      </c>
      <c r="T363" s="42" t="str">
        <f>IFERROR(VLOOKUP($J363,'Project Reference'!$B$2:$G$41,6,FALSE)," ")</f>
        <v xml:space="preserve"> </v>
      </c>
      <c r="U363" s="42" t="str">
        <f>IFERROR(VLOOKUP($J363,'Project Reference'!$B$2:$H$41,7,FALSE)," ")</f>
        <v xml:space="preserve"> </v>
      </c>
      <c r="V363" s="42" t="str">
        <f>IFERROR(VLOOKUP($J363,'Project Reference'!$B$2:$I$41,8,FALSE)," ")</f>
        <v xml:space="preserve"> </v>
      </c>
      <c r="W363" s="42" t="str">
        <f>IFERROR(VLOOKUP($J363,'Project Reference'!$B$2:$J$41,9,FALSE)," ")</f>
        <v xml:space="preserve"> </v>
      </c>
      <c r="X363" s="42" t="str">
        <f>IFERROR(VLOOKUP($J363,'Project Reference'!$B$2:$K$41,10)," ")</f>
        <v xml:space="preserve"> </v>
      </c>
      <c r="Y363" s="42" t="str">
        <f>IFERROR(VLOOKUP($J363,'Project Reference'!$B$2:$L$41,11)," ")</f>
        <v xml:space="preserve"> </v>
      </c>
      <c r="Z363" s="42" t="str">
        <f>IFERROR(VLOOKUP($J363,'Project Reference'!$B$2:$M$41,12)," ")</f>
        <v xml:space="preserve"> </v>
      </c>
      <c r="AA363" s="42" t="str">
        <f>IFERROR(VLOOKUP($J363,'Project Reference'!$B$2:$N$41,13)," ")</f>
        <v xml:space="preserve"> </v>
      </c>
    </row>
    <row r="364" spans="1:27" s="1" customFormat="1" x14ac:dyDescent="0.45">
      <c r="A364" s="43"/>
      <c r="B364" s="205"/>
      <c r="C364"/>
      <c r="D364" s="72"/>
      <c r="E364" s="72"/>
      <c r="F364" s="72"/>
      <c r="G364" s="72"/>
      <c r="H364" s="17"/>
      <c r="I364" s="41" t="str" cm="1">
        <f t="array" ref="I364">IFERROR(_xlfn.IFS(H364="Hard (Cash)","N/A",H364="Soft (In-Kind)", "Enter Source"),"Select Type")</f>
        <v>Select Type</v>
      </c>
      <c r="J364" s="124"/>
      <c r="K364" s="41" t="str">
        <f>IFERROR(VLOOKUP($J364,'Project Reference'!$S$2:$T$41,2),"Enter Project Number")</f>
        <v>Enter Project Number</v>
      </c>
      <c r="L364" s="41"/>
      <c r="M364" s="41"/>
      <c r="N364" s="15">
        <f t="shared" si="5"/>
        <v>0</v>
      </c>
      <c r="O364" s="19"/>
      <c r="P364" s="42" t="str">
        <f>IFERROR(VLOOKUP($J364,'Project Reference'!$B$2:$C$41,2)," ")</f>
        <v xml:space="preserve"> </v>
      </c>
      <c r="Q364" s="42" t="str">
        <f>IFERROR(VLOOKUP($J364,'Project Reference'!$B$2:$D$41,3)," ")</f>
        <v xml:space="preserve"> </v>
      </c>
      <c r="R364" s="42" t="str">
        <f>IFERROR(VLOOKUP($J364,'Project Reference'!$B$2:$E$41,4)," ")</f>
        <v xml:space="preserve"> </v>
      </c>
      <c r="S364" s="42" t="str">
        <f>IFERROR(VLOOKUP($J364,'Project Reference'!$B$2:$F$41,5,FALSE)," ")</f>
        <v xml:space="preserve"> </v>
      </c>
      <c r="T364" s="42" t="str">
        <f>IFERROR(VLOOKUP($J364,'Project Reference'!$B$2:$G$41,6,FALSE)," ")</f>
        <v xml:space="preserve"> </v>
      </c>
      <c r="U364" s="42" t="str">
        <f>IFERROR(VLOOKUP($J364,'Project Reference'!$B$2:$H$41,7,FALSE)," ")</f>
        <v xml:space="preserve"> </v>
      </c>
      <c r="V364" s="42" t="str">
        <f>IFERROR(VLOOKUP($J364,'Project Reference'!$B$2:$I$41,8,FALSE)," ")</f>
        <v xml:space="preserve"> </v>
      </c>
      <c r="W364" s="42" t="str">
        <f>IFERROR(VLOOKUP($J364,'Project Reference'!$B$2:$J$41,9,FALSE)," ")</f>
        <v xml:space="preserve"> </v>
      </c>
      <c r="X364" s="42" t="str">
        <f>IFERROR(VLOOKUP($J364,'Project Reference'!$B$2:$K$41,10)," ")</f>
        <v xml:space="preserve"> </v>
      </c>
      <c r="Y364" s="42" t="str">
        <f>IFERROR(VLOOKUP($J364,'Project Reference'!$B$2:$L$41,11)," ")</f>
        <v xml:space="preserve"> </v>
      </c>
      <c r="Z364" s="42" t="str">
        <f>IFERROR(VLOOKUP($J364,'Project Reference'!$B$2:$M$41,12)," ")</f>
        <v xml:space="preserve"> </v>
      </c>
      <c r="AA364" s="42" t="str">
        <f>IFERROR(VLOOKUP($J364,'Project Reference'!$B$2:$N$41,13)," ")</f>
        <v xml:space="preserve"> </v>
      </c>
    </row>
    <row r="365" spans="1:27" s="1" customFormat="1" x14ac:dyDescent="0.45">
      <c r="A365" s="43"/>
      <c r="B365" s="205"/>
      <c r="C365"/>
      <c r="D365" s="72"/>
      <c r="E365" s="72"/>
      <c r="F365" s="72"/>
      <c r="G365" s="72"/>
      <c r="H365" s="17"/>
      <c r="I365" s="41" t="str" cm="1">
        <f t="array" ref="I365">IFERROR(_xlfn.IFS(H365="Hard (Cash)","N/A",H365="Soft (In-Kind)", "Enter Source"),"Select Type")</f>
        <v>Select Type</v>
      </c>
      <c r="J365" s="124"/>
      <c r="K365" s="41" t="str">
        <f>IFERROR(VLOOKUP($J365,'Project Reference'!$S$2:$T$41,2),"Enter Project Number")</f>
        <v>Enter Project Number</v>
      </c>
      <c r="L365" s="41"/>
      <c r="M365" s="41"/>
      <c r="N365" s="15">
        <f t="shared" si="5"/>
        <v>0</v>
      </c>
      <c r="O365" s="19"/>
      <c r="P365" s="42" t="str">
        <f>IFERROR(VLOOKUP($J365,'Project Reference'!$B$2:$C$41,2)," ")</f>
        <v xml:space="preserve"> </v>
      </c>
      <c r="Q365" s="42" t="str">
        <f>IFERROR(VLOOKUP($J365,'Project Reference'!$B$2:$D$41,3)," ")</f>
        <v xml:space="preserve"> </v>
      </c>
      <c r="R365" s="42" t="str">
        <f>IFERROR(VLOOKUP($J365,'Project Reference'!$B$2:$E$41,4)," ")</f>
        <v xml:space="preserve"> </v>
      </c>
      <c r="S365" s="42" t="str">
        <f>IFERROR(VLOOKUP($J365,'Project Reference'!$B$2:$F$41,5,FALSE)," ")</f>
        <v xml:space="preserve"> </v>
      </c>
      <c r="T365" s="42" t="str">
        <f>IFERROR(VLOOKUP($J365,'Project Reference'!$B$2:$G$41,6,FALSE)," ")</f>
        <v xml:space="preserve"> </v>
      </c>
      <c r="U365" s="42" t="str">
        <f>IFERROR(VLOOKUP($J365,'Project Reference'!$B$2:$H$41,7,FALSE)," ")</f>
        <v xml:space="preserve"> </v>
      </c>
      <c r="V365" s="42" t="str">
        <f>IFERROR(VLOOKUP($J365,'Project Reference'!$B$2:$I$41,8,FALSE)," ")</f>
        <v xml:space="preserve"> </v>
      </c>
      <c r="W365" s="42" t="str">
        <f>IFERROR(VLOOKUP($J365,'Project Reference'!$B$2:$J$41,9,FALSE)," ")</f>
        <v xml:space="preserve"> </v>
      </c>
      <c r="X365" s="42" t="str">
        <f>IFERROR(VLOOKUP($J365,'Project Reference'!$B$2:$K$41,10)," ")</f>
        <v xml:space="preserve"> </v>
      </c>
      <c r="Y365" s="42" t="str">
        <f>IFERROR(VLOOKUP($J365,'Project Reference'!$B$2:$L$41,11)," ")</f>
        <v xml:space="preserve"> </v>
      </c>
      <c r="Z365" s="42" t="str">
        <f>IFERROR(VLOOKUP($J365,'Project Reference'!$B$2:$M$41,12)," ")</f>
        <v xml:space="preserve"> </v>
      </c>
      <c r="AA365" s="42" t="str">
        <f>IFERROR(VLOOKUP($J365,'Project Reference'!$B$2:$N$41,13)," ")</f>
        <v xml:space="preserve"> </v>
      </c>
    </row>
    <row r="366" spans="1:27" s="1" customFormat="1" x14ac:dyDescent="0.45">
      <c r="A366" s="43"/>
      <c r="B366" s="205"/>
      <c r="C366"/>
      <c r="D366" s="72"/>
      <c r="E366" s="72"/>
      <c r="F366" s="72"/>
      <c r="G366" s="72"/>
      <c r="H366" s="17"/>
      <c r="I366" s="41" t="str" cm="1">
        <f t="array" ref="I366">IFERROR(_xlfn.IFS(H366="Hard (Cash)","N/A",H366="Soft (In-Kind)", "Enter Source"),"Select Type")</f>
        <v>Select Type</v>
      </c>
      <c r="J366" s="124"/>
      <c r="K366" s="41" t="str">
        <f>IFERROR(VLOOKUP($J366,'Project Reference'!$S$2:$T$41,2),"Enter Project Number")</f>
        <v>Enter Project Number</v>
      </c>
      <c r="L366" s="41"/>
      <c r="M366" s="41"/>
      <c r="N366" s="15">
        <f t="shared" si="5"/>
        <v>0</v>
      </c>
      <c r="O366" s="19"/>
      <c r="P366" s="42" t="str">
        <f>IFERROR(VLOOKUP($J366,'Project Reference'!$B$2:$C$41,2)," ")</f>
        <v xml:space="preserve"> </v>
      </c>
      <c r="Q366" s="42" t="str">
        <f>IFERROR(VLOOKUP($J366,'Project Reference'!$B$2:$D$41,3)," ")</f>
        <v xml:space="preserve"> </v>
      </c>
      <c r="R366" s="42" t="str">
        <f>IFERROR(VLOOKUP($J366,'Project Reference'!$B$2:$E$41,4)," ")</f>
        <v xml:space="preserve"> </v>
      </c>
      <c r="S366" s="42" t="str">
        <f>IFERROR(VLOOKUP($J366,'Project Reference'!$B$2:$F$41,5,FALSE)," ")</f>
        <v xml:space="preserve"> </v>
      </c>
      <c r="T366" s="42" t="str">
        <f>IFERROR(VLOOKUP($J366,'Project Reference'!$B$2:$G$41,6,FALSE)," ")</f>
        <v xml:space="preserve"> </v>
      </c>
      <c r="U366" s="42" t="str">
        <f>IFERROR(VLOOKUP($J366,'Project Reference'!$B$2:$H$41,7,FALSE)," ")</f>
        <v xml:space="preserve"> </v>
      </c>
      <c r="V366" s="42" t="str">
        <f>IFERROR(VLOOKUP($J366,'Project Reference'!$B$2:$I$41,8,FALSE)," ")</f>
        <v xml:space="preserve"> </v>
      </c>
      <c r="W366" s="42" t="str">
        <f>IFERROR(VLOOKUP($J366,'Project Reference'!$B$2:$J$41,9,FALSE)," ")</f>
        <v xml:space="preserve"> </v>
      </c>
      <c r="X366" s="42" t="str">
        <f>IFERROR(VLOOKUP($J366,'Project Reference'!$B$2:$K$41,10)," ")</f>
        <v xml:space="preserve"> </v>
      </c>
      <c r="Y366" s="42" t="str">
        <f>IFERROR(VLOOKUP($J366,'Project Reference'!$B$2:$L$41,11)," ")</f>
        <v xml:space="preserve"> </v>
      </c>
      <c r="Z366" s="42" t="str">
        <f>IFERROR(VLOOKUP($J366,'Project Reference'!$B$2:$M$41,12)," ")</f>
        <v xml:space="preserve"> </v>
      </c>
      <c r="AA366" s="42" t="str">
        <f>IFERROR(VLOOKUP($J366,'Project Reference'!$B$2:$N$41,13)," ")</f>
        <v xml:space="preserve"> </v>
      </c>
    </row>
    <row r="367" spans="1:27" s="1" customFormat="1" x14ac:dyDescent="0.45">
      <c r="A367" s="43"/>
      <c r="B367" s="205"/>
      <c r="C367"/>
      <c r="D367" s="72"/>
      <c r="E367" s="72"/>
      <c r="F367" s="72"/>
      <c r="G367" s="72"/>
      <c r="H367" s="17"/>
      <c r="I367" s="41" t="str" cm="1">
        <f t="array" ref="I367">IFERROR(_xlfn.IFS(H367="Hard (Cash)","N/A",H367="Soft (In-Kind)", "Enter Source"),"Select Type")</f>
        <v>Select Type</v>
      </c>
      <c r="J367" s="124"/>
      <c r="K367" s="41" t="str">
        <f>IFERROR(VLOOKUP($J367,'Project Reference'!$S$2:$T$41,2),"Enter Project Number")</f>
        <v>Enter Project Number</v>
      </c>
      <c r="L367" s="41"/>
      <c r="M367" s="41"/>
      <c r="N367" s="15">
        <f t="shared" si="5"/>
        <v>0</v>
      </c>
      <c r="O367" s="19"/>
      <c r="P367" s="42" t="str">
        <f>IFERROR(VLOOKUP($J367,'Project Reference'!$B$2:$C$41,2)," ")</f>
        <v xml:space="preserve"> </v>
      </c>
      <c r="Q367" s="42" t="str">
        <f>IFERROR(VLOOKUP($J367,'Project Reference'!$B$2:$D$41,3)," ")</f>
        <v xml:space="preserve"> </v>
      </c>
      <c r="R367" s="42" t="str">
        <f>IFERROR(VLOOKUP($J367,'Project Reference'!$B$2:$E$41,4)," ")</f>
        <v xml:space="preserve"> </v>
      </c>
      <c r="S367" s="42" t="str">
        <f>IFERROR(VLOOKUP($J367,'Project Reference'!$B$2:$F$41,5,FALSE)," ")</f>
        <v xml:space="preserve"> </v>
      </c>
      <c r="T367" s="42" t="str">
        <f>IFERROR(VLOOKUP($J367,'Project Reference'!$B$2:$G$41,6,FALSE)," ")</f>
        <v xml:space="preserve"> </v>
      </c>
      <c r="U367" s="42" t="str">
        <f>IFERROR(VLOOKUP($J367,'Project Reference'!$B$2:$H$41,7,FALSE)," ")</f>
        <v xml:space="preserve"> </v>
      </c>
      <c r="V367" s="42" t="str">
        <f>IFERROR(VLOOKUP($J367,'Project Reference'!$B$2:$I$41,8,FALSE)," ")</f>
        <v xml:space="preserve"> </v>
      </c>
      <c r="W367" s="42" t="str">
        <f>IFERROR(VLOOKUP($J367,'Project Reference'!$B$2:$J$41,9,FALSE)," ")</f>
        <v xml:space="preserve"> </v>
      </c>
      <c r="X367" s="42" t="str">
        <f>IFERROR(VLOOKUP($J367,'Project Reference'!$B$2:$K$41,10)," ")</f>
        <v xml:space="preserve"> </v>
      </c>
      <c r="Y367" s="42" t="str">
        <f>IFERROR(VLOOKUP($J367,'Project Reference'!$B$2:$L$41,11)," ")</f>
        <v xml:space="preserve"> </v>
      </c>
      <c r="Z367" s="42" t="str">
        <f>IFERROR(VLOOKUP($J367,'Project Reference'!$B$2:$M$41,12)," ")</f>
        <v xml:space="preserve"> </v>
      </c>
      <c r="AA367" s="42" t="str">
        <f>IFERROR(VLOOKUP($J367,'Project Reference'!$B$2:$N$41,13)," ")</f>
        <v xml:space="preserve"> </v>
      </c>
    </row>
    <row r="368" spans="1:27" s="1" customFormat="1" x14ac:dyDescent="0.45">
      <c r="A368" s="43"/>
      <c r="B368" s="205"/>
      <c r="C368"/>
      <c r="D368" s="72"/>
      <c r="E368" s="72"/>
      <c r="F368" s="72"/>
      <c r="G368" s="72"/>
      <c r="H368" s="17"/>
      <c r="I368" s="41" t="str" cm="1">
        <f t="array" ref="I368">IFERROR(_xlfn.IFS(H368="Hard (Cash)","N/A",H368="Soft (In-Kind)", "Enter Source"),"Select Type")</f>
        <v>Select Type</v>
      </c>
      <c r="J368" s="124"/>
      <c r="K368" s="41" t="str">
        <f>IFERROR(VLOOKUP($J368,'Project Reference'!$S$2:$T$41,2),"Enter Project Number")</f>
        <v>Enter Project Number</v>
      </c>
      <c r="L368" s="41"/>
      <c r="M368" s="41"/>
      <c r="N368" s="15">
        <f t="shared" si="5"/>
        <v>0</v>
      </c>
      <c r="O368" s="19"/>
      <c r="P368" s="42" t="str">
        <f>IFERROR(VLOOKUP($J368,'Project Reference'!$B$2:$C$41,2)," ")</f>
        <v xml:space="preserve"> </v>
      </c>
      <c r="Q368" s="42" t="str">
        <f>IFERROR(VLOOKUP($J368,'Project Reference'!$B$2:$D$41,3)," ")</f>
        <v xml:space="preserve"> </v>
      </c>
      <c r="R368" s="42" t="str">
        <f>IFERROR(VLOOKUP($J368,'Project Reference'!$B$2:$E$41,4)," ")</f>
        <v xml:space="preserve"> </v>
      </c>
      <c r="S368" s="42" t="str">
        <f>IFERROR(VLOOKUP($J368,'Project Reference'!$B$2:$F$41,5,FALSE)," ")</f>
        <v xml:space="preserve"> </v>
      </c>
      <c r="T368" s="42" t="str">
        <f>IFERROR(VLOOKUP($J368,'Project Reference'!$B$2:$G$41,6,FALSE)," ")</f>
        <v xml:space="preserve"> </v>
      </c>
      <c r="U368" s="42" t="str">
        <f>IFERROR(VLOOKUP($J368,'Project Reference'!$B$2:$H$41,7,FALSE)," ")</f>
        <v xml:space="preserve"> </v>
      </c>
      <c r="V368" s="42" t="str">
        <f>IFERROR(VLOOKUP($J368,'Project Reference'!$B$2:$I$41,8,FALSE)," ")</f>
        <v xml:space="preserve"> </v>
      </c>
      <c r="W368" s="42" t="str">
        <f>IFERROR(VLOOKUP($J368,'Project Reference'!$B$2:$J$41,9,FALSE)," ")</f>
        <v xml:space="preserve"> </v>
      </c>
      <c r="X368" s="42" t="str">
        <f>IFERROR(VLOOKUP($J368,'Project Reference'!$B$2:$K$41,10)," ")</f>
        <v xml:space="preserve"> </v>
      </c>
      <c r="Y368" s="42" t="str">
        <f>IFERROR(VLOOKUP($J368,'Project Reference'!$B$2:$L$41,11)," ")</f>
        <v xml:space="preserve"> </v>
      </c>
      <c r="Z368" s="42" t="str">
        <f>IFERROR(VLOOKUP($J368,'Project Reference'!$B$2:$M$41,12)," ")</f>
        <v xml:space="preserve"> </v>
      </c>
      <c r="AA368" s="42" t="str">
        <f>IFERROR(VLOOKUP($J368,'Project Reference'!$B$2:$N$41,13)," ")</f>
        <v xml:space="preserve"> </v>
      </c>
    </row>
    <row r="369" spans="1:27" s="1" customFormat="1" x14ac:dyDescent="0.45">
      <c r="A369" s="43"/>
      <c r="B369" s="205"/>
      <c r="C369"/>
      <c r="D369" s="72"/>
      <c r="E369" s="72"/>
      <c r="F369" s="72"/>
      <c r="G369" s="72"/>
      <c r="H369" s="17"/>
      <c r="I369" s="41" t="str" cm="1">
        <f t="array" ref="I369">IFERROR(_xlfn.IFS(H369="Hard (Cash)","N/A",H369="Soft (In-Kind)", "Enter Source"),"Select Type")</f>
        <v>Select Type</v>
      </c>
      <c r="J369" s="124"/>
      <c r="K369" s="41" t="str">
        <f>IFERROR(VLOOKUP($J369,'Project Reference'!$S$2:$T$41,2),"Enter Project Number")</f>
        <v>Enter Project Number</v>
      </c>
      <c r="L369" s="41"/>
      <c r="M369" s="41"/>
      <c r="N369" s="15">
        <f t="shared" si="5"/>
        <v>0</v>
      </c>
      <c r="O369" s="19"/>
      <c r="P369" s="42" t="str">
        <f>IFERROR(VLOOKUP($J369,'Project Reference'!$B$2:$C$41,2)," ")</f>
        <v xml:space="preserve"> </v>
      </c>
      <c r="Q369" s="42" t="str">
        <f>IFERROR(VLOOKUP($J369,'Project Reference'!$B$2:$D$41,3)," ")</f>
        <v xml:space="preserve"> </v>
      </c>
      <c r="R369" s="42" t="str">
        <f>IFERROR(VLOOKUP($J369,'Project Reference'!$B$2:$E$41,4)," ")</f>
        <v xml:space="preserve"> </v>
      </c>
      <c r="S369" s="42" t="str">
        <f>IFERROR(VLOOKUP($J369,'Project Reference'!$B$2:$F$41,5,FALSE)," ")</f>
        <v xml:space="preserve"> </v>
      </c>
      <c r="T369" s="42" t="str">
        <f>IFERROR(VLOOKUP($J369,'Project Reference'!$B$2:$G$41,6,FALSE)," ")</f>
        <v xml:space="preserve"> </v>
      </c>
      <c r="U369" s="42" t="str">
        <f>IFERROR(VLOOKUP($J369,'Project Reference'!$B$2:$H$41,7,FALSE)," ")</f>
        <v xml:space="preserve"> </v>
      </c>
      <c r="V369" s="42" t="str">
        <f>IFERROR(VLOOKUP($J369,'Project Reference'!$B$2:$I$41,8,FALSE)," ")</f>
        <v xml:space="preserve"> </v>
      </c>
      <c r="W369" s="42" t="str">
        <f>IFERROR(VLOOKUP($J369,'Project Reference'!$B$2:$J$41,9,FALSE)," ")</f>
        <v xml:space="preserve"> </v>
      </c>
      <c r="X369" s="42" t="str">
        <f>IFERROR(VLOOKUP($J369,'Project Reference'!$B$2:$K$41,10)," ")</f>
        <v xml:space="preserve"> </v>
      </c>
      <c r="Y369" s="42" t="str">
        <f>IFERROR(VLOOKUP($J369,'Project Reference'!$B$2:$L$41,11)," ")</f>
        <v xml:space="preserve"> </v>
      </c>
      <c r="Z369" s="42" t="str">
        <f>IFERROR(VLOOKUP($J369,'Project Reference'!$B$2:$M$41,12)," ")</f>
        <v xml:space="preserve"> </v>
      </c>
      <c r="AA369" s="42" t="str">
        <f>IFERROR(VLOOKUP($J369,'Project Reference'!$B$2:$N$41,13)," ")</f>
        <v xml:space="preserve"> </v>
      </c>
    </row>
    <row r="370" spans="1:27" s="1" customFormat="1" x14ac:dyDescent="0.45">
      <c r="A370" s="43"/>
      <c r="B370" s="205"/>
      <c r="C370"/>
      <c r="D370" s="72"/>
      <c r="E370" s="72"/>
      <c r="F370" s="72"/>
      <c r="G370" s="72"/>
      <c r="H370" s="17"/>
      <c r="I370" s="41" t="str" cm="1">
        <f t="array" ref="I370">IFERROR(_xlfn.IFS(H370="Hard (Cash)","N/A",H370="Soft (In-Kind)", "Enter Source"),"Select Type")</f>
        <v>Select Type</v>
      </c>
      <c r="J370" s="124"/>
      <c r="K370" s="41" t="str">
        <f>IFERROR(VLOOKUP($J370,'Project Reference'!$S$2:$T$41,2),"Enter Project Number")</f>
        <v>Enter Project Number</v>
      </c>
      <c r="L370" s="41"/>
      <c r="M370" s="41"/>
      <c r="N370" s="15">
        <f t="shared" si="5"/>
        <v>0</v>
      </c>
      <c r="O370" s="19"/>
      <c r="P370" s="42" t="str">
        <f>IFERROR(VLOOKUP($J370,'Project Reference'!$B$2:$C$41,2)," ")</f>
        <v xml:space="preserve"> </v>
      </c>
      <c r="Q370" s="42" t="str">
        <f>IFERROR(VLOOKUP($J370,'Project Reference'!$B$2:$D$41,3)," ")</f>
        <v xml:space="preserve"> </v>
      </c>
      <c r="R370" s="42" t="str">
        <f>IFERROR(VLOOKUP($J370,'Project Reference'!$B$2:$E$41,4)," ")</f>
        <v xml:space="preserve"> </v>
      </c>
      <c r="S370" s="42" t="str">
        <f>IFERROR(VLOOKUP($J370,'Project Reference'!$B$2:$F$41,5,FALSE)," ")</f>
        <v xml:space="preserve"> </v>
      </c>
      <c r="T370" s="42" t="str">
        <f>IFERROR(VLOOKUP($J370,'Project Reference'!$B$2:$G$41,6,FALSE)," ")</f>
        <v xml:space="preserve"> </v>
      </c>
      <c r="U370" s="42" t="str">
        <f>IFERROR(VLOOKUP($J370,'Project Reference'!$B$2:$H$41,7,FALSE)," ")</f>
        <v xml:space="preserve"> </v>
      </c>
      <c r="V370" s="42" t="str">
        <f>IFERROR(VLOOKUP($J370,'Project Reference'!$B$2:$I$41,8,FALSE)," ")</f>
        <v xml:space="preserve"> </v>
      </c>
      <c r="W370" s="42" t="str">
        <f>IFERROR(VLOOKUP($J370,'Project Reference'!$B$2:$J$41,9,FALSE)," ")</f>
        <v xml:space="preserve"> </v>
      </c>
      <c r="X370" s="42" t="str">
        <f>IFERROR(VLOOKUP($J370,'Project Reference'!$B$2:$K$41,10)," ")</f>
        <v xml:space="preserve"> </v>
      </c>
      <c r="Y370" s="42" t="str">
        <f>IFERROR(VLOOKUP($J370,'Project Reference'!$B$2:$L$41,11)," ")</f>
        <v xml:space="preserve"> </v>
      </c>
      <c r="Z370" s="42" t="str">
        <f>IFERROR(VLOOKUP($J370,'Project Reference'!$B$2:$M$41,12)," ")</f>
        <v xml:space="preserve"> </v>
      </c>
      <c r="AA370" s="42" t="str">
        <f>IFERROR(VLOOKUP($J370,'Project Reference'!$B$2:$N$41,13)," ")</f>
        <v xml:space="preserve"> </v>
      </c>
    </row>
    <row r="371" spans="1:27" s="1" customFormat="1" x14ac:dyDescent="0.45">
      <c r="A371" s="43"/>
      <c r="B371" s="205"/>
      <c r="C371"/>
      <c r="D371" s="72"/>
      <c r="E371" s="72"/>
      <c r="F371" s="72"/>
      <c r="G371" s="72"/>
      <c r="H371" s="17"/>
      <c r="I371" s="41" t="str" cm="1">
        <f t="array" ref="I371">IFERROR(_xlfn.IFS(H371="Hard (Cash)","N/A",H371="Soft (In-Kind)", "Enter Source"),"Select Type")</f>
        <v>Select Type</v>
      </c>
      <c r="J371" s="124"/>
      <c r="K371" s="41" t="str">
        <f>IFERROR(VLOOKUP($J371,'Project Reference'!$S$2:$T$41,2),"Enter Project Number")</f>
        <v>Enter Project Number</v>
      </c>
      <c r="L371" s="41"/>
      <c r="M371" s="41"/>
      <c r="N371" s="15">
        <f t="shared" si="5"/>
        <v>0</v>
      </c>
      <c r="O371" s="19"/>
      <c r="P371" s="42" t="str">
        <f>IFERROR(VLOOKUP($J371,'Project Reference'!$B$2:$C$41,2)," ")</f>
        <v xml:space="preserve"> </v>
      </c>
      <c r="Q371" s="42" t="str">
        <f>IFERROR(VLOOKUP($J371,'Project Reference'!$B$2:$D$41,3)," ")</f>
        <v xml:space="preserve"> </v>
      </c>
      <c r="R371" s="42" t="str">
        <f>IFERROR(VLOOKUP($J371,'Project Reference'!$B$2:$E$41,4)," ")</f>
        <v xml:space="preserve"> </v>
      </c>
      <c r="S371" s="42" t="str">
        <f>IFERROR(VLOOKUP($J371,'Project Reference'!$B$2:$F$41,5,FALSE)," ")</f>
        <v xml:space="preserve"> </v>
      </c>
      <c r="T371" s="42" t="str">
        <f>IFERROR(VLOOKUP($J371,'Project Reference'!$B$2:$G$41,6,FALSE)," ")</f>
        <v xml:space="preserve"> </v>
      </c>
      <c r="U371" s="42" t="str">
        <f>IFERROR(VLOOKUP($J371,'Project Reference'!$B$2:$H$41,7,FALSE)," ")</f>
        <v xml:space="preserve"> </v>
      </c>
      <c r="V371" s="42" t="str">
        <f>IFERROR(VLOOKUP($J371,'Project Reference'!$B$2:$I$41,8,FALSE)," ")</f>
        <v xml:space="preserve"> </v>
      </c>
      <c r="W371" s="42" t="str">
        <f>IFERROR(VLOOKUP($J371,'Project Reference'!$B$2:$J$41,9,FALSE)," ")</f>
        <v xml:space="preserve"> </v>
      </c>
      <c r="X371" s="42" t="str">
        <f>IFERROR(VLOOKUP($J371,'Project Reference'!$B$2:$K$41,10)," ")</f>
        <v xml:space="preserve"> </v>
      </c>
      <c r="Y371" s="42" t="str">
        <f>IFERROR(VLOOKUP($J371,'Project Reference'!$B$2:$L$41,11)," ")</f>
        <v xml:space="preserve"> </v>
      </c>
      <c r="Z371" s="42" t="str">
        <f>IFERROR(VLOOKUP($J371,'Project Reference'!$B$2:$M$41,12)," ")</f>
        <v xml:space="preserve"> </v>
      </c>
      <c r="AA371" s="42" t="str">
        <f>IFERROR(VLOOKUP($J371,'Project Reference'!$B$2:$N$41,13)," ")</f>
        <v xml:space="preserve"> </v>
      </c>
    </row>
    <row r="372" spans="1:27" s="1" customFormat="1" x14ac:dyDescent="0.45">
      <c r="A372" s="43"/>
      <c r="B372" s="205"/>
      <c r="C372"/>
      <c r="D372" s="72"/>
      <c r="E372" s="72"/>
      <c r="F372" s="72"/>
      <c r="G372" s="72"/>
      <c r="H372" s="17"/>
      <c r="I372" s="41" t="str" cm="1">
        <f t="array" ref="I372">IFERROR(_xlfn.IFS(H372="Hard (Cash)","N/A",H372="Soft (In-Kind)", "Enter Source"),"Select Type")</f>
        <v>Select Type</v>
      </c>
      <c r="J372" s="124"/>
      <c r="K372" s="41" t="str">
        <f>IFERROR(VLOOKUP($J372,'Project Reference'!$S$2:$T$41,2),"Enter Project Number")</f>
        <v>Enter Project Number</v>
      </c>
      <c r="L372" s="41"/>
      <c r="M372" s="41"/>
      <c r="N372" s="15">
        <f t="shared" si="5"/>
        <v>0</v>
      </c>
      <c r="O372" s="19"/>
      <c r="P372" s="42" t="str">
        <f>IFERROR(VLOOKUP($J372,'Project Reference'!$B$2:$C$41,2)," ")</f>
        <v xml:space="preserve"> </v>
      </c>
      <c r="Q372" s="42" t="str">
        <f>IFERROR(VLOOKUP($J372,'Project Reference'!$B$2:$D$41,3)," ")</f>
        <v xml:space="preserve"> </v>
      </c>
      <c r="R372" s="42" t="str">
        <f>IFERROR(VLOOKUP($J372,'Project Reference'!$B$2:$E$41,4)," ")</f>
        <v xml:space="preserve"> </v>
      </c>
      <c r="S372" s="42" t="str">
        <f>IFERROR(VLOOKUP($J372,'Project Reference'!$B$2:$F$41,5,FALSE)," ")</f>
        <v xml:space="preserve"> </v>
      </c>
      <c r="T372" s="42" t="str">
        <f>IFERROR(VLOOKUP($J372,'Project Reference'!$B$2:$G$41,6,FALSE)," ")</f>
        <v xml:space="preserve"> </v>
      </c>
      <c r="U372" s="42" t="str">
        <f>IFERROR(VLOOKUP($J372,'Project Reference'!$B$2:$H$41,7,FALSE)," ")</f>
        <v xml:space="preserve"> </v>
      </c>
      <c r="V372" s="42" t="str">
        <f>IFERROR(VLOOKUP($J372,'Project Reference'!$B$2:$I$41,8,FALSE)," ")</f>
        <v xml:space="preserve"> </v>
      </c>
      <c r="W372" s="42" t="str">
        <f>IFERROR(VLOOKUP($J372,'Project Reference'!$B$2:$J$41,9,FALSE)," ")</f>
        <v xml:space="preserve"> </v>
      </c>
      <c r="X372" s="42" t="str">
        <f>IFERROR(VLOOKUP($J372,'Project Reference'!$B$2:$K$41,10)," ")</f>
        <v xml:space="preserve"> </v>
      </c>
      <c r="Y372" s="42" t="str">
        <f>IFERROR(VLOOKUP($J372,'Project Reference'!$B$2:$L$41,11)," ")</f>
        <v xml:space="preserve"> </v>
      </c>
      <c r="Z372" s="42" t="str">
        <f>IFERROR(VLOOKUP($J372,'Project Reference'!$B$2:$M$41,12)," ")</f>
        <v xml:space="preserve"> </v>
      </c>
      <c r="AA372" s="42" t="str">
        <f>IFERROR(VLOOKUP($J372,'Project Reference'!$B$2:$N$41,13)," ")</f>
        <v xml:space="preserve"> </v>
      </c>
    </row>
    <row r="373" spans="1:27" s="1" customFormat="1" x14ac:dyDescent="0.45">
      <c r="A373" s="43"/>
      <c r="B373" s="205"/>
      <c r="C373"/>
      <c r="D373" s="72"/>
      <c r="E373" s="72"/>
      <c r="F373" s="72"/>
      <c r="G373" s="72"/>
      <c r="H373" s="17"/>
      <c r="I373" s="41" t="str" cm="1">
        <f t="array" ref="I373">IFERROR(_xlfn.IFS(H373="Hard (Cash)","N/A",H373="Soft (In-Kind)", "Enter Source"),"Select Type")</f>
        <v>Select Type</v>
      </c>
      <c r="J373" s="124"/>
      <c r="K373" s="41" t="str">
        <f>IFERROR(VLOOKUP($J373,'Project Reference'!$S$2:$T$41,2),"Enter Project Number")</f>
        <v>Enter Project Number</v>
      </c>
      <c r="L373" s="41"/>
      <c r="M373" s="41"/>
      <c r="N373" s="15">
        <f t="shared" si="5"/>
        <v>0</v>
      </c>
      <c r="O373" s="19"/>
      <c r="P373" s="42" t="str">
        <f>IFERROR(VLOOKUP($J373,'Project Reference'!$B$2:$C$41,2)," ")</f>
        <v xml:space="preserve"> </v>
      </c>
      <c r="Q373" s="42" t="str">
        <f>IFERROR(VLOOKUP($J373,'Project Reference'!$B$2:$D$41,3)," ")</f>
        <v xml:space="preserve"> </v>
      </c>
      <c r="R373" s="42" t="str">
        <f>IFERROR(VLOOKUP($J373,'Project Reference'!$B$2:$E$41,4)," ")</f>
        <v xml:space="preserve"> </v>
      </c>
      <c r="S373" s="42" t="str">
        <f>IFERROR(VLOOKUP($J373,'Project Reference'!$B$2:$F$41,5,FALSE)," ")</f>
        <v xml:space="preserve"> </v>
      </c>
      <c r="T373" s="42" t="str">
        <f>IFERROR(VLOOKUP($J373,'Project Reference'!$B$2:$G$41,6,FALSE)," ")</f>
        <v xml:space="preserve"> </v>
      </c>
      <c r="U373" s="42" t="str">
        <f>IFERROR(VLOOKUP($J373,'Project Reference'!$B$2:$H$41,7,FALSE)," ")</f>
        <v xml:space="preserve"> </v>
      </c>
      <c r="V373" s="42" t="str">
        <f>IFERROR(VLOOKUP($J373,'Project Reference'!$B$2:$I$41,8,FALSE)," ")</f>
        <v xml:space="preserve"> </v>
      </c>
      <c r="W373" s="42" t="str">
        <f>IFERROR(VLOOKUP($J373,'Project Reference'!$B$2:$J$41,9,FALSE)," ")</f>
        <v xml:space="preserve"> </v>
      </c>
      <c r="X373" s="42" t="str">
        <f>IFERROR(VLOOKUP($J373,'Project Reference'!$B$2:$K$41,10)," ")</f>
        <v xml:space="preserve"> </v>
      </c>
      <c r="Y373" s="42" t="str">
        <f>IFERROR(VLOOKUP($J373,'Project Reference'!$B$2:$L$41,11)," ")</f>
        <v xml:space="preserve"> </v>
      </c>
      <c r="Z373" s="42" t="str">
        <f>IFERROR(VLOOKUP($J373,'Project Reference'!$B$2:$M$41,12)," ")</f>
        <v xml:space="preserve"> </v>
      </c>
      <c r="AA373" s="42" t="str">
        <f>IFERROR(VLOOKUP($J373,'Project Reference'!$B$2:$N$41,13)," ")</f>
        <v xml:space="preserve"> </v>
      </c>
    </row>
    <row r="374" spans="1:27" s="1" customFormat="1" x14ac:dyDescent="0.45">
      <c r="A374" s="43"/>
      <c r="B374" s="205"/>
      <c r="C374"/>
      <c r="D374" s="72"/>
      <c r="E374" s="72"/>
      <c r="F374" s="72"/>
      <c r="G374" s="72"/>
      <c r="H374" s="17"/>
      <c r="I374" s="41" t="str" cm="1">
        <f t="array" ref="I374">IFERROR(_xlfn.IFS(H374="Hard (Cash)","N/A",H374="Soft (In-Kind)", "Enter Source"),"Select Type")</f>
        <v>Select Type</v>
      </c>
      <c r="J374" s="124"/>
      <c r="K374" s="41" t="str">
        <f>IFERROR(VLOOKUP($J374,'Project Reference'!$S$2:$T$41,2),"Enter Project Number")</f>
        <v>Enter Project Number</v>
      </c>
      <c r="L374" s="41"/>
      <c r="M374" s="41"/>
      <c r="N374" s="15">
        <f t="shared" si="5"/>
        <v>0</v>
      </c>
      <c r="O374" s="19"/>
      <c r="P374" s="42" t="str">
        <f>IFERROR(VLOOKUP($J374,'Project Reference'!$B$2:$C$41,2)," ")</f>
        <v xml:space="preserve"> </v>
      </c>
      <c r="Q374" s="42" t="str">
        <f>IFERROR(VLOOKUP($J374,'Project Reference'!$B$2:$D$41,3)," ")</f>
        <v xml:space="preserve"> </v>
      </c>
      <c r="R374" s="42" t="str">
        <f>IFERROR(VLOOKUP($J374,'Project Reference'!$B$2:$E$41,4)," ")</f>
        <v xml:space="preserve"> </v>
      </c>
      <c r="S374" s="42" t="str">
        <f>IFERROR(VLOOKUP($J374,'Project Reference'!$B$2:$F$41,5,FALSE)," ")</f>
        <v xml:space="preserve"> </v>
      </c>
      <c r="T374" s="42" t="str">
        <f>IFERROR(VLOOKUP($J374,'Project Reference'!$B$2:$G$41,6,FALSE)," ")</f>
        <v xml:space="preserve"> </v>
      </c>
      <c r="U374" s="42" t="str">
        <f>IFERROR(VLOOKUP($J374,'Project Reference'!$B$2:$H$41,7,FALSE)," ")</f>
        <v xml:space="preserve"> </v>
      </c>
      <c r="V374" s="42" t="str">
        <f>IFERROR(VLOOKUP($J374,'Project Reference'!$B$2:$I$41,8,FALSE)," ")</f>
        <v xml:space="preserve"> </v>
      </c>
      <c r="W374" s="42" t="str">
        <f>IFERROR(VLOOKUP($J374,'Project Reference'!$B$2:$J$41,9,FALSE)," ")</f>
        <v xml:space="preserve"> </v>
      </c>
      <c r="X374" s="42" t="str">
        <f>IFERROR(VLOOKUP($J374,'Project Reference'!$B$2:$K$41,10)," ")</f>
        <v xml:space="preserve"> </v>
      </c>
      <c r="Y374" s="42" t="str">
        <f>IFERROR(VLOOKUP($J374,'Project Reference'!$B$2:$L$41,11)," ")</f>
        <v xml:space="preserve"> </v>
      </c>
      <c r="Z374" s="42" t="str">
        <f>IFERROR(VLOOKUP($J374,'Project Reference'!$B$2:$M$41,12)," ")</f>
        <v xml:space="preserve"> </v>
      </c>
      <c r="AA374" s="42" t="str">
        <f>IFERROR(VLOOKUP($J374,'Project Reference'!$B$2:$N$41,13)," ")</f>
        <v xml:space="preserve"> </v>
      </c>
    </row>
    <row r="375" spans="1:27" s="1" customFormat="1" x14ac:dyDescent="0.45">
      <c r="A375" s="43"/>
      <c r="B375" s="205"/>
      <c r="C375"/>
      <c r="D375" s="72"/>
      <c r="E375" s="72"/>
      <c r="F375" s="72"/>
      <c r="G375" s="72"/>
      <c r="H375" s="17"/>
      <c r="I375" s="41" t="str" cm="1">
        <f t="array" ref="I375">IFERROR(_xlfn.IFS(H375="Hard (Cash)","N/A",H375="Soft (In-Kind)", "Enter Source"),"Select Type")</f>
        <v>Select Type</v>
      </c>
      <c r="J375" s="124"/>
      <c r="K375" s="41" t="str">
        <f>IFERROR(VLOOKUP($J375,'Project Reference'!$S$2:$T$41,2),"Enter Project Number")</f>
        <v>Enter Project Number</v>
      </c>
      <c r="L375" s="41"/>
      <c r="M375" s="41"/>
      <c r="N375" s="15">
        <f t="shared" si="5"/>
        <v>0</v>
      </c>
      <c r="O375" s="19"/>
      <c r="P375" s="42" t="str">
        <f>IFERROR(VLOOKUP($J375,'Project Reference'!$B$2:$C$41,2)," ")</f>
        <v xml:space="preserve"> </v>
      </c>
      <c r="Q375" s="42" t="str">
        <f>IFERROR(VLOOKUP($J375,'Project Reference'!$B$2:$D$41,3)," ")</f>
        <v xml:space="preserve"> </v>
      </c>
      <c r="R375" s="42" t="str">
        <f>IFERROR(VLOOKUP($J375,'Project Reference'!$B$2:$E$41,4)," ")</f>
        <v xml:space="preserve"> </v>
      </c>
      <c r="S375" s="42" t="str">
        <f>IFERROR(VLOOKUP($J375,'Project Reference'!$B$2:$F$41,5,FALSE)," ")</f>
        <v xml:space="preserve"> </v>
      </c>
      <c r="T375" s="42" t="str">
        <f>IFERROR(VLOOKUP($J375,'Project Reference'!$B$2:$G$41,6,FALSE)," ")</f>
        <v xml:space="preserve"> </v>
      </c>
      <c r="U375" s="42" t="str">
        <f>IFERROR(VLOOKUP($J375,'Project Reference'!$B$2:$H$41,7,FALSE)," ")</f>
        <v xml:space="preserve"> </v>
      </c>
      <c r="V375" s="42" t="str">
        <f>IFERROR(VLOOKUP($J375,'Project Reference'!$B$2:$I$41,8,FALSE)," ")</f>
        <v xml:space="preserve"> </v>
      </c>
      <c r="W375" s="42" t="str">
        <f>IFERROR(VLOOKUP($J375,'Project Reference'!$B$2:$J$41,9,FALSE)," ")</f>
        <v xml:space="preserve"> </v>
      </c>
      <c r="X375" s="42" t="str">
        <f>IFERROR(VLOOKUP($J375,'Project Reference'!$B$2:$K$41,10)," ")</f>
        <v xml:space="preserve"> </v>
      </c>
      <c r="Y375" s="42" t="str">
        <f>IFERROR(VLOOKUP($J375,'Project Reference'!$B$2:$L$41,11)," ")</f>
        <v xml:space="preserve"> </v>
      </c>
      <c r="Z375" s="42" t="str">
        <f>IFERROR(VLOOKUP($J375,'Project Reference'!$B$2:$M$41,12)," ")</f>
        <v xml:space="preserve"> </v>
      </c>
      <c r="AA375" s="42" t="str">
        <f>IFERROR(VLOOKUP($J375,'Project Reference'!$B$2:$N$41,13)," ")</f>
        <v xml:space="preserve"> </v>
      </c>
    </row>
    <row r="376" spans="1:27" s="1" customFormat="1" x14ac:dyDescent="0.45">
      <c r="A376" s="43"/>
      <c r="B376" s="205"/>
      <c r="C376"/>
      <c r="D376" s="72"/>
      <c r="E376" s="72"/>
      <c r="F376" s="72"/>
      <c r="G376" s="72"/>
      <c r="H376" s="17"/>
      <c r="I376" s="41" t="str" cm="1">
        <f t="array" ref="I376">IFERROR(_xlfn.IFS(H376="Hard (Cash)","N/A",H376="Soft (In-Kind)", "Enter Source"),"Select Type")</f>
        <v>Select Type</v>
      </c>
      <c r="J376" s="124"/>
      <c r="K376" s="41" t="str">
        <f>IFERROR(VLOOKUP($J376,'Project Reference'!$S$2:$T$41,2),"Enter Project Number")</f>
        <v>Enter Project Number</v>
      </c>
      <c r="L376" s="41"/>
      <c r="M376" s="41"/>
      <c r="N376" s="15">
        <f t="shared" si="5"/>
        <v>0</v>
      </c>
      <c r="O376" s="19"/>
      <c r="P376" s="42" t="str">
        <f>IFERROR(VLOOKUP($J376,'Project Reference'!$B$2:$C$41,2)," ")</f>
        <v xml:space="preserve"> </v>
      </c>
      <c r="Q376" s="42" t="str">
        <f>IFERROR(VLOOKUP($J376,'Project Reference'!$B$2:$D$41,3)," ")</f>
        <v xml:space="preserve"> </v>
      </c>
      <c r="R376" s="42" t="str">
        <f>IFERROR(VLOOKUP($J376,'Project Reference'!$B$2:$E$41,4)," ")</f>
        <v xml:space="preserve"> </v>
      </c>
      <c r="S376" s="42" t="str">
        <f>IFERROR(VLOOKUP($J376,'Project Reference'!$B$2:$F$41,5,FALSE)," ")</f>
        <v xml:space="preserve"> </v>
      </c>
      <c r="T376" s="42" t="str">
        <f>IFERROR(VLOOKUP($J376,'Project Reference'!$B$2:$G$41,6,FALSE)," ")</f>
        <v xml:space="preserve"> </v>
      </c>
      <c r="U376" s="42" t="str">
        <f>IFERROR(VLOOKUP($J376,'Project Reference'!$B$2:$H$41,7,FALSE)," ")</f>
        <v xml:space="preserve"> </v>
      </c>
      <c r="V376" s="42" t="str">
        <f>IFERROR(VLOOKUP($J376,'Project Reference'!$B$2:$I$41,8,FALSE)," ")</f>
        <v xml:space="preserve"> </v>
      </c>
      <c r="W376" s="42" t="str">
        <f>IFERROR(VLOOKUP($J376,'Project Reference'!$B$2:$J$41,9,FALSE)," ")</f>
        <v xml:space="preserve"> </v>
      </c>
      <c r="X376" s="42" t="str">
        <f>IFERROR(VLOOKUP($J376,'Project Reference'!$B$2:$K$41,10)," ")</f>
        <v xml:space="preserve"> </v>
      </c>
      <c r="Y376" s="42" t="str">
        <f>IFERROR(VLOOKUP($J376,'Project Reference'!$B$2:$L$41,11)," ")</f>
        <v xml:space="preserve"> </v>
      </c>
      <c r="Z376" s="42" t="str">
        <f>IFERROR(VLOOKUP($J376,'Project Reference'!$B$2:$M$41,12)," ")</f>
        <v xml:space="preserve"> </v>
      </c>
      <c r="AA376" s="42" t="str">
        <f>IFERROR(VLOOKUP($J376,'Project Reference'!$B$2:$N$41,13)," ")</f>
        <v xml:space="preserve"> </v>
      </c>
    </row>
    <row r="377" spans="1:27" s="1" customFormat="1" x14ac:dyDescent="0.45">
      <c r="A377" s="43"/>
      <c r="B377" s="205"/>
      <c r="C377"/>
      <c r="D377" s="72"/>
      <c r="E377" s="72"/>
      <c r="F377" s="72"/>
      <c r="G377" s="72"/>
      <c r="H377" s="17"/>
      <c r="I377" s="41" t="str" cm="1">
        <f t="array" ref="I377">IFERROR(_xlfn.IFS(H377="Hard (Cash)","N/A",H377="Soft (In-Kind)", "Enter Source"),"Select Type")</f>
        <v>Select Type</v>
      </c>
      <c r="J377" s="124"/>
      <c r="K377" s="41" t="str">
        <f>IFERROR(VLOOKUP($J377,'Project Reference'!$S$2:$T$41,2),"Enter Project Number")</f>
        <v>Enter Project Number</v>
      </c>
      <c r="L377" s="41"/>
      <c r="M377" s="41"/>
      <c r="N377" s="15">
        <f t="shared" si="5"/>
        <v>0</v>
      </c>
      <c r="O377" s="19"/>
      <c r="P377" s="42" t="str">
        <f>IFERROR(VLOOKUP($J377,'Project Reference'!$B$2:$C$41,2)," ")</f>
        <v xml:space="preserve"> </v>
      </c>
      <c r="Q377" s="42" t="str">
        <f>IFERROR(VLOOKUP($J377,'Project Reference'!$B$2:$D$41,3)," ")</f>
        <v xml:space="preserve"> </v>
      </c>
      <c r="R377" s="42" t="str">
        <f>IFERROR(VLOOKUP($J377,'Project Reference'!$B$2:$E$41,4)," ")</f>
        <v xml:space="preserve"> </v>
      </c>
      <c r="S377" s="42" t="str">
        <f>IFERROR(VLOOKUP($J377,'Project Reference'!$B$2:$F$41,5,FALSE)," ")</f>
        <v xml:space="preserve"> </v>
      </c>
      <c r="T377" s="42" t="str">
        <f>IFERROR(VLOOKUP($J377,'Project Reference'!$B$2:$G$41,6,FALSE)," ")</f>
        <v xml:space="preserve"> </v>
      </c>
      <c r="U377" s="42" t="str">
        <f>IFERROR(VLOOKUP($J377,'Project Reference'!$B$2:$H$41,7,FALSE)," ")</f>
        <v xml:space="preserve"> </v>
      </c>
      <c r="V377" s="42" t="str">
        <f>IFERROR(VLOOKUP($J377,'Project Reference'!$B$2:$I$41,8,FALSE)," ")</f>
        <v xml:space="preserve"> </v>
      </c>
      <c r="W377" s="42" t="str">
        <f>IFERROR(VLOOKUP($J377,'Project Reference'!$B$2:$J$41,9,FALSE)," ")</f>
        <v xml:space="preserve"> </v>
      </c>
      <c r="X377" s="42" t="str">
        <f>IFERROR(VLOOKUP($J377,'Project Reference'!$B$2:$K$41,10)," ")</f>
        <v xml:space="preserve"> </v>
      </c>
      <c r="Y377" s="42" t="str">
        <f>IFERROR(VLOOKUP($J377,'Project Reference'!$B$2:$L$41,11)," ")</f>
        <v xml:space="preserve"> </v>
      </c>
      <c r="Z377" s="42" t="str">
        <f>IFERROR(VLOOKUP($J377,'Project Reference'!$B$2:$M$41,12)," ")</f>
        <v xml:space="preserve"> </v>
      </c>
      <c r="AA377" s="42" t="str">
        <f>IFERROR(VLOOKUP($J377,'Project Reference'!$B$2:$N$41,13)," ")</f>
        <v xml:space="preserve"> </v>
      </c>
    </row>
    <row r="378" spans="1:27" s="1" customFormat="1" x14ac:dyDescent="0.45">
      <c r="A378" s="43"/>
      <c r="B378" s="205"/>
      <c r="C378"/>
      <c r="D378" s="72"/>
      <c r="E378" s="72"/>
      <c r="F378" s="72"/>
      <c r="G378" s="72"/>
      <c r="H378" s="17"/>
      <c r="I378" s="41" t="str" cm="1">
        <f t="array" ref="I378">IFERROR(_xlfn.IFS(H378="Hard (Cash)","N/A",H378="Soft (In-Kind)", "Enter Source"),"Select Type")</f>
        <v>Select Type</v>
      </c>
      <c r="J378" s="124"/>
      <c r="K378" s="41" t="str">
        <f>IFERROR(VLOOKUP($J378,'Project Reference'!$S$2:$T$41,2),"Enter Project Number")</f>
        <v>Enter Project Number</v>
      </c>
      <c r="L378" s="41"/>
      <c r="M378" s="41"/>
      <c r="N378" s="15">
        <f t="shared" si="5"/>
        <v>0</v>
      </c>
      <c r="O378" s="19"/>
      <c r="P378" s="42" t="str">
        <f>IFERROR(VLOOKUP($J378,'Project Reference'!$B$2:$C$41,2)," ")</f>
        <v xml:space="preserve"> </v>
      </c>
      <c r="Q378" s="42" t="str">
        <f>IFERROR(VLOOKUP($J378,'Project Reference'!$B$2:$D$41,3)," ")</f>
        <v xml:space="preserve"> </v>
      </c>
      <c r="R378" s="42" t="str">
        <f>IFERROR(VLOOKUP($J378,'Project Reference'!$B$2:$E$41,4)," ")</f>
        <v xml:space="preserve"> </v>
      </c>
      <c r="S378" s="42" t="str">
        <f>IFERROR(VLOOKUP($J378,'Project Reference'!$B$2:$F$41,5,FALSE)," ")</f>
        <v xml:space="preserve"> </v>
      </c>
      <c r="T378" s="42" t="str">
        <f>IFERROR(VLOOKUP($J378,'Project Reference'!$B$2:$G$41,6,FALSE)," ")</f>
        <v xml:space="preserve"> </v>
      </c>
      <c r="U378" s="42" t="str">
        <f>IFERROR(VLOOKUP($J378,'Project Reference'!$B$2:$H$41,7,FALSE)," ")</f>
        <v xml:space="preserve"> </v>
      </c>
      <c r="V378" s="42" t="str">
        <f>IFERROR(VLOOKUP($J378,'Project Reference'!$B$2:$I$41,8,FALSE)," ")</f>
        <v xml:space="preserve"> </v>
      </c>
      <c r="W378" s="42" t="str">
        <f>IFERROR(VLOOKUP($J378,'Project Reference'!$B$2:$J$41,9,FALSE)," ")</f>
        <v xml:space="preserve"> </v>
      </c>
      <c r="X378" s="42" t="str">
        <f>IFERROR(VLOOKUP($J378,'Project Reference'!$B$2:$K$41,10)," ")</f>
        <v xml:space="preserve"> </v>
      </c>
      <c r="Y378" s="42" t="str">
        <f>IFERROR(VLOOKUP($J378,'Project Reference'!$B$2:$L$41,11)," ")</f>
        <v xml:space="preserve"> </v>
      </c>
      <c r="Z378" s="42" t="str">
        <f>IFERROR(VLOOKUP($J378,'Project Reference'!$B$2:$M$41,12)," ")</f>
        <v xml:space="preserve"> </v>
      </c>
      <c r="AA378" s="42" t="str">
        <f>IFERROR(VLOOKUP($J378,'Project Reference'!$B$2:$N$41,13)," ")</f>
        <v xml:space="preserve"> </v>
      </c>
    </row>
    <row r="379" spans="1:27" s="1" customFormat="1" x14ac:dyDescent="0.45">
      <c r="A379" s="43"/>
      <c r="B379" s="205"/>
      <c r="C379"/>
      <c r="D379" s="72"/>
      <c r="E379" s="72"/>
      <c r="F379" s="72"/>
      <c r="G379" s="72"/>
      <c r="H379" s="17"/>
      <c r="I379" s="41" t="str" cm="1">
        <f t="array" ref="I379">IFERROR(_xlfn.IFS(H379="Hard (Cash)","N/A",H379="Soft (In-Kind)", "Enter Source"),"Select Type")</f>
        <v>Select Type</v>
      </c>
      <c r="J379" s="124"/>
      <c r="K379" s="41" t="str">
        <f>IFERROR(VLOOKUP($J379,'Project Reference'!$S$2:$T$41,2),"Enter Project Number")</f>
        <v>Enter Project Number</v>
      </c>
      <c r="L379" s="41"/>
      <c r="M379" s="41"/>
      <c r="N379" s="15">
        <f t="shared" si="5"/>
        <v>0</v>
      </c>
      <c r="O379" s="19"/>
      <c r="P379" s="42" t="str">
        <f>IFERROR(VLOOKUP($J379,'Project Reference'!$B$2:$C$41,2)," ")</f>
        <v xml:space="preserve"> </v>
      </c>
      <c r="Q379" s="42" t="str">
        <f>IFERROR(VLOOKUP($J379,'Project Reference'!$B$2:$D$41,3)," ")</f>
        <v xml:space="preserve"> </v>
      </c>
      <c r="R379" s="42" t="str">
        <f>IFERROR(VLOOKUP($J379,'Project Reference'!$B$2:$E$41,4)," ")</f>
        <v xml:space="preserve"> </v>
      </c>
      <c r="S379" s="42" t="str">
        <f>IFERROR(VLOOKUP($J379,'Project Reference'!$B$2:$F$41,5,FALSE)," ")</f>
        <v xml:space="preserve"> </v>
      </c>
      <c r="T379" s="42" t="str">
        <f>IFERROR(VLOOKUP($J379,'Project Reference'!$B$2:$G$41,6,FALSE)," ")</f>
        <v xml:space="preserve"> </v>
      </c>
      <c r="U379" s="42" t="str">
        <f>IFERROR(VLOOKUP($J379,'Project Reference'!$B$2:$H$41,7,FALSE)," ")</f>
        <v xml:space="preserve"> </v>
      </c>
      <c r="V379" s="42" t="str">
        <f>IFERROR(VLOOKUP($J379,'Project Reference'!$B$2:$I$41,8,FALSE)," ")</f>
        <v xml:space="preserve"> </v>
      </c>
      <c r="W379" s="42" t="str">
        <f>IFERROR(VLOOKUP($J379,'Project Reference'!$B$2:$J$41,9,FALSE)," ")</f>
        <v xml:space="preserve"> </v>
      </c>
      <c r="X379" s="42" t="str">
        <f>IFERROR(VLOOKUP($J379,'Project Reference'!$B$2:$K$41,10)," ")</f>
        <v xml:space="preserve"> </v>
      </c>
      <c r="Y379" s="42" t="str">
        <f>IFERROR(VLOOKUP($J379,'Project Reference'!$B$2:$L$41,11)," ")</f>
        <v xml:space="preserve"> </v>
      </c>
      <c r="Z379" s="42" t="str">
        <f>IFERROR(VLOOKUP($J379,'Project Reference'!$B$2:$M$41,12)," ")</f>
        <v xml:space="preserve"> </v>
      </c>
      <c r="AA379" s="42" t="str">
        <f>IFERROR(VLOOKUP($J379,'Project Reference'!$B$2:$N$41,13)," ")</f>
        <v xml:space="preserve"> </v>
      </c>
    </row>
    <row r="380" spans="1:27" s="1" customFormat="1" x14ac:dyDescent="0.45">
      <c r="A380" s="43"/>
      <c r="B380" s="205"/>
      <c r="C380"/>
      <c r="D380" s="72"/>
      <c r="E380" s="72"/>
      <c r="F380" s="72"/>
      <c r="G380" s="72"/>
      <c r="H380" s="17"/>
      <c r="I380" s="41" t="str" cm="1">
        <f t="array" ref="I380">IFERROR(_xlfn.IFS(H380="Hard (Cash)","N/A",H380="Soft (In-Kind)", "Enter Source"),"Select Type")</f>
        <v>Select Type</v>
      </c>
      <c r="J380" s="124"/>
      <c r="K380" s="41" t="str">
        <f>IFERROR(VLOOKUP($J380,'Project Reference'!$S$2:$T$41,2),"Enter Project Number")</f>
        <v>Enter Project Number</v>
      </c>
      <c r="L380" s="41"/>
      <c r="M380" s="41"/>
      <c r="N380" s="15">
        <f t="shared" si="5"/>
        <v>0</v>
      </c>
      <c r="O380" s="19"/>
      <c r="P380" s="42" t="str">
        <f>IFERROR(VLOOKUP($J380,'Project Reference'!$B$2:$C$41,2)," ")</f>
        <v xml:space="preserve"> </v>
      </c>
      <c r="Q380" s="42" t="str">
        <f>IFERROR(VLOOKUP($J380,'Project Reference'!$B$2:$D$41,3)," ")</f>
        <v xml:space="preserve"> </v>
      </c>
      <c r="R380" s="42" t="str">
        <f>IFERROR(VLOOKUP($J380,'Project Reference'!$B$2:$E$41,4)," ")</f>
        <v xml:space="preserve"> </v>
      </c>
      <c r="S380" s="42" t="str">
        <f>IFERROR(VLOOKUP($J380,'Project Reference'!$B$2:$F$41,5,FALSE)," ")</f>
        <v xml:space="preserve"> </v>
      </c>
      <c r="T380" s="42" t="str">
        <f>IFERROR(VLOOKUP($J380,'Project Reference'!$B$2:$G$41,6,FALSE)," ")</f>
        <v xml:space="preserve"> </v>
      </c>
      <c r="U380" s="42" t="str">
        <f>IFERROR(VLOOKUP($J380,'Project Reference'!$B$2:$H$41,7,FALSE)," ")</f>
        <v xml:space="preserve"> </v>
      </c>
      <c r="V380" s="42" t="str">
        <f>IFERROR(VLOOKUP($J380,'Project Reference'!$B$2:$I$41,8,FALSE)," ")</f>
        <v xml:space="preserve"> </v>
      </c>
      <c r="W380" s="42" t="str">
        <f>IFERROR(VLOOKUP($J380,'Project Reference'!$B$2:$J$41,9,FALSE)," ")</f>
        <v xml:space="preserve"> </v>
      </c>
      <c r="X380" s="42" t="str">
        <f>IFERROR(VLOOKUP($J380,'Project Reference'!$B$2:$K$41,10)," ")</f>
        <v xml:space="preserve"> </v>
      </c>
      <c r="Y380" s="42" t="str">
        <f>IFERROR(VLOOKUP($J380,'Project Reference'!$B$2:$L$41,11)," ")</f>
        <v xml:space="preserve"> </v>
      </c>
      <c r="Z380" s="42" t="str">
        <f>IFERROR(VLOOKUP($J380,'Project Reference'!$B$2:$M$41,12)," ")</f>
        <v xml:space="preserve"> </v>
      </c>
      <c r="AA380" s="42" t="str">
        <f>IFERROR(VLOOKUP($J380,'Project Reference'!$B$2:$N$41,13)," ")</f>
        <v xml:space="preserve"> </v>
      </c>
    </row>
    <row r="381" spans="1:27" s="1" customFormat="1" x14ac:dyDescent="0.45">
      <c r="A381" s="43"/>
      <c r="B381" s="205"/>
      <c r="C381"/>
      <c r="D381" s="72"/>
      <c r="E381" s="72"/>
      <c r="F381" s="72"/>
      <c r="G381" s="72"/>
      <c r="H381" s="17"/>
      <c r="I381" s="41" t="str" cm="1">
        <f t="array" ref="I381">IFERROR(_xlfn.IFS(H381="Hard (Cash)","N/A",H381="Soft (In-Kind)", "Enter Source"),"Select Type")</f>
        <v>Select Type</v>
      </c>
      <c r="J381" s="124"/>
      <c r="K381" s="41" t="str">
        <f>IFERROR(VLOOKUP($J381,'Project Reference'!$S$2:$T$41,2),"Enter Project Number")</f>
        <v>Enter Project Number</v>
      </c>
      <c r="L381" s="41"/>
      <c r="M381" s="41"/>
      <c r="N381" s="15">
        <f t="shared" si="5"/>
        <v>0</v>
      </c>
      <c r="O381" s="19"/>
      <c r="P381" s="42" t="str">
        <f>IFERROR(VLOOKUP($J381,'Project Reference'!$B$2:$C$41,2)," ")</f>
        <v xml:space="preserve"> </v>
      </c>
      <c r="Q381" s="42" t="str">
        <f>IFERROR(VLOOKUP($J381,'Project Reference'!$B$2:$D$41,3)," ")</f>
        <v xml:space="preserve"> </v>
      </c>
      <c r="R381" s="42" t="str">
        <f>IFERROR(VLOOKUP($J381,'Project Reference'!$B$2:$E$41,4)," ")</f>
        <v xml:space="preserve"> </v>
      </c>
      <c r="S381" s="42" t="str">
        <f>IFERROR(VLOOKUP($J381,'Project Reference'!$B$2:$F$41,5,FALSE)," ")</f>
        <v xml:space="preserve"> </v>
      </c>
      <c r="T381" s="42" t="str">
        <f>IFERROR(VLOOKUP($J381,'Project Reference'!$B$2:$G$41,6,FALSE)," ")</f>
        <v xml:space="preserve"> </v>
      </c>
      <c r="U381" s="42" t="str">
        <f>IFERROR(VLOOKUP($J381,'Project Reference'!$B$2:$H$41,7,FALSE)," ")</f>
        <v xml:space="preserve"> </v>
      </c>
      <c r="V381" s="42" t="str">
        <f>IFERROR(VLOOKUP($J381,'Project Reference'!$B$2:$I$41,8,FALSE)," ")</f>
        <v xml:space="preserve"> </v>
      </c>
      <c r="W381" s="42" t="str">
        <f>IFERROR(VLOOKUP($J381,'Project Reference'!$B$2:$J$41,9,FALSE)," ")</f>
        <v xml:space="preserve"> </v>
      </c>
      <c r="X381" s="42" t="str">
        <f>IFERROR(VLOOKUP($J381,'Project Reference'!$B$2:$K$41,10)," ")</f>
        <v xml:space="preserve"> </v>
      </c>
      <c r="Y381" s="42" t="str">
        <f>IFERROR(VLOOKUP($J381,'Project Reference'!$B$2:$L$41,11)," ")</f>
        <v xml:space="preserve"> </v>
      </c>
      <c r="Z381" s="42" t="str">
        <f>IFERROR(VLOOKUP($J381,'Project Reference'!$B$2:$M$41,12)," ")</f>
        <v xml:space="preserve"> </v>
      </c>
      <c r="AA381" s="42" t="str">
        <f>IFERROR(VLOOKUP($J381,'Project Reference'!$B$2:$N$41,13)," ")</f>
        <v xml:space="preserve"> </v>
      </c>
    </row>
    <row r="382" spans="1:27" s="1" customFormat="1" x14ac:dyDescent="0.45">
      <c r="A382" s="43"/>
      <c r="B382" s="205"/>
      <c r="C382"/>
      <c r="D382" s="72"/>
      <c r="E382" s="72"/>
      <c r="F382" s="72"/>
      <c r="G382" s="72"/>
      <c r="H382" s="17"/>
      <c r="I382" s="41" t="str" cm="1">
        <f t="array" ref="I382">IFERROR(_xlfn.IFS(H382="Hard (Cash)","N/A",H382="Soft (In-Kind)", "Enter Source"),"Select Type")</f>
        <v>Select Type</v>
      </c>
      <c r="J382" s="124"/>
      <c r="K382" s="41" t="str">
        <f>IFERROR(VLOOKUP($J382,'Project Reference'!$S$2:$T$41,2),"Enter Project Number")</f>
        <v>Enter Project Number</v>
      </c>
      <c r="L382" s="41"/>
      <c r="M382" s="41"/>
      <c r="N382" s="15">
        <f t="shared" si="5"/>
        <v>0</v>
      </c>
      <c r="O382" s="19"/>
      <c r="P382" s="42" t="str">
        <f>IFERROR(VLOOKUP($J382,'Project Reference'!$B$2:$C$41,2)," ")</f>
        <v xml:space="preserve"> </v>
      </c>
      <c r="Q382" s="42" t="str">
        <f>IFERROR(VLOOKUP($J382,'Project Reference'!$B$2:$D$41,3)," ")</f>
        <v xml:space="preserve"> </v>
      </c>
      <c r="R382" s="42" t="str">
        <f>IFERROR(VLOOKUP($J382,'Project Reference'!$B$2:$E$41,4)," ")</f>
        <v xml:space="preserve"> </v>
      </c>
      <c r="S382" s="42" t="str">
        <f>IFERROR(VLOOKUP($J382,'Project Reference'!$B$2:$F$41,5,FALSE)," ")</f>
        <v xml:space="preserve"> </v>
      </c>
      <c r="T382" s="42" t="str">
        <f>IFERROR(VLOOKUP($J382,'Project Reference'!$B$2:$G$41,6,FALSE)," ")</f>
        <v xml:space="preserve"> </v>
      </c>
      <c r="U382" s="42" t="str">
        <f>IFERROR(VLOOKUP($J382,'Project Reference'!$B$2:$H$41,7,FALSE)," ")</f>
        <v xml:space="preserve"> </v>
      </c>
      <c r="V382" s="42" t="str">
        <f>IFERROR(VLOOKUP($J382,'Project Reference'!$B$2:$I$41,8,FALSE)," ")</f>
        <v xml:space="preserve"> </v>
      </c>
      <c r="W382" s="42" t="str">
        <f>IFERROR(VLOOKUP($J382,'Project Reference'!$B$2:$J$41,9,FALSE)," ")</f>
        <v xml:space="preserve"> </v>
      </c>
      <c r="X382" s="42" t="str">
        <f>IFERROR(VLOOKUP($J382,'Project Reference'!$B$2:$K$41,10)," ")</f>
        <v xml:space="preserve"> </v>
      </c>
      <c r="Y382" s="42" t="str">
        <f>IFERROR(VLOOKUP($J382,'Project Reference'!$B$2:$L$41,11)," ")</f>
        <v xml:space="preserve"> </v>
      </c>
      <c r="Z382" s="42" t="str">
        <f>IFERROR(VLOOKUP($J382,'Project Reference'!$B$2:$M$41,12)," ")</f>
        <v xml:space="preserve"> </v>
      </c>
      <c r="AA382" s="42" t="str">
        <f>IFERROR(VLOOKUP($J382,'Project Reference'!$B$2:$N$41,13)," ")</f>
        <v xml:space="preserve"> </v>
      </c>
    </row>
    <row r="383" spans="1:27" s="1" customFormat="1" x14ac:dyDescent="0.45">
      <c r="A383" s="43"/>
      <c r="B383" s="205"/>
      <c r="C383"/>
      <c r="D383" s="72"/>
      <c r="E383" s="72"/>
      <c r="F383" s="72"/>
      <c r="G383" s="72"/>
      <c r="H383" s="17"/>
      <c r="I383" s="41" t="str" cm="1">
        <f t="array" ref="I383">IFERROR(_xlfn.IFS(H383="Hard (Cash)","N/A",H383="Soft (In-Kind)", "Enter Source"),"Select Type")</f>
        <v>Select Type</v>
      </c>
      <c r="J383" s="124"/>
      <c r="K383" s="41" t="str">
        <f>IFERROR(VLOOKUP($J383,'Project Reference'!$S$2:$T$41,2),"Enter Project Number")</f>
        <v>Enter Project Number</v>
      </c>
      <c r="L383" s="41"/>
      <c r="M383" s="41"/>
      <c r="N383" s="15">
        <f t="shared" si="5"/>
        <v>0</v>
      </c>
      <c r="O383" s="19"/>
      <c r="P383" s="42" t="str">
        <f>IFERROR(VLOOKUP($J383,'Project Reference'!$B$2:$C$41,2)," ")</f>
        <v xml:space="preserve"> </v>
      </c>
      <c r="Q383" s="42" t="str">
        <f>IFERROR(VLOOKUP($J383,'Project Reference'!$B$2:$D$41,3)," ")</f>
        <v xml:space="preserve"> </v>
      </c>
      <c r="R383" s="42" t="str">
        <f>IFERROR(VLOOKUP($J383,'Project Reference'!$B$2:$E$41,4)," ")</f>
        <v xml:space="preserve"> </v>
      </c>
      <c r="S383" s="42" t="str">
        <f>IFERROR(VLOOKUP($J383,'Project Reference'!$B$2:$F$41,5,FALSE)," ")</f>
        <v xml:space="preserve"> </v>
      </c>
      <c r="T383" s="42" t="str">
        <f>IFERROR(VLOOKUP($J383,'Project Reference'!$B$2:$G$41,6,FALSE)," ")</f>
        <v xml:space="preserve"> </v>
      </c>
      <c r="U383" s="42" t="str">
        <f>IFERROR(VLOOKUP($J383,'Project Reference'!$B$2:$H$41,7,FALSE)," ")</f>
        <v xml:space="preserve"> </v>
      </c>
      <c r="V383" s="42" t="str">
        <f>IFERROR(VLOOKUP($J383,'Project Reference'!$B$2:$I$41,8,FALSE)," ")</f>
        <v xml:space="preserve"> </v>
      </c>
      <c r="W383" s="42" t="str">
        <f>IFERROR(VLOOKUP($J383,'Project Reference'!$B$2:$J$41,9,FALSE)," ")</f>
        <v xml:space="preserve"> </v>
      </c>
      <c r="X383" s="42" t="str">
        <f>IFERROR(VLOOKUP($J383,'Project Reference'!$B$2:$K$41,10)," ")</f>
        <v xml:space="preserve"> </v>
      </c>
      <c r="Y383" s="42" t="str">
        <f>IFERROR(VLOOKUP($J383,'Project Reference'!$B$2:$L$41,11)," ")</f>
        <v xml:space="preserve"> </v>
      </c>
      <c r="Z383" s="42" t="str">
        <f>IFERROR(VLOOKUP($J383,'Project Reference'!$B$2:$M$41,12)," ")</f>
        <v xml:space="preserve"> </v>
      </c>
      <c r="AA383" s="42" t="str">
        <f>IFERROR(VLOOKUP($J383,'Project Reference'!$B$2:$N$41,13)," ")</f>
        <v xml:space="preserve"> </v>
      </c>
    </row>
    <row r="384" spans="1:27" s="1" customFormat="1" x14ac:dyDescent="0.45">
      <c r="A384" s="43"/>
      <c r="B384" s="205"/>
      <c r="C384"/>
      <c r="D384" s="72"/>
      <c r="E384" s="72"/>
      <c r="F384" s="72"/>
      <c r="G384" s="72"/>
      <c r="H384" s="17"/>
      <c r="I384" s="41" t="str" cm="1">
        <f t="array" ref="I384">IFERROR(_xlfn.IFS(H384="Hard (Cash)","N/A",H384="Soft (In-Kind)", "Enter Source"),"Select Type")</f>
        <v>Select Type</v>
      </c>
      <c r="J384" s="124"/>
      <c r="K384" s="41" t="str">
        <f>IFERROR(VLOOKUP($J384,'Project Reference'!$S$2:$T$41,2),"Enter Project Number")</f>
        <v>Enter Project Number</v>
      </c>
      <c r="L384" s="41"/>
      <c r="M384" s="41"/>
      <c r="N384" s="15">
        <f t="shared" si="5"/>
        <v>0</v>
      </c>
      <c r="O384" s="19"/>
      <c r="P384" s="42" t="str">
        <f>IFERROR(VLOOKUP($J384,'Project Reference'!$B$2:$C$41,2)," ")</f>
        <v xml:space="preserve"> </v>
      </c>
      <c r="Q384" s="42" t="str">
        <f>IFERROR(VLOOKUP($J384,'Project Reference'!$B$2:$D$41,3)," ")</f>
        <v xml:space="preserve"> </v>
      </c>
      <c r="R384" s="42" t="str">
        <f>IFERROR(VLOOKUP($J384,'Project Reference'!$B$2:$E$41,4)," ")</f>
        <v xml:space="preserve"> </v>
      </c>
      <c r="S384" s="42" t="str">
        <f>IFERROR(VLOOKUP($J384,'Project Reference'!$B$2:$F$41,5,FALSE)," ")</f>
        <v xml:space="preserve"> </v>
      </c>
      <c r="T384" s="42" t="str">
        <f>IFERROR(VLOOKUP($J384,'Project Reference'!$B$2:$G$41,6,FALSE)," ")</f>
        <v xml:space="preserve"> </v>
      </c>
      <c r="U384" s="42" t="str">
        <f>IFERROR(VLOOKUP($J384,'Project Reference'!$B$2:$H$41,7,FALSE)," ")</f>
        <v xml:space="preserve"> </v>
      </c>
      <c r="V384" s="42" t="str">
        <f>IFERROR(VLOOKUP($J384,'Project Reference'!$B$2:$I$41,8,FALSE)," ")</f>
        <v xml:space="preserve"> </v>
      </c>
      <c r="W384" s="42" t="str">
        <f>IFERROR(VLOOKUP($J384,'Project Reference'!$B$2:$J$41,9,FALSE)," ")</f>
        <v xml:space="preserve"> </v>
      </c>
      <c r="X384" s="42" t="str">
        <f>IFERROR(VLOOKUP($J384,'Project Reference'!$B$2:$K$41,10)," ")</f>
        <v xml:space="preserve"> </v>
      </c>
      <c r="Y384" s="42" t="str">
        <f>IFERROR(VLOOKUP($J384,'Project Reference'!$B$2:$L$41,11)," ")</f>
        <v xml:space="preserve"> </v>
      </c>
      <c r="Z384" s="42" t="str">
        <f>IFERROR(VLOOKUP($J384,'Project Reference'!$B$2:$M$41,12)," ")</f>
        <v xml:space="preserve"> </v>
      </c>
      <c r="AA384" s="42" t="str">
        <f>IFERROR(VLOOKUP($J384,'Project Reference'!$B$2:$N$41,13)," ")</f>
        <v xml:space="preserve"> </v>
      </c>
    </row>
    <row r="385" spans="1:27" s="1" customFormat="1" x14ac:dyDescent="0.45">
      <c r="A385" s="43"/>
      <c r="B385" s="205"/>
      <c r="C385"/>
      <c r="D385" s="72"/>
      <c r="E385" s="72"/>
      <c r="F385" s="72"/>
      <c r="G385" s="72"/>
      <c r="H385" s="17"/>
      <c r="I385" s="41" t="str" cm="1">
        <f t="array" ref="I385">IFERROR(_xlfn.IFS(H385="Hard (Cash)","N/A",H385="Soft (In-Kind)", "Enter Source"),"Select Type")</f>
        <v>Select Type</v>
      </c>
      <c r="J385" s="124"/>
      <c r="K385" s="41" t="str">
        <f>IFERROR(VLOOKUP($J385,'Project Reference'!$S$2:$T$41,2),"Enter Project Number")</f>
        <v>Enter Project Number</v>
      </c>
      <c r="L385" s="41"/>
      <c r="M385" s="41"/>
      <c r="N385" s="15">
        <f t="shared" si="5"/>
        <v>0</v>
      </c>
      <c r="O385" s="19"/>
      <c r="P385" s="42" t="str">
        <f>IFERROR(VLOOKUP($J385,'Project Reference'!$B$2:$C$41,2)," ")</f>
        <v xml:space="preserve"> </v>
      </c>
      <c r="Q385" s="42" t="str">
        <f>IFERROR(VLOOKUP($J385,'Project Reference'!$B$2:$D$41,3)," ")</f>
        <v xml:space="preserve"> </v>
      </c>
      <c r="R385" s="42" t="str">
        <f>IFERROR(VLOOKUP($J385,'Project Reference'!$B$2:$E$41,4)," ")</f>
        <v xml:space="preserve"> </v>
      </c>
      <c r="S385" s="42" t="str">
        <f>IFERROR(VLOOKUP($J385,'Project Reference'!$B$2:$F$41,5,FALSE)," ")</f>
        <v xml:space="preserve"> </v>
      </c>
      <c r="T385" s="42" t="str">
        <f>IFERROR(VLOOKUP($J385,'Project Reference'!$B$2:$G$41,6,FALSE)," ")</f>
        <v xml:space="preserve"> </v>
      </c>
      <c r="U385" s="42" t="str">
        <f>IFERROR(VLOOKUP($J385,'Project Reference'!$B$2:$H$41,7,FALSE)," ")</f>
        <v xml:space="preserve"> </v>
      </c>
      <c r="V385" s="42" t="str">
        <f>IFERROR(VLOOKUP($J385,'Project Reference'!$B$2:$I$41,8,FALSE)," ")</f>
        <v xml:space="preserve"> </v>
      </c>
      <c r="W385" s="42" t="str">
        <f>IFERROR(VLOOKUP($J385,'Project Reference'!$B$2:$J$41,9,FALSE)," ")</f>
        <v xml:space="preserve"> </v>
      </c>
      <c r="X385" s="42" t="str">
        <f>IFERROR(VLOOKUP($J385,'Project Reference'!$B$2:$K$41,10)," ")</f>
        <v xml:space="preserve"> </v>
      </c>
      <c r="Y385" s="42" t="str">
        <f>IFERROR(VLOOKUP($J385,'Project Reference'!$B$2:$L$41,11)," ")</f>
        <v xml:space="preserve"> </v>
      </c>
      <c r="Z385" s="42" t="str">
        <f>IFERROR(VLOOKUP($J385,'Project Reference'!$B$2:$M$41,12)," ")</f>
        <v xml:space="preserve"> </v>
      </c>
      <c r="AA385" s="42" t="str">
        <f>IFERROR(VLOOKUP($J385,'Project Reference'!$B$2:$N$41,13)," ")</f>
        <v xml:space="preserve"> </v>
      </c>
    </row>
    <row r="386" spans="1:27" s="1" customFormat="1" x14ac:dyDescent="0.45">
      <c r="A386" s="43"/>
      <c r="B386" s="205"/>
      <c r="C386"/>
      <c r="D386" s="72"/>
      <c r="E386" s="72"/>
      <c r="F386" s="72"/>
      <c r="G386" s="72"/>
      <c r="H386" s="17"/>
      <c r="I386" s="41" t="str" cm="1">
        <f t="array" ref="I386">IFERROR(_xlfn.IFS(H386="Hard (Cash)","N/A",H386="Soft (In-Kind)", "Enter Source"),"Select Type")</f>
        <v>Select Type</v>
      </c>
      <c r="J386" s="124"/>
      <c r="K386" s="41" t="str">
        <f>IFERROR(VLOOKUP($J386,'Project Reference'!$S$2:$T$41,2),"Enter Project Number")</f>
        <v>Enter Project Number</v>
      </c>
      <c r="L386" s="41"/>
      <c r="M386" s="41"/>
      <c r="N386" s="15">
        <f t="shared" si="5"/>
        <v>0</v>
      </c>
      <c r="O386" s="19"/>
      <c r="P386" s="42" t="str">
        <f>IFERROR(VLOOKUP($J386,'Project Reference'!$B$2:$C$41,2)," ")</f>
        <v xml:space="preserve"> </v>
      </c>
      <c r="Q386" s="42" t="str">
        <f>IFERROR(VLOOKUP($J386,'Project Reference'!$B$2:$D$41,3)," ")</f>
        <v xml:space="preserve"> </v>
      </c>
      <c r="R386" s="42" t="str">
        <f>IFERROR(VLOOKUP($J386,'Project Reference'!$B$2:$E$41,4)," ")</f>
        <v xml:space="preserve"> </v>
      </c>
      <c r="S386" s="42" t="str">
        <f>IFERROR(VLOOKUP($J386,'Project Reference'!$B$2:$F$41,5,FALSE)," ")</f>
        <v xml:space="preserve"> </v>
      </c>
      <c r="T386" s="42" t="str">
        <f>IFERROR(VLOOKUP($J386,'Project Reference'!$B$2:$G$41,6,FALSE)," ")</f>
        <v xml:space="preserve"> </v>
      </c>
      <c r="U386" s="42" t="str">
        <f>IFERROR(VLOOKUP($J386,'Project Reference'!$B$2:$H$41,7,FALSE)," ")</f>
        <v xml:space="preserve"> </v>
      </c>
      <c r="V386" s="42" t="str">
        <f>IFERROR(VLOOKUP($J386,'Project Reference'!$B$2:$I$41,8,FALSE)," ")</f>
        <v xml:space="preserve"> </v>
      </c>
      <c r="W386" s="42" t="str">
        <f>IFERROR(VLOOKUP($J386,'Project Reference'!$B$2:$J$41,9,FALSE)," ")</f>
        <v xml:space="preserve"> </v>
      </c>
      <c r="X386" s="42" t="str">
        <f>IFERROR(VLOOKUP($J386,'Project Reference'!$B$2:$K$41,10)," ")</f>
        <v xml:space="preserve"> </v>
      </c>
      <c r="Y386" s="42" t="str">
        <f>IFERROR(VLOOKUP($J386,'Project Reference'!$B$2:$L$41,11)," ")</f>
        <v xml:space="preserve"> </v>
      </c>
      <c r="Z386" s="42" t="str">
        <f>IFERROR(VLOOKUP($J386,'Project Reference'!$B$2:$M$41,12)," ")</f>
        <v xml:space="preserve"> </v>
      </c>
      <c r="AA386" s="42" t="str">
        <f>IFERROR(VLOOKUP($J386,'Project Reference'!$B$2:$N$41,13)," ")</f>
        <v xml:space="preserve"> </v>
      </c>
    </row>
    <row r="387" spans="1:27" s="1" customFormat="1" x14ac:dyDescent="0.45">
      <c r="A387" s="43"/>
      <c r="B387" s="205"/>
      <c r="C387"/>
      <c r="D387" s="72"/>
      <c r="E387" s="72"/>
      <c r="F387" s="72"/>
      <c r="G387" s="72"/>
      <c r="H387" s="17"/>
      <c r="I387" s="41" t="str" cm="1">
        <f t="array" ref="I387">IFERROR(_xlfn.IFS(H387="Hard (Cash)","N/A",H387="Soft (In-Kind)", "Enter Source"),"Select Type")</f>
        <v>Select Type</v>
      </c>
      <c r="J387" s="124"/>
      <c r="K387" s="41" t="str">
        <f>IFERROR(VLOOKUP($J387,'Project Reference'!$S$2:$T$41,2),"Enter Project Number")</f>
        <v>Enter Project Number</v>
      </c>
      <c r="L387" s="41"/>
      <c r="M387" s="41"/>
      <c r="N387" s="15">
        <f t="shared" si="5"/>
        <v>0</v>
      </c>
      <c r="O387" s="19"/>
      <c r="P387" s="42" t="str">
        <f>IFERROR(VLOOKUP($J387,'Project Reference'!$B$2:$C$41,2)," ")</f>
        <v xml:space="preserve"> </v>
      </c>
      <c r="Q387" s="42" t="str">
        <f>IFERROR(VLOOKUP($J387,'Project Reference'!$B$2:$D$41,3)," ")</f>
        <v xml:space="preserve"> </v>
      </c>
      <c r="R387" s="42" t="str">
        <f>IFERROR(VLOOKUP($J387,'Project Reference'!$B$2:$E$41,4)," ")</f>
        <v xml:space="preserve"> </v>
      </c>
      <c r="S387" s="42" t="str">
        <f>IFERROR(VLOOKUP($J387,'Project Reference'!$B$2:$F$41,5,FALSE)," ")</f>
        <v xml:space="preserve"> </v>
      </c>
      <c r="T387" s="42" t="str">
        <f>IFERROR(VLOOKUP($J387,'Project Reference'!$B$2:$G$41,6,FALSE)," ")</f>
        <v xml:space="preserve"> </v>
      </c>
      <c r="U387" s="42" t="str">
        <f>IFERROR(VLOOKUP($J387,'Project Reference'!$B$2:$H$41,7,FALSE)," ")</f>
        <v xml:space="preserve"> </v>
      </c>
      <c r="V387" s="42" t="str">
        <f>IFERROR(VLOOKUP($J387,'Project Reference'!$B$2:$I$41,8,FALSE)," ")</f>
        <v xml:space="preserve"> </v>
      </c>
      <c r="W387" s="42" t="str">
        <f>IFERROR(VLOOKUP($J387,'Project Reference'!$B$2:$J$41,9,FALSE)," ")</f>
        <v xml:space="preserve"> </v>
      </c>
      <c r="X387" s="42" t="str">
        <f>IFERROR(VLOOKUP($J387,'Project Reference'!$B$2:$K$41,10)," ")</f>
        <v xml:space="preserve"> </v>
      </c>
      <c r="Y387" s="42" t="str">
        <f>IFERROR(VLOOKUP($J387,'Project Reference'!$B$2:$L$41,11)," ")</f>
        <v xml:space="preserve"> </v>
      </c>
      <c r="Z387" s="42" t="str">
        <f>IFERROR(VLOOKUP($J387,'Project Reference'!$B$2:$M$41,12)," ")</f>
        <v xml:space="preserve"> </v>
      </c>
      <c r="AA387" s="42" t="str">
        <f>IFERROR(VLOOKUP($J387,'Project Reference'!$B$2:$N$41,13)," ")</f>
        <v xml:space="preserve"> </v>
      </c>
    </row>
    <row r="388" spans="1:27" s="1" customFormat="1" x14ac:dyDescent="0.45">
      <c r="A388" s="43"/>
      <c r="B388" s="205"/>
      <c r="C388"/>
      <c r="D388" s="72"/>
      <c r="E388" s="72"/>
      <c r="F388" s="72"/>
      <c r="G388" s="72"/>
      <c r="H388" s="17"/>
      <c r="I388" s="41" t="str" cm="1">
        <f t="array" ref="I388">IFERROR(_xlfn.IFS(H388="Hard (Cash)","N/A",H388="Soft (In-Kind)", "Enter Source"),"Select Type")</f>
        <v>Select Type</v>
      </c>
      <c r="J388" s="124"/>
      <c r="K388" s="41" t="str">
        <f>IFERROR(VLOOKUP($J388,'Project Reference'!$S$2:$T$41,2),"Enter Project Number")</f>
        <v>Enter Project Number</v>
      </c>
      <c r="L388" s="41"/>
      <c r="M388" s="41"/>
      <c r="N388" s="15">
        <f t="shared" si="5"/>
        <v>0</v>
      </c>
      <c r="O388" s="19"/>
      <c r="P388" s="42" t="str">
        <f>IFERROR(VLOOKUP($J388,'Project Reference'!$B$2:$C$41,2)," ")</f>
        <v xml:space="preserve"> </v>
      </c>
      <c r="Q388" s="42" t="str">
        <f>IFERROR(VLOOKUP($J388,'Project Reference'!$B$2:$D$41,3)," ")</f>
        <v xml:space="preserve"> </v>
      </c>
      <c r="R388" s="42" t="str">
        <f>IFERROR(VLOOKUP($J388,'Project Reference'!$B$2:$E$41,4)," ")</f>
        <v xml:space="preserve"> </v>
      </c>
      <c r="S388" s="42" t="str">
        <f>IFERROR(VLOOKUP($J388,'Project Reference'!$B$2:$F$41,5,FALSE)," ")</f>
        <v xml:space="preserve"> </v>
      </c>
      <c r="T388" s="42" t="str">
        <f>IFERROR(VLOOKUP($J388,'Project Reference'!$B$2:$G$41,6,FALSE)," ")</f>
        <v xml:space="preserve"> </v>
      </c>
      <c r="U388" s="42" t="str">
        <f>IFERROR(VLOOKUP($J388,'Project Reference'!$B$2:$H$41,7,FALSE)," ")</f>
        <v xml:space="preserve"> </v>
      </c>
      <c r="V388" s="42" t="str">
        <f>IFERROR(VLOOKUP($J388,'Project Reference'!$B$2:$I$41,8,FALSE)," ")</f>
        <v xml:space="preserve"> </v>
      </c>
      <c r="W388" s="42" t="str">
        <f>IFERROR(VLOOKUP($J388,'Project Reference'!$B$2:$J$41,9,FALSE)," ")</f>
        <v xml:space="preserve"> </v>
      </c>
      <c r="X388" s="42" t="str">
        <f>IFERROR(VLOOKUP($J388,'Project Reference'!$B$2:$K$41,10)," ")</f>
        <v xml:space="preserve"> </v>
      </c>
      <c r="Y388" s="42" t="str">
        <f>IFERROR(VLOOKUP($J388,'Project Reference'!$B$2:$L$41,11)," ")</f>
        <v xml:space="preserve"> </v>
      </c>
      <c r="Z388" s="42" t="str">
        <f>IFERROR(VLOOKUP($J388,'Project Reference'!$B$2:$M$41,12)," ")</f>
        <v xml:space="preserve"> </v>
      </c>
      <c r="AA388" s="42" t="str">
        <f>IFERROR(VLOOKUP($J388,'Project Reference'!$B$2:$N$41,13)," ")</f>
        <v xml:space="preserve"> </v>
      </c>
    </row>
    <row r="389" spans="1:27" s="1" customFormat="1" x14ac:dyDescent="0.45">
      <c r="A389" s="43"/>
      <c r="B389" s="205"/>
      <c r="C389"/>
      <c r="D389" s="72"/>
      <c r="E389" s="72"/>
      <c r="F389" s="72"/>
      <c r="G389" s="72"/>
      <c r="H389" s="17"/>
      <c r="I389" s="41" t="str" cm="1">
        <f t="array" ref="I389">IFERROR(_xlfn.IFS(H389="Hard (Cash)","N/A",H389="Soft (In-Kind)", "Enter Source"),"Select Type")</f>
        <v>Select Type</v>
      </c>
      <c r="J389" s="124"/>
      <c r="K389" s="41" t="str">
        <f>IFERROR(VLOOKUP($J389,'Project Reference'!$S$2:$T$41,2),"Enter Project Number")</f>
        <v>Enter Project Number</v>
      </c>
      <c r="L389" s="41"/>
      <c r="M389" s="41"/>
      <c r="N389" s="15">
        <f t="shared" si="5"/>
        <v>0</v>
      </c>
      <c r="O389" s="19"/>
      <c r="P389" s="42" t="str">
        <f>IFERROR(VLOOKUP($J389,'Project Reference'!$B$2:$C$41,2)," ")</f>
        <v xml:space="preserve"> </v>
      </c>
      <c r="Q389" s="42" t="str">
        <f>IFERROR(VLOOKUP($J389,'Project Reference'!$B$2:$D$41,3)," ")</f>
        <v xml:space="preserve"> </v>
      </c>
      <c r="R389" s="42" t="str">
        <f>IFERROR(VLOOKUP($J389,'Project Reference'!$B$2:$E$41,4)," ")</f>
        <v xml:space="preserve"> </v>
      </c>
      <c r="S389" s="42" t="str">
        <f>IFERROR(VLOOKUP($J389,'Project Reference'!$B$2:$F$41,5,FALSE)," ")</f>
        <v xml:space="preserve"> </v>
      </c>
      <c r="T389" s="42" t="str">
        <f>IFERROR(VLOOKUP($J389,'Project Reference'!$B$2:$G$41,6,FALSE)," ")</f>
        <v xml:space="preserve"> </v>
      </c>
      <c r="U389" s="42" t="str">
        <f>IFERROR(VLOOKUP($J389,'Project Reference'!$B$2:$H$41,7,FALSE)," ")</f>
        <v xml:space="preserve"> </v>
      </c>
      <c r="V389" s="42" t="str">
        <f>IFERROR(VLOOKUP($J389,'Project Reference'!$B$2:$I$41,8,FALSE)," ")</f>
        <v xml:space="preserve"> </v>
      </c>
      <c r="W389" s="42" t="str">
        <f>IFERROR(VLOOKUP($J389,'Project Reference'!$B$2:$J$41,9,FALSE)," ")</f>
        <v xml:space="preserve"> </v>
      </c>
      <c r="X389" s="42" t="str">
        <f>IFERROR(VLOOKUP($J389,'Project Reference'!$B$2:$K$41,10)," ")</f>
        <v xml:space="preserve"> </v>
      </c>
      <c r="Y389" s="42" t="str">
        <f>IFERROR(VLOOKUP($J389,'Project Reference'!$B$2:$L$41,11)," ")</f>
        <v xml:space="preserve"> </v>
      </c>
      <c r="Z389" s="42" t="str">
        <f>IFERROR(VLOOKUP($J389,'Project Reference'!$B$2:$M$41,12)," ")</f>
        <v xml:space="preserve"> </v>
      </c>
      <c r="AA389" s="42" t="str">
        <f>IFERROR(VLOOKUP($J389,'Project Reference'!$B$2:$N$41,13)," ")</f>
        <v xml:space="preserve"> </v>
      </c>
    </row>
    <row r="390" spans="1:27" s="1" customFormat="1" x14ac:dyDescent="0.45">
      <c r="A390" s="43"/>
      <c r="B390" s="205"/>
      <c r="C390"/>
      <c r="D390" s="72"/>
      <c r="E390" s="72"/>
      <c r="F390" s="72"/>
      <c r="G390" s="72"/>
      <c r="H390" s="17"/>
      <c r="I390" s="41" t="str" cm="1">
        <f t="array" ref="I390">IFERROR(_xlfn.IFS(H390="Hard (Cash)","N/A",H390="Soft (In-Kind)", "Enter Source"),"Select Type")</f>
        <v>Select Type</v>
      </c>
      <c r="J390" s="124"/>
      <c r="K390" s="41" t="str">
        <f>IFERROR(VLOOKUP($J390,'Project Reference'!$S$2:$T$41,2),"Enter Project Number")</f>
        <v>Enter Project Number</v>
      </c>
      <c r="L390" s="41"/>
      <c r="M390" s="41"/>
      <c r="N390" s="15">
        <f t="shared" si="5"/>
        <v>0</v>
      </c>
      <c r="O390" s="19"/>
      <c r="P390" s="42" t="str">
        <f>IFERROR(VLOOKUP($J390,'Project Reference'!$B$2:$C$41,2)," ")</f>
        <v xml:space="preserve"> </v>
      </c>
      <c r="Q390" s="42" t="str">
        <f>IFERROR(VLOOKUP($J390,'Project Reference'!$B$2:$D$41,3)," ")</f>
        <v xml:space="preserve"> </v>
      </c>
      <c r="R390" s="42" t="str">
        <f>IFERROR(VLOOKUP($J390,'Project Reference'!$B$2:$E$41,4)," ")</f>
        <v xml:space="preserve"> </v>
      </c>
      <c r="S390" s="42" t="str">
        <f>IFERROR(VLOOKUP($J390,'Project Reference'!$B$2:$F$41,5,FALSE)," ")</f>
        <v xml:space="preserve"> </v>
      </c>
      <c r="T390" s="42" t="str">
        <f>IFERROR(VLOOKUP($J390,'Project Reference'!$B$2:$G$41,6,FALSE)," ")</f>
        <v xml:space="preserve"> </v>
      </c>
      <c r="U390" s="42" t="str">
        <f>IFERROR(VLOOKUP($J390,'Project Reference'!$B$2:$H$41,7,FALSE)," ")</f>
        <v xml:space="preserve"> </v>
      </c>
      <c r="V390" s="42" t="str">
        <f>IFERROR(VLOOKUP($J390,'Project Reference'!$B$2:$I$41,8,FALSE)," ")</f>
        <v xml:space="preserve"> </v>
      </c>
      <c r="W390" s="42" t="str">
        <f>IFERROR(VLOOKUP($J390,'Project Reference'!$B$2:$J$41,9,FALSE)," ")</f>
        <v xml:space="preserve"> </v>
      </c>
      <c r="X390" s="42" t="str">
        <f>IFERROR(VLOOKUP($J390,'Project Reference'!$B$2:$K$41,10)," ")</f>
        <v xml:space="preserve"> </v>
      </c>
      <c r="Y390" s="42" t="str">
        <f>IFERROR(VLOOKUP($J390,'Project Reference'!$B$2:$L$41,11)," ")</f>
        <v xml:space="preserve"> </v>
      </c>
      <c r="Z390" s="42" t="str">
        <f>IFERROR(VLOOKUP($J390,'Project Reference'!$B$2:$M$41,12)," ")</f>
        <v xml:space="preserve"> </v>
      </c>
      <c r="AA390" s="42" t="str">
        <f>IFERROR(VLOOKUP($J390,'Project Reference'!$B$2:$N$41,13)," ")</f>
        <v xml:space="preserve"> </v>
      </c>
    </row>
    <row r="391" spans="1:27" s="1" customFormat="1" x14ac:dyDescent="0.45">
      <c r="A391" s="43"/>
      <c r="B391" s="205"/>
      <c r="C391"/>
      <c r="D391" s="72"/>
      <c r="E391" s="72"/>
      <c r="F391" s="72"/>
      <c r="G391" s="72"/>
      <c r="H391" s="17"/>
      <c r="I391" s="41" t="str" cm="1">
        <f t="array" ref="I391">IFERROR(_xlfn.IFS(H391="Hard (Cash)","N/A",H391="Soft (In-Kind)", "Enter Source"),"Select Type")</f>
        <v>Select Type</v>
      </c>
      <c r="J391" s="124"/>
      <c r="K391" s="41" t="str">
        <f>IFERROR(VLOOKUP($J391,'Project Reference'!$S$2:$T$41,2),"Enter Project Number")</f>
        <v>Enter Project Number</v>
      </c>
      <c r="L391" s="41"/>
      <c r="M391" s="41"/>
      <c r="N391" s="15">
        <f t="shared" si="5"/>
        <v>0</v>
      </c>
      <c r="O391" s="19"/>
      <c r="P391" s="42" t="str">
        <f>IFERROR(VLOOKUP($J391,'Project Reference'!$B$2:$C$41,2)," ")</f>
        <v xml:space="preserve"> </v>
      </c>
      <c r="Q391" s="42" t="str">
        <f>IFERROR(VLOOKUP($J391,'Project Reference'!$B$2:$D$41,3)," ")</f>
        <v xml:space="preserve"> </v>
      </c>
      <c r="R391" s="42" t="str">
        <f>IFERROR(VLOOKUP($J391,'Project Reference'!$B$2:$E$41,4)," ")</f>
        <v xml:space="preserve"> </v>
      </c>
      <c r="S391" s="42" t="str">
        <f>IFERROR(VLOOKUP($J391,'Project Reference'!$B$2:$F$41,5,FALSE)," ")</f>
        <v xml:space="preserve"> </v>
      </c>
      <c r="T391" s="42" t="str">
        <f>IFERROR(VLOOKUP($J391,'Project Reference'!$B$2:$G$41,6,FALSE)," ")</f>
        <v xml:space="preserve"> </v>
      </c>
      <c r="U391" s="42" t="str">
        <f>IFERROR(VLOOKUP($J391,'Project Reference'!$B$2:$H$41,7,FALSE)," ")</f>
        <v xml:space="preserve"> </v>
      </c>
      <c r="V391" s="42" t="str">
        <f>IFERROR(VLOOKUP($J391,'Project Reference'!$B$2:$I$41,8,FALSE)," ")</f>
        <v xml:space="preserve"> </v>
      </c>
      <c r="W391" s="42" t="str">
        <f>IFERROR(VLOOKUP($J391,'Project Reference'!$B$2:$J$41,9,FALSE)," ")</f>
        <v xml:space="preserve"> </v>
      </c>
      <c r="X391" s="42" t="str">
        <f>IFERROR(VLOOKUP($J391,'Project Reference'!$B$2:$K$41,10)," ")</f>
        <v xml:space="preserve"> </v>
      </c>
      <c r="Y391" s="42" t="str">
        <f>IFERROR(VLOOKUP($J391,'Project Reference'!$B$2:$L$41,11)," ")</f>
        <v xml:space="preserve"> </v>
      </c>
      <c r="Z391" s="42" t="str">
        <f>IFERROR(VLOOKUP($J391,'Project Reference'!$B$2:$M$41,12)," ")</f>
        <v xml:space="preserve"> </v>
      </c>
      <c r="AA391" s="42" t="str">
        <f>IFERROR(VLOOKUP($J391,'Project Reference'!$B$2:$N$41,13)," ")</f>
        <v xml:space="preserve"> </v>
      </c>
    </row>
    <row r="392" spans="1:27" s="1" customFormat="1" x14ac:dyDescent="0.45">
      <c r="A392" s="43"/>
      <c r="B392" s="205"/>
      <c r="C392"/>
      <c r="D392" s="72"/>
      <c r="E392" s="72"/>
      <c r="F392" s="72"/>
      <c r="G392" s="72"/>
      <c r="H392" s="17"/>
      <c r="I392" s="41" t="str" cm="1">
        <f t="array" ref="I392">IFERROR(_xlfn.IFS(H392="Hard (Cash)","N/A",H392="Soft (In-Kind)", "Enter Source"),"Select Type")</f>
        <v>Select Type</v>
      </c>
      <c r="J392" s="124"/>
      <c r="K392" s="41" t="str">
        <f>IFERROR(VLOOKUP($J392,'Project Reference'!$S$2:$T$41,2),"Enter Project Number")</f>
        <v>Enter Project Number</v>
      </c>
      <c r="L392" s="41"/>
      <c r="M392" s="41"/>
      <c r="N392" s="15">
        <f t="shared" si="5"/>
        <v>0</v>
      </c>
      <c r="O392" s="19"/>
      <c r="P392" s="42" t="str">
        <f>IFERROR(VLOOKUP($J392,'Project Reference'!$B$2:$C$41,2)," ")</f>
        <v xml:space="preserve"> </v>
      </c>
      <c r="Q392" s="42" t="str">
        <f>IFERROR(VLOOKUP($J392,'Project Reference'!$B$2:$D$41,3)," ")</f>
        <v xml:space="preserve"> </v>
      </c>
      <c r="R392" s="42" t="str">
        <f>IFERROR(VLOOKUP($J392,'Project Reference'!$B$2:$E$41,4)," ")</f>
        <v xml:space="preserve"> </v>
      </c>
      <c r="S392" s="42" t="str">
        <f>IFERROR(VLOOKUP($J392,'Project Reference'!$B$2:$F$41,5,FALSE)," ")</f>
        <v xml:space="preserve"> </v>
      </c>
      <c r="T392" s="42" t="str">
        <f>IFERROR(VLOOKUP($J392,'Project Reference'!$B$2:$G$41,6,FALSE)," ")</f>
        <v xml:space="preserve"> </v>
      </c>
      <c r="U392" s="42" t="str">
        <f>IFERROR(VLOOKUP($J392,'Project Reference'!$B$2:$H$41,7,FALSE)," ")</f>
        <v xml:space="preserve"> </v>
      </c>
      <c r="V392" s="42" t="str">
        <f>IFERROR(VLOOKUP($J392,'Project Reference'!$B$2:$I$41,8,FALSE)," ")</f>
        <v xml:space="preserve"> </v>
      </c>
      <c r="W392" s="42" t="str">
        <f>IFERROR(VLOOKUP($J392,'Project Reference'!$B$2:$J$41,9,FALSE)," ")</f>
        <v xml:space="preserve"> </v>
      </c>
      <c r="X392" s="42" t="str">
        <f>IFERROR(VLOOKUP($J392,'Project Reference'!$B$2:$K$41,10)," ")</f>
        <v xml:space="preserve"> </v>
      </c>
      <c r="Y392" s="42" t="str">
        <f>IFERROR(VLOOKUP($J392,'Project Reference'!$B$2:$L$41,11)," ")</f>
        <v xml:space="preserve"> </v>
      </c>
      <c r="Z392" s="42" t="str">
        <f>IFERROR(VLOOKUP($J392,'Project Reference'!$B$2:$M$41,12)," ")</f>
        <v xml:space="preserve"> </v>
      </c>
      <c r="AA392" s="42" t="str">
        <f>IFERROR(VLOOKUP($J392,'Project Reference'!$B$2:$N$41,13)," ")</f>
        <v xml:space="preserve"> </v>
      </c>
    </row>
    <row r="393" spans="1:27" s="1" customFormat="1" x14ac:dyDescent="0.45">
      <c r="A393" s="43"/>
      <c r="B393" s="205"/>
      <c r="C393"/>
      <c r="D393" s="72"/>
      <c r="E393" s="72"/>
      <c r="F393" s="72"/>
      <c r="G393" s="72"/>
      <c r="H393" s="17"/>
      <c r="I393" s="41" t="str" cm="1">
        <f t="array" ref="I393">IFERROR(_xlfn.IFS(H393="Hard (Cash)","N/A",H393="Soft (In-Kind)", "Enter Source"),"Select Type")</f>
        <v>Select Type</v>
      </c>
      <c r="J393" s="124"/>
      <c r="K393" s="41" t="str">
        <f>IFERROR(VLOOKUP($J393,'Project Reference'!$S$2:$T$41,2),"Enter Project Number")</f>
        <v>Enter Project Number</v>
      </c>
      <c r="L393" s="41"/>
      <c r="M393" s="41"/>
      <c r="N393" s="15">
        <f t="shared" si="5"/>
        <v>0</v>
      </c>
      <c r="O393" s="19"/>
      <c r="P393" s="42" t="str">
        <f>IFERROR(VLOOKUP($J393,'Project Reference'!$B$2:$C$41,2)," ")</f>
        <v xml:space="preserve"> </v>
      </c>
      <c r="Q393" s="42" t="str">
        <f>IFERROR(VLOOKUP($J393,'Project Reference'!$B$2:$D$41,3)," ")</f>
        <v xml:space="preserve"> </v>
      </c>
      <c r="R393" s="42" t="str">
        <f>IFERROR(VLOOKUP($J393,'Project Reference'!$B$2:$E$41,4)," ")</f>
        <v xml:space="preserve"> </v>
      </c>
      <c r="S393" s="42" t="str">
        <f>IFERROR(VLOOKUP($J393,'Project Reference'!$B$2:$F$41,5,FALSE)," ")</f>
        <v xml:space="preserve"> </v>
      </c>
      <c r="T393" s="42" t="str">
        <f>IFERROR(VLOOKUP($J393,'Project Reference'!$B$2:$G$41,6,FALSE)," ")</f>
        <v xml:space="preserve"> </v>
      </c>
      <c r="U393" s="42" t="str">
        <f>IFERROR(VLOOKUP($J393,'Project Reference'!$B$2:$H$41,7,FALSE)," ")</f>
        <v xml:space="preserve"> </v>
      </c>
      <c r="V393" s="42" t="str">
        <f>IFERROR(VLOOKUP($J393,'Project Reference'!$B$2:$I$41,8,FALSE)," ")</f>
        <v xml:space="preserve"> </v>
      </c>
      <c r="W393" s="42" t="str">
        <f>IFERROR(VLOOKUP($J393,'Project Reference'!$B$2:$J$41,9,FALSE)," ")</f>
        <v xml:space="preserve"> </v>
      </c>
      <c r="X393" s="42" t="str">
        <f>IFERROR(VLOOKUP($J393,'Project Reference'!$B$2:$K$41,10)," ")</f>
        <v xml:space="preserve"> </v>
      </c>
      <c r="Y393" s="42" t="str">
        <f>IFERROR(VLOOKUP($J393,'Project Reference'!$B$2:$L$41,11)," ")</f>
        <v xml:space="preserve"> </v>
      </c>
      <c r="Z393" s="42" t="str">
        <f>IFERROR(VLOOKUP($J393,'Project Reference'!$B$2:$M$41,12)," ")</f>
        <v xml:space="preserve"> </v>
      </c>
      <c r="AA393" s="42" t="str">
        <f>IFERROR(VLOOKUP($J393,'Project Reference'!$B$2:$N$41,13)," ")</f>
        <v xml:space="preserve"> </v>
      </c>
    </row>
    <row r="394" spans="1:27" s="1" customFormat="1" x14ac:dyDescent="0.45">
      <c r="A394" s="43"/>
      <c r="B394" s="205"/>
      <c r="C394"/>
      <c r="D394" s="72"/>
      <c r="E394" s="72"/>
      <c r="F394" s="72"/>
      <c r="G394" s="72"/>
      <c r="H394" s="17"/>
      <c r="I394" s="41" t="str" cm="1">
        <f t="array" ref="I394">IFERROR(_xlfn.IFS(H394="Hard (Cash)","N/A",H394="Soft (In-Kind)", "Enter Source"),"Select Type")</f>
        <v>Select Type</v>
      </c>
      <c r="J394" s="124"/>
      <c r="K394" s="41" t="str">
        <f>IFERROR(VLOOKUP($J394,'Project Reference'!$S$2:$T$41,2),"Enter Project Number")</f>
        <v>Enter Project Number</v>
      </c>
      <c r="L394" s="41"/>
      <c r="M394" s="41"/>
      <c r="N394" s="15">
        <f t="shared" si="5"/>
        <v>0</v>
      </c>
      <c r="O394" s="19"/>
      <c r="P394" s="42" t="str">
        <f>IFERROR(VLOOKUP($J394,'Project Reference'!$B$2:$C$41,2)," ")</f>
        <v xml:space="preserve"> </v>
      </c>
      <c r="Q394" s="42" t="str">
        <f>IFERROR(VLOOKUP($J394,'Project Reference'!$B$2:$D$41,3)," ")</f>
        <v xml:space="preserve"> </v>
      </c>
      <c r="R394" s="42" t="str">
        <f>IFERROR(VLOOKUP($J394,'Project Reference'!$B$2:$E$41,4)," ")</f>
        <v xml:space="preserve"> </v>
      </c>
      <c r="S394" s="42" t="str">
        <f>IFERROR(VLOOKUP($J394,'Project Reference'!$B$2:$F$41,5,FALSE)," ")</f>
        <v xml:space="preserve"> </v>
      </c>
      <c r="T394" s="42" t="str">
        <f>IFERROR(VLOOKUP($J394,'Project Reference'!$B$2:$G$41,6,FALSE)," ")</f>
        <v xml:space="preserve"> </v>
      </c>
      <c r="U394" s="42" t="str">
        <f>IFERROR(VLOOKUP($J394,'Project Reference'!$B$2:$H$41,7,FALSE)," ")</f>
        <v xml:space="preserve"> </v>
      </c>
      <c r="V394" s="42" t="str">
        <f>IFERROR(VLOOKUP($J394,'Project Reference'!$B$2:$I$41,8,FALSE)," ")</f>
        <v xml:space="preserve"> </v>
      </c>
      <c r="W394" s="42" t="str">
        <f>IFERROR(VLOOKUP($J394,'Project Reference'!$B$2:$J$41,9,FALSE)," ")</f>
        <v xml:space="preserve"> </v>
      </c>
      <c r="X394" s="42" t="str">
        <f>IFERROR(VLOOKUP($J394,'Project Reference'!$B$2:$K$41,10)," ")</f>
        <v xml:space="preserve"> </v>
      </c>
      <c r="Y394" s="42" t="str">
        <f>IFERROR(VLOOKUP($J394,'Project Reference'!$B$2:$L$41,11)," ")</f>
        <v xml:space="preserve"> </v>
      </c>
      <c r="Z394" s="42" t="str">
        <f>IFERROR(VLOOKUP($J394,'Project Reference'!$B$2:$M$41,12)," ")</f>
        <v xml:space="preserve"> </v>
      </c>
      <c r="AA394" s="42" t="str">
        <f>IFERROR(VLOOKUP($J394,'Project Reference'!$B$2:$N$41,13)," ")</f>
        <v xml:space="preserve"> </v>
      </c>
    </row>
    <row r="395" spans="1:27" s="1" customFormat="1" x14ac:dyDescent="0.45">
      <c r="A395" s="43"/>
      <c r="B395" s="205"/>
      <c r="C395"/>
      <c r="D395" s="72"/>
      <c r="E395" s="72"/>
      <c r="F395" s="72"/>
      <c r="G395" s="72"/>
      <c r="H395" s="17"/>
      <c r="I395" s="41" t="str" cm="1">
        <f t="array" ref="I395">IFERROR(_xlfn.IFS(H395="Hard (Cash)","N/A",H395="Soft (In-Kind)", "Enter Source"),"Select Type")</f>
        <v>Select Type</v>
      </c>
      <c r="J395" s="124"/>
      <c r="K395" s="41" t="str">
        <f>IFERROR(VLOOKUP($J395,'Project Reference'!$S$2:$T$41,2),"Enter Project Number")</f>
        <v>Enter Project Number</v>
      </c>
      <c r="L395" s="41"/>
      <c r="M395" s="41"/>
      <c r="N395" s="15">
        <f t="shared" ref="N395:N458" si="6">SUM(D395:G395)</f>
        <v>0</v>
      </c>
      <c r="O395" s="19"/>
      <c r="P395" s="42" t="str">
        <f>IFERROR(VLOOKUP($J395,'Project Reference'!$B$2:$C$41,2)," ")</f>
        <v xml:space="preserve"> </v>
      </c>
      <c r="Q395" s="42" t="str">
        <f>IFERROR(VLOOKUP($J395,'Project Reference'!$B$2:$D$41,3)," ")</f>
        <v xml:space="preserve"> </v>
      </c>
      <c r="R395" s="42" t="str">
        <f>IFERROR(VLOOKUP($J395,'Project Reference'!$B$2:$E$41,4)," ")</f>
        <v xml:space="preserve"> </v>
      </c>
      <c r="S395" s="42" t="str">
        <f>IFERROR(VLOOKUP($J395,'Project Reference'!$B$2:$F$41,5,FALSE)," ")</f>
        <v xml:space="preserve"> </v>
      </c>
      <c r="T395" s="42" t="str">
        <f>IFERROR(VLOOKUP($J395,'Project Reference'!$B$2:$G$41,6,FALSE)," ")</f>
        <v xml:space="preserve"> </v>
      </c>
      <c r="U395" s="42" t="str">
        <f>IFERROR(VLOOKUP($J395,'Project Reference'!$B$2:$H$41,7,FALSE)," ")</f>
        <v xml:space="preserve"> </v>
      </c>
      <c r="V395" s="42" t="str">
        <f>IFERROR(VLOOKUP($J395,'Project Reference'!$B$2:$I$41,8,FALSE)," ")</f>
        <v xml:space="preserve"> </v>
      </c>
      <c r="W395" s="42" t="str">
        <f>IFERROR(VLOOKUP($J395,'Project Reference'!$B$2:$J$41,9,FALSE)," ")</f>
        <v xml:space="preserve"> </v>
      </c>
      <c r="X395" s="42" t="str">
        <f>IFERROR(VLOOKUP($J395,'Project Reference'!$B$2:$K$41,10)," ")</f>
        <v xml:space="preserve"> </v>
      </c>
      <c r="Y395" s="42" t="str">
        <f>IFERROR(VLOOKUP($J395,'Project Reference'!$B$2:$L$41,11)," ")</f>
        <v xml:space="preserve"> </v>
      </c>
      <c r="Z395" s="42" t="str">
        <f>IFERROR(VLOOKUP($J395,'Project Reference'!$B$2:$M$41,12)," ")</f>
        <v xml:space="preserve"> </v>
      </c>
      <c r="AA395" s="42" t="str">
        <f>IFERROR(VLOOKUP($J395,'Project Reference'!$B$2:$N$41,13)," ")</f>
        <v xml:space="preserve"> </v>
      </c>
    </row>
    <row r="396" spans="1:27" s="1" customFormat="1" x14ac:dyDescent="0.45">
      <c r="A396" s="43"/>
      <c r="B396" s="205"/>
      <c r="C396"/>
      <c r="D396" s="72"/>
      <c r="E396" s="72"/>
      <c r="F396" s="72"/>
      <c r="G396" s="72"/>
      <c r="H396" s="17"/>
      <c r="I396" s="41" t="str" cm="1">
        <f t="array" ref="I396">IFERROR(_xlfn.IFS(H396="Hard (Cash)","N/A",H396="Soft (In-Kind)", "Enter Source"),"Select Type")</f>
        <v>Select Type</v>
      </c>
      <c r="J396" s="124"/>
      <c r="K396" s="41" t="str">
        <f>IFERROR(VLOOKUP($J396,'Project Reference'!$S$2:$T$41,2),"Enter Project Number")</f>
        <v>Enter Project Number</v>
      </c>
      <c r="L396" s="41"/>
      <c r="M396" s="41"/>
      <c r="N396" s="15">
        <f t="shared" si="6"/>
        <v>0</v>
      </c>
      <c r="O396" s="19"/>
      <c r="P396" s="42" t="str">
        <f>IFERROR(VLOOKUP($J396,'Project Reference'!$B$2:$C$41,2)," ")</f>
        <v xml:space="preserve"> </v>
      </c>
      <c r="Q396" s="42" t="str">
        <f>IFERROR(VLOOKUP($J396,'Project Reference'!$B$2:$D$41,3)," ")</f>
        <v xml:space="preserve"> </v>
      </c>
      <c r="R396" s="42" t="str">
        <f>IFERROR(VLOOKUP($J396,'Project Reference'!$B$2:$E$41,4)," ")</f>
        <v xml:space="preserve"> </v>
      </c>
      <c r="S396" s="42" t="str">
        <f>IFERROR(VLOOKUP($J396,'Project Reference'!$B$2:$F$41,5,FALSE)," ")</f>
        <v xml:space="preserve"> </v>
      </c>
      <c r="T396" s="42" t="str">
        <f>IFERROR(VLOOKUP($J396,'Project Reference'!$B$2:$G$41,6,FALSE)," ")</f>
        <v xml:space="preserve"> </v>
      </c>
      <c r="U396" s="42" t="str">
        <f>IFERROR(VLOOKUP($J396,'Project Reference'!$B$2:$H$41,7,FALSE)," ")</f>
        <v xml:space="preserve"> </v>
      </c>
      <c r="V396" s="42" t="str">
        <f>IFERROR(VLOOKUP($J396,'Project Reference'!$B$2:$I$41,8,FALSE)," ")</f>
        <v xml:space="preserve"> </v>
      </c>
      <c r="W396" s="42" t="str">
        <f>IFERROR(VLOOKUP($J396,'Project Reference'!$B$2:$J$41,9,FALSE)," ")</f>
        <v xml:space="preserve"> </v>
      </c>
      <c r="X396" s="42" t="str">
        <f>IFERROR(VLOOKUP($J396,'Project Reference'!$B$2:$K$41,10)," ")</f>
        <v xml:space="preserve"> </v>
      </c>
      <c r="Y396" s="42" t="str">
        <f>IFERROR(VLOOKUP($J396,'Project Reference'!$B$2:$L$41,11)," ")</f>
        <v xml:space="preserve"> </v>
      </c>
      <c r="Z396" s="42" t="str">
        <f>IFERROR(VLOOKUP($J396,'Project Reference'!$B$2:$M$41,12)," ")</f>
        <v xml:space="preserve"> </v>
      </c>
      <c r="AA396" s="42" t="str">
        <f>IFERROR(VLOOKUP($J396,'Project Reference'!$B$2:$N$41,13)," ")</f>
        <v xml:space="preserve"> </v>
      </c>
    </row>
    <row r="397" spans="1:27" s="1" customFormat="1" x14ac:dyDescent="0.45">
      <c r="A397" s="43"/>
      <c r="B397" s="205"/>
      <c r="C397"/>
      <c r="D397" s="72"/>
      <c r="E397" s="72"/>
      <c r="F397" s="72"/>
      <c r="G397" s="72"/>
      <c r="H397" s="17"/>
      <c r="I397" s="41" t="str" cm="1">
        <f t="array" ref="I397">IFERROR(_xlfn.IFS(H397="Hard (Cash)","N/A",H397="Soft (In-Kind)", "Enter Source"),"Select Type")</f>
        <v>Select Type</v>
      </c>
      <c r="J397" s="124"/>
      <c r="K397" s="41" t="str">
        <f>IFERROR(VLOOKUP($J397,'Project Reference'!$S$2:$T$41,2),"Enter Project Number")</f>
        <v>Enter Project Number</v>
      </c>
      <c r="L397" s="41"/>
      <c r="M397" s="41"/>
      <c r="N397" s="15">
        <f t="shared" si="6"/>
        <v>0</v>
      </c>
      <c r="O397" s="19"/>
      <c r="P397" s="42" t="str">
        <f>IFERROR(VLOOKUP($J397,'Project Reference'!$B$2:$C$41,2)," ")</f>
        <v xml:space="preserve"> </v>
      </c>
      <c r="Q397" s="42" t="str">
        <f>IFERROR(VLOOKUP($J397,'Project Reference'!$B$2:$D$41,3)," ")</f>
        <v xml:space="preserve"> </v>
      </c>
      <c r="R397" s="42" t="str">
        <f>IFERROR(VLOOKUP($J397,'Project Reference'!$B$2:$E$41,4)," ")</f>
        <v xml:space="preserve"> </v>
      </c>
      <c r="S397" s="42" t="str">
        <f>IFERROR(VLOOKUP($J397,'Project Reference'!$B$2:$F$41,5,FALSE)," ")</f>
        <v xml:space="preserve"> </v>
      </c>
      <c r="T397" s="42" t="str">
        <f>IFERROR(VLOOKUP($J397,'Project Reference'!$B$2:$G$41,6,FALSE)," ")</f>
        <v xml:space="preserve"> </v>
      </c>
      <c r="U397" s="42" t="str">
        <f>IFERROR(VLOOKUP($J397,'Project Reference'!$B$2:$H$41,7,FALSE)," ")</f>
        <v xml:space="preserve"> </v>
      </c>
      <c r="V397" s="42" t="str">
        <f>IFERROR(VLOOKUP($J397,'Project Reference'!$B$2:$I$41,8,FALSE)," ")</f>
        <v xml:space="preserve"> </v>
      </c>
      <c r="W397" s="42" t="str">
        <f>IFERROR(VLOOKUP($J397,'Project Reference'!$B$2:$J$41,9,FALSE)," ")</f>
        <v xml:space="preserve"> </v>
      </c>
      <c r="X397" s="42" t="str">
        <f>IFERROR(VLOOKUP($J397,'Project Reference'!$B$2:$K$41,10)," ")</f>
        <v xml:space="preserve"> </v>
      </c>
      <c r="Y397" s="42" t="str">
        <f>IFERROR(VLOOKUP($J397,'Project Reference'!$B$2:$L$41,11)," ")</f>
        <v xml:space="preserve"> </v>
      </c>
      <c r="Z397" s="42" t="str">
        <f>IFERROR(VLOOKUP($J397,'Project Reference'!$B$2:$M$41,12)," ")</f>
        <v xml:space="preserve"> </v>
      </c>
      <c r="AA397" s="42" t="str">
        <f>IFERROR(VLOOKUP($J397,'Project Reference'!$B$2:$N$41,13)," ")</f>
        <v xml:space="preserve"> </v>
      </c>
    </row>
    <row r="398" spans="1:27" s="1" customFormat="1" x14ac:dyDescent="0.45">
      <c r="A398" s="43"/>
      <c r="B398" s="205"/>
      <c r="C398"/>
      <c r="D398" s="72"/>
      <c r="E398" s="72"/>
      <c r="F398" s="72"/>
      <c r="G398" s="72"/>
      <c r="H398" s="17"/>
      <c r="I398" s="41" t="str" cm="1">
        <f t="array" ref="I398">IFERROR(_xlfn.IFS(H398="Hard (Cash)","N/A",H398="Soft (In-Kind)", "Enter Source"),"Select Type")</f>
        <v>Select Type</v>
      </c>
      <c r="J398" s="124"/>
      <c r="K398" s="41" t="str">
        <f>IFERROR(VLOOKUP($J398,'Project Reference'!$S$2:$T$41,2),"Enter Project Number")</f>
        <v>Enter Project Number</v>
      </c>
      <c r="L398" s="41"/>
      <c r="M398" s="41"/>
      <c r="N398" s="15">
        <f t="shared" si="6"/>
        <v>0</v>
      </c>
      <c r="O398" s="19"/>
      <c r="P398" s="42" t="str">
        <f>IFERROR(VLOOKUP($J398,'Project Reference'!$B$2:$C$41,2)," ")</f>
        <v xml:space="preserve"> </v>
      </c>
      <c r="Q398" s="42" t="str">
        <f>IFERROR(VLOOKUP($J398,'Project Reference'!$B$2:$D$41,3)," ")</f>
        <v xml:space="preserve"> </v>
      </c>
      <c r="R398" s="42" t="str">
        <f>IFERROR(VLOOKUP($J398,'Project Reference'!$B$2:$E$41,4)," ")</f>
        <v xml:space="preserve"> </v>
      </c>
      <c r="S398" s="42" t="str">
        <f>IFERROR(VLOOKUP($J398,'Project Reference'!$B$2:$F$41,5,FALSE)," ")</f>
        <v xml:space="preserve"> </v>
      </c>
      <c r="T398" s="42" t="str">
        <f>IFERROR(VLOOKUP($J398,'Project Reference'!$B$2:$G$41,6,FALSE)," ")</f>
        <v xml:space="preserve"> </v>
      </c>
      <c r="U398" s="42" t="str">
        <f>IFERROR(VLOOKUP($J398,'Project Reference'!$B$2:$H$41,7,FALSE)," ")</f>
        <v xml:space="preserve"> </v>
      </c>
      <c r="V398" s="42" t="str">
        <f>IFERROR(VLOOKUP($J398,'Project Reference'!$B$2:$I$41,8,FALSE)," ")</f>
        <v xml:space="preserve"> </v>
      </c>
      <c r="W398" s="42" t="str">
        <f>IFERROR(VLOOKUP($J398,'Project Reference'!$B$2:$J$41,9,FALSE)," ")</f>
        <v xml:space="preserve"> </v>
      </c>
      <c r="X398" s="42" t="str">
        <f>IFERROR(VLOOKUP($J398,'Project Reference'!$B$2:$K$41,10)," ")</f>
        <v xml:space="preserve"> </v>
      </c>
      <c r="Y398" s="42" t="str">
        <f>IFERROR(VLOOKUP($J398,'Project Reference'!$B$2:$L$41,11)," ")</f>
        <v xml:space="preserve"> </v>
      </c>
      <c r="Z398" s="42" t="str">
        <f>IFERROR(VLOOKUP($J398,'Project Reference'!$B$2:$M$41,12)," ")</f>
        <v xml:space="preserve"> </v>
      </c>
      <c r="AA398" s="42" t="str">
        <f>IFERROR(VLOOKUP($J398,'Project Reference'!$B$2:$N$41,13)," ")</f>
        <v xml:space="preserve"> </v>
      </c>
    </row>
    <row r="399" spans="1:27" s="1" customFormat="1" x14ac:dyDescent="0.45">
      <c r="A399" s="43"/>
      <c r="B399" s="205"/>
      <c r="C399"/>
      <c r="D399" s="72"/>
      <c r="E399" s="72"/>
      <c r="F399" s="72"/>
      <c r="G399" s="72"/>
      <c r="H399" s="17"/>
      <c r="I399" s="41" t="str" cm="1">
        <f t="array" ref="I399">IFERROR(_xlfn.IFS(H399="Hard (Cash)","N/A",H399="Soft (In-Kind)", "Enter Source"),"Select Type")</f>
        <v>Select Type</v>
      </c>
      <c r="J399" s="124"/>
      <c r="K399" s="41" t="str">
        <f>IFERROR(VLOOKUP($J399,'Project Reference'!$S$2:$T$41,2),"Enter Project Number")</f>
        <v>Enter Project Number</v>
      </c>
      <c r="L399" s="41"/>
      <c r="M399" s="41"/>
      <c r="N399" s="15">
        <f t="shared" si="6"/>
        <v>0</v>
      </c>
      <c r="O399" s="19"/>
      <c r="P399" s="42" t="str">
        <f>IFERROR(VLOOKUP($J399,'Project Reference'!$B$2:$C$41,2)," ")</f>
        <v xml:space="preserve"> </v>
      </c>
      <c r="Q399" s="42" t="str">
        <f>IFERROR(VLOOKUP($J399,'Project Reference'!$B$2:$D$41,3)," ")</f>
        <v xml:space="preserve"> </v>
      </c>
      <c r="R399" s="42" t="str">
        <f>IFERROR(VLOOKUP($J399,'Project Reference'!$B$2:$E$41,4)," ")</f>
        <v xml:space="preserve"> </v>
      </c>
      <c r="S399" s="42" t="str">
        <f>IFERROR(VLOOKUP($J399,'Project Reference'!$B$2:$F$41,5,FALSE)," ")</f>
        <v xml:space="preserve"> </v>
      </c>
      <c r="T399" s="42" t="str">
        <f>IFERROR(VLOOKUP($J399,'Project Reference'!$B$2:$G$41,6,FALSE)," ")</f>
        <v xml:space="preserve"> </v>
      </c>
      <c r="U399" s="42" t="str">
        <f>IFERROR(VLOOKUP($J399,'Project Reference'!$B$2:$H$41,7,FALSE)," ")</f>
        <v xml:space="preserve"> </v>
      </c>
      <c r="V399" s="42" t="str">
        <f>IFERROR(VLOOKUP($J399,'Project Reference'!$B$2:$I$41,8,FALSE)," ")</f>
        <v xml:space="preserve"> </v>
      </c>
      <c r="W399" s="42" t="str">
        <f>IFERROR(VLOOKUP($J399,'Project Reference'!$B$2:$J$41,9,FALSE)," ")</f>
        <v xml:space="preserve"> </v>
      </c>
      <c r="X399" s="42" t="str">
        <f>IFERROR(VLOOKUP($J399,'Project Reference'!$B$2:$K$41,10)," ")</f>
        <v xml:space="preserve"> </v>
      </c>
      <c r="Y399" s="42" t="str">
        <f>IFERROR(VLOOKUP($J399,'Project Reference'!$B$2:$L$41,11)," ")</f>
        <v xml:space="preserve"> </v>
      </c>
      <c r="Z399" s="42" t="str">
        <f>IFERROR(VLOOKUP($J399,'Project Reference'!$B$2:$M$41,12)," ")</f>
        <v xml:space="preserve"> </v>
      </c>
      <c r="AA399" s="42" t="str">
        <f>IFERROR(VLOOKUP($J399,'Project Reference'!$B$2:$N$41,13)," ")</f>
        <v xml:space="preserve"> </v>
      </c>
    </row>
    <row r="400" spans="1:27" s="1" customFormat="1" x14ac:dyDescent="0.45">
      <c r="A400" s="43"/>
      <c r="B400" s="205"/>
      <c r="C400"/>
      <c r="D400" s="72"/>
      <c r="E400" s="72"/>
      <c r="F400" s="72"/>
      <c r="G400" s="72"/>
      <c r="H400" s="17"/>
      <c r="I400" s="41" t="str" cm="1">
        <f t="array" ref="I400">IFERROR(_xlfn.IFS(H400="Hard (Cash)","N/A",H400="Soft (In-Kind)", "Enter Source"),"Select Type")</f>
        <v>Select Type</v>
      </c>
      <c r="J400" s="124"/>
      <c r="K400" s="41" t="str">
        <f>IFERROR(VLOOKUP($J400,'Project Reference'!$S$2:$T$41,2),"Enter Project Number")</f>
        <v>Enter Project Number</v>
      </c>
      <c r="L400" s="41"/>
      <c r="M400" s="41"/>
      <c r="N400" s="15">
        <f t="shared" si="6"/>
        <v>0</v>
      </c>
      <c r="O400" s="19"/>
      <c r="P400" s="42" t="str">
        <f>IFERROR(VLOOKUP($J400,'Project Reference'!$B$2:$C$41,2)," ")</f>
        <v xml:space="preserve"> </v>
      </c>
      <c r="Q400" s="42" t="str">
        <f>IFERROR(VLOOKUP($J400,'Project Reference'!$B$2:$D$41,3)," ")</f>
        <v xml:space="preserve"> </v>
      </c>
      <c r="R400" s="42" t="str">
        <f>IFERROR(VLOOKUP($J400,'Project Reference'!$B$2:$E$41,4)," ")</f>
        <v xml:space="preserve"> </v>
      </c>
      <c r="S400" s="42" t="str">
        <f>IFERROR(VLOOKUP($J400,'Project Reference'!$B$2:$F$41,5,FALSE)," ")</f>
        <v xml:space="preserve"> </v>
      </c>
      <c r="T400" s="42" t="str">
        <f>IFERROR(VLOOKUP($J400,'Project Reference'!$B$2:$G$41,6,FALSE)," ")</f>
        <v xml:space="preserve"> </v>
      </c>
      <c r="U400" s="42" t="str">
        <f>IFERROR(VLOOKUP($J400,'Project Reference'!$B$2:$H$41,7,FALSE)," ")</f>
        <v xml:space="preserve"> </v>
      </c>
      <c r="V400" s="42" t="str">
        <f>IFERROR(VLOOKUP($J400,'Project Reference'!$B$2:$I$41,8,FALSE)," ")</f>
        <v xml:space="preserve"> </v>
      </c>
      <c r="W400" s="42" t="str">
        <f>IFERROR(VLOOKUP($J400,'Project Reference'!$B$2:$J$41,9,FALSE)," ")</f>
        <v xml:space="preserve"> </v>
      </c>
      <c r="X400" s="42" t="str">
        <f>IFERROR(VLOOKUP($J400,'Project Reference'!$B$2:$K$41,10)," ")</f>
        <v xml:space="preserve"> </v>
      </c>
      <c r="Y400" s="42" t="str">
        <f>IFERROR(VLOOKUP($J400,'Project Reference'!$B$2:$L$41,11)," ")</f>
        <v xml:space="preserve"> </v>
      </c>
      <c r="Z400" s="42" t="str">
        <f>IFERROR(VLOOKUP($J400,'Project Reference'!$B$2:$M$41,12)," ")</f>
        <v xml:space="preserve"> </v>
      </c>
      <c r="AA400" s="42" t="str">
        <f>IFERROR(VLOOKUP($J400,'Project Reference'!$B$2:$N$41,13)," ")</f>
        <v xml:space="preserve"> </v>
      </c>
    </row>
    <row r="401" spans="1:27" s="1" customFormat="1" x14ac:dyDescent="0.45">
      <c r="A401" s="43"/>
      <c r="B401" s="205"/>
      <c r="C401"/>
      <c r="D401" s="72"/>
      <c r="E401" s="72"/>
      <c r="F401" s="72"/>
      <c r="G401" s="72"/>
      <c r="H401" s="17"/>
      <c r="I401" s="41" t="str" cm="1">
        <f t="array" ref="I401">IFERROR(_xlfn.IFS(H401="Hard (Cash)","N/A",H401="Soft (In-Kind)", "Enter Source"),"Select Type")</f>
        <v>Select Type</v>
      </c>
      <c r="J401" s="124"/>
      <c r="K401" s="41" t="str">
        <f>IFERROR(VLOOKUP($J401,'Project Reference'!$S$2:$T$41,2),"Enter Project Number")</f>
        <v>Enter Project Number</v>
      </c>
      <c r="L401" s="41"/>
      <c r="M401" s="41"/>
      <c r="N401" s="15">
        <f t="shared" si="6"/>
        <v>0</v>
      </c>
      <c r="O401" s="19"/>
      <c r="P401" s="42" t="str">
        <f>IFERROR(VLOOKUP($J401,'Project Reference'!$B$2:$C$41,2)," ")</f>
        <v xml:space="preserve"> </v>
      </c>
      <c r="Q401" s="42" t="str">
        <f>IFERROR(VLOOKUP($J401,'Project Reference'!$B$2:$D$41,3)," ")</f>
        <v xml:space="preserve"> </v>
      </c>
      <c r="R401" s="42" t="str">
        <f>IFERROR(VLOOKUP($J401,'Project Reference'!$B$2:$E$41,4)," ")</f>
        <v xml:space="preserve"> </v>
      </c>
      <c r="S401" s="42" t="str">
        <f>IFERROR(VLOOKUP($J401,'Project Reference'!$B$2:$F$41,5,FALSE)," ")</f>
        <v xml:space="preserve"> </v>
      </c>
      <c r="T401" s="42" t="str">
        <f>IFERROR(VLOOKUP($J401,'Project Reference'!$B$2:$G$41,6,FALSE)," ")</f>
        <v xml:space="preserve"> </v>
      </c>
      <c r="U401" s="42" t="str">
        <f>IFERROR(VLOOKUP($J401,'Project Reference'!$B$2:$H$41,7,FALSE)," ")</f>
        <v xml:space="preserve"> </v>
      </c>
      <c r="V401" s="42" t="str">
        <f>IFERROR(VLOOKUP($J401,'Project Reference'!$B$2:$I$41,8,FALSE)," ")</f>
        <v xml:space="preserve"> </v>
      </c>
      <c r="W401" s="42" t="str">
        <f>IFERROR(VLOOKUP($J401,'Project Reference'!$B$2:$J$41,9,FALSE)," ")</f>
        <v xml:space="preserve"> </v>
      </c>
      <c r="X401" s="42" t="str">
        <f>IFERROR(VLOOKUP($J401,'Project Reference'!$B$2:$K$41,10)," ")</f>
        <v xml:space="preserve"> </v>
      </c>
      <c r="Y401" s="42" t="str">
        <f>IFERROR(VLOOKUP($J401,'Project Reference'!$B$2:$L$41,11)," ")</f>
        <v xml:space="preserve"> </v>
      </c>
      <c r="Z401" s="42" t="str">
        <f>IFERROR(VLOOKUP($J401,'Project Reference'!$B$2:$M$41,12)," ")</f>
        <v xml:space="preserve"> </v>
      </c>
      <c r="AA401" s="42" t="str">
        <f>IFERROR(VLOOKUP($J401,'Project Reference'!$B$2:$N$41,13)," ")</f>
        <v xml:space="preserve"> </v>
      </c>
    </row>
    <row r="402" spans="1:27" s="1" customFormat="1" x14ac:dyDescent="0.45">
      <c r="A402" s="43"/>
      <c r="B402" s="205"/>
      <c r="C402"/>
      <c r="D402" s="72"/>
      <c r="E402" s="72"/>
      <c r="F402" s="72"/>
      <c r="G402" s="72"/>
      <c r="H402" s="17"/>
      <c r="I402" s="41" t="str" cm="1">
        <f t="array" ref="I402">IFERROR(_xlfn.IFS(H402="Hard (Cash)","N/A",H402="Soft (In-Kind)", "Enter Source"),"Select Type")</f>
        <v>Select Type</v>
      </c>
      <c r="J402" s="124"/>
      <c r="K402" s="41" t="str">
        <f>IFERROR(VLOOKUP($J402,'Project Reference'!$S$2:$T$41,2),"Enter Project Number")</f>
        <v>Enter Project Number</v>
      </c>
      <c r="L402" s="41"/>
      <c r="M402" s="41"/>
      <c r="N402" s="15">
        <f t="shared" si="6"/>
        <v>0</v>
      </c>
      <c r="O402" s="19"/>
      <c r="P402" s="42" t="str">
        <f>IFERROR(VLOOKUP($J402,'Project Reference'!$B$2:$C$41,2)," ")</f>
        <v xml:space="preserve"> </v>
      </c>
      <c r="Q402" s="42" t="str">
        <f>IFERROR(VLOOKUP($J402,'Project Reference'!$B$2:$D$41,3)," ")</f>
        <v xml:space="preserve"> </v>
      </c>
      <c r="R402" s="42" t="str">
        <f>IFERROR(VLOOKUP($J402,'Project Reference'!$B$2:$E$41,4)," ")</f>
        <v xml:space="preserve"> </v>
      </c>
      <c r="S402" s="42" t="str">
        <f>IFERROR(VLOOKUP($J402,'Project Reference'!$B$2:$F$41,5,FALSE)," ")</f>
        <v xml:space="preserve"> </v>
      </c>
      <c r="T402" s="42" t="str">
        <f>IFERROR(VLOOKUP($J402,'Project Reference'!$B$2:$G$41,6,FALSE)," ")</f>
        <v xml:space="preserve"> </v>
      </c>
      <c r="U402" s="42" t="str">
        <f>IFERROR(VLOOKUP($J402,'Project Reference'!$B$2:$H$41,7,FALSE)," ")</f>
        <v xml:space="preserve"> </v>
      </c>
      <c r="V402" s="42" t="str">
        <f>IFERROR(VLOOKUP($J402,'Project Reference'!$B$2:$I$41,8,FALSE)," ")</f>
        <v xml:space="preserve"> </v>
      </c>
      <c r="W402" s="42" t="str">
        <f>IFERROR(VLOOKUP($J402,'Project Reference'!$B$2:$J$41,9,FALSE)," ")</f>
        <v xml:space="preserve"> </v>
      </c>
      <c r="X402" s="42" t="str">
        <f>IFERROR(VLOOKUP($J402,'Project Reference'!$B$2:$K$41,10)," ")</f>
        <v xml:space="preserve"> </v>
      </c>
      <c r="Y402" s="42" t="str">
        <f>IFERROR(VLOOKUP($J402,'Project Reference'!$B$2:$L$41,11)," ")</f>
        <v xml:space="preserve"> </v>
      </c>
      <c r="Z402" s="42" t="str">
        <f>IFERROR(VLOOKUP($J402,'Project Reference'!$B$2:$M$41,12)," ")</f>
        <v xml:space="preserve"> </v>
      </c>
      <c r="AA402" s="42" t="str">
        <f>IFERROR(VLOOKUP($J402,'Project Reference'!$B$2:$N$41,13)," ")</f>
        <v xml:space="preserve"> </v>
      </c>
    </row>
    <row r="403" spans="1:27" s="1" customFormat="1" x14ac:dyDescent="0.45">
      <c r="A403" s="43"/>
      <c r="B403" s="205"/>
      <c r="C403"/>
      <c r="D403" s="72"/>
      <c r="E403" s="72"/>
      <c r="F403" s="72"/>
      <c r="G403" s="72"/>
      <c r="H403" s="17"/>
      <c r="I403" s="41" t="str" cm="1">
        <f t="array" ref="I403">IFERROR(_xlfn.IFS(H403="Hard (Cash)","N/A",H403="Soft (In-Kind)", "Enter Source"),"Select Type")</f>
        <v>Select Type</v>
      </c>
      <c r="J403" s="124"/>
      <c r="K403" s="41" t="str">
        <f>IFERROR(VLOOKUP($J403,'Project Reference'!$S$2:$T$41,2),"Enter Project Number")</f>
        <v>Enter Project Number</v>
      </c>
      <c r="L403" s="41"/>
      <c r="M403" s="41"/>
      <c r="N403" s="15">
        <f t="shared" si="6"/>
        <v>0</v>
      </c>
      <c r="O403" s="19"/>
      <c r="P403" s="42" t="str">
        <f>IFERROR(VLOOKUP($J403,'Project Reference'!$B$2:$C$41,2)," ")</f>
        <v xml:space="preserve"> </v>
      </c>
      <c r="Q403" s="42" t="str">
        <f>IFERROR(VLOOKUP($J403,'Project Reference'!$B$2:$D$41,3)," ")</f>
        <v xml:space="preserve"> </v>
      </c>
      <c r="R403" s="42" t="str">
        <f>IFERROR(VLOOKUP($J403,'Project Reference'!$B$2:$E$41,4)," ")</f>
        <v xml:space="preserve"> </v>
      </c>
      <c r="S403" s="42" t="str">
        <f>IFERROR(VLOOKUP($J403,'Project Reference'!$B$2:$F$41,5,FALSE)," ")</f>
        <v xml:space="preserve"> </v>
      </c>
      <c r="T403" s="42" t="str">
        <f>IFERROR(VLOOKUP($J403,'Project Reference'!$B$2:$G$41,6,FALSE)," ")</f>
        <v xml:space="preserve"> </v>
      </c>
      <c r="U403" s="42" t="str">
        <f>IFERROR(VLOOKUP($J403,'Project Reference'!$B$2:$H$41,7,FALSE)," ")</f>
        <v xml:space="preserve"> </v>
      </c>
      <c r="V403" s="42" t="str">
        <f>IFERROR(VLOOKUP($J403,'Project Reference'!$B$2:$I$41,8,FALSE)," ")</f>
        <v xml:space="preserve"> </v>
      </c>
      <c r="W403" s="42" t="str">
        <f>IFERROR(VLOOKUP($J403,'Project Reference'!$B$2:$J$41,9,FALSE)," ")</f>
        <v xml:space="preserve"> </v>
      </c>
      <c r="X403" s="42" t="str">
        <f>IFERROR(VLOOKUP($J403,'Project Reference'!$B$2:$K$41,10)," ")</f>
        <v xml:space="preserve"> </v>
      </c>
      <c r="Y403" s="42" t="str">
        <f>IFERROR(VLOOKUP($J403,'Project Reference'!$B$2:$L$41,11)," ")</f>
        <v xml:space="preserve"> </v>
      </c>
      <c r="Z403" s="42" t="str">
        <f>IFERROR(VLOOKUP($J403,'Project Reference'!$B$2:$M$41,12)," ")</f>
        <v xml:space="preserve"> </v>
      </c>
      <c r="AA403" s="42" t="str">
        <f>IFERROR(VLOOKUP($J403,'Project Reference'!$B$2:$N$41,13)," ")</f>
        <v xml:space="preserve"> </v>
      </c>
    </row>
    <row r="404" spans="1:27" s="1" customFormat="1" x14ac:dyDescent="0.45">
      <c r="A404" s="43"/>
      <c r="B404" s="205"/>
      <c r="C404"/>
      <c r="D404" s="72"/>
      <c r="E404" s="72"/>
      <c r="F404" s="72"/>
      <c r="G404" s="72"/>
      <c r="H404" s="17"/>
      <c r="I404" s="41" t="str" cm="1">
        <f t="array" ref="I404">IFERROR(_xlfn.IFS(H404="Hard (Cash)","N/A",H404="Soft (In-Kind)", "Enter Source"),"Select Type")</f>
        <v>Select Type</v>
      </c>
      <c r="J404" s="124"/>
      <c r="K404" s="41" t="str">
        <f>IFERROR(VLOOKUP($J404,'Project Reference'!$S$2:$T$41,2),"Enter Project Number")</f>
        <v>Enter Project Number</v>
      </c>
      <c r="L404" s="41"/>
      <c r="M404" s="41"/>
      <c r="N404" s="15">
        <f t="shared" si="6"/>
        <v>0</v>
      </c>
      <c r="O404" s="19"/>
      <c r="P404" s="42" t="str">
        <f>IFERROR(VLOOKUP($J404,'Project Reference'!$B$2:$C$41,2)," ")</f>
        <v xml:space="preserve"> </v>
      </c>
      <c r="Q404" s="42" t="str">
        <f>IFERROR(VLOOKUP($J404,'Project Reference'!$B$2:$D$41,3)," ")</f>
        <v xml:space="preserve"> </v>
      </c>
      <c r="R404" s="42" t="str">
        <f>IFERROR(VLOOKUP($J404,'Project Reference'!$B$2:$E$41,4)," ")</f>
        <v xml:space="preserve"> </v>
      </c>
      <c r="S404" s="42" t="str">
        <f>IFERROR(VLOOKUP($J404,'Project Reference'!$B$2:$F$41,5,FALSE)," ")</f>
        <v xml:space="preserve"> </v>
      </c>
      <c r="T404" s="42" t="str">
        <f>IFERROR(VLOOKUP($J404,'Project Reference'!$B$2:$G$41,6,FALSE)," ")</f>
        <v xml:space="preserve"> </v>
      </c>
      <c r="U404" s="42" t="str">
        <f>IFERROR(VLOOKUP($J404,'Project Reference'!$B$2:$H$41,7,FALSE)," ")</f>
        <v xml:space="preserve"> </v>
      </c>
      <c r="V404" s="42" t="str">
        <f>IFERROR(VLOOKUP($J404,'Project Reference'!$B$2:$I$41,8,FALSE)," ")</f>
        <v xml:space="preserve"> </v>
      </c>
      <c r="W404" s="42" t="str">
        <f>IFERROR(VLOOKUP($J404,'Project Reference'!$B$2:$J$41,9,FALSE)," ")</f>
        <v xml:space="preserve"> </v>
      </c>
      <c r="X404" s="42" t="str">
        <f>IFERROR(VLOOKUP($J404,'Project Reference'!$B$2:$K$41,10)," ")</f>
        <v xml:space="preserve"> </v>
      </c>
      <c r="Y404" s="42" t="str">
        <f>IFERROR(VLOOKUP($J404,'Project Reference'!$B$2:$L$41,11)," ")</f>
        <v xml:space="preserve"> </v>
      </c>
      <c r="Z404" s="42" t="str">
        <f>IFERROR(VLOOKUP($J404,'Project Reference'!$B$2:$M$41,12)," ")</f>
        <v xml:space="preserve"> </v>
      </c>
      <c r="AA404" s="42" t="str">
        <f>IFERROR(VLOOKUP($J404,'Project Reference'!$B$2:$N$41,13)," ")</f>
        <v xml:space="preserve"> </v>
      </c>
    </row>
    <row r="405" spans="1:27" s="1" customFormat="1" x14ac:dyDescent="0.45">
      <c r="A405" s="43"/>
      <c r="B405" s="205"/>
      <c r="C405"/>
      <c r="D405" s="72"/>
      <c r="E405" s="72"/>
      <c r="F405" s="72"/>
      <c r="G405" s="72"/>
      <c r="H405" s="17"/>
      <c r="I405" s="41" t="str" cm="1">
        <f t="array" ref="I405">IFERROR(_xlfn.IFS(H405="Hard (Cash)","N/A",H405="Soft (In-Kind)", "Enter Source"),"Select Type")</f>
        <v>Select Type</v>
      </c>
      <c r="J405" s="124"/>
      <c r="K405" s="41" t="str">
        <f>IFERROR(VLOOKUP($J405,'Project Reference'!$S$2:$T$41,2),"Enter Project Number")</f>
        <v>Enter Project Number</v>
      </c>
      <c r="L405" s="41"/>
      <c r="M405" s="41"/>
      <c r="N405" s="15">
        <f t="shared" si="6"/>
        <v>0</v>
      </c>
      <c r="O405" s="19"/>
      <c r="P405" s="42" t="str">
        <f>IFERROR(VLOOKUP($J405,'Project Reference'!$B$2:$C$41,2)," ")</f>
        <v xml:space="preserve"> </v>
      </c>
      <c r="Q405" s="42" t="str">
        <f>IFERROR(VLOOKUP($J405,'Project Reference'!$B$2:$D$41,3)," ")</f>
        <v xml:space="preserve"> </v>
      </c>
      <c r="R405" s="42" t="str">
        <f>IFERROR(VLOOKUP($J405,'Project Reference'!$B$2:$E$41,4)," ")</f>
        <v xml:space="preserve"> </v>
      </c>
      <c r="S405" s="42" t="str">
        <f>IFERROR(VLOOKUP($J405,'Project Reference'!$B$2:$F$41,5,FALSE)," ")</f>
        <v xml:space="preserve"> </v>
      </c>
      <c r="T405" s="42" t="str">
        <f>IFERROR(VLOOKUP($J405,'Project Reference'!$B$2:$G$41,6,FALSE)," ")</f>
        <v xml:space="preserve"> </v>
      </c>
      <c r="U405" s="42" t="str">
        <f>IFERROR(VLOOKUP($J405,'Project Reference'!$B$2:$H$41,7,FALSE)," ")</f>
        <v xml:space="preserve"> </v>
      </c>
      <c r="V405" s="42" t="str">
        <f>IFERROR(VLOOKUP($J405,'Project Reference'!$B$2:$I$41,8,FALSE)," ")</f>
        <v xml:space="preserve"> </v>
      </c>
      <c r="W405" s="42" t="str">
        <f>IFERROR(VLOOKUP($J405,'Project Reference'!$B$2:$J$41,9,FALSE)," ")</f>
        <v xml:space="preserve"> </v>
      </c>
      <c r="X405" s="42" t="str">
        <f>IFERROR(VLOOKUP($J405,'Project Reference'!$B$2:$K$41,10)," ")</f>
        <v xml:space="preserve"> </v>
      </c>
      <c r="Y405" s="42" t="str">
        <f>IFERROR(VLOOKUP($J405,'Project Reference'!$B$2:$L$41,11)," ")</f>
        <v xml:space="preserve"> </v>
      </c>
      <c r="Z405" s="42" t="str">
        <f>IFERROR(VLOOKUP($J405,'Project Reference'!$B$2:$M$41,12)," ")</f>
        <v xml:space="preserve"> </v>
      </c>
      <c r="AA405" s="42" t="str">
        <f>IFERROR(VLOOKUP($J405,'Project Reference'!$B$2:$N$41,13)," ")</f>
        <v xml:space="preserve"> </v>
      </c>
    </row>
    <row r="406" spans="1:27" s="1" customFormat="1" x14ac:dyDescent="0.45">
      <c r="A406" s="43"/>
      <c r="B406" s="205"/>
      <c r="C406"/>
      <c r="D406" s="72"/>
      <c r="E406" s="72"/>
      <c r="F406" s="72"/>
      <c r="G406" s="72"/>
      <c r="H406" s="17"/>
      <c r="I406" s="41" t="str" cm="1">
        <f t="array" ref="I406">IFERROR(_xlfn.IFS(H406="Hard (Cash)","N/A",H406="Soft (In-Kind)", "Enter Source"),"Select Type")</f>
        <v>Select Type</v>
      </c>
      <c r="J406" s="124"/>
      <c r="K406" s="41" t="str">
        <f>IFERROR(VLOOKUP($J406,'Project Reference'!$S$2:$T$41,2),"Enter Project Number")</f>
        <v>Enter Project Number</v>
      </c>
      <c r="L406" s="41"/>
      <c r="M406" s="41"/>
      <c r="N406" s="15">
        <f t="shared" si="6"/>
        <v>0</v>
      </c>
      <c r="O406" s="19"/>
      <c r="P406" s="42" t="str">
        <f>IFERROR(VLOOKUP($J406,'Project Reference'!$B$2:$C$41,2)," ")</f>
        <v xml:space="preserve"> </v>
      </c>
      <c r="Q406" s="42" t="str">
        <f>IFERROR(VLOOKUP($J406,'Project Reference'!$B$2:$D$41,3)," ")</f>
        <v xml:space="preserve"> </v>
      </c>
      <c r="R406" s="42" t="str">
        <f>IFERROR(VLOOKUP($J406,'Project Reference'!$B$2:$E$41,4)," ")</f>
        <v xml:space="preserve"> </v>
      </c>
      <c r="S406" s="42" t="str">
        <f>IFERROR(VLOOKUP($J406,'Project Reference'!$B$2:$F$41,5,FALSE)," ")</f>
        <v xml:space="preserve"> </v>
      </c>
      <c r="T406" s="42" t="str">
        <f>IFERROR(VLOOKUP($J406,'Project Reference'!$B$2:$G$41,6,FALSE)," ")</f>
        <v xml:space="preserve"> </v>
      </c>
      <c r="U406" s="42" t="str">
        <f>IFERROR(VLOOKUP($J406,'Project Reference'!$B$2:$H$41,7,FALSE)," ")</f>
        <v xml:space="preserve"> </v>
      </c>
      <c r="V406" s="42" t="str">
        <f>IFERROR(VLOOKUP($J406,'Project Reference'!$B$2:$I$41,8,FALSE)," ")</f>
        <v xml:space="preserve"> </v>
      </c>
      <c r="W406" s="42" t="str">
        <f>IFERROR(VLOOKUP($J406,'Project Reference'!$B$2:$J$41,9,FALSE)," ")</f>
        <v xml:space="preserve"> </v>
      </c>
      <c r="X406" s="42" t="str">
        <f>IFERROR(VLOOKUP($J406,'Project Reference'!$B$2:$K$41,10)," ")</f>
        <v xml:space="preserve"> </v>
      </c>
      <c r="Y406" s="42" t="str">
        <f>IFERROR(VLOOKUP($J406,'Project Reference'!$B$2:$L$41,11)," ")</f>
        <v xml:space="preserve"> </v>
      </c>
      <c r="Z406" s="42" t="str">
        <f>IFERROR(VLOOKUP($J406,'Project Reference'!$B$2:$M$41,12)," ")</f>
        <v xml:space="preserve"> </v>
      </c>
      <c r="AA406" s="42" t="str">
        <f>IFERROR(VLOOKUP($J406,'Project Reference'!$B$2:$N$41,13)," ")</f>
        <v xml:space="preserve"> </v>
      </c>
    </row>
    <row r="407" spans="1:27" s="1" customFormat="1" x14ac:dyDescent="0.45">
      <c r="A407" s="43"/>
      <c r="B407" s="205"/>
      <c r="C407"/>
      <c r="D407" s="72"/>
      <c r="E407" s="72"/>
      <c r="F407" s="72"/>
      <c r="G407" s="72"/>
      <c r="H407" s="17"/>
      <c r="I407" s="41" t="str" cm="1">
        <f t="array" ref="I407">IFERROR(_xlfn.IFS(H407="Hard (Cash)","N/A",H407="Soft (In-Kind)", "Enter Source"),"Select Type")</f>
        <v>Select Type</v>
      </c>
      <c r="J407" s="124"/>
      <c r="K407" s="41" t="str">
        <f>IFERROR(VLOOKUP($J407,'Project Reference'!$S$2:$T$41,2),"Enter Project Number")</f>
        <v>Enter Project Number</v>
      </c>
      <c r="L407" s="41"/>
      <c r="M407" s="41"/>
      <c r="N407" s="15">
        <f t="shared" si="6"/>
        <v>0</v>
      </c>
      <c r="O407" s="19"/>
      <c r="P407" s="42" t="str">
        <f>IFERROR(VLOOKUP($J407,'Project Reference'!$B$2:$C$41,2)," ")</f>
        <v xml:space="preserve"> </v>
      </c>
      <c r="Q407" s="42" t="str">
        <f>IFERROR(VLOOKUP($J407,'Project Reference'!$B$2:$D$41,3)," ")</f>
        <v xml:space="preserve"> </v>
      </c>
      <c r="R407" s="42" t="str">
        <f>IFERROR(VLOOKUP($J407,'Project Reference'!$B$2:$E$41,4)," ")</f>
        <v xml:space="preserve"> </v>
      </c>
      <c r="S407" s="42" t="str">
        <f>IFERROR(VLOOKUP($J407,'Project Reference'!$B$2:$F$41,5,FALSE)," ")</f>
        <v xml:space="preserve"> </v>
      </c>
      <c r="T407" s="42" t="str">
        <f>IFERROR(VLOOKUP($J407,'Project Reference'!$B$2:$G$41,6,FALSE)," ")</f>
        <v xml:space="preserve"> </v>
      </c>
      <c r="U407" s="42" t="str">
        <f>IFERROR(VLOOKUP($J407,'Project Reference'!$B$2:$H$41,7,FALSE)," ")</f>
        <v xml:space="preserve"> </v>
      </c>
      <c r="V407" s="42" t="str">
        <f>IFERROR(VLOOKUP($J407,'Project Reference'!$B$2:$I$41,8,FALSE)," ")</f>
        <v xml:space="preserve"> </v>
      </c>
      <c r="W407" s="42" t="str">
        <f>IFERROR(VLOOKUP($J407,'Project Reference'!$B$2:$J$41,9,FALSE)," ")</f>
        <v xml:space="preserve"> </v>
      </c>
      <c r="X407" s="42" t="str">
        <f>IFERROR(VLOOKUP($J407,'Project Reference'!$B$2:$K$41,10)," ")</f>
        <v xml:space="preserve"> </v>
      </c>
      <c r="Y407" s="42" t="str">
        <f>IFERROR(VLOOKUP($J407,'Project Reference'!$B$2:$L$41,11)," ")</f>
        <v xml:space="preserve"> </v>
      </c>
      <c r="Z407" s="42" t="str">
        <f>IFERROR(VLOOKUP($J407,'Project Reference'!$B$2:$M$41,12)," ")</f>
        <v xml:space="preserve"> </v>
      </c>
      <c r="AA407" s="42" t="str">
        <f>IFERROR(VLOOKUP($J407,'Project Reference'!$B$2:$N$41,13)," ")</f>
        <v xml:space="preserve"> </v>
      </c>
    </row>
    <row r="408" spans="1:27" s="1" customFormat="1" x14ac:dyDescent="0.45">
      <c r="A408" s="43"/>
      <c r="B408" s="205"/>
      <c r="C408"/>
      <c r="D408" s="72"/>
      <c r="E408" s="72"/>
      <c r="F408" s="72"/>
      <c r="G408" s="72"/>
      <c r="H408" s="17"/>
      <c r="I408" s="41" t="str" cm="1">
        <f t="array" ref="I408">IFERROR(_xlfn.IFS(H408="Hard (Cash)","N/A",H408="Soft (In-Kind)", "Enter Source"),"Select Type")</f>
        <v>Select Type</v>
      </c>
      <c r="J408" s="124"/>
      <c r="K408" s="41" t="str">
        <f>IFERROR(VLOOKUP($J408,'Project Reference'!$S$2:$T$41,2),"Enter Project Number")</f>
        <v>Enter Project Number</v>
      </c>
      <c r="L408" s="41"/>
      <c r="M408" s="41"/>
      <c r="N408" s="15">
        <f t="shared" si="6"/>
        <v>0</v>
      </c>
      <c r="O408" s="19"/>
      <c r="P408" s="42" t="str">
        <f>IFERROR(VLOOKUP($J408,'Project Reference'!$B$2:$C$41,2)," ")</f>
        <v xml:space="preserve"> </v>
      </c>
      <c r="Q408" s="42" t="str">
        <f>IFERROR(VLOOKUP($J408,'Project Reference'!$B$2:$D$41,3)," ")</f>
        <v xml:space="preserve"> </v>
      </c>
      <c r="R408" s="42" t="str">
        <f>IFERROR(VLOOKUP($J408,'Project Reference'!$B$2:$E$41,4)," ")</f>
        <v xml:space="preserve"> </v>
      </c>
      <c r="S408" s="42" t="str">
        <f>IFERROR(VLOOKUP($J408,'Project Reference'!$B$2:$F$41,5,FALSE)," ")</f>
        <v xml:space="preserve"> </v>
      </c>
      <c r="T408" s="42" t="str">
        <f>IFERROR(VLOOKUP($J408,'Project Reference'!$B$2:$G$41,6,FALSE)," ")</f>
        <v xml:space="preserve"> </v>
      </c>
      <c r="U408" s="42" t="str">
        <f>IFERROR(VLOOKUP($J408,'Project Reference'!$B$2:$H$41,7,FALSE)," ")</f>
        <v xml:space="preserve"> </v>
      </c>
      <c r="V408" s="42" t="str">
        <f>IFERROR(VLOOKUP($J408,'Project Reference'!$B$2:$I$41,8,FALSE)," ")</f>
        <v xml:space="preserve"> </v>
      </c>
      <c r="W408" s="42" t="str">
        <f>IFERROR(VLOOKUP($J408,'Project Reference'!$B$2:$J$41,9,FALSE)," ")</f>
        <v xml:space="preserve"> </v>
      </c>
      <c r="X408" s="42" t="str">
        <f>IFERROR(VLOOKUP($J408,'Project Reference'!$B$2:$K$41,10)," ")</f>
        <v xml:space="preserve"> </v>
      </c>
      <c r="Y408" s="42" t="str">
        <f>IFERROR(VLOOKUP($J408,'Project Reference'!$B$2:$L$41,11)," ")</f>
        <v xml:space="preserve"> </v>
      </c>
      <c r="Z408" s="42" t="str">
        <f>IFERROR(VLOOKUP($J408,'Project Reference'!$B$2:$M$41,12)," ")</f>
        <v xml:space="preserve"> </v>
      </c>
      <c r="AA408" s="42" t="str">
        <f>IFERROR(VLOOKUP($J408,'Project Reference'!$B$2:$N$41,13)," ")</f>
        <v xml:space="preserve"> </v>
      </c>
    </row>
    <row r="409" spans="1:27" s="1" customFormat="1" x14ac:dyDescent="0.45">
      <c r="A409" s="43"/>
      <c r="B409" s="205"/>
      <c r="C409"/>
      <c r="D409" s="72"/>
      <c r="E409" s="72"/>
      <c r="F409" s="72"/>
      <c r="G409" s="72"/>
      <c r="H409" s="17"/>
      <c r="I409" s="41" t="str" cm="1">
        <f t="array" ref="I409">IFERROR(_xlfn.IFS(H409="Hard (Cash)","N/A",H409="Soft (In-Kind)", "Enter Source"),"Select Type")</f>
        <v>Select Type</v>
      </c>
      <c r="J409" s="124"/>
      <c r="K409" s="41" t="str">
        <f>IFERROR(VLOOKUP($J409,'Project Reference'!$S$2:$T$41,2),"Enter Project Number")</f>
        <v>Enter Project Number</v>
      </c>
      <c r="L409" s="41"/>
      <c r="M409" s="41"/>
      <c r="N409" s="15">
        <f t="shared" si="6"/>
        <v>0</v>
      </c>
      <c r="O409" s="19"/>
      <c r="P409" s="42" t="str">
        <f>IFERROR(VLOOKUP($J409,'Project Reference'!$B$2:$C$41,2)," ")</f>
        <v xml:space="preserve"> </v>
      </c>
      <c r="Q409" s="42" t="str">
        <f>IFERROR(VLOOKUP($J409,'Project Reference'!$B$2:$D$41,3)," ")</f>
        <v xml:space="preserve"> </v>
      </c>
      <c r="R409" s="42" t="str">
        <f>IFERROR(VLOOKUP($J409,'Project Reference'!$B$2:$E$41,4)," ")</f>
        <v xml:space="preserve"> </v>
      </c>
      <c r="S409" s="42" t="str">
        <f>IFERROR(VLOOKUP($J409,'Project Reference'!$B$2:$F$41,5,FALSE)," ")</f>
        <v xml:space="preserve"> </v>
      </c>
      <c r="T409" s="42" t="str">
        <f>IFERROR(VLOOKUP($J409,'Project Reference'!$B$2:$G$41,6,FALSE)," ")</f>
        <v xml:space="preserve"> </v>
      </c>
      <c r="U409" s="42" t="str">
        <f>IFERROR(VLOOKUP($J409,'Project Reference'!$B$2:$H$41,7,FALSE)," ")</f>
        <v xml:space="preserve"> </v>
      </c>
      <c r="V409" s="42" t="str">
        <f>IFERROR(VLOOKUP($J409,'Project Reference'!$B$2:$I$41,8,FALSE)," ")</f>
        <v xml:space="preserve"> </v>
      </c>
      <c r="W409" s="42" t="str">
        <f>IFERROR(VLOOKUP($J409,'Project Reference'!$B$2:$J$41,9,FALSE)," ")</f>
        <v xml:space="preserve"> </v>
      </c>
      <c r="X409" s="42" t="str">
        <f>IFERROR(VLOOKUP($J409,'Project Reference'!$B$2:$K$41,10)," ")</f>
        <v xml:space="preserve"> </v>
      </c>
      <c r="Y409" s="42" t="str">
        <f>IFERROR(VLOOKUP($J409,'Project Reference'!$B$2:$L$41,11)," ")</f>
        <v xml:space="preserve"> </v>
      </c>
      <c r="Z409" s="42" t="str">
        <f>IFERROR(VLOOKUP($J409,'Project Reference'!$B$2:$M$41,12)," ")</f>
        <v xml:space="preserve"> </v>
      </c>
      <c r="AA409" s="42" t="str">
        <f>IFERROR(VLOOKUP($J409,'Project Reference'!$B$2:$N$41,13)," ")</f>
        <v xml:space="preserve"> </v>
      </c>
    </row>
    <row r="410" spans="1:27" s="1" customFormat="1" x14ac:dyDescent="0.45">
      <c r="A410" s="43"/>
      <c r="B410" s="205"/>
      <c r="C410"/>
      <c r="D410" s="72"/>
      <c r="E410" s="72"/>
      <c r="F410" s="72"/>
      <c r="G410" s="72"/>
      <c r="H410" s="17"/>
      <c r="I410" s="41" t="str" cm="1">
        <f t="array" ref="I410">IFERROR(_xlfn.IFS(H410="Hard (Cash)","N/A",H410="Soft (In-Kind)", "Enter Source"),"Select Type")</f>
        <v>Select Type</v>
      </c>
      <c r="J410" s="124"/>
      <c r="K410" s="41" t="str">
        <f>IFERROR(VLOOKUP($J410,'Project Reference'!$S$2:$T$41,2),"Enter Project Number")</f>
        <v>Enter Project Number</v>
      </c>
      <c r="L410" s="41"/>
      <c r="M410" s="41"/>
      <c r="N410" s="15">
        <f t="shared" si="6"/>
        <v>0</v>
      </c>
      <c r="O410" s="19"/>
      <c r="P410" s="42" t="str">
        <f>IFERROR(VLOOKUP($J410,'Project Reference'!$B$2:$C$41,2)," ")</f>
        <v xml:space="preserve"> </v>
      </c>
      <c r="Q410" s="42" t="str">
        <f>IFERROR(VLOOKUP($J410,'Project Reference'!$B$2:$D$41,3)," ")</f>
        <v xml:space="preserve"> </v>
      </c>
      <c r="R410" s="42" t="str">
        <f>IFERROR(VLOOKUP($J410,'Project Reference'!$B$2:$E$41,4)," ")</f>
        <v xml:space="preserve"> </v>
      </c>
      <c r="S410" s="42" t="str">
        <f>IFERROR(VLOOKUP($J410,'Project Reference'!$B$2:$F$41,5,FALSE)," ")</f>
        <v xml:space="preserve"> </v>
      </c>
      <c r="T410" s="42" t="str">
        <f>IFERROR(VLOOKUP($J410,'Project Reference'!$B$2:$G$41,6,FALSE)," ")</f>
        <v xml:space="preserve"> </v>
      </c>
      <c r="U410" s="42" t="str">
        <f>IFERROR(VLOOKUP($J410,'Project Reference'!$B$2:$H$41,7,FALSE)," ")</f>
        <v xml:space="preserve"> </v>
      </c>
      <c r="V410" s="42" t="str">
        <f>IFERROR(VLOOKUP($J410,'Project Reference'!$B$2:$I$41,8,FALSE)," ")</f>
        <v xml:space="preserve"> </v>
      </c>
      <c r="W410" s="42" t="str">
        <f>IFERROR(VLOOKUP($J410,'Project Reference'!$B$2:$J$41,9,FALSE)," ")</f>
        <v xml:space="preserve"> </v>
      </c>
      <c r="X410" s="42" t="str">
        <f>IFERROR(VLOOKUP($J410,'Project Reference'!$B$2:$K$41,10)," ")</f>
        <v xml:space="preserve"> </v>
      </c>
      <c r="Y410" s="42" t="str">
        <f>IFERROR(VLOOKUP($J410,'Project Reference'!$B$2:$L$41,11)," ")</f>
        <v xml:space="preserve"> </v>
      </c>
      <c r="Z410" s="42" t="str">
        <f>IFERROR(VLOOKUP($J410,'Project Reference'!$B$2:$M$41,12)," ")</f>
        <v xml:space="preserve"> </v>
      </c>
      <c r="AA410" s="42" t="str">
        <f>IFERROR(VLOOKUP($J410,'Project Reference'!$B$2:$N$41,13)," ")</f>
        <v xml:space="preserve"> </v>
      </c>
    </row>
    <row r="411" spans="1:27" s="1" customFormat="1" x14ac:dyDescent="0.45">
      <c r="A411" s="43"/>
      <c r="B411" s="205"/>
      <c r="C411"/>
      <c r="D411" s="72"/>
      <c r="E411" s="72"/>
      <c r="F411" s="72"/>
      <c r="G411" s="72"/>
      <c r="H411" s="17"/>
      <c r="I411" s="41" t="str" cm="1">
        <f t="array" ref="I411">IFERROR(_xlfn.IFS(H411="Hard (Cash)","N/A",H411="Soft (In-Kind)", "Enter Source"),"Select Type")</f>
        <v>Select Type</v>
      </c>
      <c r="J411" s="124"/>
      <c r="K411" s="41" t="str">
        <f>IFERROR(VLOOKUP($J411,'Project Reference'!$S$2:$T$41,2),"Enter Project Number")</f>
        <v>Enter Project Number</v>
      </c>
      <c r="L411" s="41"/>
      <c r="M411" s="41"/>
      <c r="N411" s="15">
        <f t="shared" si="6"/>
        <v>0</v>
      </c>
      <c r="O411" s="19"/>
      <c r="P411" s="42" t="str">
        <f>IFERROR(VLOOKUP($J411,'Project Reference'!$B$2:$C$41,2)," ")</f>
        <v xml:space="preserve"> </v>
      </c>
      <c r="Q411" s="42" t="str">
        <f>IFERROR(VLOOKUP($J411,'Project Reference'!$B$2:$D$41,3)," ")</f>
        <v xml:space="preserve"> </v>
      </c>
      <c r="R411" s="42" t="str">
        <f>IFERROR(VLOOKUP($J411,'Project Reference'!$B$2:$E$41,4)," ")</f>
        <v xml:space="preserve"> </v>
      </c>
      <c r="S411" s="42" t="str">
        <f>IFERROR(VLOOKUP($J411,'Project Reference'!$B$2:$F$41,5,FALSE)," ")</f>
        <v xml:space="preserve"> </v>
      </c>
      <c r="T411" s="42" t="str">
        <f>IFERROR(VLOOKUP($J411,'Project Reference'!$B$2:$G$41,6,FALSE)," ")</f>
        <v xml:space="preserve"> </v>
      </c>
      <c r="U411" s="42" t="str">
        <f>IFERROR(VLOOKUP($J411,'Project Reference'!$B$2:$H$41,7,FALSE)," ")</f>
        <v xml:space="preserve"> </v>
      </c>
      <c r="V411" s="42" t="str">
        <f>IFERROR(VLOOKUP($J411,'Project Reference'!$B$2:$I$41,8,FALSE)," ")</f>
        <v xml:space="preserve"> </v>
      </c>
      <c r="W411" s="42" t="str">
        <f>IFERROR(VLOOKUP($J411,'Project Reference'!$B$2:$J$41,9,FALSE)," ")</f>
        <v xml:space="preserve"> </v>
      </c>
      <c r="X411" s="42" t="str">
        <f>IFERROR(VLOOKUP($J411,'Project Reference'!$B$2:$K$41,10)," ")</f>
        <v xml:space="preserve"> </v>
      </c>
      <c r="Y411" s="42" t="str">
        <f>IFERROR(VLOOKUP($J411,'Project Reference'!$B$2:$L$41,11)," ")</f>
        <v xml:space="preserve"> </v>
      </c>
      <c r="Z411" s="42" t="str">
        <f>IFERROR(VLOOKUP($J411,'Project Reference'!$B$2:$M$41,12)," ")</f>
        <v xml:space="preserve"> </v>
      </c>
      <c r="AA411" s="42" t="str">
        <f>IFERROR(VLOOKUP($J411,'Project Reference'!$B$2:$N$41,13)," ")</f>
        <v xml:space="preserve"> </v>
      </c>
    </row>
    <row r="412" spans="1:27" s="1" customFormat="1" x14ac:dyDescent="0.45">
      <c r="A412" s="43"/>
      <c r="B412" s="205"/>
      <c r="C412"/>
      <c r="D412" s="72"/>
      <c r="E412" s="72"/>
      <c r="F412" s="72"/>
      <c r="G412" s="72"/>
      <c r="H412" s="17"/>
      <c r="I412" s="41" t="str" cm="1">
        <f t="array" ref="I412">IFERROR(_xlfn.IFS(H412="Hard (Cash)","N/A",H412="Soft (In-Kind)", "Enter Source"),"Select Type")</f>
        <v>Select Type</v>
      </c>
      <c r="J412" s="124"/>
      <c r="K412" s="41" t="str">
        <f>IFERROR(VLOOKUP($J412,'Project Reference'!$S$2:$T$41,2),"Enter Project Number")</f>
        <v>Enter Project Number</v>
      </c>
      <c r="L412" s="41"/>
      <c r="M412" s="41"/>
      <c r="N412" s="15">
        <f t="shared" si="6"/>
        <v>0</v>
      </c>
      <c r="O412" s="19"/>
      <c r="P412" s="42" t="str">
        <f>IFERROR(VLOOKUP($J412,'Project Reference'!$B$2:$C$41,2)," ")</f>
        <v xml:space="preserve"> </v>
      </c>
      <c r="Q412" s="42" t="str">
        <f>IFERROR(VLOOKUP($J412,'Project Reference'!$B$2:$D$41,3)," ")</f>
        <v xml:space="preserve"> </v>
      </c>
      <c r="R412" s="42" t="str">
        <f>IFERROR(VLOOKUP($J412,'Project Reference'!$B$2:$E$41,4)," ")</f>
        <v xml:space="preserve"> </v>
      </c>
      <c r="S412" s="42" t="str">
        <f>IFERROR(VLOOKUP($J412,'Project Reference'!$B$2:$F$41,5,FALSE)," ")</f>
        <v xml:space="preserve"> </v>
      </c>
      <c r="T412" s="42" t="str">
        <f>IFERROR(VLOOKUP($J412,'Project Reference'!$B$2:$G$41,6,FALSE)," ")</f>
        <v xml:space="preserve"> </v>
      </c>
      <c r="U412" s="42" t="str">
        <f>IFERROR(VLOOKUP($J412,'Project Reference'!$B$2:$H$41,7,FALSE)," ")</f>
        <v xml:space="preserve"> </v>
      </c>
      <c r="V412" s="42" t="str">
        <f>IFERROR(VLOOKUP($J412,'Project Reference'!$B$2:$I$41,8,FALSE)," ")</f>
        <v xml:space="preserve"> </v>
      </c>
      <c r="W412" s="42" t="str">
        <f>IFERROR(VLOOKUP($J412,'Project Reference'!$B$2:$J$41,9,FALSE)," ")</f>
        <v xml:space="preserve"> </v>
      </c>
      <c r="X412" s="42" t="str">
        <f>IFERROR(VLOOKUP($J412,'Project Reference'!$B$2:$K$41,10)," ")</f>
        <v xml:space="preserve"> </v>
      </c>
      <c r="Y412" s="42" t="str">
        <f>IFERROR(VLOOKUP($J412,'Project Reference'!$B$2:$L$41,11)," ")</f>
        <v xml:space="preserve"> </v>
      </c>
      <c r="Z412" s="42" t="str">
        <f>IFERROR(VLOOKUP($J412,'Project Reference'!$B$2:$M$41,12)," ")</f>
        <v xml:space="preserve"> </v>
      </c>
      <c r="AA412" s="42" t="str">
        <f>IFERROR(VLOOKUP($J412,'Project Reference'!$B$2:$N$41,13)," ")</f>
        <v xml:space="preserve"> </v>
      </c>
    </row>
    <row r="413" spans="1:27" s="1" customFormat="1" x14ac:dyDescent="0.45">
      <c r="A413" s="43"/>
      <c r="B413" s="205"/>
      <c r="C413"/>
      <c r="D413" s="72"/>
      <c r="E413" s="72"/>
      <c r="F413" s="72"/>
      <c r="G413" s="72"/>
      <c r="H413" s="17"/>
      <c r="I413" s="41" t="str" cm="1">
        <f t="array" ref="I413">IFERROR(_xlfn.IFS(H413="Hard (Cash)","N/A",H413="Soft (In-Kind)", "Enter Source"),"Select Type")</f>
        <v>Select Type</v>
      </c>
      <c r="J413" s="124"/>
      <c r="K413" s="41" t="str">
        <f>IFERROR(VLOOKUP($J413,'Project Reference'!$S$2:$T$41,2),"Enter Project Number")</f>
        <v>Enter Project Number</v>
      </c>
      <c r="L413" s="41"/>
      <c r="M413" s="41"/>
      <c r="N413" s="15">
        <f t="shared" si="6"/>
        <v>0</v>
      </c>
      <c r="O413" s="19"/>
      <c r="P413" s="42" t="str">
        <f>IFERROR(VLOOKUP($J413,'Project Reference'!$B$2:$C$41,2)," ")</f>
        <v xml:space="preserve"> </v>
      </c>
      <c r="Q413" s="42" t="str">
        <f>IFERROR(VLOOKUP($J413,'Project Reference'!$B$2:$D$41,3)," ")</f>
        <v xml:space="preserve"> </v>
      </c>
      <c r="R413" s="42" t="str">
        <f>IFERROR(VLOOKUP($J413,'Project Reference'!$B$2:$E$41,4)," ")</f>
        <v xml:space="preserve"> </v>
      </c>
      <c r="S413" s="42" t="str">
        <f>IFERROR(VLOOKUP($J413,'Project Reference'!$B$2:$F$41,5,FALSE)," ")</f>
        <v xml:space="preserve"> </v>
      </c>
      <c r="T413" s="42" t="str">
        <f>IFERROR(VLOOKUP($J413,'Project Reference'!$B$2:$G$41,6,FALSE)," ")</f>
        <v xml:space="preserve"> </v>
      </c>
      <c r="U413" s="42" t="str">
        <f>IFERROR(VLOOKUP($J413,'Project Reference'!$B$2:$H$41,7,FALSE)," ")</f>
        <v xml:space="preserve"> </v>
      </c>
      <c r="V413" s="42" t="str">
        <f>IFERROR(VLOOKUP($J413,'Project Reference'!$B$2:$I$41,8,FALSE)," ")</f>
        <v xml:space="preserve"> </v>
      </c>
      <c r="W413" s="42" t="str">
        <f>IFERROR(VLOOKUP($J413,'Project Reference'!$B$2:$J$41,9,FALSE)," ")</f>
        <v xml:space="preserve"> </v>
      </c>
      <c r="X413" s="42" t="str">
        <f>IFERROR(VLOOKUP($J413,'Project Reference'!$B$2:$K$41,10)," ")</f>
        <v xml:space="preserve"> </v>
      </c>
      <c r="Y413" s="42" t="str">
        <f>IFERROR(VLOOKUP($J413,'Project Reference'!$B$2:$L$41,11)," ")</f>
        <v xml:space="preserve"> </v>
      </c>
      <c r="Z413" s="42" t="str">
        <f>IFERROR(VLOOKUP($J413,'Project Reference'!$B$2:$M$41,12)," ")</f>
        <v xml:space="preserve"> </v>
      </c>
      <c r="AA413" s="42" t="str">
        <f>IFERROR(VLOOKUP($J413,'Project Reference'!$B$2:$N$41,13)," ")</f>
        <v xml:space="preserve"> </v>
      </c>
    </row>
    <row r="414" spans="1:27" s="1" customFormat="1" x14ac:dyDescent="0.45">
      <c r="A414" s="43"/>
      <c r="B414" s="205"/>
      <c r="C414"/>
      <c r="D414" s="72"/>
      <c r="E414" s="72"/>
      <c r="F414" s="72"/>
      <c r="G414" s="72"/>
      <c r="H414" s="17"/>
      <c r="I414" s="41" t="str" cm="1">
        <f t="array" ref="I414">IFERROR(_xlfn.IFS(H414="Hard (Cash)","N/A",H414="Soft (In-Kind)", "Enter Source"),"Select Type")</f>
        <v>Select Type</v>
      </c>
      <c r="J414" s="124"/>
      <c r="K414" s="41" t="str">
        <f>IFERROR(VLOOKUP($J414,'Project Reference'!$S$2:$T$41,2),"Enter Project Number")</f>
        <v>Enter Project Number</v>
      </c>
      <c r="L414" s="41"/>
      <c r="M414" s="41"/>
      <c r="N414" s="15">
        <f t="shared" si="6"/>
        <v>0</v>
      </c>
      <c r="O414" s="19"/>
      <c r="P414" s="42" t="str">
        <f>IFERROR(VLOOKUP($J414,'Project Reference'!$B$2:$C$41,2)," ")</f>
        <v xml:space="preserve"> </v>
      </c>
      <c r="Q414" s="42" t="str">
        <f>IFERROR(VLOOKUP($J414,'Project Reference'!$B$2:$D$41,3)," ")</f>
        <v xml:space="preserve"> </v>
      </c>
      <c r="R414" s="42" t="str">
        <f>IFERROR(VLOOKUP($J414,'Project Reference'!$B$2:$E$41,4)," ")</f>
        <v xml:space="preserve"> </v>
      </c>
      <c r="S414" s="42" t="str">
        <f>IFERROR(VLOOKUP($J414,'Project Reference'!$B$2:$F$41,5,FALSE)," ")</f>
        <v xml:space="preserve"> </v>
      </c>
      <c r="T414" s="42" t="str">
        <f>IFERROR(VLOOKUP($J414,'Project Reference'!$B$2:$G$41,6,FALSE)," ")</f>
        <v xml:space="preserve"> </v>
      </c>
      <c r="U414" s="42" t="str">
        <f>IFERROR(VLOOKUP($J414,'Project Reference'!$B$2:$H$41,7,FALSE)," ")</f>
        <v xml:space="preserve"> </v>
      </c>
      <c r="V414" s="42" t="str">
        <f>IFERROR(VLOOKUP($J414,'Project Reference'!$B$2:$I$41,8,FALSE)," ")</f>
        <v xml:space="preserve"> </v>
      </c>
      <c r="W414" s="42" t="str">
        <f>IFERROR(VLOOKUP($J414,'Project Reference'!$B$2:$J$41,9,FALSE)," ")</f>
        <v xml:space="preserve"> </v>
      </c>
      <c r="X414" s="42" t="str">
        <f>IFERROR(VLOOKUP($J414,'Project Reference'!$B$2:$K$41,10)," ")</f>
        <v xml:space="preserve"> </v>
      </c>
      <c r="Y414" s="42" t="str">
        <f>IFERROR(VLOOKUP($J414,'Project Reference'!$B$2:$L$41,11)," ")</f>
        <v xml:space="preserve"> </v>
      </c>
      <c r="Z414" s="42" t="str">
        <f>IFERROR(VLOOKUP($J414,'Project Reference'!$B$2:$M$41,12)," ")</f>
        <v xml:space="preserve"> </v>
      </c>
      <c r="AA414" s="42" t="str">
        <f>IFERROR(VLOOKUP($J414,'Project Reference'!$B$2:$N$41,13)," ")</f>
        <v xml:space="preserve"> </v>
      </c>
    </row>
    <row r="415" spans="1:27" s="1" customFormat="1" x14ac:dyDescent="0.45">
      <c r="A415" s="43"/>
      <c r="B415" s="205"/>
      <c r="C415"/>
      <c r="D415" s="72"/>
      <c r="E415" s="72"/>
      <c r="F415" s="72"/>
      <c r="G415" s="72"/>
      <c r="H415" s="17"/>
      <c r="I415" s="41" t="str" cm="1">
        <f t="array" ref="I415">IFERROR(_xlfn.IFS(H415="Hard (Cash)","N/A",H415="Soft (In-Kind)", "Enter Source"),"Select Type")</f>
        <v>Select Type</v>
      </c>
      <c r="J415" s="124"/>
      <c r="K415" s="41" t="str">
        <f>IFERROR(VLOOKUP($J415,'Project Reference'!$S$2:$T$41,2),"Enter Project Number")</f>
        <v>Enter Project Number</v>
      </c>
      <c r="L415" s="41"/>
      <c r="M415" s="41"/>
      <c r="N415" s="15">
        <f t="shared" si="6"/>
        <v>0</v>
      </c>
      <c r="O415" s="19"/>
      <c r="P415" s="42" t="str">
        <f>IFERROR(VLOOKUP($J415,'Project Reference'!$B$2:$C$41,2)," ")</f>
        <v xml:space="preserve"> </v>
      </c>
      <c r="Q415" s="42" t="str">
        <f>IFERROR(VLOOKUP($J415,'Project Reference'!$B$2:$D$41,3)," ")</f>
        <v xml:space="preserve"> </v>
      </c>
      <c r="R415" s="42" t="str">
        <f>IFERROR(VLOOKUP($J415,'Project Reference'!$B$2:$E$41,4)," ")</f>
        <v xml:space="preserve"> </v>
      </c>
      <c r="S415" s="42" t="str">
        <f>IFERROR(VLOOKUP($J415,'Project Reference'!$B$2:$F$41,5,FALSE)," ")</f>
        <v xml:space="preserve"> </v>
      </c>
      <c r="T415" s="42" t="str">
        <f>IFERROR(VLOOKUP($J415,'Project Reference'!$B$2:$G$41,6,FALSE)," ")</f>
        <v xml:space="preserve"> </v>
      </c>
      <c r="U415" s="42" t="str">
        <f>IFERROR(VLOOKUP($J415,'Project Reference'!$B$2:$H$41,7,FALSE)," ")</f>
        <v xml:space="preserve"> </v>
      </c>
      <c r="V415" s="42" t="str">
        <f>IFERROR(VLOOKUP($J415,'Project Reference'!$B$2:$I$41,8,FALSE)," ")</f>
        <v xml:space="preserve"> </v>
      </c>
      <c r="W415" s="42" t="str">
        <f>IFERROR(VLOOKUP($J415,'Project Reference'!$B$2:$J$41,9,FALSE)," ")</f>
        <v xml:space="preserve"> </v>
      </c>
      <c r="X415" s="42" t="str">
        <f>IFERROR(VLOOKUP($J415,'Project Reference'!$B$2:$K$41,10)," ")</f>
        <v xml:space="preserve"> </v>
      </c>
      <c r="Y415" s="42" t="str">
        <f>IFERROR(VLOOKUP($J415,'Project Reference'!$B$2:$L$41,11)," ")</f>
        <v xml:space="preserve"> </v>
      </c>
      <c r="Z415" s="42" t="str">
        <f>IFERROR(VLOOKUP($J415,'Project Reference'!$B$2:$M$41,12)," ")</f>
        <v xml:space="preserve"> </v>
      </c>
      <c r="AA415" s="42" t="str">
        <f>IFERROR(VLOOKUP($J415,'Project Reference'!$B$2:$N$41,13)," ")</f>
        <v xml:space="preserve"> </v>
      </c>
    </row>
    <row r="416" spans="1:27" s="1" customFormat="1" x14ac:dyDescent="0.45">
      <c r="A416" s="43"/>
      <c r="B416" s="205"/>
      <c r="C416"/>
      <c r="D416" s="72"/>
      <c r="E416" s="72"/>
      <c r="F416" s="72"/>
      <c r="G416" s="72"/>
      <c r="H416" s="17"/>
      <c r="I416" s="41" t="str" cm="1">
        <f t="array" ref="I416">IFERROR(_xlfn.IFS(H416="Hard (Cash)","N/A",H416="Soft (In-Kind)", "Enter Source"),"Select Type")</f>
        <v>Select Type</v>
      </c>
      <c r="J416" s="124"/>
      <c r="K416" s="41" t="str">
        <f>IFERROR(VLOOKUP($J416,'Project Reference'!$S$2:$T$41,2),"Enter Project Number")</f>
        <v>Enter Project Number</v>
      </c>
      <c r="L416" s="41"/>
      <c r="M416" s="41"/>
      <c r="N416" s="15">
        <f t="shared" si="6"/>
        <v>0</v>
      </c>
      <c r="O416" s="19"/>
      <c r="P416" s="42" t="str">
        <f>IFERROR(VLOOKUP($J416,'Project Reference'!$B$2:$C$41,2)," ")</f>
        <v xml:space="preserve"> </v>
      </c>
      <c r="Q416" s="42" t="str">
        <f>IFERROR(VLOOKUP($J416,'Project Reference'!$B$2:$D$41,3)," ")</f>
        <v xml:space="preserve"> </v>
      </c>
      <c r="R416" s="42" t="str">
        <f>IFERROR(VLOOKUP($J416,'Project Reference'!$B$2:$E$41,4)," ")</f>
        <v xml:space="preserve"> </v>
      </c>
      <c r="S416" s="42" t="str">
        <f>IFERROR(VLOOKUP($J416,'Project Reference'!$B$2:$F$41,5,FALSE)," ")</f>
        <v xml:space="preserve"> </v>
      </c>
      <c r="T416" s="42" t="str">
        <f>IFERROR(VLOOKUP($J416,'Project Reference'!$B$2:$G$41,6,FALSE)," ")</f>
        <v xml:space="preserve"> </v>
      </c>
      <c r="U416" s="42" t="str">
        <f>IFERROR(VLOOKUP($J416,'Project Reference'!$B$2:$H$41,7,FALSE)," ")</f>
        <v xml:space="preserve"> </v>
      </c>
      <c r="V416" s="42" t="str">
        <f>IFERROR(VLOOKUP($J416,'Project Reference'!$B$2:$I$41,8,FALSE)," ")</f>
        <v xml:space="preserve"> </v>
      </c>
      <c r="W416" s="42" t="str">
        <f>IFERROR(VLOOKUP($J416,'Project Reference'!$B$2:$J$41,9,FALSE)," ")</f>
        <v xml:space="preserve"> </v>
      </c>
      <c r="X416" s="42" t="str">
        <f>IFERROR(VLOOKUP($J416,'Project Reference'!$B$2:$K$41,10)," ")</f>
        <v xml:space="preserve"> </v>
      </c>
      <c r="Y416" s="42" t="str">
        <f>IFERROR(VLOOKUP($J416,'Project Reference'!$B$2:$L$41,11)," ")</f>
        <v xml:space="preserve"> </v>
      </c>
      <c r="Z416" s="42" t="str">
        <f>IFERROR(VLOOKUP($J416,'Project Reference'!$B$2:$M$41,12)," ")</f>
        <v xml:space="preserve"> </v>
      </c>
      <c r="AA416" s="42" t="str">
        <f>IFERROR(VLOOKUP($J416,'Project Reference'!$B$2:$N$41,13)," ")</f>
        <v xml:space="preserve"> </v>
      </c>
    </row>
    <row r="417" spans="1:27" s="1" customFormat="1" x14ac:dyDescent="0.45">
      <c r="A417" s="43"/>
      <c r="B417" s="205"/>
      <c r="C417"/>
      <c r="D417" s="72"/>
      <c r="E417" s="72"/>
      <c r="F417" s="72"/>
      <c r="G417" s="72"/>
      <c r="H417" s="17"/>
      <c r="I417" s="41" t="str" cm="1">
        <f t="array" ref="I417">IFERROR(_xlfn.IFS(H417="Hard (Cash)","N/A",H417="Soft (In-Kind)", "Enter Source"),"Select Type")</f>
        <v>Select Type</v>
      </c>
      <c r="J417" s="124"/>
      <c r="K417" s="41" t="str">
        <f>IFERROR(VLOOKUP($J417,'Project Reference'!$S$2:$T$41,2),"Enter Project Number")</f>
        <v>Enter Project Number</v>
      </c>
      <c r="L417" s="41"/>
      <c r="M417" s="41"/>
      <c r="N417" s="15">
        <f t="shared" si="6"/>
        <v>0</v>
      </c>
      <c r="O417" s="19"/>
      <c r="P417" s="42" t="str">
        <f>IFERROR(VLOOKUP($J417,'Project Reference'!$B$2:$C$41,2)," ")</f>
        <v xml:space="preserve"> </v>
      </c>
      <c r="Q417" s="42" t="str">
        <f>IFERROR(VLOOKUP($J417,'Project Reference'!$B$2:$D$41,3)," ")</f>
        <v xml:space="preserve"> </v>
      </c>
      <c r="R417" s="42" t="str">
        <f>IFERROR(VLOOKUP($J417,'Project Reference'!$B$2:$E$41,4)," ")</f>
        <v xml:space="preserve"> </v>
      </c>
      <c r="S417" s="42" t="str">
        <f>IFERROR(VLOOKUP($J417,'Project Reference'!$B$2:$F$41,5,FALSE)," ")</f>
        <v xml:space="preserve"> </v>
      </c>
      <c r="T417" s="42" t="str">
        <f>IFERROR(VLOOKUP($J417,'Project Reference'!$B$2:$G$41,6,FALSE)," ")</f>
        <v xml:space="preserve"> </v>
      </c>
      <c r="U417" s="42" t="str">
        <f>IFERROR(VLOOKUP($J417,'Project Reference'!$B$2:$H$41,7,FALSE)," ")</f>
        <v xml:space="preserve"> </v>
      </c>
      <c r="V417" s="42" t="str">
        <f>IFERROR(VLOOKUP($J417,'Project Reference'!$B$2:$I$41,8,FALSE)," ")</f>
        <v xml:space="preserve"> </v>
      </c>
      <c r="W417" s="42" t="str">
        <f>IFERROR(VLOOKUP($J417,'Project Reference'!$B$2:$J$41,9,FALSE)," ")</f>
        <v xml:space="preserve"> </v>
      </c>
      <c r="X417" s="42" t="str">
        <f>IFERROR(VLOOKUP($J417,'Project Reference'!$B$2:$K$41,10)," ")</f>
        <v xml:space="preserve"> </v>
      </c>
      <c r="Y417" s="42" t="str">
        <f>IFERROR(VLOOKUP($J417,'Project Reference'!$B$2:$L$41,11)," ")</f>
        <v xml:space="preserve"> </v>
      </c>
      <c r="Z417" s="42" t="str">
        <f>IFERROR(VLOOKUP($J417,'Project Reference'!$B$2:$M$41,12)," ")</f>
        <v xml:space="preserve"> </v>
      </c>
      <c r="AA417" s="42" t="str">
        <f>IFERROR(VLOOKUP($J417,'Project Reference'!$B$2:$N$41,13)," ")</f>
        <v xml:space="preserve"> </v>
      </c>
    </row>
    <row r="418" spans="1:27" s="1" customFormat="1" x14ac:dyDescent="0.45">
      <c r="A418" s="43"/>
      <c r="B418" s="205"/>
      <c r="C418"/>
      <c r="D418" s="72"/>
      <c r="E418" s="72"/>
      <c r="F418" s="72"/>
      <c r="G418" s="72"/>
      <c r="H418" s="17"/>
      <c r="I418" s="41" t="str" cm="1">
        <f t="array" ref="I418">IFERROR(_xlfn.IFS(H418="Hard (Cash)","N/A",H418="Soft (In-Kind)", "Enter Source"),"Select Type")</f>
        <v>Select Type</v>
      </c>
      <c r="J418" s="124"/>
      <c r="K418" s="41" t="str">
        <f>IFERROR(VLOOKUP($J418,'Project Reference'!$S$2:$T$41,2),"Enter Project Number")</f>
        <v>Enter Project Number</v>
      </c>
      <c r="L418" s="41"/>
      <c r="M418" s="41"/>
      <c r="N418" s="15">
        <f t="shared" si="6"/>
        <v>0</v>
      </c>
      <c r="O418" s="19"/>
      <c r="P418" s="42" t="str">
        <f>IFERROR(VLOOKUP($J418,'Project Reference'!$B$2:$C$41,2)," ")</f>
        <v xml:space="preserve"> </v>
      </c>
      <c r="Q418" s="42" t="str">
        <f>IFERROR(VLOOKUP($J418,'Project Reference'!$B$2:$D$41,3)," ")</f>
        <v xml:space="preserve"> </v>
      </c>
      <c r="R418" s="42" t="str">
        <f>IFERROR(VLOOKUP($J418,'Project Reference'!$B$2:$E$41,4)," ")</f>
        <v xml:space="preserve"> </v>
      </c>
      <c r="S418" s="42" t="str">
        <f>IFERROR(VLOOKUP($J418,'Project Reference'!$B$2:$F$41,5,FALSE)," ")</f>
        <v xml:space="preserve"> </v>
      </c>
      <c r="T418" s="42" t="str">
        <f>IFERROR(VLOOKUP($J418,'Project Reference'!$B$2:$G$41,6,FALSE)," ")</f>
        <v xml:space="preserve"> </v>
      </c>
      <c r="U418" s="42" t="str">
        <f>IFERROR(VLOOKUP($J418,'Project Reference'!$B$2:$H$41,7,FALSE)," ")</f>
        <v xml:space="preserve"> </v>
      </c>
      <c r="V418" s="42" t="str">
        <f>IFERROR(VLOOKUP($J418,'Project Reference'!$B$2:$I$41,8,FALSE)," ")</f>
        <v xml:space="preserve"> </v>
      </c>
      <c r="W418" s="42" t="str">
        <f>IFERROR(VLOOKUP($J418,'Project Reference'!$B$2:$J$41,9,FALSE)," ")</f>
        <v xml:space="preserve"> </v>
      </c>
      <c r="X418" s="42" t="str">
        <f>IFERROR(VLOOKUP($J418,'Project Reference'!$B$2:$K$41,10)," ")</f>
        <v xml:space="preserve"> </v>
      </c>
      <c r="Y418" s="42" t="str">
        <f>IFERROR(VLOOKUP($J418,'Project Reference'!$B$2:$L$41,11)," ")</f>
        <v xml:space="preserve"> </v>
      </c>
      <c r="Z418" s="42" t="str">
        <f>IFERROR(VLOOKUP($J418,'Project Reference'!$B$2:$M$41,12)," ")</f>
        <v xml:space="preserve"> </v>
      </c>
      <c r="AA418" s="42" t="str">
        <f>IFERROR(VLOOKUP($J418,'Project Reference'!$B$2:$N$41,13)," ")</f>
        <v xml:space="preserve"> </v>
      </c>
    </row>
    <row r="419" spans="1:27" s="1" customFormat="1" x14ac:dyDescent="0.45">
      <c r="A419" s="43"/>
      <c r="B419" s="205"/>
      <c r="C419"/>
      <c r="D419" s="72"/>
      <c r="E419" s="72"/>
      <c r="F419" s="72"/>
      <c r="G419" s="72"/>
      <c r="H419" s="17"/>
      <c r="I419" s="41" t="str" cm="1">
        <f t="array" ref="I419">IFERROR(_xlfn.IFS(H419="Hard (Cash)","N/A",H419="Soft (In-Kind)", "Enter Source"),"Select Type")</f>
        <v>Select Type</v>
      </c>
      <c r="J419" s="124"/>
      <c r="K419" s="41" t="str">
        <f>IFERROR(VLOOKUP($J419,'Project Reference'!$S$2:$T$41,2),"Enter Project Number")</f>
        <v>Enter Project Number</v>
      </c>
      <c r="L419" s="41"/>
      <c r="M419" s="41"/>
      <c r="N419" s="15">
        <f t="shared" si="6"/>
        <v>0</v>
      </c>
      <c r="O419" s="19"/>
      <c r="P419" s="42" t="str">
        <f>IFERROR(VLOOKUP($J419,'Project Reference'!$B$2:$C$41,2)," ")</f>
        <v xml:space="preserve"> </v>
      </c>
      <c r="Q419" s="42" t="str">
        <f>IFERROR(VLOOKUP($J419,'Project Reference'!$B$2:$D$41,3)," ")</f>
        <v xml:space="preserve"> </v>
      </c>
      <c r="R419" s="42" t="str">
        <f>IFERROR(VLOOKUP($J419,'Project Reference'!$B$2:$E$41,4)," ")</f>
        <v xml:space="preserve"> </v>
      </c>
      <c r="S419" s="42" t="str">
        <f>IFERROR(VLOOKUP($J419,'Project Reference'!$B$2:$F$41,5,FALSE)," ")</f>
        <v xml:space="preserve"> </v>
      </c>
      <c r="T419" s="42" t="str">
        <f>IFERROR(VLOOKUP($J419,'Project Reference'!$B$2:$G$41,6,FALSE)," ")</f>
        <v xml:space="preserve"> </v>
      </c>
      <c r="U419" s="42" t="str">
        <f>IFERROR(VLOOKUP($J419,'Project Reference'!$B$2:$H$41,7,FALSE)," ")</f>
        <v xml:space="preserve"> </v>
      </c>
      <c r="V419" s="42" t="str">
        <f>IFERROR(VLOOKUP($J419,'Project Reference'!$B$2:$I$41,8,FALSE)," ")</f>
        <v xml:space="preserve"> </v>
      </c>
      <c r="W419" s="42" t="str">
        <f>IFERROR(VLOOKUP($J419,'Project Reference'!$B$2:$J$41,9,FALSE)," ")</f>
        <v xml:space="preserve"> </v>
      </c>
      <c r="X419" s="42" t="str">
        <f>IFERROR(VLOOKUP($J419,'Project Reference'!$B$2:$K$41,10)," ")</f>
        <v xml:space="preserve"> </v>
      </c>
      <c r="Y419" s="42" t="str">
        <f>IFERROR(VLOOKUP($J419,'Project Reference'!$B$2:$L$41,11)," ")</f>
        <v xml:space="preserve"> </v>
      </c>
      <c r="Z419" s="42" t="str">
        <f>IFERROR(VLOOKUP($J419,'Project Reference'!$B$2:$M$41,12)," ")</f>
        <v xml:space="preserve"> </v>
      </c>
      <c r="AA419" s="42" t="str">
        <f>IFERROR(VLOOKUP($J419,'Project Reference'!$B$2:$N$41,13)," ")</f>
        <v xml:space="preserve"> </v>
      </c>
    </row>
    <row r="420" spans="1:27" s="1" customFormat="1" x14ac:dyDescent="0.45">
      <c r="A420" s="43"/>
      <c r="B420" s="205"/>
      <c r="C420"/>
      <c r="D420" s="72"/>
      <c r="E420" s="72"/>
      <c r="F420" s="72"/>
      <c r="G420" s="72"/>
      <c r="H420" s="17"/>
      <c r="I420" s="41" t="str" cm="1">
        <f t="array" ref="I420">IFERROR(_xlfn.IFS(H420="Hard (Cash)","N/A",H420="Soft (In-Kind)", "Enter Source"),"Select Type")</f>
        <v>Select Type</v>
      </c>
      <c r="J420" s="124"/>
      <c r="K420" s="41" t="str">
        <f>IFERROR(VLOOKUP($J420,'Project Reference'!$S$2:$T$41,2),"Enter Project Number")</f>
        <v>Enter Project Number</v>
      </c>
      <c r="L420" s="41"/>
      <c r="M420" s="41"/>
      <c r="N420" s="15">
        <f t="shared" si="6"/>
        <v>0</v>
      </c>
      <c r="O420" s="19"/>
      <c r="P420" s="42" t="str">
        <f>IFERROR(VLOOKUP($J420,'Project Reference'!$B$2:$C$41,2)," ")</f>
        <v xml:space="preserve"> </v>
      </c>
      <c r="Q420" s="42" t="str">
        <f>IFERROR(VLOOKUP($J420,'Project Reference'!$B$2:$D$41,3)," ")</f>
        <v xml:space="preserve"> </v>
      </c>
      <c r="R420" s="42" t="str">
        <f>IFERROR(VLOOKUP($J420,'Project Reference'!$B$2:$E$41,4)," ")</f>
        <v xml:space="preserve"> </v>
      </c>
      <c r="S420" s="42" t="str">
        <f>IFERROR(VLOOKUP($J420,'Project Reference'!$B$2:$F$41,5,FALSE)," ")</f>
        <v xml:space="preserve"> </v>
      </c>
      <c r="T420" s="42" t="str">
        <f>IFERROR(VLOOKUP($J420,'Project Reference'!$B$2:$G$41,6,FALSE)," ")</f>
        <v xml:space="preserve"> </v>
      </c>
      <c r="U420" s="42" t="str">
        <f>IFERROR(VLOOKUP($J420,'Project Reference'!$B$2:$H$41,7,FALSE)," ")</f>
        <v xml:space="preserve"> </v>
      </c>
      <c r="V420" s="42" t="str">
        <f>IFERROR(VLOOKUP($J420,'Project Reference'!$B$2:$I$41,8,FALSE)," ")</f>
        <v xml:space="preserve"> </v>
      </c>
      <c r="W420" s="42" t="str">
        <f>IFERROR(VLOOKUP($J420,'Project Reference'!$B$2:$J$41,9,FALSE)," ")</f>
        <v xml:space="preserve"> </v>
      </c>
      <c r="X420" s="42" t="str">
        <f>IFERROR(VLOOKUP($J420,'Project Reference'!$B$2:$K$41,10)," ")</f>
        <v xml:space="preserve"> </v>
      </c>
      <c r="Y420" s="42" t="str">
        <f>IFERROR(VLOOKUP($J420,'Project Reference'!$B$2:$L$41,11)," ")</f>
        <v xml:space="preserve"> </v>
      </c>
      <c r="Z420" s="42" t="str">
        <f>IFERROR(VLOOKUP($J420,'Project Reference'!$B$2:$M$41,12)," ")</f>
        <v xml:space="preserve"> </v>
      </c>
      <c r="AA420" s="42" t="str">
        <f>IFERROR(VLOOKUP($J420,'Project Reference'!$B$2:$N$41,13)," ")</f>
        <v xml:space="preserve"> </v>
      </c>
    </row>
    <row r="421" spans="1:27" s="1" customFormat="1" x14ac:dyDescent="0.45">
      <c r="A421" s="43"/>
      <c r="B421" s="205"/>
      <c r="C421"/>
      <c r="D421" s="72"/>
      <c r="E421" s="72"/>
      <c r="F421" s="72"/>
      <c r="G421" s="72"/>
      <c r="H421" s="17"/>
      <c r="I421" s="41" t="str" cm="1">
        <f t="array" ref="I421">IFERROR(_xlfn.IFS(H421="Hard (Cash)","N/A",H421="Soft (In-Kind)", "Enter Source"),"Select Type")</f>
        <v>Select Type</v>
      </c>
      <c r="J421" s="124"/>
      <c r="K421" s="41" t="str">
        <f>IFERROR(VLOOKUP($J421,'Project Reference'!$S$2:$T$41,2),"Enter Project Number")</f>
        <v>Enter Project Number</v>
      </c>
      <c r="L421" s="41"/>
      <c r="M421" s="41"/>
      <c r="N421" s="15">
        <f t="shared" si="6"/>
        <v>0</v>
      </c>
      <c r="O421" s="19"/>
      <c r="P421" s="42" t="str">
        <f>IFERROR(VLOOKUP($J421,'Project Reference'!$B$2:$C$41,2)," ")</f>
        <v xml:space="preserve"> </v>
      </c>
      <c r="Q421" s="42" t="str">
        <f>IFERROR(VLOOKUP($J421,'Project Reference'!$B$2:$D$41,3)," ")</f>
        <v xml:space="preserve"> </v>
      </c>
      <c r="R421" s="42" t="str">
        <f>IFERROR(VLOOKUP($J421,'Project Reference'!$B$2:$E$41,4)," ")</f>
        <v xml:space="preserve"> </v>
      </c>
      <c r="S421" s="42" t="str">
        <f>IFERROR(VLOOKUP($J421,'Project Reference'!$B$2:$F$41,5,FALSE)," ")</f>
        <v xml:space="preserve"> </v>
      </c>
      <c r="T421" s="42" t="str">
        <f>IFERROR(VLOOKUP($J421,'Project Reference'!$B$2:$G$41,6,FALSE)," ")</f>
        <v xml:space="preserve"> </v>
      </c>
      <c r="U421" s="42" t="str">
        <f>IFERROR(VLOOKUP($J421,'Project Reference'!$B$2:$H$41,7,FALSE)," ")</f>
        <v xml:space="preserve"> </v>
      </c>
      <c r="V421" s="42" t="str">
        <f>IFERROR(VLOOKUP($J421,'Project Reference'!$B$2:$I$41,8,FALSE)," ")</f>
        <v xml:space="preserve"> </v>
      </c>
      <c r="W421" s="42" t="str">
        <f>IFERROR(VLOOKUP($J421,'Project Reference'!$B$2:$J$41,9,FALSE)," ")</f>
        <v xml:space="preserve"> </v>
      </c>
      <c r="X421" s="42" t="str">
        <f>IFERROR(VLOOKUP($J421,'Project Reference'!$B$2:$K$41,10)," ")</f>
        <v xml:space="preserve"> </v>
      </c>
      <c r="Y421" s="42" t="str">
        <f>IFERROR(VLOOKUP($J421,'Project Reference'!$B$2:$L$41,11)," ")</f>
        <v xml:space="preserve"> </v>
      </c>
      <c r="Z421" s="42" t="str">
        <f>IFERROR(VLOOKUP($J421,'Project Reference'!$B$2:$M$41,12)," ")</f>
        <v xml:space="preserve"> </v>
      </c>
      <c r="AA421" s="42" t="str">
        <f>IFERROR(VLOOKUP($J421,'Project Reference'!$B$2:$N$41,13)," ")</f>
        <v xml:space="preserve"> </v>
      </c>
    </row>
    <row r="422" spans="1:27" s="1" customFormat="1" x14ac:dyDescent="0.45">
      <c r="A422" s="43"/>
      <c r="B422" s="205"/>
      <c r="C422"/>
      <c r="D422" s="72"/>
      <c r="E422" s="72"/>
      <c r="F422" s="72"/>
      <c r="G422" s="72"/>
      <c r="H422" s="17"/>
      <c r="I422" s="41" t="str" cm="1">
        <f t="array" ref="I422">IFERROR(_xlfn.IFS(H422="Hard (Cash)","N/A",H422="Soft (In-Kind)", "Enter Source"),"Select Type")</f>
        <v>Select Type</v>
      </c>
      <c r="J422" s="124"/>
      <c r="K422" s="41" t="str">
        <f>IFERROR(VLOOKUP($J422,'Project Reference'!$S$2:$T$41,2),"Enter Project Number")</f>
        <v>Enter Project Number</v>
      </c>
      <c r="L422" s="41"/>
      <c r="M422" s="41"/>
      <c r="N422" s="15">
        <f t="shared" si="6"/>
        <v>0</v>
      </c>
      <c r="O422" s="19"/>
      <c r="P422" s="42" t="str">
        <f>IFERROR(VLOOKUP($J422,'Project Reference'!$B$2:$C$41,2)," ")</f>
        <v xml:space="preserve"> </v>
      </c>
      <c r="Q422" s="42" t="str">
        <f>IFERROR(VLOOKUP($J422,'Project Reference'!$B$2:$D$41,3)," ")</f>
        <v xml:space="preserve"> </v>
      </c>
      <c r="R422" s="42" t="str">
        <f>IFERROR(VLOOKUP($J422,'Project Reference'!$B$2:$E$41,4)," ")</f>
        <v xml:space="preserve"> </v>
      </c>
      <c r="S422" s="42" t="str">
        <f>IFERROR(VLOOKUP($J422,'Project Reference'!$B$2:$F$41,5,FALSE)," ")</f>
        <v xml:space="preserve"> </v>
      </c>
      <c r="T422" s="42" t="str">
        <f>IFERROR(VLOOKUP($J422,'Project Reference'!$B$2:$G$41,6,FALSE)," ")</f>
        <v xml:space="preserve"> </v>
      </c>
      <c r="U422" s="42" t="str">
        <f>IFERROR(VLOOKUP($J422,'Project Reference'!$B$2:$H$41,7,FALSE)," ")</f>
        <v xml:space="preserve"> </v>
      </c>
      <c r="V422" s="42" t="str">
        <f>IFERROR(VLOOKUP($J422,'Project Reference'!$B$2:$I$41,8,FALSE)," ")</f>
        <v xml:space="preserve"> </v>
      </c>
      <c r="W422" s="42" t="str">
        <f>IFERROR(VLOOKUP($J422,'Project Reference'!$B$2:$J$41,9,FALSE)," ")</f>
        <v xml:space="preserve"> </v>
      </c>
      <c r="X422" s="42" t="str">
        <f>IFERROR(VLOOKUP($J422,'Project Reference'!$B$2:$K$41,10)," ")</f>
        <v xml:space="preserve"> </v>
      </c>
      <c r="Y422" s="42" t="str">
        <f>IFERROR(VLOOKUP($J422,'Project Reference'!$B$2:$L$41,11)," ")</f>
        <v xml:space="preserve"> </v>
      </c>
      <c r="Z422" s="42" t="str">
        <f>IFERROR(VLOOKUP($J422,'Project Reference'!$B$2:$M$41,12)," ")</f>
        <v xml:space="preserve"> </v>
      </c>
      <c r="AA422" s="42" t="str">
        <f>IFERROR(VLOOKUP($J422,'Project Reference'!$B$2:$N$41,13)," ")</f>
        <v xml:space="preserve"> </v>
      </c>
    </row>
    <row r="423" spans="1:27" s="1" customFormat="1" x14ac:dyDescent="0.45">
      <c r="A423" s="43"/>
      <c r="B423" s="205"/>
      <c r="C423"/>
      <c r="D423" s="72"/>
      <c r="E423" s="72"/>
      <c r="F423" s="72"/>
      <c r="G423" s="72"/>
      <c r="H423" s="17"/>
      <c r="I423" s="41" t="str" cm="1">
        <f t="array" ref="I423">IFERROR(_xlfn.IFS(H423="Hard (Cash)","N/A",H423="Soft (In-Kind)", "Enter Source"),"Select Type")</f>
        <v>Select Type</v>
      </c>
      <c r="J423" s="124"/>
      <c r="K423" s="41" t="str">
        <f>IFERROR(VLOOKUP($J423,'Project Reference'!$S$2:$T$41,2),"Enter Project Number")</f>
        <v>Enter Project Number</v>
      </c>
      <c r="L423" s="41"/>
      <c r="M423" s="41"/>
      <c r="N423" s="15">
        <f t="shared" si="6"/>
        <v>0</v>
      </c>
      <c r="O423" s="19"/>
      <c r="P423" s="42" t="str">
        <f>IFERROR(VLOOKUP($J423,'Project Reference'!$B$2:$C$41,2)," ")</f>
        <v xml:space="preserve"> </v>
      </c>
      <c r="Q423" s="42" t="str">
        <f>IFERROR(VLOOKUP($J423,'Project Reference'!$B$2:$D$41,3)," ")</f>
        <v xml:space="preserve"> </v>
      </c>
      <c r="R423" s="42" t="str">
        <f>IFERROR(VLOOKUP($J423,'Project Reference'!$B$2:$E$41,4)," ")</f>
        <v xml:space="preserve"> </v>
      </c>
      <c r="S423" s="42" t="str">
        <f>IFERROR(VLOOKUP($J423,'Project Reference'!$B$2:$F$41,5,FALSE)," ")</f>
        <v xml:space="preserve"> </v>
      </c>
      <c r="T423" s="42" t="str">
        <f>IFERROR(VLOOKUP($J423,'Project Reference'!$B$2:$G$41,6,FALSE)," ")</f>
        <v xml:space="preserve"> </v>
      </c>
      <c r="U423" s="42" t="str">
        <f>IFERROR(VLOOKUP($J423,'Project Reference'!$B$2:$H$41,7,FALSE)," ")</f>
        <v xml:space="preserve"> </v>
      </c>
      <c r="V423" s="42" t="str">
        <f>IFERROR(VLOOKUP($J423,'Project Reference'!$B$2:$I$41,8,FALSE)," ")</f>
        <v xml:space="preserve"> </v>
      </c>
      <c r="W423" s="42" t="str">
        <f>IFERROR(VLOOKUP($J423,'Project Reference'!$B$2:$J$41,9,FALSE)," ")</f>
        <v xml:space="preserve"> </v>
      </c>
      <c r="X423" s="42" t="str">
        <f>IFERROR(VLOOKUP($J423,'Project Reference'!$B$2:$K$41,10)," ")</f>
        <v xml:space="preserve"> </v>
      </c>
      <c r="Y423" s="42" t="str">
        <f>IFERROR(VLOOKUP($J423,'Project Reference'!$B$2:$L$41,11)," ")</f>
        <v xml:space="preserve"> </v>
      </c>
      <c r="Z423" s="42" t="str">
        <f>IFERROR(VLOOKUP($J423,'Project Reference'!$B$2:$M$41,12)," ")</f>
        <v xml:space="preserve"> </v>
      </c>
      <c r="AA423" s="42" t="str">
        <f>IFERROR(VLOOKUP($J423,'Project Reference'!$B$2:$N$41,13)," ")</f>
        <v xml:space="preserve"> </v>
      </c>
    </row>
    <row r="424" spans="1:27" s="1" customFormat="1" x14ac:dyDescent="0.45">
      <c r="A424" s="43"/>
      <c r="B424" s="205"/>
      <c r="C424"/>
      <c r="D424" s="72"/>
      <c r="E424" s="72"/>
      <c r="F424" s="72"/>
      <c r="G424" s="72"/>
      <c r="H424" s="17"/>
      <c r="I424" s="41" t="str" cm="1">
        <f t="array" ref="I424">IFERROR(_xlfn.IFS(H424="Hard (Cash)","N/A",H424="Soft (In-Kind)", "Enter Source"),"Select Type")</f>
        <v>Select Type</v>
      </c>
      <c r="J424" s="124"/>
      <c r="K424" s="41" t="str">
        <f>IFERROR(VLOOKUP($J424,'Project Reference'!$S$2:$T$41,2),"Enter Project Number")</f>
        <v>Enter Project Number</v>
      </c>
      <c r="L424" s="41"/>
      <c r="M424" s="41"/>
      <c r="N424" s="15">
        <f t="shared" si="6"/>
        <v>0</v>
      </c>
      <c r="O424" s="19"/>
      <c r="P424" s="42" t="str">
        <f>IFERROR(VLOOKUP($J424,'Project Reference'!$B$2:$C$41,2)," ")</f>
        <v xml:space="preserve"> </v>
      </c>
      <c r="Q424" s="42" t="str">
        <f>IFERROR(VLOOKUP($J424,'Project Reference'!$B$2:$D$41,3)," ")</f>
        <v xml:space="preserve"> </v>
      </c>
      <c r="R424" s="42" t="str">
        <f>IFERROR(VLOOKUP($J424,'Project Reference'!$B$2:$E$41,4)," ")</f>
        <v xml:space="preserve"> </v>
      </c>
      <c r="S424" s="42" t="str">
        <f>IFERROR(VLOOKUP($J424,'Project Reference'!$B$2:$F$41,5,FALSE)," ")</f>
        <v xml:space="preserve"> </v>
      </c>
      <c r="T424" s="42" t="str">
        <f>IFERROR(VLOOKUP($J424,'Project Reference'!$B$2:$G$41,6,FALSE)," ")</f>
        <v xml:space="preserve"> </v>
      </c>
      <c r="U424" s="42" t="str">
        <f>IFERROR(VLOOKUP($J424,'Project Reference'!$B$2:$H$41,7,FALSE)," ")</f>
        <v xml:space="preserve"> </v>
      </c>
      <c r="V424" s="42" t="str">
        <f>IFERROR(VLOOKUP($J424,'Project Reference'!$B$2:$I$41,8,FALSE)," ")</f>
        <v xml:space="preserve"> </v>
      </c>
      <c r="W424" s="42" t="str">
        <f>IFERROR(VLOOKUP($J424,'Project Reference'!$B$2:$J$41,9,FALSE)," ")</f>
        <v xml:space="preserve"> </v>
      </c>
      <c r="X424" s="42" t="str">
        <f>IFERROR(VLOOKUP($J424,'Project Reference'!$B$2:$K$41,10)," ")</f>
        <v xml:space="preserve"> </v>
      </c>
      <c r="Y424" s="42" t="str">
        <f>IFERROR(VLOOKUP($J424,'Project Reference'!$B$2:$L$41,11)," ")</f>
        <v xml:space="preserve"> </v>
      </c>
      <c r="Z424" s="42" t="str">
        <f>IFERROR(VLOOKUP($J424,'Project Reference'!$B$2:$M$41,12)," ")</f>
        <v xml:space="preserve"> </v>
      </c>
      <c r="AA424" s="42" t="str">
        <f>IFERROR(VLOOKUP($J424,'Project Reference'!$B$2:$N$41,13)," ")</f>
        <v xml:space="preserve"> </v>
      </c>
    </row>
    <row r="425" spans="1:27" s="1" customFormat="1" x14ac:dyDescent="0.45">
      <c r="A425" s="43"/>
      <c r="B425" s="205"/>
      <c r="C425"/>
      <c r="D425" s="72"/>
      <c r="E425" s="72"/>
      <c r="F425" s="72"/>
      <c r="G425" s="72"/>
      <c r="H425" s="17"/>
      <c r="I425" s="41" t="str" cm="1">
        <f t="array" ref="I425">IFERROR(_xlfn.IFS(H425="Hard (Cash)","N/A",H425="Soft (In-Kind)", "Enter Source"),"Select Type")</f>
        <v>Select Type</v>
      </c>
      <c r="J425" s="124"/>
      <c r="K425" s="41" t="str">
        <f>IFERROR(VLOOKUP($J425,'Project Reference'!$S$2:$T$41,2),"Enter Project Number")</f>
        <v>Enter Project Number</v>
      </c>
      <c r="L425" s="41"/>
      <c r="M425" s="41"/>
      <c r="N425" s="15">
        <f t="shared" si="6"/>
        <v>0</v>
      </c>
      <c r="O425" s="19"/>
      <c r="P425" s="42" t="str">
        <f>IFERROR(VLOOKUP($J425,'Project Reference'!$B$2:$C$41,2)," ")</f>
        <v xml:space="preserve"> </v>
      </c>
      <c r="Q425" s="42" t="str">
        <f>IFERROR(VLOOKUP($J425,'Project Reference'!$B$2:$D$41,3)," ")</f>
        <v xml:space="preserve"> </v>
      </c>
      <c r="R425" s="42" t="str">
        <f>IFERROR(VLOOKUP($J425,'Project Reference'!$B$2:$E$41,4)," ")</f>
        <v xml:space="preserve"> </v>
      </c>
      <c r="S425" s="42" t="str">
        <f>IFERROR(VLOOKUP($J425,'Project Reference'!$B$2:$F$41,5,FALSE)," ")</f>
        <v xml:space="preserve"> </v>
      </c>
      <c r="T425" s="42" t="str">
        <f>IFERROR(VLOOKUP($J425,'Project Reference'!$B$2:$G$41,6,FALSE)," ")</f>
        <v xml:space="preserve"> </v>
      </c>
      <c r="U425" s="42" t="str">
        <f>IFERROR(VLOOKUP($J425,'Project Reference'!$B$2:$H$41,7,FALSE)," ")</f>
        <v xml:space="preserve"> </v>
      </c>
      <c r="V425" s="42" t="str">
        <f>IFERROR(VLOOKUP($J425,'Project Reference'!$B$2:$I$41,8,FALSE)," ")</f>
        <v xml:space="preserve"> </v>
      </c>
      <c r="W425" s="42" t="str">
        <f>IFERROR(VLOOKUP($J425,'Project Reference'!$B$2:$J$41,9,FALSE)," ")</f>
        <v xml:space="preserve"> </v>
      </c>
      <c r="X425" s="42" t="str">
        <f>IFERROR(VLOOKUP($J425,'Project Reference'!$B$2:$K$41,10)," ")</f>
        <v xml:space="preserve"> </v>
      </c>
      <c r="Y425" s="42" t="str">
        <f>IFERROR(VLOOKUP($J425,'Project Reference'!$B$2:$L$41,11)," ")</f>
        <v xml:space="preserve"> </v>
      </c>
      <c r="Z425" s="42" t="str">
        <f>IFERROR(VLOOKUP($J425,'Project Reference'!$B$2:$M$41,12)," ")</f>
        <v xml:space="preserve"> </v>
      </c>
      <c r="AA425" s="42" t="str">
        <f>IFERROR(VLOOKUP($J425,'Project Reference'!$B$2:$N$41,13)," ")</f>
        <v xml:space="preserve"> </v>
      </c>
    </row>
    <row r="426" spans="1:27" s="1" customFormat="1" x14ac:dyDescent="0.45">
      <c r="A426" s="43"/>
      <c r="B426" s="205"/>
      <c r="C426"/>
      <c r="D426" s="72"/>
      <c r="E426" s="72"/>
      <c r="F426" s="72"/>
      <c r="G426" s="72"/>
      <c r="H426" s="17"/>
      <c r="I426" s="41" t="str" cm="1">
        <f t="array" ref="I426">IFERROR(_xlfn.IFS(H426="Hard (Cash)","N/A",H426="Soft (In-Kind)", "Enter Source"),"Select Type")</f>
        <v>Select Type</v>
      </c>
      <c r="J426" s="124"/>
      <c r="K426" s="41" t="str">
        <f>IFERROR(VLOOKUP($J426,'Project Reference'!$S$2:$T$41,2),"Enter Project Number")</f>
        <v>Enter Project Number</v>
      </c>
      <c r="L426" s="41"/>
      <c r="M426" s="41"/>
      <c r="N426" s="15">
        <f t="shared" si="6"/>
        <v>0</v>
      </c>
      <c r="O426" s="19"/>
      <c r="P426" s="42" t="str">
        <f>IFERROR(VLOOKUP($J426,'Project Reference'!$B$2:$C$41,2)," ")</f>
        <v xml:space="preserve"> </v>
      </c>
      <c r="Q426" s="42" t="str">
        <f>IFERROR(VLOOKUP($J426,'Project Reference'!$B$2:$D$41,3)," ")</f>
        <v xml:space="preserve"> </v>
      </c>
      <c r="R426" s="42" t="str">
        <f>IFERROR(VLOOKUP($J426,'Project Reference'!$B$2:$E$41,4)," ")</f>
        <v xml:space="preserve"> </v>
      </c>
      <c r="S426" s="42" t="str">
        <f>IFERROR(VLOOKUP($J426,'Project Reference'!$B$2:$F$41,5,FALSE)," ")</f>
        <v xml:space="preserve"> </v>
      </c>
      <c r="T426" s="42" t="str">
        <f>IFERROR(VLOOKUP($J426,'Project Reference'!$B$2:$G$41,6,FALSE)," ")</f>
        <v xml:space="preserve"> </v>
      </c>
      <c r="U426" s="42" t="str">
        <f>IFERROR(VLOOKUP($J426,'Project Reference'!$B$2:$H$41,7,FALSE)," ")</f>
        <v xml:space="preserve"> </v>
      </c>
      <c r="V426" s="42" t="str">
        <f>IFERROR(VLOOKUP($J426,'Project Reference'!$B$2:$I$41,8,FALSE)," ")</f>
        <v xml:space="preserve"> </v>
      </c>
      <c r="W426" s="42" t="str">
        <f>IFERROR(VLOOKUP($J426,'Project Reference'!$B$2:$J$41,9,FALSE)," ")</f>
        <v xml:space="preserve"> </v>
      </c>
      <c r="X426" s="42" t="str">
        <f>IFERROR(VLOOKUP($J426,'Project Reference'!$B$2:$K$41,10)," ")</f>
        <v xml:space="preserve"> </v>
      </c>
      <c r="Y426" s="42" t="str">
        <f>IFERROR(VLOOKUP($J426,'Project Reference'!$B$2:$L$41,11)," ")</f>
        <v xml:space="preserve"> </v>
      </c>
      <c r="Z426" s="42" t="str">
        <f>IFERROR(VLOOKUP($J426,'Project Reference'!$B$2:$M$41,12)," ")</f>
        <v xml:space="preserve"> </v>
      </c>
      <c r="AA426" s="42" t="str">
        <f>IFERROR(VLOOKUP($J426,'Project Reference'!$B$2:$N$41,13)," ")</f>
        <v xml:space="preserve"> </v>
      </c>
    </row>
    <row r="427" spans="1:27" s="1" customFormat="1" x14ac:dyDescent="0.45">
      <c r="A427" s="43"/>
      <c r="B427" s="205"/>
      <c r="C427"/>
      <c r="D427" s="72"/>
      <c r="E427" s="72"/>
      <c r="F427" s="72"/>
      <c r="G427" s="72"/>
      <c r="H427" s="17"/>
      <c r="I427" s="41" t="str" cm="1">
        <f t="array" ref="I427">IFERROR(_xlfn.IFS(H427="Hard (Cash)","N/A",H427="Soft (In-Kind)", "Enter Source"),"Select Type")</f>
        <v>Select Type</v>
      </c>
      <c r="J427" s="124"/>
      <c r="K427" s="41" t="str">
        <f>IFERROR(VLOOKUP($J427,'Project Reference'!$S$2:$T$41,2),"Enter Project Number")</f>
        <v>Enter Project Number</v>
      </c>
      <c r="L427" s="41"/>
      <c r="M427" s="41"/>
      <c r="N427" s="15">
        <f t="shared" si="6"/>
        <v>0</v>
      </c>
      <c r="O427" s="19"/>
      <c r="P427" s="42" t="str">
        <f>IFERROR(VLOOKUP($J427,'Project Reference'!$B$2:$C$41,2)," ")</f>
        <v xml:space="preserve"> </v>
      </c>
      <c r="Q427" s="42" t="str">
        <f>IFERROR(VLOOKUP($J427,'Project Reference'!$B$2:$D$41,3)," ")</f>
        <v xml:space="preserve"> </v>
      </c>
      <c r="R427" s="42" t="str">
        <f>IFERROR(VLOOKUP($J427,'Project Reference'!$B$2:$E$41,4)," ")</f>
        <v xml:space="preserve"> </v>
      </c>
      <c r="S427" s="42" t="str">
        <f>IFERROR(VLOOKUP($J427,'Project Reference'!$B$2:$F$41,5,FALSE)," ")</f>
        <v xml:space="preserve"> </v>
      </c>
      <c r="T427" s="42" t="str">
        <f>IFERROR(VLOOKUP($J427,'Project Reference'!$B$2:$G$41,6,FALSE)," ")</f>
        <v xml:space="preserve"> </v>
      </c>
      <c r="U427" s="42" t="str">
        <f>IFERROR(VLOOKUP($J427,'Project Reference'!$B$2:$H$41,7,FALSE)," ")</f>
        <v xml:space="preserve"> </v>
      </c>
      <c r="V427" s="42" t="str">
        <f>IFERROR(VLOOKUP($J427,'Project Reference'!$B$2:$I$41,8,FALSE)," ")</f>
        <v xml:space="preserve"> </v>
      </c>
      <c r="W427" s="42" t="str">
        <f>IFERROR(VLOOKUP($J427,'Project Reference'!$B$2:$J$41,9,FALSE)," ")</f>
        <v xml:space="preserve"> </v>
      </c>
      <c r="X427" s="42" t="str">
        <f>IFERROR(VLOOKUP($J427,'Project Reference'!$B$2:$K$41,10)," ")</f>
        <v xml:space="preserve"> </v>
      </c>
      <c r="Y427" s="42" t="str">
        <f>IFERROR(VLOOKUP($J427,'Project Reference'!$B$2:$L$41,11)," ")</f>
        <v xml:space="preserve"> </v>
      </c>
      <c r="Z427" s="42" t="str">
        <f>IFERROR(VLOOKUP($J427,'Project Reference'!$B$2:$M$41,12)," ")</f>
        <v xml:space="preserve"> </v>
      </c>
      <c r="AA427" s="42" t="str">
        <f>IFERROR(VLOOKUP($J427,'Project Reference'!$B$2:$N$41,13)," ")</f>
        <v xml:space="preserve"> </v>
      </c>
    </row>
    <row r="428" spans="1:27" s="1" customFormat="1" x14ac:dyDescent="0.45">
      <c r="A428" s="43"/>
      <c r="B428" s="205"/>
      <c r="C428"/>
      <c r="D428" s="72"/>
      <c r="E428" s="72"/>
      <c r="F428" s="72"/>
      <c r="G428" s="72"/>
      <c r="H428" s="17"/>
      <c r="I428" s="41" t="str" cm="1">
        <f t="array" ref="I428">IFERROR(_xlfn.IFS(H428="Hard (Cash)","N/A",H428="Soft (In-Kind)", "Enter Source"),"Select Type")</f>
        <v>Select Type</v>
      </c>
      <c r="J428" s="124"/>
      <c r="K428" s="41" t="str">
        <f>IFERROR(VLOOKUP($J428,'Project Reference'!$S$2:$T$41,2),"Enter Project Number")</f>
        <v>Enter Project Number</v>
      </c>
      <c r="L428" s="41"/>
      <c r="M428" s="41"/>
      <c r="N428" s="15">
        <f t="shared" si="6"/>
        <v>0</v>
      </c>
      <c r="O428" s="19"/>
      <c r="P428" s="42" t="str">
        <f>IFERROR(VLOOKUP($J428,'Project Reference'!$B$2:$C$41,2)," ")</f>
        <v xml:space="preserve"> </v>
      </c>
      <c r="Q428" s="42" t="str">
        <f>IFERROR(VLOOKUP($J428,'Project Reference'!$B$2:$D$41,3)," ")</f>
        <v xml:space="preserve"> </v>
      </c>
      <c r="R428" s="42" t="str">
        <f>IFERROR(VLOOKUP($J428,'Project Reference'!$B$2:$E$41,4)," ")</f>
        <v xml:space="preserve"> </v>
      </c>
      <c r="S428" s="42" t="str">
        <f>IFERROR(VLOOKUP($J428,'Project Reference'!$B$2:$F$41,5,FALSE)," ")</f>
        <v xml:space="preserve"> </v>
      </c>
      <c r="T428" s="42" t="str">
        <f>IFERROR(VLOOKUP($J428,'Project Reference'!$B$2:$G$41,6,FALSE)," ")</f>
        <v xml:space="preserve"> </v>
      </c>
      <c r="U428" s="42" t="str">
        <f>IFERROR(VLOOKUP($J428,'Project Reference'!$B$2:$H$41,7,FALSE)," ")</f>
        <v xml:space="preserve"> </v>
      </c>
      <c r="V428" s="42" t="str">
        <f>IFERROR(VLOOKUP($J428,'Project Reference'!$B$2:$I$41,8,FALSE)," ")</f>
        <v xml:space="preserve"> </v>
      </c>
      <c r="W428" s="42" t="str">
        <f>IFERROR(VLOOKUP($J428,'Project Reference'!$B$2:$J$41,9,FALSE)," ")</f>
        <v xml:space="preserve"> </v>
      </c>
      <c r="X428" s="42" t="str">
        <f>IFERROR(VLOOKUP($J428,'Project Reference'!$B$2:$K$41,10)," ")</f>
        <v xml:space="preserve"> </v>
      </c>
      <c r="Y428" s="42" t="str">
        <f>IFERROR(VLOOKUP($J428,'Project Reference'!$B$2:$L$41,11)," ")</f>
        <v xml:space="preserve"> </v>
      </c>
      <c r="Z428" s="42" t="str">
        <f>IFERROR(VLOOKUP($J428,'Project Reference'!$B$2:$M$41,12)," ")</f>
        <v xml:space="preserve"> </v>
      </c>
      <c r="AA428" s="42" t="str">
        <f>IFERROR(VLOOKUP($J428,'Project Reference'!$B$2:$N$41,13)," ")</f>
        <v xml:space="preserve"> </v>
      </c>
    </row>
    <row r="429" spans="1:27" s="1" customFormat="1" x14ac:dyDescent="0.45">
      <c r="A429" s="43"/>
      <c r="B429" s="205"/>
      <c r="C429"/>
      <c r="D429" s="72"/>
      <c r="E429" s="72"/>
      <c r="F429" s="72"/>
      <c r="G429" s="72"/>
      <c r="H429" s="17"/>
      <c r="I429" s="41" t="str" cm="1">
        <f t="array" ref="I429">IFERROR(_xlfn.IFS(H429="Hard (Cash)","N/A",H429="Soft (In-Kind)", "Enter Source"),"Select Type")</f>
        <v>Select Type</v>
      </c>
      <c r="J429" s="124"/>
      <c r="K429" s="41" t="str">
        <f>IFERROR(VLOOKUP($J429,'Project Reference'!$S$2:$T$41,2),"Enter Project Number")</f>
        <v>Enter Project Number</v>
      </c>
      <c r="L429" s="41"/>
      <c r="M429" s="41"/>
      <c r="N429" s="15">
        <f t="shared" si="6"/>
        <v>0</v>
      </c>
      <c r="O429" s="19"/>
      <c r="P429" s="42" t="str">
        <f>IFERROR(VLOOKUP($J429,'Project Reference'!$B$2:$C$41,2)," ")</f>
        <v xml:space="preserve"> </v>
      </c>
      <c r="Q429" s="42" t="str">
        <f>IFERROR(VLOOKUP($J429,'Project Reference'!$B$2:$D$41,3)," ")</f>
        <v xml:space="preserve"> </v>
      </c>
      <c r="R429" s="42" t="str">
        <f>IFERROR(VLOOKUP($J429,'Project Reference'!$B$2:$E$41,4)," ")</f>
        <v xml:space="preserve"> </v>
      </c>
      <c r="S429" s="42" t="str">
        <f>IFERROR(VLOOKUP($J429,'Project Reference'!$B$2:$F$41,5,FALSE)," ")</f>
        <v xml:space="preserve"> </v>
      </c>
      <c r="T429" s="42" t="str">
        <f>IFERROR(VLOOKUP($J429,'Project Reference'!$B$2:$G$41,6,FALSE)," ")</f>
        <v xml:space="preserve"> </v>
      </c>
      <c r="U429" s="42" t="str">
        <f>IFERROR(VLOOKUP($J429,'Project Reference'!$B$2:$H$41,7,FALSE)," ")</f>
        <v xml:space="preserve"> </v>
      </c>
      <c r="V429" s="42" t="str">
        <f>IFERROR(VLOOKUP($J429,'Project Reference'!$B$2:$I$41,8,FALSE)," ")</f>
        <v xml:space="preserve"> </v>
      </c>
      <c r="W429" s="42" t="str">
        <f>IFERROR(VLOOKUP($J429,'Project Reference'!$B$2:$J$41,9,FALSE)," ")</f>
        <v xml:space="preserve"> </v>
      </c>
      <c r="X429" s="42" t="str">
        <f>IFERROR(VLOOKUP($J429,'Project Reference'!$B$2:$K$41,10)," ")</f>
        <v xml:space="preserve"> </v>
      </c>
      <c r="Y429" s="42" t="str">
        <f>IFERROR(VLOOKUP($J429,'Project Reference'!$B$2:$L$41,11)," ")</f>
        <v xml:space="preserve"> </v>
      </c>
      <c r="Z429" s="42" t="str">
        <f>IFERROR(VLOOKUP($J429,'Project Reference'!$B$2:$M$41,12)," ")</f>
        <v xml:space="preserve"> </v>
      </c>
      <c r="AA429" s="42" t="str">
        <f>IFERROR(VLOOKUP($J429,'Project Reference'!$B$2:$N$41,13)," ")</f>
        <v xml:space="preserve"> </v>
      </c>
    </row>
    <row r="430" spans="1:27" s="1" customFormat="1" x14ac:dyDescent="0.45">
      <c r="A430" s="43"/>
      <c r="B430" s="205"/>
      <c r="C430"/>
      <c r="D430" s="72"/>
      <c r="E430" s="72"/>
      <c r="F430" s="72"/>
      <c r="G430" s="72"/>
      <c r="H430" s="17"/>
      <c r="I430" s="41" t="str" cm="1">
        <f t="array" ref="I430">IFERROR(_xlfn.IFS(H430="Hard (Cash)","N/A",H430="Soft (In-Kind)", "Enter Source"),"Select Type")</f>
        <v>Select Type</v>
      </c>
      <c r="J430" s="124"/>
      <c r="K430" s="41" t="str">
        <f>IFERROR(VLOOKUP($J430,'Project Reference'!$S$2:$T$41,2),"Enter Project Number")</f>
        <v>Enter Project Number</v>
      </c>
      <c r="L430" s="41"/>
      <c r="M430" s="41"/>
      <c r="N430" s="15">
        <f t="shared" si="6"/>
        <v>0</v>
      </c>
      <c r="O430" s="19"/>
      <c r="P430" s="42" t="str">
        <f>IFERROR(VLOOKUP($J430,'Project Reference'!$B$2:$C$41,2)," ")</f>
        <v xml:space="preserve"> </v>
      </c>
      <c r="Q430" s="42" t="str">
        <f>IFERROR(VLOOKUP($J430,'Project Reference'!$B$2:$D$41,3)," ")</f>
        <v xml:space="preserve"> </v>
      </c>
      <c r="R430" s="42" t="str">
        <f>IFERROR(VLOOKUP($J430,'Project Reference'!$B$2:$E$41,4)," ")</f>
        <v xml:space="preserve"> </v>
      </c>
      <c r="S430" s="42" t="str">
        <f>IFERROR(VLOOKUP($J430,'Project Reference'!$B$2:$F$41,5,FALSE)," ")</f>
        <v xml:space="preserve"> </v>
      </c>
      <c r="T430" s="42" t="str">
        <f>IFERROR(VLOOKUP($J430,'Project Reference'!$B$2:$G$41,6,FALSE)," ")</f>
        <v xml:space="preserve"> </v>
      </c>
      <c r="U430" s="42" t="str">
        <f>IFERROR(VLOOKUP($J430,'Project Reference'!$B$2:$H$41,7,FALSE)," ")</f>
        <v xml:space="preserve"> </v>
      </c>
      <c r="V430" s="42" t="str">
        <f>IFERROR(VLOOKUP($J430,'Project Reference'!$B$2:$I$41,8,FALSE)," ")</f>
        <v xml:space="preserve"> </v>
      </c>
      <c r="W430" s="42" t="str">
        <f>IFERROR(VLOOKUP($J430,'Project Reference'!$B$2:$J$41,9,FALSE)," ")</f>
        <v xml:space="preserve"> </v>
      </c>
      <c r="X430" s="42" t="str">
        <f>IFERROR(VLOOKUP($J430,'Project Reference'!$B$2:$K$41,10)," ")</f>
        <v xml:space="preserve"> </v>
      </c>
      <c r="Y430" s="42" t="str">
        <f>IFERROR(VLOOKUP($J430,'Project Reference'!$B$2:$L$41,11)," ")</f>
        <v xml:space="preserve"> </v>
      </c>
      <c r="Z430" s="42" t="str">
        <f>IFERROR(VLOOKUP($J430,'Project Reference'!$B$2:$M$41,12)," ")</f>
        <v xml:space="preserve"> </v>
      </c>
      <c r="AA430" s="42" t="str">
        <f>IFERROR(VLOOKUP($J430,'Project Reference'!$B$2:$N$41,13)," ")</f>
        <v xml:space="preserve"> </v>
      </c>
    </row>
    <row r="431" spans="1:27" s="1" customFormat="1" x14ac:dyDescent="0.45">
      <c r="A431" s="43"/>
      <c r="B431" s="205"/>
      <c r="C431"/>
      <c r="D431" s="72"/>
      <c r="E431" s="72"/>
      <c r="F431" s="72"/>
      <c r="G431" s="72"/>
      <c r="H431" s="17"/>
      <c r="I431" s="41" t="str" cm="1">
        <f t="array" ref="I431">IFERROR(_xlfn.IFS(H431="Hard (Cash)","N/A",H431="Soft (In-Kind)", "Enter Source"),"Select Type")</f>
        <v>Select Type</v>
      </c>
      <c r="J431" s="124"/>
      <c r="K431" s="41" t="str">
        <f>IFERROR(VLOOKUP($J431,'Project Reference'!$S$2:$T$41,2),"Enter Project Number")</f>
        <v>Enter Project Number</v>
      </c>
      <c r="L431" s="41"/>
      <c r="M431" s="41"/>
      <c r="N431" s="15">
        <f t="shared" si="6"/>
        <v>0</v>
      </c>
      <c r="O431" s="19"/>
      <c r="P431" s="42" t="str">
        <f>IFERROR(VLOOKUP($J431,'Project Reference'!$B$2:$C$41,2)," ")</f>
        <v xml:space="preserve"> </v>
      </c>
      <c r="Q431" s="42" t="str">
        <f>IFERROR(VLOOKUP($J431,'Project Reference'!$B$2:$D$41,3)," ")</f>
        <v xml:space="preserve"> </v>
      </c>
      <c r="R431" s="42" t="str">
        <f>IFERROR(VLOOKUP($J431,'Project Reference'!$B$2:$E$41,4)," ")</f>
        <v xml:space="preserve"> </v>
      </c>
      <c r="S431" s="42" t="str">
        <f>IFERROR(VLOOKUP($J431,'Project Reference'!$B$2:$F$41,5,FALSE)," ")</f>
        <v xml:space="preserve"> </v>
      </c>
      <c r="T431" s="42" t="str">
        <f>IFERROR(VLOOKUP($J431,'Project Reference'!$B$2:$G$41,6,FALSE)," ")</f>
        <v xml:space="preserve"> </v>
      </c>
      <c r="U431" s="42" t="str">
        <f>IFERROR(VLOOKUP($J431,'Project Reference'!$B$2:$H$41,7,FALSE)," ")</f>
        <v xml:space="preserve"> </v>
      </c>
      <c r="V431" s="42" t="str">
        <f>IFERROR(VLOOKUP($J431,'Project Reference'!$B$2:$I$41,8,FALSE)," ")</f>
        <v xml:space="preserve"> </v>
      </c>
      <c r="W431" s="42" t="str">
        <f>IFERROR(VLOOKUP($J431,'Project Reference'!$B$2:$J$41,9,FALSE)," ")</f>
        <v xml:space="preserve"> </v>
      </c>
      <c r="X431" s="42" t="str">
        <f>IFERROR(VLOOKUP($J431,'Project Reference'!$B$2:$K$41,10)," ")</f>
        <v xml:space="preserve"> </v>
      </c>
      <c r="Y431" s="42" t="str">
        <f>IFERROR(VLOOKUP($J431,'Project Reference'!$B$2:$L$41,11)," ")</f>
        <v xml:space="preserve"> </v>
      </c>
      <c r="Z431" s="42" t="str">
        <f>IFERROR(VLOOKUP($J431,'Project Reference'!$B$2:$M$41,12)," ")</f>
        <v xml:space="preserve"> </v>
      </c>
      <c r="AA431" s="42" t="str">
        <f>IFERROR(VLOOKUP($J431,'Project Reference'!$B$2:$N$41,13)," ")</f>
        <v xml:space="preserve"> </v>
      </c>
    </row>
    <row r="432" spans="1:27" s="1" customFormat="1" x14ac:dyDescent="0.45">
      <c r="A432" s="43"/>
      <c r="B432" s="205"/>
      <c r="C432"/>
      <c r="D432" s="72"/>
      <c r="E432" s="72"/>
      <c r="F432" s="72"/>
      <c r="G432" s="72"/>
      <c r="H432" s="17"/>
      <c r="I432" s="41" t="str" cm="1">
        <f t="array" ref="I432">IFERROR(_xlfn.IFS(H432="Hard (Cash)","N/A",H432="Soft (In-Kind)", "Enter Source"),"Select Type")</f>
        <v>Select Type</v>
      </c>
      <c r="J432" s="124"/>
      <c r="K432" s="41" t="str">
        <f>IFERROR(VLOOKUP($J432,'Project Reference'!$S$2:$T$41,2),"Enter Project Number")</f>
        <v>Enter Project Number</v>
      </c>
      <c r="L432" s="41"/>
      <c r="M432" s="41"/>
      <c r="N432" s="15">
        <f t="shared" si="6"/>
        <v>0</v>
      </c>
      <c r="O432" s="19"/>
      <c r="P432" s="42" t="str">
        <f>IFERROR(VLOOKUP($J432,'Project Reference'!$B$2:$C$41,2)," ")</f>
        <v xml:space="preserve"> </v>
      </c>
      <c r="Q432" s="42" t="str">
        <f>IFERROR(VLOOKUP($J432,'Project Reference'!$B$2:$D$41,3)," ")</f>
        <v xml:space="preserve"> </v>
      </c>
      <c r="R432" s="42" t="str">
        <f>IFERROR(VLOOKUP($J432,'Project Reference'!$B$2:$E$41,4)," ")</f>
        <v xml:space="preserve"> </v>
      </c>
      <c r="S432" s="42" t="str">
        <f>IFERROR(VLOOKUP($J432,'Project Reference'!$B$2:$F$41,5,FALSE)," ")</f>
        <v xml:space="preserve"> </v>
      </c>
      <c r="T432" s="42" t="str">
        <f>IFERROR(VLOOKUP($J432,'Project Reference'!$B$2:$G$41,6,FALSE)," ")</f>
        <v xml:space="preserve"> </v>
      </c>
      <c r="U432" s="42" t="str">
        <f>IFERROR(VLOOKUP($J432,'Project Reference'!$B$2:$H$41,7,FALSE)," ")</f>
        <v xml:space="preserve"> </v>
      </c>
      <c r="V432" s="42" t="str">
        <f>IFERROR(VLOOKUP($J432,'Project Reference'!$B$2:$I$41,8,FALSE)," ")</f>
        <v xml:space="preserve"> </v>
      </c>
      <c r="W432" s="42" t="str">
        <f>IFERROR(VLOOKUP($J432,'Project Reference'!$B$2:$J$41,9,FALSE)," ")</f>
        <v xml:space="preserve"> </v>
      </c>
      <c r="X432" s="42" t="str">
        <f>IFERROR(VLOOKUP($J432,'Project Reference'!$B$2:$K$41,10)," ")</f>
        <v xml:space="preserve"> </v>
      </c>
      <c r="Y432" s="42" t="str">
        <f>IFERROR(VLOOKUP($J432,'Project Reference'!$B$2:$L$41,11)," ")</f>
        <v xml:space="preserve"> </v>
      </c>
      <c r="Z432" s="42" t="str">
        <f>IFERROR(VLOOKUP($J432,'Project Reference'!$B$2:$M$41,12)," ")</f>
        <v xml:space="preserve"> </v>
      </c>
      <c r="AA432" s="42" t="str">
        <f>IFERROR(VLOOKUP($J432,'Project Reference'!$B$2:$N$41,13)," ")</f>
        <v xml:space="preserve"> </v>
      </c>
    </row>
    <row r="433" spans="1:27" s="1" customFormat="1" x14ac:dyDescent="0.45">
      <c r="A433" s="43"/>
      <c r="B433" s="205"/>
      <c r="C433"/>
      <c r="D433" s="72"/>
      <c r="E433" s="72"/>
      <c r="F433" s="72"/>
      <c r="G433" s="72"/>
      <c r="H433" s="17"/>
      <c r="I433" s="41" t="str" cm="1">
        <f t="array" ref="I433">IFERROR(_xlfn.IFS(H433="Hard (Cash)","N/A",H433="Soft (In-Kind)", "Enter Source"),"Select Type")</f>
        <v>Select Type</v>
      </c>
      <c r="J433" s="124"/>
      <c r="K433" s="41" t="str">
        <f>IFERROR(VLOOKUP($J433,'Project Reference'!$S$2:$T$41,2),"Enter Project Number")</f>
        <v>Enter Project Number</v>
      </c>
      <c r="L433" s="41"/>
      <c r="M433" s="41"/>
      <c r="N433" s="15">
        <f t="shared" si="6"/>
        <v>0</v>
      </c>
      <c r="O433" s="19"/>
      <c r="P433" s="42" t="str">
        <f>IFERROR(VLOOKUP($J433,'Project Reference'!$B$2:$C$41,2)," ")</f>
        <v xml:space="preserve"> </v>
      </c>
      <c r="Q433" s="42" t="str">
        <f>IFERROR(VLOOKUP($J433,'Project Reference'!$B$2:$D$41,3)," ")</f>
        <v xml:space="preserve"> </v>
      </c>
      <c r="R433" s="42" t="str">
        <f>IFERROR(VLOOKUP($J433,'Project Reference'!$B$2:$E$41,4)," ")</f>
        <v xml:space="preserve"> </v>
      </c>
      <c r="S433" s="42" t="str">
        <f>IFERROR(VLOOKUP($J433,'Project Reference'!$B$2:$F$41,5,FALSE)," ")</f>
        <v xml:space="preserve"> </v>
      </c>
      <c r="T433" s="42" t="str">
        <f>IFERROR(VLOOKUP($J433,'Project Reference'!$B$2:$G$41,6,FALSE)," ")</f>
        <v xml:space="preserve"> </v>
      </c>
      <c r="U433" s="42" t="str">
        <f>IFERROR(VLOOKUP($J433,'Project Reference'!$B$2:$H$41,7,FALSE)," ")</f>
        <v xml:space="preserve"> </v>
      </c>
      <c r="V433" s="42" t="str">
        <f>IFERROR(VLOOKUP($J433,'Project Reference'!$B$2:$I$41,8,FALSE)," ")</f>
        <v xml:space="preserve"> </v>
      </c>
      <c r="W433" s="42" t="str">
        <f>IFERROR(VLOOKUP($J433,'Project Reference'!$B$2:$J$41,9,FALSE)," ")</f>
        <v xml:space="preserve"> </v>
      </c>
      <c r="X433" s="42" t="str">
        <f>IFERROR(VLOOKUP($J433,'Project Reference'!$B$2:$K$41,10)," ")</f>
        <v xml:space="preserve"> </v>
      </c>
      <c r="Y433" s="42" t="str">
        <f>IFERROR(VLOOKUP($J433,'Project Reference'!$B$2:$L$41,11)," ")</f>
        <v xml:space="preserve"> </v>
      </c>
      <c r="Z433" s="42" t="str">
        <f>IFERROR(VLOOKUP($J433,'Project Reference'!$B$2:$M$41,12)," ")</f>
        <v xml:space="preserve"> </v>
      </c>
      <c r="AA433" s="42" t="str">
        <f>IFERROR(VLOOKUP($J433,'Project Reference'!$B$2:$N$41,13)," ")</f>
        <v xml:space="preserve"> </v>
      </c>
    </row>
    <row r="434" spans="1:27" s="1" customFormat="1" x14ac:dyDescent="0.45">
      <c r="A434" s="43"/>
      <c r="B434" s="205"/>
      <c r="C434"/>
      <c r="D434" s="72"/>
      <c r="E434" s="72"/>
      <c r="F434" s="72"/>
      <c r="G434" s="72"/>
      <c r="H434" s="17"/>
      <c r="I434" s="41" t="str" cm="1">
        <f t="array" ref="I434">IFERROR(_xlfn.IFS(H434="Hard (Cash)","N/A",H434="Soft (In-Kind)", "Enter Source"),"Select Type")</f>
        <v>Select Type</v>
      </c>
      <c r="J434" s="124"/>
      <c r="K434" s="41" t="str">
        <f>IFERROR(VLOOKUP($J434,'Project Reference'!$S$2:$T$41,2),"Enter Project Number")</f>
        <v>Enter Project Number</v>
      </c>
      <c r="L434" s="41"/>
      <c r="M434" s="41"/>
      <c r="N434" s="15">
        <f t="shared" si="6"/>
        <v>0</v>
      </c>
      <c r="O434" s="19"/>
      <c r="P434" s="42" t="str">
        <f>IFERROR(VLOOKUP($J434,'Project Reference'!$B$2:$C$41,2)," ")</f>
        <v xml:space="preserve"> </v>
      </c>
      <c r="Q434" s="42" t="str">
        <f>IFERROR(VLOOKUP($J434,'Project Reference'!$B$2:$D$41,3)," ")</f>
        <v xml:space="preserve"> </v>
      </c>
      <c r="R434" s="42" t="str">
        <f>IFERROR(VLOOKUP($J434,'Project Reference'!$B$2:$E$41,4)," ")</f>
        <v xml:space="preserve"> </v>
      </c>
      <c r="S434" s="42" t="str">
        <f>IFERROR(VLOOKUP($J434,'Project Reference'!$B$2:$F$41,5,FALSE)," ")</f>
        <v xml:space="preserve"> </v>
      </c>
      <c r="T434" s="42" t="str">
        <f>IFERROR(VLOOKUP($J434,'Project Reference'!$B$2:$G$41,6,FALSE)," ")</f>
        <v xml:space="preserve"> </v>
      </c>
      <c r="U434" s="42" t="str">
        <f>IFERROR(VLOOKUP($J434,'Project Reference'!$B$2:$H$41,7,FALSE)," ")</f>
        <v xml:space="preserve"> </v>
      </c>
      <c r="V434" s="42" t="str">
        <f>IFERROR(VLOOKUP($J434,'Project Reference'!$B$2:$I$41,8,FALSE)," ")</f>
        <v xml:space="preserve"> </v>
      </c>
      <c r="W434" s="42" t="str">
        <f>IFERROR(VLOOKUP($J434,'Project Reference'!$B$2:$J$41,9,FALSE)," ")</f>
        <v xml:space="preserve"> </v>
      </c>
      <c r="X434" s="42" t="str">
        <f>IFERROR(VLOOKUP($J434,'Project Reference'!$B$2:$K$41,10)," ")</f>
        <v xml:space="preserve"> </v>
      </c>
      <c r="Y434" s="42" t="str">
        <f>IFERROR(VLOOKUP($J434,'Project Reference'!$B$2:$L$41,11)," ")</f>
        <v xml:space="preserve"> </v>
      </c>
      <c r="Z434" s="42" t="str">
        <f>IFERROR(VLOOKUP($J434,'Project Reference'!$B$2:$M$41,12)," ")</f>
        <v xml:space="preserve"> </v>
      </c>
      <c r="AA434" s="42" t="str">
        <f>IFERROR(VLOOKUP($J434,'Project Reference'!$B$2:$N$41,13)," ")</f>
        <v xml:space="preserve"> </v>
      </c>
    </row>
    <row r="435" spans="1:27" s="1" customFormat="1" x14ac:dyDescent="0.45">
      <c r="A435" s="43"/>
      <c r="B435" s="205"/>
      <c r="C435"/>
      <c r="D435" s="72"/>
      <c r="E435" s="72"/>
      <c r="F435" s="72"/>
      <c r="G435" s="72"/>
      <c r="H435" s="17"/>
      <c r="I435" s="41" t="str" cm="1">
        <f t="array" ref="I435">IFERROR(_xlfn.IFS(H435="Hard (Cash)","N/A",H435="Soft (In-Kind)", "Enter Source"),"Select Type")</f>
        <v>Select Type</v>
      </c>
      <c r="J435" s="124"/>
      <c r="K435" s="41" t="str">
        <f>IFERROR(VLOOKUP($J435,'Project Reference'!$S$2:$T$41,2),"Enter Project Number")</f>
        <v>Enter Project Number</v>
      </c>
      <c r="L435" s="41"/>
      <c r="M435" s="41"/>
      <c r="N435" s="15">
        <f t="shared" si="6"/>
        <v>0</v>
      </c>
      <c r="O435" s="19"/>
      <c r="P435" s="42" t="str">
        <f>IFERROR(VLOOKUP($J435,'Project Reference'!$B$2:$C$41,2)," ")</f>
        <v xml:space="preserve"> </v>
      </c>
      <c r="Q435" s="42" t="str">
        <f>IFERROR(VLOOKUP($J435,'Project Reference'!$B$2:$D$41,3)," ")</f>
        <v xml:space="preserve"> </v>
      </c>
      <c r="R435" s="42" t="str">
        <f>IFERROR(VLOOKUP($J435,'Project Reference'!$B$2:$E$41,4)," ")</f>
        <v xml:space="preserve"> </v>
      </c>
      <c r="S435" s="42" t="str">
        <f>IFERROR(VLOOKUP($J435,'Project Reference'!$B$2:$F$41,5,FALSE)," ")</f>
        <v xml:space="preserve"> </v>
      </c>
      <c r="T435" s="42" t="str">
        <f>IFERROR(VLOOKUP($J435,'Project Reference'!$B$2:$G$41,6,FALSE)," ")</f>
        <v xml:space="preserve"> </v>
      </c>
      <c r="U435" s="42" t="str">
        <f>IFERROR(VLOOKUP($J435,'Project Reference'!$B$2:$H$41,7,FALSE)," ")</f>
        <v xml:space="preserve"> </v>
      </c>
      <c r="V435" s="42" t="str">
        <f>IFERROR(VLOOKUP($J435,'Project Reference'!$B$2:$I$41,8,FALSE)," ")</f>
        <v xml:space="preserve"> </v>
      </c>
      <c r="W435" s="42" t="str">
        <f>IFERROR(VLOOKUP($J435,'Project Reference'!$B$2:$J$41,9,FALSE)," ")</f>
        <v xml:space="preserve"> </v>
      </c>
      <c r="X435" s="42" t="str">
        <f>IFERROR(VLOOKUP($J435,'Project Reference'!$B$2:$K$41,10)," ")</f>
        <v xml:space="preserve"> </v>
      </c>
      <c r="Y435" s="42" t="str">
        <f>IFERROR(VLOOKUP($J435,'Project Reference'!$B$2:$L$41,11)," ")</f>
        <v xml:space="preserve"> </v>
      </c>
      <c r="Z435" s="42" t="str">
        <f>IFERROR(VLOOKUP($J435,'Project Reference'!$B$2:$M$41,12)," ")</f>
        <v xml:space="preserve"> </v>
      </c>
      <c r="AA435" s="42" t="str">
        <f>IFERROR(VLOOKUP($J435,'Project Reference'!$B$2:$N$41,13)," ")</f>
        <v xml:space="preserve"> </v>
      </c>
    </row>
    <row r="436" spans="1:27" s="1" customFormat="1" x14ac:dyDescent="0.45">
      <c r="A436" s="43"/>
      <c r="B436" s="205"/>
      <c r="C436"/>
      <c r="D436" s="72"/>
      <c r="E436" s="72"/>
      <c r="F436" s="72"/>
      <c r="G436" s="72"/>
      <c r="H436" s="17"/>
      <c r="I436" s="41" t="str" cm="1">
        <f t="array" ref="I436">IFERROR(_xlfn.IFS(H436="Hard (Cash)","N/A",H436="Soft (In-Kind)", "Enter Source"),"Select Type")</f>
        <v>Select Type</v>
      </c>
      <c r="J436" s="124"/>
      <c r="K436" s="41" t="str">
        <f>IFERROR(VLOOKUP($J436,'Project Reference'!$S$2:$T$41,2),"Enter Project Number")</f>
        <v>Enter Project Number</v>
      </c>
      <c r="L436" s="41"/>
      <c r="M436" s="41"/>
      <c r="N436" s="15">
        <f t="shared" si="6"/>
        <v>0</v>
      </c>
      <c r="O436" s="19"/>
      <c r="P436" s="42" t="str">
        <f>IFERROR(VLOOKUP($J436,'Project Reference'!$B$2:$C$41,2)," ")</f>
        <v xml:space="preserve"> </v>
      </c>
      <c r="Q436" s="42" t="str">
        <f>IFERROR(VLOOKUP($J436,'Project Reference'!$B$2:$D$41,3)," ")</f>
        <v xml:space="preserve"> </v>
      </c>
      <c r="R436" s="42" t="str">
        <f>IFERROR(VLOOKUP($J436,'Project Reference'!$B$2:$E$41,4)," ")</f>
        <v xml:space="preserve"> </v>
      </c>
      <c r="S436" s="42" t="str">
        <f>IFERROR(VLOOKUP($J436,'Project Reference'!$B$2:$F$41,5,FALSE)," ")</f>
        <v xml:space="preserve"> </v>
      </c>
      <c r="T436" s="42" t="str">
        <f>IFERROR(VLOOKUP($J436,'Project Reference'!$B$2:$G$41,6,FALSE)," ")</f>
        <v xml:space="preserve"> </v>
      </c>
      <c r="U436" s="42" t="str">
        <f>IFERROR(VLOOKUP($J436,'Project Reference'!$B$2:$H$41,7,FALSE)," ")</f>
        <v xml:space="preserve"> </v>
      </c>
      <c r="V436" s="42" t="str">
        <f>IFERROR(VLOOKUP($J436,'Project Reference'!$B$2:$I$41,8,FALSE)," ")</f>
        <v xml:space="preserve"> </v>
      </c>
      <c r="W436" s="42" t="str">
        <f>IFERROR(VLOOKUP($J436,'Project Reference'!$B$2:$J$41,9,FALSE)," ")</f>
        <v xml:space="preserve"> </v>
      </c>
      <c r="X436" s="42" t="str">
        <f>IFERROR(VLOOKUP($J436,'Project Reference'!$B$2:$K$41,10)," ")</f>
        <v xml:space="preserve"> </v>
      </c>
      <c r="Y436" s="42" t="str">
        <f>IFERROR(VLOOKUP($J436,'Project Reference'!$B$2:$L$41,11)," ")</f>
        <v xml:space="preserve"> </v>
      </c>
      <c r="Z436" s="42" t="str">
        <f>IFERROR(VLOOKUP($J436,'Project Reference'!$B$2:$M$41,12)," ")</f>
        <v xml:space="preserve"> </v>
      </c>
      <c r="AA436" s="42" t="str">
        <f>IFERROR(VLOOKUP($J436,'Project Reference'!$B$2:$N$41,13)," ")</f>
        <v xml:space="preserve"> </v>
      </c>
    </row>
    <row r="437" spans="1:27" s="1" customFormat="1" x14ac:dyDescent="0.45">
      <c r="A437" s="43"/>
      <c r="B437" s="205"/>
      <c r="C437"/>
      <c r="D437" s="72"/>
      <c r="E437" s="72"/>
      <c r="F437" s="72"/>
      <c r="G437" s="72"/>
      <c r="H437" s="17"/>
      <c r="I437" s="41" t="str" cm="1">
        <f t="array" ref="I437">IFERROR(_xlfn.IFS(H437="Hard (Cash)","N/A",H437="Soft (In-Kind)", "Enter Source"),"Select Type")</f>
        <v>Select Type</v>
      </c>
      <c r="J437" s="124"/>
      <c r="K437" s="41" t="str">
        <f>IFERROR(VLOOKUP($J437,'Project Reference'!$S$2:$T$41,2),"Enter Project Number")</f>
        <v>Enter Project Number</v>
      </c>
      <c r="L437" s="41"/>
      <c r="M437" s="41"/>
      <c r="N437" s="15">
        <f t="shared" si="6"/>
        <v>0</v>
      </c>
      <c r="O437" s="19"/>
      <c r="P437" s="42" t="str">
        <f>IFERROR(VLOOKUP($J437,'Project Reference'!$B$2:$C$41,2)," ")</f>
        <v xml:space="preserve"> </v>
      </c>
      <c r="Q437" s="42" t="str">
        <f>IFERROR(VLOOKUP($J437,'Project Reference'!$B$2:$D$41,3)," ")</f>
        <v xml:space="preserve"> </v>
      </c>
      <c r="R437" s="42" t="str">
        <f>IFERROR(VLOOKUP($J437,'Project Reference'!$B$2:$E$41,4)," ")</f>
        <v xml:space="preserve"> </v>
      </c>
      <c r="S437" s="42" t="str">
        <f>IFERROR(VLOOKUP($J437,'Project Reference'!$B$2:$F$41,5,FALSE)," ")</f>
        <v xml:space="preserve"> </v>
      </c>
      <c r="T437" s="42" t="str">
        <f>IFERROR(VLOOKUP($J437,'Project Reference'!$B$2:$G$41,6,FALSE)," ")</f>
        <v xml:space="preserve"> </v>
      </c>
      <c r="U437" s="42" t="str">
        <f>IFERROR(VLOOKUP($J437,'Project Reference'!$B$2:$H$41,7,FALSE)," ")</f>
        <v xml:space="preserve"> </v>
      </c>
      <c r="V437" s="42" t="str">
        <f>IFERROR(VLOOKUP($J437,'Project Reference'!$B$2:$I$41,8,FALSE)," ")</f>
        <v xml:space="preserve"> </v>
      </c>
      <c r="W437" s="42" t="str">
        <f>IFERROR(VLOOKUP($J437,'Project Reference'!$B$2:$J$41,9,FALSE)," ")</f>
        <v xml:space="preserve"> </v>
      </c>
      <c r="X437" s="42" t="str">
        <f>IFERROR(VLOOKUP($J437,'Project Reference'!$B$2:$K$41,10)," ")</f>
        <v xml:space="preserve"> </v>
      </c>
      <c r="Y437" s="42" t="str">
        <f>IFERROR(VLOOKUP($J437,'Project Reference'!$B$2:$L$41,11)," ")</f>
        <v xml:space="preserve"> </v>
      </c>
      <c r="Z437" s="42" t="str">
        <f>IFERROR(VLOOKUP($J437,'Project Reference'!$B$2:$M$41,12)," ")</f>
        <v xml:space="preserve"> </v>
      </c>
      <c r="AA437" s="42" t="str">
        <f>IFERROR(VLOOKUP($J437,'Project Reference'!$B$2:$N$41,13)," ")</f>
        <v xml:space="preserve"> </v>
      </c>
    </row>
    <row r="438" spans="1:27" s="1" customFormat="1" x14ac:dyDescent="0.45">
      <c r="A438" s="43"/>
      <c r="B438" s="205"/>
      <c r="C438"/>
      <c r="D438" s="72"/>
      <c r="E438" s="72"/>
      <c r="F438" s="72"/>
      <c r="G438" s="72"/>
      <c r="H438" s="17"/>
      <c r="I438" s="41" t="str" cm="1">
        <f t="array" ref="I438">IFERROR(_xlfn.IFS(H438="Hard (Cash)","N/A",H438="Soft (In-Kind)", "Enter Source"),"Select Type")</f>
        <v>Select Type</v>
      </c>
      <c r="J438" s="124"/>
      <c r="K438" s="41" t="str">
        <f>IFERROR(VLOOKUP($J438,'Project Reference'!$S$2:$T$41,2),"Enter Project Number")</f>
        <v>Enter Project Number</v>
      </c>
      <c r="L438" s="41"/>
      <c r="M438" s="41"/>
      <c r="N438" s="15">
        <f t="shared" si="6"/>
        <v>0</v>
      </c>
      <c r="O438" s="19"/>
      <c r="P438" s="42" t="str">
        <f>IFERROR(VLOOKUP($J438,'Project Reference'!$B$2:$C$41,2)," ")</f>
        <v xml:space="preserve"> </v>
      </c>
      <c r="Q438" s="42" t="str">
        <f>IFERROR(VLOOKUP($J438,'Project Reference'!$B$2:$D$41,3)," ")</f>
        <v xml:space="preserve"> </v>
      </c>
      <c r="R438" s="42" t="str">
        <f>IFERROR(VLOOKUP($J438,'Project Reference'!$B$2:$E$41,4)," ")</f>
        <v xml:space="preserve"> </v>
      </c>
      <c r="S438" s="42" t="str">
        <f>IFERROR(VLOOKUP($J438,'Project Reference'!$B$2:$F$41,5,FALSE)," ")</f>
        <v xml:space="preserve"> </v>
      </c>
      <c r="T438" s="42" t="str">
        <f>IFERROR(VLOOKUP($J438,'Project Reference'!$B$2:$G$41,6,FALSE)," ")</f>
        <v xml:space="preserve"> </v>
      </c>
      <c r="U438" s="42" t="str">
        <f>IFERROR(VLOOKUP($J438,'Project Reference'!$B$2:$H$41,7,FALSE)," ")</f>
        <v xml:space="preserve"> </v>
      </c>
      <c r="V438" s="42" t="str">
        <f>IFERROR(VLOOKUP($J438,'Project Reference'!$B$2:$I$41,8,FALSE)," ")</f>
        <v xml:space="preserve"> </v>
      </c>
      <c r="W438" s="42" t="str">
        <f>IFERROR(VLOOKUP($J438,'Project Reference'!$B$2:$J$41,9,FALSE)," ")</f>
        <v xml:space="preserve"> </v>
      </c>
      <c r="X438" s="42" t="str">
        <f>IFERROR(VLOOKUP($J438,'Project Reference'!$B$2:$K$41,10)," ")</f>
        <v xml:space="preserve"> </v>
      </c>
      <c r="Y438" s="42" t="str">
        <f>IFERROR(VLOOKUP($J438,'Project Reference'!$B$2:$L$41,11)," ")</f>
        <v xml:space="preserve"> </v>
      </c>
      <c r="Z438" s="42" t="str">
        <f>IFERROR(VLOOKUP($J438,'Project Reference'!$B$2:$M$41,12)," ")</f>
        <v xml:space="preserve"> </v>
      </c>
      <c r="AA438" s="42" t="str">
        <f>IFERROR(VLOOKUP($J438,'Project Reference'!$B$2:$N$41,13)," ")</f>
        <v xml:space="preserve"> </v>
      </c>
    </row>
    <row r="439" spans="1:27" s="1" customFormat="1" x14ac:dyDescent="0.45">
      <c r="A439" s="43"/>
      <c r="B439" s="205"/>
      <c r="C439"/>
      <c r="D439" s="72"/>
      <c r="E439" s="72"/>
      <c r="F439" s="72"/>
      <c r="G439" s="72"/>
      <c r="H439" s="17"/>
      <c r="I439" s="41" t="str" cm="1">
        <f t="array" ref="I439">IFERROR(_xlfn.IFS(H439="Hard (Cash)","N/A",H439="Soft (In-Kind)", "Enter Source"),"Select Type")</f>
        <v>Select Type</v>
      </c>
      <c r="J439" s="124"/>
      <c r="K439" s="41" t="str">
        <f>IFERROR(VLOOKUP($J439,'Project Reference'!$S$2:$T$41,2),"Enter Project Number")</f>
        <v>Enter Project Number</v>
      </c>
      <c r="L439" s="41"/>
      <c r="M439" s="41"/>
      <c r="N439" s="15">
        <f t="shared" si="6"/>
        <v>0</v>
      </c>
      <c r="O439" s="19"/>
      <c r="P439" s="42" t="str">
        <f>IFERROR(VLOOKUP($J439,'Project Reference'!$B$2:$C$41,2)," ")</f>
        <v xml:space="preserve"> </v>
      </c>
      <c r="Q439" s="42" t="str">
        <f>IFERROR(VLOOKUP($J439,'Project Reference'!$B$2:$D$41,3)," ")</f>
        <v xml:space="preserve"> </v>
      </c>
      <c r="R439" s="42" t="str">
        <f>IFERROR(VLOOKUP($J439,'Project Reference'!$B$2:$E$41,4)," ")</f>
        <v xml:space="preserve"> </v>
      </c>
      <c r="S439" s="42" t="str">
        <f>IFERROR(VLOOKUP($J439,'Project Reference'!$B$2:$F$41,5,FALSE)," ")</f>
        <v xml:space="preserve"> </v>
      </c>
      <c r="T439" s="42" t="str">
        <f>IFERROR(VLOOKUP($J439,'Project Reference'!$B$2:$G$41,6,FALSE)," ")</f>
        <v xml:space="preserve"> </v>
      </c>
      <c r="U439" s="42" t="str">
        <f>IFERROR(VLOOKUP($J439,'Project Reference'!$B$2:$H$41,7,FALSE)," ")</f>
        <v xml:space="preserve"> </v>
      </c>
      <c r="V439" s="42" t="str">
        <f>IFERROR(VLOOKUP($J439,'Project Reference'!$B$2:$I$41,8,FALSE)," ")</f>
        <v xml:space="preserve"> </v>
      </c>
      <c r="W439" s="42" t="str">
        <f>IFERROR(VLOOKUP($J439,'Project Reference'!$B$2:$J$41,9,FALSE)," ")</f>
        <v xml:space="preserve"> </v>
      </c>
      <c r="X439" s="42" t="str">
        <f>IFERROR(VLOOKUP($J439,'Project Reference'!$B$2:$K$41,10)," ")</f>
        <v xml:space="preserve"> </v>
      </c>
      <c r="Y439" s="42" t="str">
        <f>IFERROR(VLOOKUP($J439,'Project Reference'!$B$2:$L$41,11)," ")</f>
        <v xml:space="preserve"> </v>
      </c>
      <c r="Z439" s="42" t="str">
        <f>IFERROR(VLOOKUP($J439,'Project Reference'!$B$2:$M$41,12)," ")</f>
        <v xml:space="preserve"> </v>
      </c>
      <c r="AA439" s="42" t="str">
        <f>IFERROR(VLOOKUP($J439,'Project Reference'!$B$2:$N$41,13)," ")</f>
        <v xml:space="preserve"> </v>
      </c>
    </row>
    <row r="440" spans="1:27" s="1" customFormat="1" x14ac:dyDescent="0.45">
      <c r="A440" s="43"/>
      <c r="B440" s="205"/>
      <c r="C440"/>
      <c r="D440" s="72"/>
      <c r="E440" s="72"/>
      <c r="F440" s="72"/>
      <c r="G440" s="72"/>
      <c r="H440" s="17"/>
      <c r="I440" s="41" t="str" cm="1">
        <f t="array" ref="I440">IFERROR(_xlfn.IFS(H440="Hard (Cash)","N/A",H440="Soft (In-Kind)", "Enter Source"),"Select Type")</f>
        <v>Select Type</v>
      </c>
      <c r="J440" s="124"/>
      <c r="K440" s="41" t="str">
        <f>IFERROR(VLOOKUP($J440,'Project Reference'!$S$2:$T$41,2),"Enter Project Number")</f>
        <v>Enter Project Number</v>
      </c>
      <c r="L440" s="41"/>
      <c r="M440" s="41"/>
      <c r="N440" s="15">
        <f t="shared" si="6"/>
        <v>0</v>
      </c>
      <c r="O440" s="19"/>
      <c r="P440" s="42" t="str">
        <f>IFERROR(VLOOKUP($J440,'Project Reference'!$B$2:$C$41,2)," ")</f>
        <v xml:space="preserve"> </v>
      </c>
      <c r="Q440" s="42" t="str">
        <f>IFERROR(VLOOKUP($J440,'Project Reference'!$B$2:$D$41,3)," ")</f>
        <v xml:space="preserve"> </v>
      </c>
      <c r="R440" s="42" t="str">
        <f>IFERROR(VLOOKUP($J440,'Project Reference'!$B$2:$E$41,4)," ")</f>
        <v xml:space="preserve"> </v>
      </c>
      <c r="S440" s="42" t="str">
        <f>IFERROR(VLOOKUP($J440,'Project Reference'!$B$2:$F$41,5,FALSE)," ")</f>
        <v xml:space="preserve"> </v>
      </c>
      <c r="T440" s="42" t="str">
        <f>IFERROR(VLOOKUP($J440,'Project Reference'!$B$2:$G$41,6,FALSE)," ")</f>
        <v xml:space="preserve"> </v>
      </c>
      <c r="U440" s="42" t="str">
        <f>IFERROR(VLOOKUP($J440,'Project Reference'!$B$2:$H$41,7,FALSE)," ")</f>
        <v xml:space="preserve"> </v>
      </c>
      <c r="V440" s="42" t="str">
        <f>IFERROR(VLOOKUP($J440,'Project Reference'!$B$2:$I$41,8,FALSE)," ")</f>
        <v xml:space="preserve"> </v>
      </c>
      <c r="W440" s="42" t="str">
        <f>IFERROR(VLOOKUP($J440,'Project Reference'!$B$2:$J$41,9,FALSE)," ")</f>
        <v xml:space="preserve"> </v>
      </c>
      <c r="X440" s="42" t="str">
        <f>IFERROR(VLOOKUP($J440,'Project Reference'!$B$2:$K$41,10)," ")</f>
        <v xml:space="preserve"> </v>
      </c>
      <c r="Y440" s="42" t="str">
        <f>IFERROR(VLOOKUP($J440,'Project Reference'!$B$2:$L$41,11)," ")</f>
        <v xml:space="preserve"> </v>
      </c>
      <c r="Z440" s="42" t="str">
        <f>IFERROR(VLOOKUP($J440,'Project Reference'!$B$2:$M$41,12)," ")</f>
        <v xml:space="preserve"> </v>
      </c>
      <c r="AA440" s="42" t="str">
        <f>IFERROR(VLOOKUP($J440,'Project Reference'!$B$2:$N$41,13)," ")</f>
        <v xml:space="preserve"> </v>
      </c>
    </row>
    <row r="441" spans="1:27" s="1" customFormat="1" x14ac:dyDescent="0.45">
      <c r="A441" s="43"/>
      <c r="B441" s="205"/>
      <c r="C441"/>
      <c r="D441" s="72"/>
      <c r="E441" s="72"/>
      <c r="F441" s="72"/>
      <c r="G441" s="72"/>
      <c r="H441" s="17"/>
      <c r="I441" s="41" t="str" cm="1">
        <f t="array" ref="I441">IFERROR(_xlfn.IFS(H441="Hard (Cash)","N/A",H441="Soft (In-Kind)", "Enter Source"),"Select Type")</f>
        <v>Select Type</v>
      </c>
      <c r="J441" s="124"/>
      <c r="K441" s="41" t="str">
        <f>IFERROR(VLOOKUP($J441,'Project Reference'!$S$2:$T$41,2),"Enter Project Number")</f>
        <v>Enter Project Number</v>
      </c>
      <c r="L441" s="41"/>
      <c r="M441" s="41"/>
      <c r="N441" s="15">
        <f t="shared" si="6"/>
        <v>0</v>
      </c>
      <c r="O441" s="19"/>
      <c r="P441" s="42" t="str">
        <f>IFERROR(VLOOKUP($J441,'Project Reference'!$B$2:$C$41,2)," ")</f>
        <v xml:space="preserve"> </v>
      </c>
      <c r="Q441" s="42" t="str">
        <f>IFERROR(VLOOKUP($J441,'Project Reference'!$B$2:$D$41,3)," ")</f>
        <v xml:space="preserve"> </v>
      </c>
      <c r="R441" s="42" t="str">
        <f>IFERROR(VLOOKUP($J441,'Project Reference'!$B$2:$E$41,4)," ")</f>
        <v xml:space="preserve"> </v>
      </c>
      <c r="S441" s="42" t="str">
        <f>IFERROR(VLOOKUP($J441,'Project Reference'!$B$2:$F$41,5,FALSE)," ")</f>
        <v xml:space="preserve"> </v>
      </c>
      <c r="T441" s="42" t="str">
        <f>IFERROR(VLOOKUP($J441,'Project Reference'!$B$2:$G$41,6,FALSE)," ")</f>
        <v xml:space="preserve"> </v>
      </c>
      <c r="U441" s="42" t="str">
        <f>IFERROR(VLOOKUP($J441,'Project Reference'!$B$2:$H$41,7,FALSE)," ")</f>
        <v xml:space="preserve"> </v>
      </c>
      <c r="V441" s="42" t="str">
        <f>IFERROR(VLOOKUP($J441,'Project Reference'!$B$2:$I$41,8,FALSE)," ")</f>
        <v xml:space="preserve"> </v>
      </c>
      <c r="W441" s="42" t="str">
        <f>IFERROR(VLOOKUP($J441,'Project Reference'!$B$2:$J$41,9,FALSE)," ")</f>
        <v xml:space="preserve"> </v>
      </c>
      <c r="X441" s="42" t="str">
        <f>IFERROR(VLOOKUP($J441,'Project Reference'!$B$2:$K$41,10)," ")</f>
        <v xml:space="preserve"> </v>
      </c>
      <c r="Y441" s="42" t="str">
        <f>IFERROR(VLOOKUP($J441,'Project Reference'!$B$2:$L$41,11)," ")</f>
        <v xml:space="preserve"> </v>
      </c>
      <c r="Z441" s="42" t="str">
        <f>IFERROR(VLOOKUP($J441,'Project Reference'!$B$2:$M$41,12)," ")</f>
        <v xml:space="preserve"> </v>
      </c>
      <c r="AA441" s="42" t="str">
        <f>IFERROR(VLOOKUP($J441,'Project Reference'!$B$2:$N$41,13)," ")</f>
        <v xml:space="preserve"> </v>
      </c>
    </row>
    <row r="442" spans="1:27" s="1" customFormat="1" x14ac:dyDescent="0.45">
      <c r="A442" s="43"/>
      <c r="B442" s="205"/>
      <c r="C442"/>
      <c r="D442" s="72"/>
      <c r="E442" s="72"/>
      <c r="F442" s="72"/>
      <c r="G442" s="72"/>
      <c r="H442" s="17"/>
      <c r="I442" s="41" t="str" cm="1">
        <f t="array" ref="I442">IFERROR(_xlfn.IFS(H442="Hard (Cash)","N/A",H442="Soft (In-Kind)", "Enter Source"),"Select Type")</f>
        <v>Select Type</v>
      </c>
      <c r="J442" s="124"/>
      <c r="K442" s="41" t="str">
        <f>IFERROR(VLOOKUP($J442,'Project Reference'!$S$2:$T$41,2),"Enter Project Number")</f>
        <v>Enter Project Number</v>
      </c>
      <c r="L442" s="41"/>
      <c r="M442" s="41"/>
      <c r="N442" s="15">
        <f t="shared" si="6"/>
        <v>0</v>
      </c>
      <c r="O442" s="19"/>
      <c r="P442" s="42" t="str">
        <f>IFERROR(VLOOKUP($J442,'Project Reference'!$B$2:$C$41,2)," ")</f>
        <v xml:space="preserve"> </v>
      </c>
      <c r="Q442" s="42" t="str">
        <f>IFERROR(VLOOKUP($J442,'Project Reference'!$B$2:$D$41,3)," ")</f>
        <v xml:space="preserve"> </v>
      </c>
      <c r="R442" s="42" t="str">
        <f>IFERROR(VLOOKUP($J442,'Project Reference'!$B$2:$E$41,4)," ")</f>
        <v xml:space="preserve"> </v>
      </c>
      <c r="S442" s="42" t="str">
        <f>IFERROR(VLOOKUP($J442,'Project Reference'!$B$2:$F$41,5,FALSE)," ")</f>
        <v xml:space="preserve"> </v>
      </c>
      <c r="T442" s="42" t="str">
        <f>IFERROR(VLOOKUP($J442,'Project Reference'!$B$2:$G$41,6,FALSE)," ")</f>
        <v xml:space="preserve"> </v>
      </c>
      <c r="U442" s="42" t="str">
        <f>IFERROR(VLOOKUP($J442,'Project Reference'!$B$2:$H$41,7,FALSE)," ")</f>
        <v xml:space="preserve"> </v>
      </c>
      <c r="V442" s="42" t="str">
        <f>IFERROR(VLOOKUP($J442,'Project Reference'!$B$2:$I$41,8,FALSE)," ")</f>
        <v xml:space="preserve"> </v>
      </c>
      <c r="W442" s="42" t="str">
        <f>IFERROR(VLOOKUP($J442,'Project Reference'!$B$2:$J$41,9,FALSE)," ")</f>
        <v xml:space="preserve"> </v>
      </c>
      <c r="X442" s="42" t="str">
        <f>IFERROR(VLOOKUP($J442,'Project Reference'!$B$2:$K$41,10)," ")</f>
        <v xml:space="preserve"> </v>
      </c>
      <c r="Y442" s="42" t="str">
        <f>IFERROR(VLOOKUP($J442,'Project Reference'!$B$2:$L$41,11)," ")</f>
        <v xml:space="preserve"> </v>
      </c>
      <c r="Z442" s="42" t="str">
        <f>IFERROR(VLOOKUP($J442,'Project Reference'!$B$2:$M$41,12)," ")</f>
        <v xml:space="preserve"> </v>
      </c>
      <c r="AA442" s="42" t="str">
        <f>IFERROR(VLOOKUP($J442,'Project Reference'!$B$2:$N$41,13)," ")</f>
        <v xml:space="preserve"> </v>
      </c>
    </row>
    <row r="443" spans="1:27" s="1" customFormat="1" x14ac:dyDescent="0.45">
      <c r="A443" s="43"/>
      <c r="B443" s="205"/>
      <c r="C443"/>
      <c r="D443" s="72"/>
      <c r="E443" s="72"/>
      <c r="F443" s="72"/>
      <c r="G443" s="72"/>
      <c r="H443" s="17"/>
      <c r="I443" s="41" t="str" cm="1">
        <f t="array" ref="I443">IFERROR(_xlfn.IFS(H443="Hard (Cash)","N/A",H443="Soft (In-Kind)", "Enter Source"),"Select Type")</f>
        <v>Select Type</v>
      </c>
      <c r="J443" s="124"/>
      <c r="K443" s="41" t="str">
        <f>IFERROR(VLOOKUP($J443,'Project Reference'!$S$2:$T$41,2),"Enter Project Number")</f>
        <v>Enter Project Number</v>
      </c>
      <c r="L443" s="41"/>
      <c r="M443" s="41"/>
      <c r="N443" s="15">
        <f t="shared" si="6"/>
        <v>0</v>
      </c>
      <c r="O443" s="19"/>
      <c r="P443" s="42" t="str">
        <f>IFERROR(VLOOKUP($J443,'Project Reference'!$B$2:$C$41,2)," ")</f>
        <v xml:space="preserve"> </v>
      </c>
      <c r="Q443" s="42" t="str">
        <f>IFERROR(VLOOKUP($J443,'Project Reference'!$B$2:$D$41,3)," ")</f>
        <v xml:space="preserve"> </v>
      </c>
      <c r="R443" s="42" t="str">
        <f>IFERROR(VLOOKUP($J443,'Project Reference'!$B$2:$E$41,4)," ")</f>
        <v xml:space="preserve"> </v>
      </c>
      <c r="S443" s="42" t="str">
        <f>IFERROR(VLOOKUP($J443,'Project Reference'!$B$2:$F$41,5,FALSE)," ")</f>
        <v xml:space="preserve"> </v>
      </c>
      <c r="T443" s="42" t="str">
        <f>IFERROR(VLOOKUP($J443,'Project Reference'!$B$2:$G$41,6,FALSE)," ")</f>
        <v xml:space="preserve"> </v>
      </c>
      <c r="U443" s="42" t="str">
        <f>IFERROR(VLOOKUP($J443,'Project Reference'!$B$2:$H$41,7,FALSE)," ")</f>
        <v xml:space="preserve"> </v>
      </c>
      <c r="V443" s="42" t="str">
        <f>IFERROR(VLOOKUP($J443,'Project Reference'!$B$2:$I$41,8,FALSE)," ")</f>
        <v xml:space="preserve"> </v>
      </c>
      <c r="W443" s="42" t="str">
        <f>IFERROR(VLOOKUP($J443,'Project Reference'!$B$2:$J$41,9,FALSE)," ")</f>
        <v xml:space="preserve"> </v>
      </c>
      <c r="X443" s="42" t="str">
        <f>IFERROR(VLOOKUP($J443,'Project Reference'!$B$2:$K$41,10)," ")</f>
        <v xml:space="preserve"> </v>
      </c>
      <c r="Y443" s="42" t="str">
        <f>IFERROR(VLOOKUP($J443,'Project Reference'!$B$2:$L$41,11)," ")</f>
        <v xml:space="preserve"> </v>
      </c>
      <c r="Z443" s="42" t="str">
        <f>IFERROR(VLOOKUP($J443,'Project Reference'!$B$2:$M$41,12)," ")</f>
        <v xml:space="preserve"> </v>
      </c>
      <c r="AA443" s="42" t="str">
        <f>IFERROR(VLOOKUP($J443,'Project Reference'!$B$2:$N$41,13)," ")</f>
        <v xml:space="preserve"> </v>
      </c>
    </row>
    <row r="444" spans="1:27" s="1" customFormat="1" x14ac:dyDescent="0.45">
      <c r="A444" s="43"/>
      <c r="B444" s="205"/>
      <c r="C444"/>
      <c r="D444" s="72"/>
      <c r="E444" s="72"/>
      <c r="F444" s="72"/>
      <c r="G444" s="72"/>
      <c r="H444" s="17"/>
      <c r="I444" s="41" t="str" cm="1">
        <f t="array" ref="I444">IFERROR(_xlfn.IFS(H444="Hard (Cash)","N/A",H444="Soft (In-Kind)", "Enter Source"),"Select Type")</f>
        <v>Select Type</v>
      </c>
      <c r="J444" s="124"/>
      <c r="K444" s="41" t="str">
        <f>IFERROR(VLOOKUP($J444,'Project Reference'!$S$2:$T$41,2),"Enter Project Number")</f>
        <v>Enter Project Number</v>
      </c>
      <c r="L444" s="41"/>
      <c r="M444" s="41"/>
      <c r="N444" s="15">
        <f t="shared" si="6"/>
        <v>0</v>
      </c>
      <c r="O444" s="19"/>
      <c r="P444" s="42" t="str">
        <f>IFERROR(VLOOKUP($J444,'Project Reference'!$B$2:$C$41,2)," ")</f>
        <v xml:space="preserve"> </v>
      </c>
      <c r="Q444" s="42" t="str">
        <f>IFERROR(VLOOKUP($J444,'Project Reference'!$B$2:$D$41,3)," ")</f>
        <v xml:space="preserve"> </v>
      </c>
      <c r="R444" s="42" t="str">
        <f>IFERROR(VLOOKUP($J444,'Project Reference'!$B$2:$E$41,4)," ")</f>
        <v xml:space="preserve"> </v>
      </c>
      <c r="S444" s="42" t="str">
        <f>IFERROR(VLOOKUP($J444,'Project Reference'!$B$2:$F$41,5,FALSE)," ")</f>
        <v xml:space="preserve"> </v>
      </c>
      <c r="T444" s="42" t="str">
        <f>IFERROR(VLOOKUP($J444,'Project Reference'!$B$2:$G$41,6,FALSE)," ")</f>
        <v xml:space="preserve"> </v>
      </c>
      <c r="U444" s="42" t="str">
        <f>IFERROR(VLOOKUP($J444,'Project Reference'!$B$2:$H$41,7,FALSE)," ")</f>
        <v xml:space="preserve"> </v>
      </c>
      <c r="V444" s="42" t="str">
        <f>IFERROR(VLOOKUP($J444,'Project Reference'!$B$2:$I$41,8,FALSE)," ")</f>
        <v xml:space="preserve"> </v>
      </c>
      <c r="W444" s="42" t="str">
        <f>IFERROR(VLOOKUP($J444,'Project Reference'!$B$2:$J$41,9,FALSE)," ")</f>
        <v xml:space="preserve"> </v>
      </c>
      <c r="X444" s="42" t="str">
        <f>IFERROR(VLOOKUP($J444,'Project Reference'!$B$2:$K$41,10)," ")</f>
        <v xml:space="preserve"> </v>
      </c>
      <c r="Y444" s="42" t="str">
        <f>IFERROR(VLOOKUP($J444,'Project Reference'!$B$2:$L$41,11)," ")</f>
        <v xml:space="preserve"> </v>
      </c>
      <c r="Z444" s="42" t="str">
        <f>IFERROR(VLOOKUP($J444,'Project Reference'!$B$2:$M$41,12)," ")</f>
        <v xml:space="preserve"> </v>
      </c>
      <c r="AA444" s="42" t="str">
        <f>IFERROR(VLOOKUP($J444,'Project Reference'!$B$2:$N$41,13)," ")</f>
        <v xml:space="preserve"> </v>
      </c>
    </row>
    <row r="445" spans="1:27" s="1" customFormat="1" x14ac:dyDescent="0.45">
      <c r="A445" s="43"/>
      <c r="B445" s="205"/>
      <c r="C445"/>
      <c r="D445" s="72"/>
      <c r="E445" s="72"/>
      <c r="F445" s="72"/>
      <c r="G445" s="72"/>
      <c r="H445" s="17"/>
      <c r="I445" s="41" t="str" cm="1">
        <f t="array" ref="I445">IFERROR(_xlfn.IFS(H445="Hard (Cash)","N/A",H445="Soft (In-Kind)", "Enter Source"),"Select Type")</f>
        <v>Select Type</v>
      </c>
      <c r="J445" s="124"/>
      <c r="K445" s="41" t="str">
        <f>IFERROR(VLOOKUP($J445,'Project Reference'!$S$2:$T$41,2),"Enter Project Number")</f>
        <v>Enter Project Number</v>
      </c>
      <c r="L445" s="41"/>
      <c r="M445" s="41"/>
      <c r="N445" s="15">
        <f t="shared" si="6"/>
        <v>0</v>
      </c>
      <c r="O445" s="19"/>
      <c r="P445" s="42" t="str">
        <f>IFERROR(VLOOKUP($J445,'Project Reference'!$B$2:$C$41,2)," ")</f>
        <v xml:space="preserve"> </v>
      </c>
      <c r="Q445" s="42" t="str">
        <f>IFERROR(VLOOKUP($J445,'Project Reference'!$B$2:$D$41,3)," ")</f>
        <v xml:space="preserve"> </v>
      </c>
      <c r="R445" s="42" t="str">
        <f>IFERROR(VLOOKUP($J445,'Project Reference'!$B$2:$E$41,4)," ")</f>
        <v xml:space="preserve"> </v>
      </c>
      <c r="S445" s="42" t="str">
        <f>IFERROR(VLOOKUP($J445,'Project Reference'!$B$2:$F$41,5,FALSE)," ")</f>
        <v xml:space="preserve"> </v>
      </c>
      <c r="T445" s="42" t="str">
        <f>IFERROR(VLOOKUP($J445,'Project Reference'!$B$2:$G$41,6,FALSE)," ")</f>
        <v xml:space="preserve"> </v>
      </c>
      <c r="U445" s="42" t="str">
        <f>IFERROR(VLOOKUP($J445,'Project Reference'!$B$2:$H$41,7,FALSE)," ")</f>
        <v xml:space="preserve"> </v>
      </c>
      <c r="V445" s="42" t="str">
        <f>IFERROR(VLOOKUP($J445,'Project Reference'!$B$2:$I$41,8,FALSE)," ")</f>
        <v xml:space="preserve"> </v>
      </c>
      <c r="W445" s="42" t="str">
        <f>IFERROR(VLOOKUP($J445,'Project Reference'!$B$2:$J$41,9,FALSE)," ")</f>
        <v xml:space="preserve"> </v>
      </c>
      <c r="X445" s="42" t="str">
        <f>IFERROR(VLOOKUP($J445,'Project Reference'!$B$2:$K$41,10)," ")</f>
        <v xml:space="preserve"> </v>
      </c>
      <c r="Y445" s="42" t="str">
        <f>IFERROR(VLOOKUP($J445,'Project Reference'!$B$2:$L$41,11)," ")</f>
        <v xml:space="preserve"> </v>
      </c>
      <c r="Z445" s="42" t="str">
        <f>IFERROR(VLOOKUP($J445,'Project Reference'!$B$2:$M$41,12)," ")</f>
        <v xml:space="preserve"> </v>
      </c>
      <c r="AA445" s="42" t="str">
        <f>IFERROR(VLOOKUP($J445,'Project Reference'!$B$2:$N$41,13)," ")</f>
        <v xml:space="preserve"> </v>
      </c>
    </row>
    <row r="446" spans="1:27" s="1" customFormat="1" x14ac:dyDescent="0.45">
      <c r="A446" s="43"/>
      <c r="B446" s="205"/>
      <c r="C446"/>
      <c r="D446" s="72"/>
      <c r="E446" s="72"/>
      <c r="F446" s="72"/>
      <c r="G446" s="72"/>
      <c r="H446" s="17"/>
      <c r="I446" s="41" t="str" cm="1">
        <f t="array" ref="I446">IFERROR(_xlfn.IFS(H446="Hard (Cash)","N/A",H446="Soft (In-Kind)", "Enter Source"),"Select Type")</f>
        <v>Select Type</v>
      </c>
      <c r="J446" s="124"/>
      <c r="K446" s="41" t="str">
        <f>IFERROR(VLOOKUP($J446,'Project Reference'!$S$2:$T$41,2),"Enter Project Number")</f>
        <v>Enter Project Number</v>
      </c>
      <c r="L446" s="41"/>
      <c r="M446" s="41"/>
      <c r="N446" s="15">
        <f t="shared" si="6"/>
        <v>0</v>
      </c>
      <c r="O446" s="19"/>
      <c r="P446" s="42" t="str">
        <f>IFERROR(VLOOKUP($J446,'Project Reference'!$B$2:$C$41,2)," ")</f>
        <v xml:space="preserve"> </v>
      </c>
      <c r="Q446" s="42" t="str">
        <f>IFERROR(VLOOKUP($J446,'Project Reference'!$B$2:$D$41,3)," ")</f>
        <v xml:space="preserve"> </v>
      </c>
      <c r="R446" s="42" t="str">
        <f>IFERROR(VLOOKUP($J446,'Project Reference'!$B$2:$E$41,4)," ")</f>
        <v xml:space="preserve"> </v>
      </c>
      <c r="S446" s="42" t="str">
        <f>IFERROR(VLOOKUP($J446,'Project Reference'!$B$2:$F$41,5,FALSE)," ")</f>
        <v xml:space="preserve"> </v>
      </c>
      <c r="T446" s="42" t="str">
        <f>IFERROR(VLOOKUP($J446,'Project Reference'!$B$2:$G$41,6,FALSE)," ")</f>
        <v xml:space="preserve"> </v>
      </c>
      <c r="U446" s="42" t="str">
        <f>IFERROR(VLOOKUP($J446,'Project Reference'!$B$2:$H$41,7,FALSE)," ")</f>
        <v xml:space="preserve"> </v>
      </c>
      <c r="V446" s="42" t="str">
        <f>IFERROR(VLOOKUP($J446,'Project Reference'!$B$2:$I$41,8,FALSE)," ")</f>
        <v xml:space="preserve"> </v>
      </c>
      <c r="W446" s="42" t="str">
        <f>IFERROR(VLOOKUP($J446,'Project Reference'!$B$2:$J$41,9,FALSE)," ")</f>
        <v xml:space="preserve"> </v>
      </c>
      <c r="X446" s="42" t="str">
        <f>IFERROR(VLOOKUP($J446,'Project Reference'!$B$2:$K$41,10)," ")</f>
        <v xml:space="preserve"> </v>
      </c>
      <c r="Y446" s="42" t="str">
        <f>IFERROR(VLOOKUP($J446,'Project Reference'!$B$2:$L$41,11)," ")</f>
        <v xml:space="preserve"> </v>
      </c>
      <c r="Z446" s="42" t="str">
        <f>IFERROR(VLOOKUP($J446,'Project Reference'!$B$2:$M$41,12)," ")</f>
        <v xml:space="preserve"> </v>
      </c>
      <c r="AA446" s="42" t="str">
        <f>IFERROR(VLOOKUP($J446,'Project Reference'!$B$2:$N$41,13)," ")</f>
        <v xml:space="preserve"> </v>
      </c>
    </row>
    <row r="447" spans="1:27" s="1" customFormat="1" x14ac:dyDescent="0.45">
      <c r="A447" s="43"/>
      <c r="B447" s="205"/>
      <c r="C447"/>
      <c r="D447" s="72"/>
      <c r="E447" s="72"/>
      <c r="F447" s="72"/>
      <c r="G447" s="72"/>
      <c r="H447" s="17"/>
      <c r="I447" s="41" t="str" cm="1">
        <f t="array" ref="I447">IFERROR(_xlfn.IFS(H447="Hard (Cash)","N/A",H447="Soft (In-Kind)", "Enter Source"),"Select Type")</f>
        <v>Select Type</v>
      </c>
      <c r="J447" s="124"/>
      <c r="K447" s="41" t="str">
        <f>IFERROR(VLOOKUP($J447,'Project Reference'!$S$2:$T$41,2),"Enter Project Number")</f>
        <v>Enter Project Number</v>
      </c>
      <c r="L447" s="41"/>
      <c r="M447" s="41"/>
      <c r="N447" s="15">
        <f t="shared" si="6"/>
        <v>0</v>
      </c>
      <c r="O447" s="19"/>
      <c r="P447" s="42" t="str">
        <f>IFERROR(VLOOKUP($J447,'Project Reference'!$B$2:$C$41,2)," ")</f>
        <v xml:space="preserve"> </v>
      </c>
      <c r="Q447" s="42" t="str">
        <f>IFERROR(VLOOKUP($J447,'Project Reference'!$B$2:$D$41,3)," ")</f>
        <v xml:space="preserve"> </v>
      </c>
      <c r="R447" s="42" t="str">
        <f>IFERROR(VLOOKUP($J447,'Project Reference'!$B$2:$E$41,4)," ")</f>
        <v xml:space="preserve"> </v>
      </c>
      <c r="S447" s="42" t="str">
        <f>IFERROR(VLOOKUP($J447,'Project Reference'!$B$2:$F$41,5,FALSE)," ")</f>
        <v xml:space="preserve"> </v>
      </c>
      <c r="T447" s="42" t="str">
        <f>IFERROR(VLOOKUP($J447,'Project Reference'!$B$2:$G$41,6,FALSE)," ")</f>
        <v xml:space="preserve"> </v>
      </c>
      <c r="U447" s="42" t="str">
        <f>IFERROR(VLOOKUP($J447,'Project Reference'!$B$2:$H$41,7,FALSE)," ")</f>
        <v xml:space="preserve"> </v>
      </c>
      <c r="V447" s="42" t="str">
        <f>IFERROR(VLOOKUP($J447,'Project Reference'!$B$2:$I$41,8,FALSE)," ")</f>
        <v xml:space="preserve"> </v>
      </c>
      <c r="W447" s="42" t="str">
        <f>IFERROR(VLOOKUP($J447,'Project Reference'!$B$2:$J$41,9,FALSE)," ")</f>
        <v xml:space="preserve"> </v>
      </c>
      <c r="X447" s="42" t="str">
        <f>IFERROR(VLOOKUP($J447,'Project Reference'!$B$2:$K$41,10)," ")</f>
        <v xml:space="preserve"> </v>
      </c>
      <c r="Y447" s="42" t="str">
        <f>IFERROR(VLOOKUP($J447,'Project Reference'!$B$2:$L$41,11)," ")</f>
        <v xml:space="preserve"> </v>
      </c>
      <c r="Z447" s="42" t="str">
        <f>IFERROR(VLOOKUP($J447,'Project Reference'!$B$2:$M$41,12)," ")</f>
        <v xml:space="preserve"> </v>
      </c>
      <c r="AA447" s="42" t="str">
        <f>IFERROR(VLOOKUP($J447,'Project Reference'!$B$2:$N$41,13)," ")</f>
        <v xml:space="preserve"> </v>
      </c>
    </row>
    <row r="448" spans="1:27" s="1" customFormat="1" x14ac:dyDescent="0.45">
      <c r="A448" s="43"/>
      <c r="B448" s="205"/>
      <c r="C448"/>
      <c r="D448" s="72"/>
      <c r="E448" s="72"/>
      <c r="F448" s="72"/>
      <c r="G448" s="72"/>
      <c r="H448" s="17"/>
      <c r="I448" s="41" t="str" cm="1">
        <f t="array" ref="I448">IFERROR(_xlfn.IFS(H448="Hard (Cash)","N/A",H448="Soft (In-Kind)", "Enter Source"),"Select Type")</f>
        <v>Select Type</v>
      </c>
      <c r="J448" s="124"/>
      <c r="K448" s="41" t="str">
        <f>IFERROR(VLOOKUP($J448,'Project Reference'!$S$2:$T$41,2),"Enter Project Number")</f>
        <v>Enter Project Number</v>
      </c>
      <c r="L448" s="41"/>
      <c r="M448" s="41"/>
      <c r="N448" s="15">
        <f t="shared" si="6"/>
        <v>0</v>
      </c>
      <c r="O448" s="19"/>
      <c r="P448" s="42" t="str">
        <f>IFERROR(VLOOKUP($J448,'Project Reference'!$B$2:$C$41,2)," ")</f>
        <v xml:space="preserve"> </v>
      </c>
      <c r="Q448" s="42" t="str">
        <f>IFERROR(VLOOKUP($J448,'Project Reference'!$B$2:$D$41,3)," ")</f>
        <v xml:space="preserve"> </v>
      </c>
      <c r="R448" s="42" t="str">
        <f>IFERROR(VLOOKUP($J448,'Project Reference'!$B$2:$E$41,4)," ")</f>
        <v xml:space="preserve"> </v>
      </c>
      <c r="S448" s="42" t="str">
        <f>IFERROR(VLOOKUP($J448,'Project Reference'!$B$2:$F$41,5,FALSE)," ")</f>
        <v xml:space="preserve"> </v>
      </c>
      <c r="T448" s="42" t="str">
        <f>IFERROR(VLOOKUP($J448,'Project Reference'!$B$2:$G$41,6,FALSE)," ")</f>
        <v xml:space="preserve"> </v>
      </c>
      <c r="U448" s="42" t="str">
        <f>IFERROR(VLOOKUP($J448,'Project Reference'!$B$2:$H$41,7,FALSE)," ")</f>
        <v xml:space="preserve"> </v>
      </c>
      <c r="V448" s="42" t="str">
        <f>IFERROR(VLOOKUP($J448,'Project Reference'!$B$2:$I$41,8,FALSE)," ")</f>
        <v xml:space="preserve"> </v>
      </c>
      <c r="W448" s="42" t="str">
        <f>IFERROR(VLOOKUP($J448,'Project Reference'!$B$2:$J$41,9,FALSE)," ")</f>
        <v xml:space="preserve"> </v>
      </c>
      <c r="X448" s="42" t="str">
        <f>IFERROR(VLOOKUP($J448,'Project Reference'!$B$2:$K$41,10)," ")</f>
        <v xml:space="preserve"> </v>
      </c>
      <c r="Y448" s="42" t="str">
        <f>IFERROR(VLOOKUP($J448,'Project Reference'!$B$2:$L$41,11)," ")</f>
        <v xml:space="preserve"> </v>
      </c>
      <c r="Z448" s="42" t="str">
        <f>IFERROR(VLOOKUP($J448,'Project Reference'!$B$2:$M$41,12)," ")</f>
        <v xml:space="preserve"> </v>
      </c>
      <c r="AA448" s="42" t="str">
        <f>IFERROR(VLOOKUP($J448,'Project Reference'!$B$2:$N$41,13)," ")</f>
        <v xml:space="preserve"> </v>
      </c>
    </row>
    <row r="449" spans="1:27" s="1" customFormat="1" x14ac:dyDescent="0.45">
      <c r="A449" s="43"/>
      <c r="B449" s="205"/>
      <c r="C449"/>
      <c r="D449" s="72"/>
      <c r="E449" s="72"/>
      <c r="F449" s="72"/>
      <c r="G449" s="72"/>
      <c r="H449" s="17"/>
      <c r="I449" s="41" t="str" cm="1">
        <f t="array" ref="I449">IFERROR(_xlfn.IFS(H449="Hard (Cash)","N/A",H449="Soft (In-Kind)", "Enter Source"),"Select Type")</f>
        <v>Select Type</v>
      </c>
      <c r="J449" s="124"/>
      <c r="K449" s="41" t="str">
        <f>IFERROR(VLOOKUP($J449,'Project Reference'!$S$2:$T$41,2),"Enter Project Number")</f>
        <v>Enter Project Number</v>
      </c>
      <c r="L449" s="41"/>
      <c r="M449" s="41"/>
      <c r="N449" s="15">
        <f t="shared" si="6"/>
        <v>0</v>
      </c>
      <c r="O449" s="19"/>
      <c r="P449" s="42" t="str">
        <f>IFERROR(VLOOKUP($J449,'Project Reference'!$B$2:$C$41,2)," ")</f>
        <v xml:space="preserve"> </v>
      </c>
      <c r="Q449" s="42" t="str">
        <f>IFERROR(VLOOKUP($J449,'Project Reference'!$B$2:$D$41,3)," ")</f>
        <v xml:space="preserve"> </v>
      </c>
      <c r="R449" s="42" t="str">
        <f>IFERROR(VLOOKUP($J449,'Project Reference'!$B$2:$E$41,4)," ")</f>
        <v xml:space="preserve"> </v>
      </c>
      <c r="S449" s="42" t="str">
        <f>IFERROR(VLOOKUP($J449,'Project Reference'!$B$2:$F$41,5,FALSE)," ")</f>
        <v xml:space="preserve"> </v>
      </c>
      <c r="T449" s="42" t="str">
        <f>IFERROR(VLOOKUP($J449,'Project Reference'!$B$2:$G$41,6,FALSE)," ")</f>
        <v xml:space="preserve"> </v>
      </c>
      <c r="U449" s="42" t="str">
        <f>IFERROR(VLOOKUP($J449,'Project Reference'!$B$2:$H$41,7,FALSE)," ")</f>
        <v xml:space="preserve"> </v>
      </c>
      <c r="V449" s="42" t="str">
        <f>IFERROR(VLOOKUP($J449,'Project Reference'!$B$2:$I$41,8,FALSE)," ")</f>
        <v xml:space="preserve"> </v>
      </c>
      <c r="W449" s="42" t="str">
        <f>IFERROR(VLOOKUP($J449,'Project Reference'!$B$2:$J$41,9,FALSE)," ")</f>
        <v xml:space="preserve"> </v>
      </c>
      <c r="X449" s="42" t="str">
        <f>IFERROR(VLOOKUP($J449,'Project Reference'!$B$2:$K$41,10)," ")</f>
        <v xml:space="preserve"> </v>
      </c>
      <c r="Y449" s="42" t="str">
        <f>IFERROR(VLOOKUP($J449,'Project Reference'!$B$2:$L$41,11)," ")</f>
        <v xml:space="preserve"> </v>
      </c>
      <c r="Z449" s="42" t="str">
        <f>IFERROR(VLOOKUP($J449,'Project Reference'!$B$2:$M$41,12)," ")</f>
        <v xml:space="preserve"> </v>
      </c>
      <c r="AA449" s="42" t="str">
        <f>IFERROR(VLOOKUP($J449,'Project Reference'!$B$2:$N$41,13)," ")</f>
        <v xml:space="preserve"> </v>
      </c>
    </row>
    <row r="450" spans="1:27" s="1" customFormat="1" x14ac:dyDescent="0.45">
      <c r="A450" s="43"/>
      <c r="B450" s="205"/>
      <c r="C450"/>
      <c r="D450" s="72"/>
      <c r="E450" s="72"/>
      <c r="F450" s="72"/>
      <c r="G450" s="72"/>
      <c r="H450" s="17"/>
      <c r="I450" s="41" t="str" cm="1">
        <f t="array" ref="I450">IFERROR(_xlfn.IFS(H450="Hard (Cash)","N/A",H450="Soft (In-Kind)", "Enter Source"),"Select Type")</f>
        <v>Select Type</v>
      </c>
      <c r="J450" s="124"/>
      <c r="K450" s="41" t="str">
        <f>IFERROR(VLOOKUP($J450,'Project Reference'!$S$2:$T$41,2),"Enter Project Number")</f>
        <v>Enter Project Number</v>
      </c>
      <c r="L450" s="41"/>
      <c r="M450" s="41"/>
      <c r="N450" s="15">
        <f t="shared" si="6"/>
        <v>0</v>
      </c>
      <c r="O450" s="19"/>
      <c r="P450" s="42" t="str">
        <f>IFERROR(VLOOKUP($J450,'Project Reference'!$B$2:$C$41,2)," ")</f>
        <v xml:space="preserve"> </v>
      </c>
      <c r="Q450" s="42" t="str">
        <f>IFERROR(VLOOKUP($J450,'Project Reference'!$B$2:$D$41,3)," ")</f>
        <v xml:space="preserve"> </v>
      </c>
      <c r="R450" s="42" t="str">
        <f>IFERROR(VLOOKUP($J450,'Project Reference'!$B$2:$E$41,4)," ")</f>
        <v xml:space="preserve"> </v>
      </c>
      <c r="S450" s="42" t="str">
        <f>IFERROR(VLOOKUP($J450,'Project Reference'!$B$2:$F$41,5,FALSE)," ")</f>
        <v xml:space="preserve"> </v>
      </c>
      <c r="T450" s="42" t="str">
        <f>IFERROR(VLOOKUP($J450,'Project Reference'!$B$2:$G$41,6,FALSE)," ")</f>
        <v xml:space="preserve"> </v>
      </c>
      <c r="U450" s="42" t="str">
        <f>IFERROR(VLOOKUP($J450,'Project Reference'!$B$2:$H$41,7,FALSE)," ")</f>
        <v xml:space="preserve"> </v>
      </c>
      <c r="V450" s="42" t="str">
        <f>IFERROR(VLOOKUP($J450,'Project Reference'!$B$2:$I$41,8,FALSE)," ")</f>
        <v xml:space="preserve"> </v>
      </c>
      <c r="W450" s="42" t="str">
        <f>IFERROR(VLOOKUP($J450,'Project Reference'!$B$2:$J$41,9,FALSE)," ")</f>
        <v xml:space="preserve"> </v>
      </c>
      <c r="X450" s="42" t="str">
        <f>IFERROR(VLOOKUP($J450,'Project Reference'!$B$2:$K$41,10)," ")</f>
        <v xml:space="preserve"> </v>
      </c>
      <c r="Y450" s="42" t="str">
        <f>IFERROR(VLOOKUP($J450,'Project Reference'!$B$2:$L$41,11)," ")</f>
        <v xml:space="preserve"> </v>
      </c>
      <c r="Z450" s="42" t="str">
        <f>IFERROR(VLOOKUP($J450,'Project Reference'!$B$2:$M$41,12)," ")</f>
        <v xml:space="preserve"> </v>
      </c>
      <c r="AA450" s="42" t="str">
        <f>IFERROR(VLOOKUP($J450,'Project Reference'!$B$2:$N$41,13)," ")</f>
        <v xml:space="preserve"> </v>
      </c>
    </row>
    <row r="451" spans="1:27" s="1" customFormat="1" x14ac:dyDescent="0.45">
      <c r="A451" s="43"/>
      <c r="B451" s="205"/>
      <c r="C451"/>
      <c r="D451" s="72"/>
      <c r="E451" s="72"/>
      <c r="F451" s="72"/>
      <c r="G451" s="72"/>
      <c r="H451" s="17"/>
      <c r="I451" s="41" t="str" cm="1">
        <f t="array" ref="I451">IFERROR(_xlfn.IFS(H451="Hard (Cash)","N/A",H451="Soft (In-Kind)", "Enter Source"),"Select Type")</f>
        <v>Select Type</v>
      </c>
      <c r="J451" s="124"/>
      <c r="K451" s="41" t="str">
        <f>IFERROR(VLOOKUP($J451,'Project Reference'!$S$2:$T$41,2),"Enter Project Number")</f>
        <v>Enter Project Number</v>
      </c>
      <c r="L451" s="41"/>
      <c r="M451" s="41"/>
      <c r="N451" s="15">
        <f t="shared" si="6"/>
        <v>0</v>
      </c>
      <c r="O451" s="19"/>
      <c r="P451" s="42" t="str">
        <f>IFERROR(VLOOKUP($J451,'Project Reference'!$B$2:$C$41,2)," ")</f>
        <v xml:space="preserve"> </v>
      </c>
      <c r="Q451" s="42" t="str">
        <f>IFERROR(VLOOKUP($J451,'Project Reference'!$B$2:$D$41,3)," ")</f>
        <v xml:space="preserve"> </v>
      </c>
      <c r="R451" s="42" t="str">
        <f>IFERROR(VLOOKUP($J451,'Project Reference'!$B$2:$E$41,4)," ")</f>
        <v xml:space="preserve"> </v>
      </c>
      <c r="S451" s="42" t="str">
        <f>IFERROR(VLOOKUP($J451,'Project Reference'!$B$2:$F$41,5,FALSE)," ")</f>
        <v xml:space="preserve"> </v>
      </c>
      <c r="T451" s="42" t="str">
        <f>IFERROR(VLOOKUP($J451,'Project Reference'!$B$2:$G$41,6,FALSE)," ")</f>
        <v xml:space="preserve"> </v>
      </c>
      <c r="U451" s="42" t="str">
        <f>IFERROR(VLOOKUP($J451,'Project Reference'!$B$2:$H$41,7,FALSE)," ")</f>
        <v xml:space="preserve"> </v>
      </c>
      <c r="V451" s="42" t="str">
        <f>IFERROR(VLOOKUP($J451,'Project Reference'!$B$2:$I$41,8,FALSE)," ")</f>
        <v xml:space="preserve"> </v>
      </c>
      <c r="W451" s="42" t="str">
        <f>IFERROR(VLOOKUP($J451,'Project Reference'!$B$2:$J$41,9,FALSE)," ")</f>
        <v xml:space="preserve"> </v>
      </c>
      <c r="X451" s="42" t="str">
        <f>IFERROR(VLOOKUP($J451,'Project Reference'!$B$2:$K$41,10)," ")</f>
        <v xml:space="preserve"> </v>
      </c>
      <c r="Y451" s="42" t="str">
        <f>IFERROR(VLOOKUP($J451,'Project Reference'!$B$2:$L$41,11)," ")</f>
        <v xml:space="preserve"> </v>
      </c>
      <c r="Z451" s="42" t="str">
        <f>IFERROR(VLOOKUP($J451,'Project Reference'!$B$2:$M$41,12)," ")</f>
        <v xml:space="preserve"> </v>
      </c>
      <c r="AA451" s="42" t="str">
        <f>IFERROR(VLOOKUP($J451,'Project Reference'!$B$2:$N$41,13)," ")</f>
        <v xml:space="preserve"> </v>
      </c>
    </row>
    <row r="452" spans="1:27" s="1" customFormat="1" x14ac:dyDescent="0.45">
      <c r="A452" s="43"/>
      <c r="B452" s="205"/>
      <c r="C452"/>
      <c r="D452" s="72"/>
      <c r="E452" s="72"/>
      <c r="F452" s="72"/>
      <c r="G452" s="72"/>
      <c r="H452" s="17"/>
      <c r="I452" s="41" t="str" cm="1">
        <f t="array" ref="I452">IFERROR(_xlfn.IFS(H452="Hard (Cash)","N/A",H452="Soft (In-Kind)", "Enter Source"),"Select Type")</f>
        <v>Select Type</v>
      </c>
      <c r="J452" s="124"/>
      <c r="K452" s="41" t="str">
        <f>IFERROR(VLOOKUP($J452,'Project Reference'!$S$2:$T$41,2),"Enter Project Number")</f>
        <v>Enter Project Number</v>
      </c>
      <c r="L452" s="41"/>
      <c r="M452" s="41"/>
      <c r="N452" s="15">
        <f t="shared" si="6"/>
        <v>0</v>
      </c>
      <c r="O452" s="19"/>
      <c r="P452" s="42" t="str">
        <f>IFERROR(VLOOKUP($J452,'Project Reference'!$B$2:$C$41,2)," ")</f>
        <v xml:space="preserve"> </v>
      </c>
      <c r="Q452" s="42" t="str">
        <f>IFERROR(VLOOKUP($J452,'Project Reference'!$B$2:$D$41,3)," ")</f>
        <v xml:space="preserve"> </v>
      </c>
      <c r="R452" s="42" t="str">
        <f>IFERROR(VLOOKUP($J452,'Project Reference'!$B$2:$E$41,4)," ")</f>
        <v xml:space="preserve"> </v>
      </c>
      <c r="S452" s="42" t="str">
        <f>IFERROR(VLOOKUP($J452,'Project Reference'!$B$2:$F$41,5,FALSE)," ")</f>
        <v xml:space="preserve"> </v>
      </c>
      <c r="T452" s="42" t="str">
        <f>IFERROR(VLOOKUP($J452,'Project Reference'!$B$2:$G$41,6,FALSE)," ")</f>
        <v xml:space="preserve"> </v>
      </c>
      <c r="U452" s="42" t="str">
        <f>IFERROR(VLOOKUP($J452,'Project Reference'!$B$2:$H$41,7,FALSE)," ")</f>
        <v xml:space="preserve"> </v>
      </c>
      <c r="V452" s="42" t="str">
        <f>IFERROR(VLOOKUP($J452,'Project Reference'!$B$2:$I$41,8,FALSE)," ")</f>
        <v xml:space="preserve"> </v>
      </c>
      <c r="W452" s="42" t="str">
        <f>IFERROR(VLOOKUP($J452,'Project Reference'!$B$2:$J$41,9,FALSE)," ")</f>
        <v xml:space="preserve"> </v>
      </c>
      <c r="X452" s="42" t="str">
        <f>IFERROR(VLOOKUP($J452,'Project Reference'!$B$2:$K$41,10)," ")</f>
        <v xml:space="preserve"> </v>
      </c>
      <c r="Y452" s="42" t="str">
        <f>IFERROR(VLOOKUP($J452,'Project Reference'!$B$2:$L$41,11)," ")</f>
        <v xml:space="preserve"> </v>
      </c>
      <c r="Z452" s="42" t="str">
        <f>IFERROR(VLOOKUP($J452,'Project Reference'!$B$2:$M$41,12)," ")</f>
        <v xml:space="preserve"> </v>
      </c>
      <c r="AA452" s="42" t="str">
        <f>IFERROR(VLOOKUP($J452,'Project Reference'!$B$2:$N$41,13)," ")</f>
        <v xml:space="preserve"> </v>
      </c>
    </row>
    <row r="453" spans="1:27" s="1" customFormat="1" x14ac:dyDescent="0.45">
      <c r="A453" s="43"/>
      <c r="B453" s="205"/>
      <c r="C453"/>
      <c r="D453" s="72"/>
      <c r="E453" s="72"/>
      <c r="F453" s="72"/>
      <c r="G453" s="72"/>
      <c r="H453" s="17"/>
      <c r="I453" s="41" t="str" cm="1">
        <f t="array" ref="I453">IFERROR(_xlfn.IFS(H453="Hard (Cash)","N/A",H453="Soft (In-Kind)", "Enter Source"),"Select Type")</f>
        <v>Select Type</v>
      </c>
      <c r="J453" s="124"/>
      <c r="K453" s="41" t="str">
        <f>IFERROR(VLOOKUP($J453,'Project Reference'!$S$2:$T$41,2),"Enter Project Number")</f>
        <v>Enter Project Number</v>
      </c>
      <c r="L453" s="41"/>
      <c r="M453" s="41"/>
      <c r="N453" s="15">
        <f t="shared" si="6"/>
        <v>0</v>
      </c>
      <c r="O453" s="19"/>
      <c r="P453" s="42" t="str">
        <f>IFERROR(VLOOKUP($J453,'Project Reference'!$B$2:$C$41,2)," ")</f>
        <v xml:space="preserve"> </v>
      </c>
      <c r="Q453" s="42" t="str">
        <f>IFERROR(VLOOKUP($J453,'Project Reference'!$B$2:$D$41,3)," ")</f>
        <v xml:space="preserve"> </v>
      </c>
      <c r="R453" s="42" t="str">
        <f>IFERROR(VLOOKUP($J453,'Project Reference'!$B$2:$E$41,4)," ")</f>
        <v xml:space="preserve"> </v>
      </c>
      <c r="S453" s="42" t="str">
        <f>IFERROR(VLOOKUP($J453,'Project Reference'!$B$2:$F$41,5,FALSE)," ")</f>
        <v xml:space="preserve"> </v>
      </c>
      <c r="T453" s="42" t="str">
        <f>IFERROR(VLOOKUP($J453,'Project Reference'!$B$2:$G$41,6,FALSE)," ")</f>
        <v xml:space="preserve"> </v>
      </c>
      <c r="U453" s="42" t="str">
        <f>IFERROR(VLOOKUP($J453,'Project Reference'!$B$2:$H$41,7,FALSE)," ")</f>
        <v xml:space="preserve"> </v>
      </c>
      <c r="V453" s="42" t="str">
        <f>IFERROR(VLOOKUP($J453,'Project Reference'!$B$2:$I$41,8,FALSE)," ")</f>
        <v xml:space="preserve"> </v>
      </c>
      <c r="W453" s="42" t="str">
        <f>IFERROR(VLOOKUP($J453,'Project Reference'!$B$2:$J$41,9,FALSE)," ")</f>
        <v xml:space="preserve"> </v>
      </c>
      <c r="X453" s="42" t="str">
        <f>IFERROR(VLOOKUP($J453,'Project Reference'!$B$2:$K$41,10)," ")</f>
        <v xml:space="preserve"> </v>
      </c>
      <c r="Y453" s="42" t="str">
        <f>IFERROR(VLOOKUP($J453,'Project Reference'!$B$2:$L$41,11)," ")</f>
        <v xml:space="preserve"> </v>
      </c>
      <c r="Z453" s="42" t="str">
        <f>IFERROR(VLOOKUP($J453,'Project Reference'!$B$2:$M$41,12)," ")</f>
        <v xml:space="preserve"> </v>
      </c>
      <c r="AA453" s="42" t="str">
        <f>IFERROR(VLOOKUP($J453,'Project Reference'!$B$2:$N$41,13)," ")</f>
        <v xml:space="preserve"> </v>
      </c>
    </row>
    <row r="454" spans="1:27" s="1" customFormat="1" x14ac:dyDescent="0.45">
      <c r="A454" s="43"/>
      <c r="B454" s="205"/>
      <c r="C454"/>
      <c r="D454" s="72"/>
      <c r="E454" s="72"/>
      <c r="F454" s="72"/>
      <c r="G454" s="72"/>
      <c r="H454" s="17"/>
      <c r="I454" s="41" t="str" cm="1">
        <f t="array" ref="I454">IFERROR(_xlfn.IFS(H454="Hard (Cash)","N/A",H454="Soft (In-Kind)", "Enter Source"),"Select Type")</f>
        <v>Select Type</v>
      </c>
      <c r="J454" s="124"/>
      <c r="K454" s="41" t="str">
        <f>IFERROR(VLOOKUP($J454,'Project Reference'!$S$2:$T$41,2),"Enter Project Number")</f>
        <v>Enter Project Number</v>
      </c>
      <c r="L454" s="41"/>
      <c r="M454" s="41"/>
      <c r="N454" s="15">
        <f t="shared" si="6"/>
        <v>0</v>
      </c>
      <c r="O454" s="19"/>
      <c r="P454" s="42" t="str">
        <f>IFERROR(VLOOKUP($J454,'Project Reference'!$B$2:$C$41,2)," ")</f>
        <v xml:space="preserve"> </v>
      </c>
      <c r="Q454" s="42" t="str">
        <f>IFERROR(VLOOKUP($J454,'Project Reference'!$B$2:$D$41,3)," ")</f>
        <v xml:space="preserve"> </v>
      </c>
      <c r="R454" s="42" t="str">
        <f>IFERROR(VLOOKUP($J454,'Project Reference'!$B$2:$E$41,4)," ")</f>
        <v xml:space="preserve"> </v>
      </c>
      <c r="S454" s="42" t="str">
        <f>IFERROR(VLOOKUP($J454,'Project Reference'!$B$2:$F$41,5,FALSE)," ")</f>
        <v xml:space="preserve"> </v>
      </c>
      <c r="T454" s="42" t="str">
        <f>IFERROR(VLOOKUP($J454,'Project Reference'!$B$2:$G$41,6,FALSE)," ")</f>
        <v xml:space="preserve"> </v>
      </c>
      <c r="U454" s="42" t="str">
        <f>IFERROR(VLOOKUP($J454,'Project Reference'!$B$2:$H$41,7,FALSE)," ")</f>
        <v xml:space="preserve"> </v>
      </c>
      <c r="V454" s="42" t="str">
        <f>IFERROR(VLOOKUP($J454,'Project Reference'!$B$2:$I$41,8,FALSE)," ")</f>
        <v xml:space="preserve"> </v>
      </c>
      <c r="W454" s="42" t="str">
        <f>IFERROR(VLOOKUP($J454,'Project Reference'!$B$2:$J$41,9,FALSE)," ")</f>
        <v xml:space="preserve"> </v>
      </c>
      <c r="X454" s="42" t="str">
        <f>IFERROR(VLOOKUP($J454,'Project Reference'!$B$2:$K$41,10)," ")</f>
        <v xml:space="preserve"> </v>
      </c>
      <c r="Y454" s="42" t="str">
        <f>IFERROR(VLOOKUP($J454,'Project Reference'!$B$2:$L$41,11)," ")</f>
        <v xml:space="preserve"> </v>
      </c>
      <c r="Z454" s="42" t="str">
        <f>IFERROR(VLOOKUP($J454,'Project Reference'!$B$2:$M$41,12)," ")</f>
        <v xml:space="preserve"> </v>
      </c>
      <c r="AA454" s="42" t="str">
        <f>IFERROR(VLOOKUP($J454,'Project Reference'!$B$2:$N$41,13)," ")</f>
        <v xml:space="preserve"> </v>
      </c>
    </row>
    <row r="455" spans="1:27" s="1" customFormat="1" x14ac:dyDescent="0.45">
      <c r="A455" s="43"/>
      <c r="B455" s="205"/>
      <c r="C455"/>
      <c r="D455" s="72"/>
      <c r="E455" s="72"/>
      <c r="F455" s="72"/>
      <c r="G455" s="72"/>
      <c r="H455" s="17"/>
      <c r="I455" s="41" t="str" cm="1">
        <f t="array" ref="I455">IFERROR(_xlfn.IFS(H455="Hard (Cash)","N/A",H455="Soft (In-Kind)", "Enter Source"),"Select Type")</f>
        <v>Select Type</v>
      </c>
      <c r="J455" s="124"/>
      <c r="K455" s="41" t="str">
        <f>IFERROR(VLOOKUP($J455,'Project Reference'!$S$2:$T$41,2),"Enter Project Number")</f>
        <v>Enter Project Number</v>
      </c>
      <c r="L455" s="41"/>
      <c r="M455" s="41"/>
      <c r="N455" s="15">
        <f t="shared" si="6"/>
        <v>0</v>
      </c>
      <c r="O455" s="19"/>
      <c r="P455" s="42" t="str">
        <f>IFERROR(VLOOKUP($J455,'Project Reference'!$B$2:$C$41,2)," ")</f>
        <v xml:space="preserve"> </v>
      </c>
      <c r="Q455" s="42" t="str">
        <f>IFERROR(VLOOKUP($J455,'Project Reference'!$B$2:$D$41,3)," ")</f>
        <v xml:space="preserve"> </v>
      </c>
      <c r="R455" s="42" t="str">
        <f>IFERROR(VLOOKUP($J455,'Project Reference'!$B$2:$E$41,4)," ")</f>
        <v xml:space="preserve"> </v>
      </c>
      <c r="S455" s="42" t="str">
        <f>IFERROR(VLOOKUP($J455,'Project Reference'!$B$2:$F$41,5,FALSE)," ")</f>
        <v xml:space="preserve"> </v>
      </c>
      <c r="T455" s="42" t="str">
        <f>IFERROR(VLOOKUP($J455,'Project Reference'!$B$2:$G$41,6,FALSE)," ")</f>
        <v xml:space="preserve"> </v>
      </c>
      <c r="U455" s="42" t="str">
        <f>IFERROR(VLOOKUP($J455,'Project Reference'!$B$2:$H$41,7,FALSE)," ")</f>
        <v xml:space="preserve"> </v>
      </c>
      <c r="V455" s="42" t="str">
        <f>IFERROR(VLOOKUP($J455,'Project Reference'!$B$2:$I$41,8,FALSE)," ")</f>
        <v xml:space="preserve"> </v>
      </c>
      <c r="W455" s="42" t="str">
        <f>IFERROR(VLOOKUP($J455,'Project Reference'!$B$2:$J$41,9,FALSE)," ")</f>
        <v xml:space="preserve"> </v>
      </c>
      <c r="X455" s="42" t="str">
        <f>IFERROR(VLOOKUP($J455,'Project Reference'!$B$2:$K$41,10)," ")</f>
        <v xml:space="preserve"> </v>
      </c>
      <c r="Y455" s="42" t="str">
        <f>IFERROR(VLOOKUP($J455,'Project Reference'!$B$2:$L$41,11)," ")</f>
        <v xml:space="preserve"> </v>
      </c>
      <c r="Z455" s="42" t="str">
        <f>IFERROR(VLOOKUP($J455,'Project Reference'!$B$2:$M$41,12)," ")</f>
        <v xml:space="preserve"> </v>
      </c>
      <c r="AA455" s="42" t="str">
        <f>IFERROR(VLOOKUP($J455,'Project Reference'!$B$2:$N$41,13)," ")</f>
        <v xml:space="preserve"> </v>
      </c>
    </row>
    <row r="456" spans="1:27" s="1" customFormat="1" x14ac:dyDescent="0.45">
      <c r="A456" s="43"/>
      <c r="B456" s="205"/>
      <c r="C456"/>
      <c r="D456" s="72"/>
      <c r="E456" s="72"/>
      <c r="F456" s="72"/>
      <c r="G456" s="72"/>
      <c r="H456" s="17"/>
      <c r="I456" s="41" t="str" cm="1">
        <f t="array" ref="I456">IFERROR(_xlfn.IFS(H456="Hard (Cash)","N/A",H456="Soft (In-Kind)", "Enter Source"),"Select Type")</f>
        <v>Select Type</v>
      </c>
      <c r="J456" s="124"/>
      <c r="K456" s="41" t="str">
        <f>IFERROR(VLOOKUP($J456,'Project Reference'!$S$2:$T$41,2),"Enter Project Number")</f>
        <v>Enter Project Number</v>
      </c>
      <c r="L456" s="41"/>
      <c r="M456" s="41"/>
      <c r="N456" s="15">
        <f t="shared" si="6"/>
        <v>0</v>
      </c>
      <c r="O456" s="19"/>
      <c r="P456" s="42" t="str">
        <f>IFERROR(VLOOKUP($J456,'Project Reference'!$B$2:$C$41,2)," ")</f>
        <v xml:space="preserve"> </v>
      </c>
      <c r="Q456" s="42" t="str">
        <f>IFERROR(VLOOKUP($J456,'Project Reference'!$B$2:$D$41,3)," ")</f>
        <v xml:space="preserve"> </v>
      </c>
      <c r="R456" s="42" t="str">
        <f>IFERROR(VLOOKUP($J456,'Project Reference'!$B$2:$E$41,4)," ")</f>
        <v xml:space="preserve"> </v>
      </c>
      <c r="S456" s="42" t="str">
        <f>IFERROR(VLOOKUP($J456,'Project Reference'!$B$2:$F$41,5,FALSE)," ")</f>
        <v xml:space="preserve"> </v>
      </c>
      <c r="T456" s="42" t="str">
        <f>IFERROR(VLOOKUP($J456,'Project Reference'!$B$2:$G$41,6,FALSE)," ")</f>
        <v xml:space="preserve"> </v>
      </c>
      <c r="U456" s="42" t="str">
        <f>IFERROR(VLOOKUP($J456,'Project Reference'!$B$2:$H$41,7,FALSE)," ")</f>
        <v xml:space="preserve"> </v>
      </c>
      <c r="V456" s="42" t="str">
        <f>IFERROR(VLOOKUP($J456,'Project Reference'!$B$2:$I$41,8,FALSE)," ")</f>
        <v xml:space="preserve"> </v>
      </c>
      <c r="W456" s="42" t="str">
        <f>IFERROR(VLOOKUP($J456,'Project Reference'!$B$2:$J$41,9,FALSE)," ")</f>
        <v xml:space="preserve"> </v>
      </c>
      <c r="X456" s="42" t="str">
        <f>IFERROR(VLOOKUP($J456,'Project Reference'!$B$2:$K$41,10)," ")</f>
        <v xml:space="preserve"> </v>
      </c>
      <c r="Y456" s="42" t="str">
        <f>IFERROR(VLOOKUP($J456,'Project Reference'!$B$2:$L$41,11)," ")</f>
        <v xml:space="preserve"> </v>
      </c>
      <c r="Z456" s="42" t="str">
        <f>IFERROR(VLOOKUP($J456,'Project Reference'!$B$2:$M$41,12)," ")</f>
        <v xml:space="preserve"> </v>
      </c>
      <c r="AA456" s="42" t="str">
        <f>IFERROR(VLOOKUP($J456,'Project Reference'!$B$2:$N$41,13)," ")</f>
        <v xml:space="preserve"> </v>
      </c>
    </row>
    <row r="457" spans="1:27" s="1" customFormat="1" x14ac:dyDescent="0.45">
      <c r="A457" s="43"/>
      <c r="B457" s="205"/>
      <c r="C457"/>
      <c r="D457" s="72"/>
      <c r="E457" s="72"/>
      <c r="F457" s="72"/>
      <c r="G457" s="72"/>
      <c r="H457" s="17"/>
      <c r="I457" s="41" t="str" cm="1">
        <f t="array" ref="I457">IFERROR(_xlfn.IFS(H457="Hard (Cash)","N/A",H457="Soft (In-Kind)", "Enter Source"),"Select Type")</f>
        <v>Select Type</v>
      </c>
      <c r="J457" s="124"/>
      <c r="K457" s="41" t="str">
        <f>IFERROR(VLOOKUP($J457,'Project Reference'!$S$2:$T$41,2),"Enter Project Number")</f>
        <v>Enter Project Number</v>
      </c>
      <c r="L457" s="41"/>
      <c r="M457" s="41"/>
      <c r="N457" s="15">
        <f t="shared" si="6"/>
        <v>0</v>
      </c>
      <c r="O457" s="19"/>
      <c r="P457" s="42" t="str">
        <f>IFERROR(VLOOKUP($J457,'Project Reference'!$B$2:$C$41,2)," ")</f>
        <v xml:space="preserve"> </v>
      </c>
      <c r="Q457" s="42" t="str">
        <f>IFERROR(VLOOKUP($J457,'Project Reference'!$B$2:$D$41,3)," ")</f>
        <v xml:space="preserve"> </v>
      </c>
      <c r="R457" s="42" t="str">
        <f>IFERROR(VLOOKUP($J457,'Project Reference'!$B$2:$E$41,4)," ")</f>
        <v xml:space="preserve"> </v>
      </c>
      <c r="S457" s="42" t="str">
        <f>IFERROR(VLOOKUP($J457,'Project Reference'!$B$2:$F$41,5,FALSE)," ")</f>
        <v xml:space="preserve"> </v>
      </c>
      <c r="T457" s="42" t="str">
        <f>IFERROR(VLOOKUP($J457,'Project Reference'!$B$2:$G$41,6,FALSE)," ")</f>
        <v xml:space="preserve"> </v>
      </c>
      <c r="U457" s="42" t="str">
        <f>IFERROR(VLOOKUP($J457,'Project Reference'!$B$2:$H$41,7,FALSE)," ")</f>
        <v xml:space="preserve"> </v>
      </c>
      <c r="V457" s="42" t="str">
        <f>IFERROR(VLOOKUP($J457,'Project Reference'!$B$2:$I$41,8,FALSE)," ")</f>
        <v xml:space="preserve"> </v>
      </c>
      <c r="W457" s="42" t="str">
        <f>IFERROR(VLOOKUP($J457,'Project Reference'!$B$2:$J$41,9,FALSE)," ")</f>
        <v xml:space="preserve"> </v>
      </c>
      <c r="X457" s="42" t="str">
        <f>IFERROR(VLOOKUP($J457,'Project Reference'!$B$2:$K$41,10)," ")</f>
        <v xml:space="preserve"> </v>
      </c>
      <c r="Y457" s="42" t="str">
        <f>IFERROR(VLOOKUP($J457,'Project Reference'!$B$2:$L$41,11)," ")</f>
        <v xml:space="preserve"> </v>
      </c>
      <c r="Z457" s="42" t="str">
        <f>IFERROR(VLOOKUP($J457,'Project Reference'!$B$2:$M$41,12)," ")</f>
        <v xml:space="preserve"> </v>
      </c>
      <c r="AA457" s="42" t="str">
        <f>IFERROR(VLOOKUP($J457,'Project Reference'!$B$2:$N$41,13)," ")</f>
        <v xml:space="preserve"> </v>
      </c>
    </row>
    <row r="458" spans="1:27" s="1" customFormat="1" x14ac:dyDescent="0.45">
      <c r="A458" s="43"/>
      <c r="B458" s="205"/>
      <c r="C458"/>
      <c r="D458" s="72"/>
      <c r="E458" s="72"/>
      <c r="F458" s="72"/>
      <c r="G458" s="72"/>
      <c r="H458" s="17"/>
      <c r="I458" s="41" t="str" cm="1">
        <f t="array" ref="I458">IFERROR(_xlfn.IFS(H458="Hard (Cash)","N/A",H458="Soft (In-Kind)", "Enter Source"),"Select Type")</f>
        <v>Select Type</v>
      </c>
      <c r="J458" s="124"/>
      <c r="K458" s="41" t="str">
        <f>IFERROR(VLOOKUP($J458,'Project Reference'!$S$2:$T$41,2),"Enter Project Number")</f>
        <v>Enter Project Number</v>
      </c>
      <c r="L458" s="41"/>
      <c r="M458" s="41"/>
      <c r="N458" s="15">
        <f t="shared" si="6"/>
        <v>0</v>
      </c>
      <c r="O458" s="19"/>
      <c r="P458" s="42" t="str">
        <f>IFERROR(VLOOKUP($J458,'Project Reference'!$B$2:$C$41,2)," ")</f>
        <v xml:space="preserve"> </v>
      </c>
      <c r="Q458" s="42" t="str">
        <f>IFERROR(VLOOKUP($J458,'Project Reference'!$B$2:$D$41,3)," ")</f>
        <v xml:space="preserve"> </v>
      </c>
      <c r="R458" s="42" t="str">
        <f>IFERROR(VLOOKUP($J458,'Project Reference'!$B$2:$E$41,4)," ")</f>
        <v xml:space="preserve"> </v>
      </c>
      <c r="S458" s="42" t="str">
        <f>IFERROR(VLOOKUP($J458,'Project Reference'!$B$2:$F$41,5,FALSE)," ")</f>
        <v xml:space="preserve"> </v>
      </c>
      <c r="T458" s="42" t="str">
        <f>IFERROR(VLOOKUP($J458,'Project Reference'!$B$2:$G$41,6,FALSE)," ")</f>
        <v xml:space="preserve"> </v>
      </c>
      <c r="U458" s="42" t="str">
        <f>IFERROR(VLOOKUP($J458,'Project Reference'!$B$2:$H$41,7,FALSE)," ")</f>
        <v xml:space="preserve"> </v>
      </c>
      <c r="V458" s="42" t="str">
        <f>IFERROR(VLOOKUP($J458,'Project Reference'!$B$2:$I$41,8,FALSE)," ")</f>
        <v xml:space="preserve"> </v>
      </c>
      <c r="W458" s="42" t="str">
        <f>IFERROR(VLOOKUP($J458,'Project Reference'!$B$2:$J$41,9,FALSE)," ")</f>
        <v xml:space="preserve"> </v>
      </c>
      <c r="X458" s="42" t="str">
        <f>IFERROR(VLOOKUP($J458,'Project Reference'!$B$2:$K$41,10)," ")</f>
        <v xml:space="preserve"> </v>
      </c>
      <c r="Y458" s="42" t="str">
        <f>IFERROR(VLOOKUP($J458,'Project Reference'!$B$2:$L$41,11)," ")</f>
        <v xml:space="preserve"> </v>
      </c>
      <c r="Z458" s="42" t="str">
        <f>IFERROR(VLOOKUP($J458,'Project Reference'!$B$2:$M$41,12)," ")</f>
        <v xml:space="preserve"> </v>
      </c>
      <c r="AA458" s="42" t="str">
        <f>IFERROR(VLOOKUP($J458,'Project Reference'!$B$2:$N$41,13)," ")</f>
        <v xml:space="preserve"> </v>
      </c>
    </row>
    <row r="459" spans="1:27" s="1" customFormat="1" x14ac:dyDescent="0.45">
      <c r="A459" s="43"/>
      <c r="B459" s="205"/>
      <c r="C459"/>
      <c r="D459" s="72"/>
      <c r="E459" s="72"/>
      <c r="F459" s="72"/>
      <c r="G459" s="72"/>
      <c r="H459" s="17"/>
      <c r="I459" s="41" t="str" cm="1">
        <f t="array" ref="I459">IFERROR(_xlfn.IFS(H459="Hard (Cash)","N/A",H459="Soft (In-Kind)", "Enter Source"),"Select Type")</f>
        <v>Select Type</v>
      </c>
      <c r="J459" s="124"/>
      <c r="K459" s="41" t="str">
        <f>IFERROR(VLOOKUP($J459,'Project Reference'!$S$2:$T$41,2),"Enter Project Number")</f>
        <v>Enter Project Number</v>
      </c>
      <c r="L459" s="41"/>
      <c r="M459" s="41"/>
      <c r="N459" s="15">
        <f t="shared" ref="N459:N522" si="7">SUM(D459:G459)</f>
        <v>0</v>
      </c>
      <c r="O459" s="19"/>
      <c r="P459" s="42" t="str">
        <f>IFERROR(VLOOKUP($J459,'Project Reference'!$B$2:$C$41,2)," ")</f>
        <v xml:space="preserve"> </v>
      </c>
      <c r="Q459" s="42" t="str">
        <f>IFERROR(VLOOKUP($J459,'Project Reference'!$B$2:$D$41,3)," ")</f>
        <v xml:space="preserve"> </v>
      </c>
      <c r="R459" s="42" t="str">
        <f>IFERROR(VLOOKUP($J459,'Project Reference'!$B$2:$E$41,4)," ")</f>
        <v xml:space="preserve"> </v>
      </c>
      <c r="S459" s="42" t="str">
        <f>IFERROR(VLOOKUP($J459,'Project Reference'!$B$2:$F$41,5,FALSE)," ")</f>
        <v xml:space="preserve"> </v>
      </c>
      <c r="T459" s="42" t="str">
        <f>IFERROR(VLOOKUP($J459,'Project Reference'!$B$2:$G$41,6,FALSE)," ")</f>
        <v xml:space="preserve"> </v>
      </c>
      <c r="U459" s="42" t="str">
        <f>IFERROR(VLOOKUP($J459,'Project Reference'!$B$2:$H$41,7,FALSE)," ")</f>
        <v xml:space="preserve"> </v>
      </c>
      <c r="V459" s="42" t="str">
        <f>IFERROR(VLOOKUP($J459,'Project Reference'!$B$2:$I$41,8,FALSE)," ")</f>
        <v xml:space="preserve"> </v>
      </c>
      <c r="W459" s="42" t="str">
        <f>IFERROR(VLOOKUP($J459,'Project Reference'!$B$2:$J$41,9,FALSE)," ")</f>
        <v xml:space="preserve"> </v>
      </c>
      <c r="X459" s="42" t="str">
        <f>IFERROR(VLOOKUP($J459,'Project Reference'!$B$2:$K$41,10)," ")</f>
        <v xml:space="preserve"> </v>
      </c>
      <c r="Y459" s="42" t="str">
        <f>IFERROR(VLOOKUP($J459,'Project Reference'!$B$2:$L$41,11)," ")</f>
        <v xml:space="preserve"> </v>
      </c>
      <c r="Z459" s="42" t="str">
        <f>IFERROR(VLOOKUP($J459,'Project Reference'!$B$2:$M$41,12)," ")</f>
        <v xml:space="preserve"> </v>
      </c>
      <c r="AA459" s="42" t="str">
        <f>IFERROR(VLOOKUP($J459,'Project Reference'!$B$2:$N$41,13)," ")</f>
        <v xml:space="preserve"> </v>
      </c>
    </row>
    <row r="460" spans="1:27" s="1" customFormat="1" x14ac:dyDescent="0.45">
      <c r="A460" s="43"/>
      <c r="B460" s="205"/>
      <c r="C460"/>
      <c r="D460" s="72"/>
      <c r="E460" s="72"/>
      <c r="F460" s="72"/>
      <c r="G460" s="72"/>
      <c r="H460" s="17"/>
      <c r="I460" s="41" t="str" cm="1">
        <f t="array" ref="I460">IFERROR(_xlfn.IFS(H460="Hard (Cash)","N/A",H460="Soft (In-Kind)", "Enter Source"),"Select Type")</f>
        <v>Select Type</v>
      </c>
      <c r="J460" s="124"/>
      <c r="K460" s="41" t="str">
        <f>IFERROR(VLOOKUP($J460,'Project Reference'!$S$2:$T$41,2),"Enter Project Number")</f>
        <v>Enter Project Number</v>
      </c>
      <c r="L460" s="41"/>
      <c r="M460" s="41"/>
      <c r="N460" s="15">
        <f t="shared" si="7"/>
        <v>0</v>
      </c>
      <c r="O460" s="19"/>
      <c r="P460" s="42" t="str">
        <f>IFERROR(VLOOKUP($J460,'Project Reference'!$B$2:$C$41,2)," ")</f>
        <v xml:space="preserve"> </v>
      </c>
      <c r="Q460" s="42" t="str">
        <f>IFERROR(VLOOKUP($J460,'Project Reference'!$B$2:$D$41,3)," ")</f>
        <v xml:space="preserve"> </v>
      </c>
      <c r="R460" s="42" t="str">
        <f>IFERROR(VLOOKUP($J460,'Project Reference'!$B$2:$E$41,4)," ")</f>
        <v xml:space="preserve"> </v>
      </c>
      <c r="S460" s="42" t="str">
        <f>IFERROR(VLOOKUP($J460,'Project Reference'!$B$2:$F$41,5,FALSE)," ")</f>
        <v xml:space="preserve"> </v>
      </c>
      <c r="T460" s="42" t="str">
        <f>IFERROR(VLOOKUP($J460,'Project Reference'!$B$2:$G$41,6,FALSE)," ")</f>
        <v xml:space="preserve"> </v>
      </c>
      <c r="U460" s="42" t="str">
        <f>IFERROR(VLOOKUP($J460,'Project Reference'!$B$2:$H$41,7,FALSE)," ")</f>
        <v xml:space="preserve"> </v>
      </c>
      <c r="V460" s="42" t="str">
        <f>IFERROR(VLOOKUP($J460,'Project Reference'!$B$2:$I$41,8,FALSE)," ")</f>
        <v xml:space="preserve"> </v>
      </c>
      <c r="W460" s="42" t="str">
        <f>IFERROR(VLOOKUP($J460,'Project Reference'!$B$2:$J$41,9,FALSE)," ")</f>
        <v xml:space="preserve"> </v>
      </c>
      <c r="X460" s="42" t="str">
        <f>IFERROR(VLOOKUP($J460,'Project Reference'!$B$2:$K$41,10)," ")</f>
        <v xml:space="preserve"> </v>
      </c>
      <c r="Y460" s="42" t="str">
        <f>IFERROR(VLOOKUP($J460,'Project Reference'!$B$2:$L$41,11)," ")</f>
        <v xml:space="preserve"> </v>
      </c>
      <c r="Z460" s="42" t="str">
        <f>IFERROR(VLOOKUP($J460,'Project Reference'!$B$2:$M$41,12)," ")</f>
        <v xml:space="preserve"> </v>
      </c>
      <c r="AA460" s="42" t="str">
        <f>IFERROR(VLOOKUP($J460,'Project Reference'!$B$2:$N$41,13)," ")</f>
        <v xml:space="preserve"> </v>
      </c>
    </row>
    <row r="461" spans="1:27" s="1" customFormat="1" x14ac:dyDescent="0.45">
      <c r="A461" s="43"/>
      <c r="B461" s="205"/>
      <c r="C461"/>
      <c r="D461" s="72"/>
      <c r="E461" s="72"/>
      <c r="F461" s="72"/>
      <c r="G461" s="72"/>
      <c r="H461" s="17"/>
      <c r="I461" s="41" t="str" cm="1">
        <f t="array" ref="I461">IFERROR(_xlfn.IFS(H461="Hard (Cash)","N/A",H461="Soft (In-Kind)", "Enter Source"),"Select Type")</f>
        <v>Select Type</v>
      </c>
      <c r="J461" s="124"/>
      <c r="K461" s="41" t="str">
        <f>IFERROR(VLOOKUP($J461,'Project Reference'!$S$2:$T$41,2),"Enter Project Number")</f>
        <v>Enter Project Number</v>
      </c>
      <c r="L461" s="41"/>
      <c r="M461" s="41"/>
      <c r="N461" s="15">
        <f t="shared" si="7"/>
        <v>0</v>
      </c>
      <c r="O461" s="19"/>
      <c r="P461" s="42" t="str">
        <f>IFERROR(VLOOKUP($J461,'Project Reference'!$B$2:$C$41,2)," ")</f>
        <v xml:space="preserve"> </v>
      </c>
      <c r="Q461" s="42" t="str">
        <f>IFERROR(VLOOKUP($J461,'Project Reference'!$B$2:$D$41,3)," ")</f>
        <v xml:space="preserve"> </v>
      </c>
      <c r="R461" s="42" t="str">
        <f>IFERROR(VLOOKUP($J461,'Project Reference'!$B$2:$E$41,4)," ")</f>
        <v xml:space="preserve"> </v>
      </c>
      <c r="S461" s="42" t="str">
        <f>IFERROR(VLOOKUP($J461,'Project Reference'!$B$2:$F$41,5,FALSE)," ")</f>
        <v xml:space="preserve"> </v>
      </c>
      <c r="T461" s="42" t="str">
        <f>IFERROR(VLOOKUP($J461,'Project Reference'!$B$2:$G$41,6,FALSE)," ")</f>
        <v xml:space="preserve"> </v>
      </c>
      <c r="U461" s="42" t="str">
        <f>IFERROR(VLOOKUP($J461,'Project Reference'!$B$2:$H$41,7,FALSE)," ")</f>
        <v xml:space="preserve"> </v>
      </c>
      <c r="V461" s="42" t="str">
        <f>IFERROR(VLOOKUP($J461,'Project Reference'!$B$2:$I$41,8,FALSE)," ")</f>
        <v xml:space="preserve"> </v>
      </c>
      <c r="W461" s="42" t="str">
        <f>IFERROR(VLOOKUP($J461,'Project Reference'!$B$2:$J$41,9,FALSE)," ")</f>
        <v xml:space="preserve"> </v>
      </c>
      <c r="X461" s="42" t="str">
        <f>IFERROR(VLOOKUP($J461,'Project Reference'!$B$2:$K$41,10)," ")</f>
        <v xml:space="preserve"> </v>
      </c>
      <c r="Y461" s="42" t="str">
        <f>IFERROR(VLOOKUP($J461,'Project Reference'!$B$2:$L$41,11)," ")</f>
        <v xml:space="preserve"> </v>
      </c>
      <c r="Z461" s="42" t="str">
        <f>IFERROR(VLOOKUP($J461,'Project Reference'!$B$2:$M$41,12)," ")</f>
        <v xml:space="preserve"> </v>
      </c>
      <c r="AA461" s="42" t="str">
        <f>IFERROR(VLOOKUP($J461,'Project Reference'!$B$2:$N$41,13)," ")</f>
        <v xml:space="preserve"> </v>
      </c>
    </row>
    <row r="462" spans="1:27" s="1" customFormat="1" x14ac:dyDescent="0.45">
      <c r="A462" s="43"/>
      <c r="B462" s="205"/>
      <c r="C462"/>
      <c r="D462" s="72"/>
      <c r="E462" s="72"/>
      <c r="F462" s="72"/>
      <c r="G462" s="72"/>
      <c r="H462" s="17"/>
      <c r="I462" s="41" t="str" cm="1">
        <f t="array" ref="I462">IFERROR(_xlfn.IFS(H462="Hard (Cash)","N/A",H462="Soft (In-Kind)", "Enter Source"),"Select Type")</f>
        <v>Select Type</v>
      </c>
      <c r="J462" s="124"/>
      <c r="K462" s="41" t="str">
        <f>IFERROR(VLOOKUP($J462,'Project Reference'!$S$2:$T$41,2),"Enter Project Number")</f>
        <v>Enter Project Number</v>
      </c>
      <c r="L462" s="41"/>
      <c r="M462" s="41"/>
      <c r="N462" s="15">
        <f t="shared" si="7"/>
        <v>0</v>
      </c>
      <c r="O462" s="19"/>
      <c r="P462" s="42" t="str">
        <f>IFERROR(VLOOKUP($J462,'Project Reference'!$B$2:$C$41,2)," ")</f>
        <v xml:space="preserve"> </v>
      </c>
      <c r="Q462" s="42" t="str">
        <f>IFERROR(VLOOKUP($J462,'Project Reference'!$B$2:$D$41,3)," ")</f>
        <v xml:space="preserve"> </v>
      </c>
      <c r="R462" s="42" t="str">
        <f>IFERROR(VLOOKUP($J462,'Project Reference'!$B$2:$E$41,4)," ")</f>
        <v xml:space="preserve"> </v>
      </c>
      <c r="S462" s="42" t="str">
        <f>IFERROR(VLOOKUP($J462,'Project Reference'!$B$2:$F$41,5,FALSE)," ")</f>
        <v xml:space="preserve"> </v>
      </c>
      <c r="T462" s="42" t="str">
        <f>IFERROR(VLOOKUP($J462,'Project Reference'!$B$2:$G$41,6,FALSE)," ")</f>
        <v xml:space="preserve"> </v>
      </c>
      <c r="U462" s="42" t="str">
        <f>IFERROR(VLOOKUP($J462,'Project Reference'!$B$2:$H$41,7,FALSE)," ")</f>
        <v xml:space="preserve"> </v>
      </c>
      <c r="V462" s="42" t="str">
        <f>IFERROR(VLOOKUP($J462,'Project Reference'!$B$2:$I$41,8,FALSE)," ")</f>
        <v xml:space="preserve"> </v>
      </c>
      <c r="W462" s="42" t="str">
        <f>IFERROR(VLOOKUP($J462,'Project Reference'!$B$2:$J$41,9,FALSE)," ")</f>
        <v xml:space="preserve"> </v>
      </c>
      <c r="X462" s="42" t="str">
        <f>IFERROR(VLOOKUP($J462,'Project Reference'!$B$2:$K$41,10)," ")</f>
        <v xml:space="preserve"> </v>
      </c>
      <c r="Y462" s="42" t="str">
        <f>IFERROR(VLOOKUP($J462,'Project Reference'!$B$2:$L$41,11)," ")</f>
        <v xml:space="preserve"> </v>
      </c>
      <c r="Z462" s="42" t="str">
        <f>IFERROR(VLOOKUP($J462,'Project Reference'!$B$2:$M$41,12)," ")</f>
        <v xml:space="preserve"> </v>
      </c>
      <c r="AA462" s="42" t="str">
        <f>IFERROR(VLOOKUP($J462,'Project Reference'!$B$2:$N$41,13)," ")</f>
        <v xml:space="preserve"> </v>
      </c>
    </row>
    <row r="463" spans="1:27" s="1" customFormat="1" x14ac:dyDescent="0.45">
      <c r="A463" s="43"/>
      <c r="B463" s="205"/>
      <c r="C463"/>
      <c r="D463" s="72"/>
      <c r="E463" s="72"/>
      <c r="F463" s="72"/>
      <c r="G463" s="72"/>
      <c r="H463" s="17"/>
      <c r="I463" s="41" t="str" cm="1">
        <f t="array" ref="I463">IFERROR(_xlfn.IFS(H463="Hard (Cash)","N/A",H463="Soft (In-Kind)", "Enter Source"),"Select Type")</f>
        <v>Select Type</v>
      </c>
      <c r="J463" s="124"/>
      <c r="K463" s="41" t="str">
        <f>IFERROR(VLOOKUP($J463,'Project Reference'!$S$2:$T$41,2),"Enter Project Number")</f>
        <v>Enter Project Number</v>
      </c>
      <c r="L463" s="41"/>
      <c r="M463" s="41"/>
      <c r="N463" s="15">
        <f t="shared" si="7"/>
        <v>0</v>
      </c>
      <c r="O463" s="19"/>
      <c r="P463" s="42" t="str">
        <f>IFERROR(VLOOKUP($J463,'Project Reference'!$B$2:$C$41,2)," ")</f>
        <v xml:space="preserve"> </v>
      </c>
      <c r="Q463" s="42" t="str">
        <f>IFERROR(VLOOKUP($J463,'Project Reference'!$B$2:$D$41,3)," ")</f>
        <v xml:space="preserve"> </v>
      </c>
      <c r="R463" s="42" t="str">
        <f>IFERROR(VLOOKUP($J463,'Project Reference'!$B$2:$E$41,4)," ")</f>
        <v xml:space="preserve"> </v>
      </c>
      <c r="S463" s="42" t="str">
        <f>IFERROR(VLOOKUP($J463,'Project Reference'!$B$2:$F$41,5,FALSE)," ")</f>
        <v xml:space="preserve"> </v>
      </c>
      <c r="T463" s="42" t="str">
        <f>IFERROR(VLOOKUP($J463,'Project Reference'!$B$2:$G$41,6,FALSE)," ")</f>
        <v xml:space="preserve"> </v>
      </c>
      <c r="U463" s="42" t="str">
        <f>IFERROR(VLOOKUP($J463,'Project Reference'!$B$2:$H$41,7,FALSE)," ")</f>
        <v xml:space="preserve"> </v>
      </c>
      <c r="V463" s="42" t="str">
        <f>IFERROR(VLOOKUP($J463,'Project Reference'!$B$2:$I$41,8,FALSE)," ")</f>
        <v xml:space="preserve"> </v>
      </c>
      <c r="W463" s="42" t="str">
        <f>IFERROR(VLOOKUP($J463,'Project Reference'!$B$2:$J$41,9,FALSE)," ")</f>
        <v xml:space="preserve"> </v>
      </c>
      <c r="X463" s="42" t="str">
        <f>IFERROR(VLOOKUP($J463,'Project Reference'!$B$2:$K$41,10)," ")</f>
        <v xml:space="preserve"> </v>
      </c>
      <c r="Y463" s="42" t="str">
        <f>IFERROR(VLOOKUP($J463,'Project Reference'!$B$2:$L$41,11)," ")</f>
        <v xml:space="preserve"> </v>
      </c>
      <c r="Z463" s="42" t="str">
        <f>IFERROR(VLOOKUP($J463,'Project Reference'!$B$2:$M$41,12)," ")</f>
        <v xml:space="preserve"> </v>
      </c>
      <c r="AA463" s="42" t="str">
        <f>IFERROR(VLOOKUP($J463,'Project Reference'!$B$2:$N$41,13)," ")</f>
        <v xml:space="preserve"> </v>
      </c>
    </row>
    <row r="464" spans="1:27" s="1" customFormat="1" x14ac:dyDescent="0.45">
      <c r="A464" s="43"/>
      <c r="B464" s="205"/>
      <c r="C464"/>
      <c r="D464" s="72"/>
      <c r="E464" s="72"/>
      <c r="F464" s="72"/>
      <c r="G464" s="72"/>
      <c r="H464" s="17"/>
      <c r="I464" s="41" t="str" cm="1">
        <f t="array" ref="I464">IFERROR(_xlfn.IFS(H464="Hard (Cash)","N/A",H464="Soft (In-Kind)", "Enter Source"),"Select Type")</f>
        <v>Select Type</v>
      </c>
      <c r="J464" s="124"/>
      <c r="K464" s="41" t="str">
        <f>IFERROR(VLOOKUP($J464,'Project Reference'!$S$2:$T$41,2),"Enter Project Number")</f>
        <v>Enter Project Number</v>
      </c>
      <c r="L464" s="41"/>
      <c r="M464" s="41"/>
      <c r="N464" s="15">
        <f t="shared" si="7"/>
        <v>0</v>
      </c>
      <c r="O464" s="19"/>
      <c r="P464" s="42" t="str">
        <f>IFERROR(VLOOKUP($J464,'Project Reference'!$B$2:$C$41,2)," ")</f>
        <v xml:space="preserve"> </v>
      </c>
      <c r="Q464" s="42" t="str">
        <f>IFERROR(VLOOKUP($J464,'Project Reference'!$B$2:$D$41,3)," ")</f>
        <v xml:space="preserve"> </v>
      </c>
      <c r="R464" s="42" t="str">
        <f>IFERROR(VLOOKUP($J464,'Project Reference'!$B$2:$E$41,4)," ")</f>
        <v xml:space="preserve"> </v>
      </c>
      <c r="S464" s="42" t="str">
        <f>IFERROR(VLOOKUP($J464,'Project Reference'!$B$2:$F$41,5,FALSE)," ")</f>
        <v xml:space="preserve"> </v>
      </c>
      <c r="T464" s="42" t="str">
        <f>IFERROR(VLOOKUP($J464,'Project Reference'!$B$2:$G$41,6,FALSE)," ")</f>
        <v xml:space="preserve"> </v>
      </c>
      <c r="U464" s="42" t="str">
        <f>IFERROR(VLOOKUP($J464,'Project Reference'!$B$2:$H$41,7,FALSE)," ")</f>
        <v xml:space="preserve"> </v>
      </c>
      <c r="V464" s="42" t="str">
        <f>IFERROR(VLOOKUP($J464,'Project Reference'!$B$2:$I$41,8,FALSE)," ")</f>
        <v xml:space="preserve"> </v>
      </c>
      <c r="W464" s="42" t="str">
        <f>IFERROR(VLOOKUP($J464,'Project Reference'!$B$2:$J$41,9,FALSE)," ")</f>
        <v xml:space="preserve"> </v>
      </c>
      <c r="X464" s="42" t="str">
        <f>IFERROR(VLOOKUP($J464,'Project Reference'!$B$2:$K$41,10)," ")</f>
        <v xml:space="preserve"> </v>
      </c>
      <c r="Y464" s="42" t="str">
        <f>IFERROR(VLOOKUP($J464,'Project Reference'!$B$2:$L$41,11)," ")</f>
        <v xml:space="preserve"> </v>
      </c>
      <c r="Z464" s="42" t="str">
        <f>IFERROR(VLOOKUP($J464,'Project Reference'!$B$2:$M$41,12)," ")</f>
        <v xml:space="preserve"> </v>
      </c>
      <c r="AA464" s="42" t="str">
        <f>IFERROR(VLOOKUP($J464,'Project Reference'!$B$2:$N$41,13)," ")</f>
        <v xml:space="preserve"> </v>
      </c>
    </row>
    <row r="465" spans="1:27" s="1" customFormat="1" x14ac:dyDescent="0.45">
      <c r="A465" s="43"/>
      <c r="B465" s="205"/>
      <c r="C465"/>
      <c r="D465" s="72"/>
      <c r="E465" s="72"/>
      <c r="F465" s="72"/>
      <c r="G465" s="72"/>
      <c r="H465" s="17"/>
      <c r="I465" s="41" t="str" cm="1">
        <f t="array" ref="I465">IFERROR(_xlfn.IFS(H465="Hard (Cash)","N/A",H465="Soft (In-Kind)", "Enter Source"),"Select Type")</f>
        <v>Select Type</v>
      </c>
      <c r="J465" s="124"/>
      <c r="K465" s="41" t="str">
        <f>IFERROR(VLOOKUP($J465,'Project Reference'!$S$2:$T$41,2),"Enter Project Number")</f>
        <v>Enter Project Number</v>
      </c>
      <c r="L465" s="41"/>
      <c r="M465" s="41"/>
      <c r="N465" s="15">
        <f t="shared" si="7"/>
        <v>0</v>
      </c>
      <c r="O465" s="19"/>
      <c r="P465" s="42" t="str">
        <f>IFERROR(VLOOKUP($J465,'Project Reference'!$B$2:$C$41,2)," ")</f>
        <v xml:space="preserve"> </v>
      </c>
      <c r="Q465" s="42" t="str">
        <f>IFERROR(VLOOKUP($J465,'Project Reference'!$B$2:$D$41,3)," ")</f>
        <v xml:space="preserve"> </v>
      </c>
      <c r="R465" s="42" t="str">
        <f>IFERROR(VLOOKUP($J465,'Project Reference'!$B$2:$E$41,4)," ")</f>
        <v xml:space="preserve"> </v>
      </c>
      <c r="S465" s="42" t="str">
        <f>IFERROR(VLOOKUP($J465,'Project Reference'!$B$2:$F$41,5,FALSE)," ")</f>
        <v xml:space="preserve"> </v>
      </c>
      <c r="T465" s="42" t="str">
        <f>IFERROR(VLOOKUP($J465,'Project Reference'!$B$2:$G$41,6,FALSE)," ")</f>
        <v xml:space="preserve"> </v>
      </c>
      <c r="U465" s="42" t="str">
        <f>IFERROR(VLOOKUP($J465,'Project Reference'!$B$2:$H$41,7,FALSE)," ")</f>
        <v xml:space="preserve"> </v>
      </c>
      <c r="V465" s="42" t="str">
        <f>IFERROR(VLOOKUP($J465,'Project Reference'!$B$2:$I$41,8,FALSE)," ")</f>
        <v xml:space="preserve"> </v>
      </c>
      <c r="W465" s="42" t="str">
        <f>IFERROR(VLOOKUP($J465,'Project Reference'!$B$2:$J$41,9,FALSE)," ")</f>
        <v xml:space="preserve"> </v>
      </c>
      <c r="X465" s="42" t="str">
        <f>IFERROR(VLOOKUP($J465,'Project Reference'!$B$2:$K$41,10)," ")</f>
        <v xml:space="preserve"> </v>
      </c>
      <c r="Y465" s="42" t="str">
        <f>IFERROR(VLOOKUP($J465,'Project Reference'!$B$2:$L$41,11)," ")</f>
        <v xml:space="preserve"> </v>
      </c>
      <c r="Z465" s="42" t="str">
        <f>IFERROR(VLOOKUP($J465,'Project Reference'!$B$2:$M$41,12)," ")</f>
        <v xml:space="preserve"> </v>
      </c>
      <c r="AA465" s="42" t="str">
        <f>IFERROR(VLOOKUP($J465,'Project Reference'!$B$2:$N$41,13)," ")</f>
        <v xml:space="preserve"> </v>
      </c>
    </row>
    <row r="466" spans="1:27" s="1" customFormat="1" x14ac:dyDescent="0.45">
      <c r="A466" s="43"/>
      <c r="B466" s="205"/>
      <c r="C466"/>
      <c r="D466" s="72"/>
      <c r="E466" s="72"/>
      <c r="F466" s="72"/>
      <c r="G466" s="72"/>
      <c r="H466" s="17"/>
      <c r="I466" s="41" t="str" cm="1">
        <f t="array" ref="I466">IFERROR(_xlfn.IFS(H466="Hard (Cash)","N/A",H466="Soft (In-Kind)", "Enter Source"),"Select Type")</f>
        <v>Select Type</v>
      </c>
      <c r="J466" s="124"/>
      <c r="K466" s="41" t="str">
        <f>IFERROR(VLOOKUP($J466,'Project Reference'!$S$2:$T$41,2),"Enter Project Number")</f>
        <v>Enter Project Number</v>
      </c>
      <c r="L466" s="41"/>
      <c r="M466" s="41"/>
      <c r="N466" s="15">
        <f t="shared" si="7"/>
        <v>0</v>
      </c>
      <c r="O466" s="19"/>
      <c r="P466" s="42" t="str">
        <f>IFERROR(VLOOKUP($J466,'Project Reference'!$B$2:$C$41,2)," ")</f>
        <v xml:space="preserve"> </v>
      </c>
      <c r="Q466" s="42" t="str">
        <f>IFERROR(VLOOKUP($J466,'Project Reference'!$B$2:$D$41,3)," ")</f>
        <v xml:space="preserve"> </v>
      </c>
      <c r="R466" s="42" t="str">
        <f>IFERROR(VLOOKUP($J466,'Project Reference'!$B$2:$E$41,4)," ")</f>
        <v xml:space="preserve"> </v>
      </c>
      <c r="S466" s="42" t="str">
        <f>IFERROR(VLOOKUP($J466,'Project Reference'!$B$2:$F$41,5,FALSE)," ")</f>
        <v xml:space="preserve"> </v>
      </c>
      <c r="T466" s="42" t="str">
        <f>IFERROR(VLOOKUP($J466,'Project Reference'!$B$2:$G$41,6,FALSE)," ")</f>
        <v xml:space="preserve"> </v>
      </c>
      <c r="U466" s="42" t="str">
        <f>IFERROR(VLOOKUP($J466,'Project Reference'!$B$2:$H$41,7,FALSE)," ")</f>
        <v xml:space="preserve"> </v>
      </c>
      <c r="V466" s="42" t="str">
        <f>IFERROR(VLOOKUP($J466,'Project Reference'!$B$2:$I$41,8,FALSE)," ")</f>
        <v xml:space="preserve"> </v>
      </c>
      <c r="W466" s="42" t="str">
        <f>IFERROR(VLOOKUP($J466,'Project Reference'!$B$2:$J$41,9,FALSE)," ")</f>
        <v xml:space="preserve"> </v>
      </c>
      <c r="X466" s="42" t="str">
        <f>IFERROR(VLOOKUP($J466,'Project Reference'!$B$2:$K$41,10)," ")</f>
        <v xml:space="preserve"> </v>
      </c>
      <c r="Y466" s="42" t="str">
        <f>IFERROR(VLOOKUP($J466,'Project Reference'!$B$2:$L$41,11)," ")</f>
        <v xml:space="preserve"> </v>
      </c>
      <c r="Z466" s="42" t="str">
        <f>IFERROR(VLOOKUP($J466,'Project Reference'!$B$2:$M$41,12)," ")</f>
        <v xml:space="preserve"> </v>
      </c>
      <c r="AA466" s="42" t="str">
        <f>IFERROR(VLOOKUP($J466,'Project Reference'!$B$2:$N$41,13)," ")</f>
        <v xml:space="preserve"> </v>
      </c>
    </row>
    <row r="467" spans="1:27" s="1" customFormat="1" x14ac:dyDescent="0.45">
      <c r="A467" s="43"/>
      <c r="B467" s="205"/>
      <c r="C467"/>
      <c r="D467" s="72"/>
      <c r="E467" s="72"/>
      <c r="F467" s="72"/>
      <c r="G467" s="72"/>
      <c r="H467" s="17"/>
      <c r="I467" s="41" t="str" cm="1">
        <f t="array" ref="I467">IFERROR(_xlfn.IFS(H467="Hard (Cash)","N/A",H467="Soft (In-Kind)", "Enter Source"),"Select Type")</f>
        <v>Select Type</v>
      </c>
      <c r="J467" s="124"/>
      <c r="K467" s="41" t="str">
        <f>IFERROR(VLOOKUP($J467,'Project Reference'!$S$2:$T$41,2),"Enter Project Number")</f>
        <v>Enter Project Number</v>
      </c>
      <c r="L467" s="41"/>
      <c r="M467" s="41"/>
      <c r="N467" s="15">
        <f t="shared" si="7"/>
        <v>0</v>
      </c>
      <c r="O467" s="19"/>
      <c r="P467" s="42" t="str">
        <f>IFERROR(VLOOKUP($J467,'Project Reference'!$B$2:$C$41,2)," ")</f>
        <v xml:space="preserve"> </v>
      </c>
      <c r="Q467" s="42" t="str">
        <f>IFERROR(VLOOKUP($J467,'Project Reference'!$B$2:$D$41,3)," ")</f>
        <v xml:space="preserve"> </v>
      </c>
      <c r="R467" s="42" t="str">
        <f>IFERROR(VLOOKUP($J467,'Project Reference'!$B$2:$E$41,4)," ")</f>
        <v xml:space="preserve"> </v>
      </c>
      <c r="S467" s="42" t="str">
        <f>IFERROR(VLOOKUP($J467,'Project Reference'!$B$2:$F$41,5,FALSE)," ")</f>
        <v xml:space="preserve"> </v>
      </c>
      <c r="T467" s="42" t="str">
        <f>IFERROR(VLOOKUP($J467,'Project Reference'!$B$2:$G$41,6,FALSE)," ")</f>
        <v xml:space="preserve"> </v>
      </c>
      <c r="U467" s="42" t="str">
        <f>IFERROR(VLOOKUP($J467,'Project Reference'!$B$2:$H$41,7,FALSE)," ")</f>
        <v xml:space="preserve"> </v>
      </c>
      <c r="V467" s="42" t="str">
        <f>IFERROR(VLOOKUP($J467,'Project Reference'!$B$2:$I$41,8,FALSE)," ")</f>
        <v xml:space="preserve"> </v>
      </c>
      <c r="W467" s="42" t="str">
        <f>IFERROR(VLOOKUP($J467,'Project Reference'!$B$2:$J$41,9,FALSE)," ")</f>
        <v xml:space="preserve"> </v>
      </c>
      <c r="X467" s="42" t="str">
        <f>IFERROR(VLOOKUP($J467,'Project Reference'!$B$2:$K$41,10)," ")</f>
        <v xml:space="preserve"> </v>
      </c>
      <c r="Y467" s="42" t="str">
        <f>IFERROR(VLOOKUP($J467,'Project Reference'!$B$2:$L$41,11)," ")</f>
        <v xml:space="preserve"> </v>
      </c>
      <c r="Z467" s="42" t="str">
        <f>IFERROR(VLOOKUP($J467,'Project Reference'!$B$2:$M$41,12)," ")</f>
        <v xml:space="preserve"> </v>
      </c>
      <c r="AA467" s="42" t="str">
        <f>IFERROR(VLOOKUP($J467,'Project Reference'!$B$2:$N$41,13)," ")</f>
        <v xml:space="preserve"> </v>
      </c>
    </row>
    <row r="468" spans="1:27" s="1" customFormat="1" x14ac:dyDescent="0.45">
      <c r="A468" s="43"/>
      <c r="B468" s="205"/>
      <c r="C468"/>
      <c r="D468" s="72"/>
      <c r="E468" s="72"/>
      <c r="F468" s="72"/>
      <c r="G468" s="72"/>
      <c r="H468" s="17"/>
      <c r="I468" s="41" t="str" cm="1">
        <f t="array" ref="I468">IFERROR(_xlfn.IFS(H468="Hard (Cash)","N/A",H468="Soft (In-Kind)", "Enter Source"),"Select Type")</f>
        <v>Select Type</v>
      </c>
      <c r="J468" s="124"/>
      <c r="K468" s="41" t="str">
        <f>IFERROR(VLOOKUP($J468,'Project Reference'!$S$2:$T$41,2),"Enter Project Number")</f>
        <v>Enter Project Number</v>
      </c>
      <c r="L468" s="41"/>
      <c r="M468" s="41"/>
      <c r="N468" s="15">
        <f t="shared" si="7"/>
        <v>0</v>
      </c>
      <c r="O468" s="19"/>
      <c r="P468" s="42" t="str">
        <f>IFERROR(VLOOKUP($J468,'Project Reference'!$B$2:$C$41,2)," ")</f>
        <v xml:space="preserve"> </v>
      </c>
      <c r="Q468" s="42" t="str">
        <f>IFERROR(VLOOKUP($J468,'Project Reference'!$B$2:$D$41,3)," ")</f>
        <v xml:space="preserve"> </v>
      </c>
      <c r="R468" s="42" t="str">
        <f>IFERROR(VLOOKUP($J468,'Project Reference'!$B$2:$E$41,4)," ")</f>
        <v xml:space="preserve"> </v>
      </c>
      <c r="S468" s="42" t="str">
        <f>IFERROR(VLOOKUP($J468,'Project Reference'!$B$2:$F$41,5,FALSE)," ")</f>
        <v xml:space="preserve"> </v>
      </c>
      <c r="T468" s="42" t="str">
        <f>IFERROR(VLOOKUP($J468,'Project Reference'!$B$2:$G$41,6,FALSE)," ")</f>
        <v xml:space="preserve"> </v>
      </c>
      <c r="U468" s="42" t="str">
        <f>IFERROR(VLOOKUP($J468,'Project Reference'!$B$2:$H$41,7,FALSE)," ")</f>
        <v xml:space="preserve"> </v>
      </c>
      <c r="V468" s="42" t="str">
        <f>IFERROR(VLOOKUP($J468,'Project Reference'!$B$2:$I$41,8,FALSE)," ")</f>
        <v xml:space="preserve"> </v>
      </c>
      <c r="W468" s="42" t="str">
        <f>IFERROR(VLOOKUP($J468,'Project Reference'!$B$2:$J$41,9,FALSE)," ")</f>
        <v xml:space="preserve"> </v>
      </c>
      <c r="X468" s="42" t="str">
        <f>IFERROR(VLOOKUP($J468,'Project Reference'!$B$2:$K$41,10)," ")</f>
        <v xml:space="preserve"> </v>
      </c>
      <c r="Y468" s="42" t="str">
        <f>IFERROR(VLOOKUP($J468,'Project Reference'!$B$2:$L$41,11)," ")</f>
        <v xml:space="preserve"> </v>
      </c>
      <c r="Z468" s="42" t="str">
        <f>IFERROR(VLOOKUP($J468,'Project Reference'!$B$2:$M$41,12)," ")</f>
        <v xml:space="preserve"> </v>
      </c>
      <c r="AA468" s="42" t="str">
        <f>IFERROR(VLOOKUP($J468,'Project Reference'!$B$2:$N$41,13)," ")</f>
        <v xml:space="preserve"> </v>
      </c>
    </row>
    <row r="469" spans="1:27" s="1" customFormat="1" x14ac:dyDescent="0.45">
      <c r="A469" s="43"/>
      <c r="B469" s="205"/>
      <c r="C469"/>
      <c r="D469" s="72"/>
      <c r="E469" s="72"/>
      <c r="F469" s="72"/>
      <c r="G469" s="72"/>
      <c r="H469" s="17"/>
      <c r="I469" s="41" t="str" cm="1">
        <f t="array" ref="I469">IFERROR(_xlfn.IFS(H469="Hard (Cash)","N/A",H469="Soft (In-Kind)", "Enter Source"),"Select Type")</f>
        <v>Select Type</v>
      </c>
      <c r="J469" s="124"/>
      <c r="K469" s="41" t="str">
        <f>IFERROR(VLOOKUP($J469,'Project Reference'!$S$2:$T$41,2),"Enter Project Number")</f>
        <v>Enter Project Number</v>
      </c>
      <c r="L469" s="41"/>
      <c r="M469" s="41"/>
      <c r="N469" s="15">
        <f t="shared" si="7"/>
        <v>0</v>
      </c>
      <c r="O469" s="19"/>
      <c r="P469" s="42" t="str">
        <f>IFERROR(VLOOKUP($J469,'Project Reference'!$B$2:$C$41,2)," ")</f>
        <v xml:space="preserve"> </v>
      </c>
      <c r="Q469" s="42" t="str">
        <f>IFERROR(VLOOKUP($J469,'Project Reference'!$B$2:$D$41,3)," ")</f>
        <v xml:space="preserve"> </v>
      </c>
      <c r="R469" s="42" t="str">
        <f>IFERROR(VLOOKUP($J469,'Project Reference'!$B$2:$E$41,4)," ")</f>
        <v xml:space="preserve"> </v>
      </c>
      <c r="S469" s="42" t="str">
        <f>IFERROR(VLOOKUP($J469,'Project Reference'!$B$2:$F$41,5,FALSE)," ")</f>
        <v xml:space="preserve"> </v>
      </c>
      <c r="T469" s="42" t="str">
        <f>IFERROR(VLOOKUP($J469,'Project Reference'!$B$2:$G$41,6,FALSE)," ")</f>
        <v xml:space="preserve"> </v>
      </c>
      <c r="U469" s="42" t="str">
        <f>IFERROR(VLOOKUP($J469,'Project Reference'!$B$2:$H$41,7,FALSE)," ")</f>
        <v xml:space="preserve"> </v>
      </c>
      <c r="V469" s="42" t="str">
        <f>IFERROR(VLOOKUP($J469,'Project Reference'!$B$2:$I$41,8,FALSE)," ")</f>
        <v xml:space="preserve"> </v>
      </c>
      <c r="W469" s="42" t="str">
        <f>IFERROR(VLOOKUP($J469,'Project Reference'!$B$2:$J$41,9,FALSE)," ")</f>
        <v xml:space="preserve"> </v>
      </c>
      <c r="X469" s="42" t="str">
        <f>IFERROR(VLOOKUP($J469,'Project Reference'!$B$2:$K$41,10)," ")</f>
        <v xml:space="preserve"> </v>
      </c>
      <c r="Y469" s="42" t="str">
        <f>IFERROR(VLOOKUP($J469,'Project Reference'!$B$2:$L$41,11)," ")</f>
        <v xml:space="preserve"> </v>
      </c>
      <c r="Z469" s="42" t="str">
        <f>IFERROR(VLOOKUP($J469,'Project Reference'!$B$2:$M$41,12)," ")</f>
        <v xml:space="preserve"> </v>
      </c>
      <c r="AA469" s="42" t="str">
        <f>IFERROR(VLOOKUP($J469,'Project Reference'!$B$2:$N$41,13)," ")</f>
        <v xml:space="preserve"> </v>
      </c>
    </row>
    <row r="470" spans="1:27" s="1" customFormat="1" x14ac:dyDescent="0.45">
      <c r="A470" s="43"/>
      <c r="B470" s="205"/>
      <c r="C470"/>
      <c r="D470" s="72"/>
      <c r="E470" s="72"/>
      <c r="F470" s="72"/>
      <c r="G470" s="72"/>
      <c r="H470" s="17"/>
      <c r="I470" s="41" t="str" cm="1">
        <f t="array" ref="I470">IFERROR(_xlfn.IFS(H470="Hard (Cash)","N/A",H470="Soft (In-Kind)", "Enter Source"),"Select Type")</f>
        <v>Select Type</v>
      </c>
      <c r="J470" s="124"/>
      <c r="K470" s="41" t="str">
        <f>IFERROR(VLOOKUP($J470,'Project Reference'!$S$2:$T$41,2),"Enter Project Number")</f>
        <v>Enter Project Number</v>
      </c>
      <c r="L470" s="41"/>
      <c r="M470" s="41"/>
      <c r="N470" s="15">
        <f t="shared" si="7"/>
        <v>0</v>
      </c>
      <c r="O470" s="19"/>
      <c r="P470" s="42" t="str">
        <f>IFERROR(VLOOKUP($J470,'Project Reference'!$B$2:$C$41,2)," ")</f>
        <v xml:space="preserve"> </v>
      </c>
      <c r="Q470" s="42" t="str">
        <f>IFERROR(VLOOKUP($J470,'Project Reference'!$B$2:$D$41,3)," ")</f>
        <v xml:space="preserve"> </v>
      </c>
      <c r="R470" s="42" t="str">
        <f>IFERROR(VLOOKUP($J470,'Project Reference'!$B$2:$E$41,4)," ")</f>
        <v xml:space="preserve"> </v>
      </c>
      <c r="S470" s="42" t="str">
        <f>IFERROR(VLOOKUP($J470,'Project Reference'!$B$2:$F$41,5,FALSE)," ")</f>
        <v xml:space="preserve"> </v>
      </c>
      <c r="T470" s="42" t="str">
        <f>IFERROR(VLOOKUP($J470,'Project Reference'!$B$2:$G$41,6,FALSE)," ")</f>
        <v xml:space="preserve"> </v>
      </c>
      <c r="U470" s="42" t="str">
        <f>IFERROR(VLOOKUP($J470,'Project Reference'!$B$2:$H$41,7,FALSE)," ")</f>
        <v xml:space="preserve"> </v>
      </c>
      <c r="V470" s="42" t="str">
        <f>IFERROR(VLOOKUP($J470,'Project Reference'!$B$2:$I$41,8,FALSE)," ")</f>
        <v xml:space="preserve"> </v>
      </c>
      <c r="W470" s="42" t="str">
        <f>IFERROR(VLOOKUP($J470,'Project Reference'!$B$2:$J$41,9,FALSE)," ")</f>
        <v xml:space="preserve"> </v>
      </c>
      <c r="X470" s="42" t="str">
        <f>IFERROR(VLOOKUP($J470,'Project Reference'!$B$2:$K$41,10)," ")</f>
        <v xml:space="preserve"> </v>
      </c>
      <c r="Y470" s="42" t="str">
        <f>IFERROR(VLOOKUP($J470,'Project Reference'!$B$2:$L$41,11)," ")</f>
        <v xml:space="preserve"> </v>
      </c>
      <c r="Z470" s="42" t="str">
        <f>IFERROR(VLOOKUP($J470,'Project Reference'!$B$2:$M$41,12)," ")</f>
        <v xml:space="preserve"> </v>
      </c>
      <c r="AA470" s="42" t="str">
        <f>IFERROR(VLOOKUP($J470,'Project Reference'!$B$2:$N$41,13)," ")</f>
        <v xml:space="preserve"> </v>
      </c>
    </row>
    <row r="471" spans="1:27" s="1" customFormat="1" x14ac:dyDescent="0.45">
      <c r="A471" s="43"/>
      <c r="B471" s="205"/>
      <c r="C471"/>
      <c r="D471" s="72"/>
      <c r="E471" s="72"/>
      <c r="F471" s="72"/>
      <c r="G471" s="72"/>
      <c r="H471" s="17"/>
      <c r="I471" s="41" t="str" cm="1">
        <f t="array" ref="I471">IFERROR(_xlfn.IFS(H471="Hard (Cash)","N/A",H471="Soft (In-Kind)", "Enter Source"),"Select Type")</f>
        <v>Select Type</v>
      </c>
      <c r="J471" s="124"/>
      <c r="K471" s="41" t="str">
        <f>IFERROR(VLOOKUP($J471,'Project Reference'!$S$2:$T$41,2),"Enter Project Number")</f>
        <v>Enter Project Number</v>
      </c>
      <c r="L471" s="41"/>
      <c r="M471" s="41"/>
      <c r="N471" s="15">
        <f t="shared" si="7"/>
        <v>0</v>
      </c>
      <c r="O471" s="19"/>
      <c r="P471" s="42" t="str">
        <f>IFERROR(VLOOKUP($J471,'Project Reference'!$B$2:$C$41,2)," ")</f>
        <v xml:space="preserve"> </v>
      </c>
      <c r="Q471" s="42" t="str">
        <f>IFERROR(VLOOKUP($J471,'Project Reference'!$B$2:$D$41,3)," ")</f>
        <v xml:space="preserve"> </v>
      </c>
      <c r="R471" s="42" t="str">
        <f>IFERROR(VLOOKUP($J471,'Project Reference'!$B$2:$E$41,4)," ")</f>
        <v xml:space="preserve"> </v>
      </c>
      <c r="S471" s="42" t="str">
        <f>IFERROR(VLOOKUP($J471,'Project Reference'!$B$2:$F$41,5,FALSE)," ")</f>
        <v xml:space="preserve"> </v>
      </c>
      <c r="T471" s="42" t="str">
        <f>IFERROR(VLOOKUP($J471,'Project Reference'!$B$2:$G$41,6,FALSE)," ")</f>
        <v xml:space="preserve"> </v>
      </c>
      <c r="U471" s="42" t="str">
        <f>IFERROR(VLOOKUP($J471,'Project Reference'!$B$2:$H$41,7,FALSE)," ")</f>
        <v xml:space="preserve"> </v>
      </c>
      <c r="V471" s="42" t="str">
        <f>IFERROR(VLOOKUP($J471,'Project Reference'!$B$2:$I$41,8,FALSE)," ")</f>
        <v xml:space="preserve"> </v>
      </c>
      <c r="W471" s="42" t="str">
        <f>IFERROR(VLOOKUP($J471,'Project Reference'!$B$2:$J$41,9,FALSE)," ")</f>
        <v xml:space="preserve"> </v>
      </c>
      <c r="X471" s="42" t="str">
        <f>IFERROR(VLOOKUP($J471,'Project Reference'!$B$2:$K$41,10)," ")</f>
        <v xml:space="preserve"> </v>
      </c>
      <c r="Y471" s="42" t="str">
        <f>IFERROR(VLOOKUP($J471,'Project Reference'!$B$2:$L$41,11)," ")</f>
        <v xml:space="preserve"> </v>
      </c>
      <c r="Z471" s="42" t="str">
        <f>IFERROR(VLOOKUP($J471,'Project Reference'!$B$2:$M$41,12)," ")</f>
        <v xml:space="preserve"> </v>
      </c>
      <c r="AA471" s="42" t="str">
        <f>IFERROR(VLOOKUP($J471,'Project Reference'!$B$2:$N$41,13)," ")</f>
        <v xml:space="preserve"> </v>
      </c>
    </row>
    <row r="472" spans="1:27" s="1" customFormat="1" x14ac:dyDescent="0.45">
      <c r="A472" s="43"/>
      <c r="B472" s="205"/>
      <c r="C472"/>
      <c r="D472" s="72"/>
      <c r="E472" s="72"/>
      <c r="F472" s="72"/>
      <c r="G472" s="72"/>
      <c r="H472" s="17"/>
      <c r="I472" s="41" t="str" cm="1">
        <f t="array" ref="I472">IFERROR(_xlfn.IFS(H472="Hard (Cash)","N/A",H472="Soft (In-Kind)", "Enter Source"),"Select Type")</f>
        <v>Select Type</v>
      </c>
      <c r="J472" s="124"/>
      <c r="K472" s="41" t="str">
        <f>IFERROR(VLOOKUP($J472,'Project Reference'!$S$2:$T$41,2),"Enter Project Number")</f>
        <v>Enter Project Number</v>
      </c>
      <c r="L472" s="41"/>
      <c r="M472" s="41"/>
      <c r="N472" s="15">
        <f t="shared" si="7"/>
        <v>0</v>
      </c>
      <c r="O472" s="19"/>
      <c r="P472" s="42" t="str">
        <f>IFERROR(VLOOKUP($J472,'Project Reference'!$B$2:$C$41,2)," ")</f>
        <v xml:space="preserve"> </v>
      </c>
      <c r="Q472" s="42" t="str">
        <f>IFERROR(VLOOKUP($J472,'Project Reference'!$B$2:$D$41,3)," ")</f>
        <v xml:space="preserve"> </v>
      </c>
      <c r="R472" s="42" t="str">
        <f>IFERROR(VLOOKUP($J472,'Project Reference'!$B$2:$E$41,4)," ")</f>
        <v xml:space="preserve"> </v>
      </c>
      <c r="S472" s="42" t="str">
        <f>IFERROR(VLOOKUP($J472,'Project Reference'!$B$2:$F$41,5,FALSE)," ")</f>
        <v xml:space="preserve"> </v>
      </c>
      <c r="T472" s="42" t="str">
        <f>IFERROR(VLOOKUP($J472,'Project Reference'!$B$2:$G$41,6,FALSE)," ")</f>
        <v xml:space="preserve"> </v>
      </c>
      <c r="U472" s="42" t="str">
        <f>IFERROR(VLOOKUP($J472,'Project Reference'!$B$2:$H$41,7,FALSE)," ")</f>
        <v xml:space="preserve"> </v>
      </c>
      <c r="V472" s="42" t="str">
        <f>IFERROR(VLOOKUP($J472,'Project Reference'!$B$2:$I$41,8,FALSE)," ")</f>
        <v xml:space="preserve"> </v>
      </c>
      <c r="W472" s="42" t="str">
        <f>IFERROR(VLOOKUP($J472,'Project Reference'!$B$2:$J$41,9,FALSE)," ")</f>
        <v xml:space="preserve"> </v>
      </c>
      <c r="X472" s="42" t="str">
        <f>IFERROR(VLOOKUP($J472,'Project Reference'!$B$2:$K$41,10)," ")</f>
        <v xml:space="preserve"> </v>
      </c>
      <c r="Y472" s="42" t="str">
        <f>IFERROR(VLOOKUP($J472,'Project Reference'!$B$2:$L$41,11)," ")</f>
        <v xml:space="preserve"> </v>
      </c>
      <c r="Z472" s="42" t="str">
        <f>IFERROR(VLOOKUP($J472,'Project Reference'!$B$2:$M$41,12)," ")</f>
        <v xml:space="preserve"> </v>
      </c>
      <c r="AA472" s="42" t="str">
        <f>IFERROR(VLOOKUP($J472,'Project Reference'!$B$2:$N$41,13)," ")</f>
        <v xml:space="preserve"> </v>
      </c>
    </row>
    <row r="473" spans="1:27" s="1" customFormat="1" x14ac:dyDescent="0.45">
      <c r="A473" s="43"/>
      <c r="B473" s="205"/>
      <c r="C473"/>
      <c r="D473" s="72"/>
      <c r="E473" s="72"/>
      <c r="F473" s="72"/>
      <c r="G473" s="72"/>
      <c r="H473" s="17"/>
      <c r="I473" s="41" t="str" cm="1">
        <f t="array" ref="I473">IFERROR(_xlfn.IFS(H473="Hard (Cash)","N/A",H473="Soft (In-Kind)", "Enter Source"),"Select Type")</f>
        <v>Select Type</v>
      </c>
      <c r="J473" s="124"/>
      <c r="K473" s="41" t="str">
        <f>IFERROR(VLOOKUP($J473,'Project Reference'!$S$2:$T$41,2),"Enter Project Number")</f>
        <v>Enter Project Number</v>
      </c>
      <c r="L473" s="41"/>
      <c r="M473" s="41"/>
      <c r="N473" s="15">
        <f t="shared" si="7"/>
        <v>0</v>
      </c>
      <c r="O473" s="19"/>
      <c r="P473" s="42" t="str">
        <f>IFERROR(VLOOKUP($J473,'Project Reference'!$B$2:$C$41,2)," ")</f>
        <v xml:space="preserve"> </v>
      </c>
      <c r="Q473" s="42" t="str">
        <f>IFERROR(VLOOKUP($J473,'Project Reference'!$B$2:$D$41,3)," ")</f>
        <v xml:space="preserve"> </v>
      </c>
      <c r="R473" s="42" t="str">
        <f>IFERROR(VLOOKUP($J473,'Project Reference'!$B$2:$E$41,4)," ")</f>
        <v xml:space="preserve"> </v>
      </c>
      <c r="S473" s="42" t="str">
        <f>IFERROR(VLOOKUP($J473,'Project Reference'!$B$2:$F$41,5,FALSE)," ")</f>
        <v xml:space="preserve"> </v>
      </c>
      <c r="T473" s="42" t="str">
        <f>IFERROR(VLOOKUP($J473,'Project Reference'!$B$2:$G$41,6,FALSE)," ")</f>
        <v xml:space="preserve"> </v>
      </c>
      <c r="U473" s="42" t="str">
        <f>IFERROR(VLOOKUP($J473,'Project Reference'!$B$2:$H$41,7,FALSE)," ")</f>
        <v xml:space="preserve"> </v>
      </c>
      <c r="V473" s="42" t="str">
        <f>IFERROR(VLOOKUP($J473,'Project Reference'!$B$2:$I$41,8,FALSE)," ")</f>
        <v xml:space="preserve"> </v>
      </c>
      <c r="W473" s="42" t="str">
        <f>IFERROR(VLOOKUP($J473,'Project Reference'!$B$2:$J$41,9,FALSE)," ")</f>
        <v xml:space="preserve"> </v>
      </c>
      <c r="X473" s="42" t="str">
        <f>IFERROR(VLOOKUP($J473,'Project Reference'!$B$2:$K$41,10)," ")</f>
        <v xml:space="preserve"> </v>
      </c>
      <c r="Y473" s="42" t="str">
        <f>IFERROR(VLOOKUP($J473,'Project Reference'!$B$2:$L$41,11)," ")</f>
        <v xml:space="preserve"> </v>
      </c>
      <c r="Z473" s="42" t="str">
        <f>IFERROR(VLOOKUP($J473,'Project Reference'!$B$2:$M$41,12)," ")</f>
        <v xml:space="preserve"> </v>
      </c>
      <c r="AA473" s="42" t="str">
        <f>IFERROR(VLOOKUP($J473,'Project Reference'!$B$2:$N$41,13)," ")</f>
        <v xml:space="preserve"> </v>
      </c>
    </row>
    <row r="474" spans="1:27" s="1" customFormat="1" x14ac:dyDescent="0.45">
      <c r="A474" s="43"/>
      <c r="B474" s="205"/>
      <c r="C474"/>
      <c r="D474" s="72"/>
      <c r="E474" s="72"/>
      <c r="F474" s="72"/>
      <c r="G474" s="72"/>
      <c r="H474" s="17"/>
      <c r="I474" s="41" t="str" cm="1">
        <f t="array" ref="I474">IFERROR(_xlfn.IFS(H474="Hard (Cash)","N/A",H474="Soft (In-Kind)", "Enter Source"),"Select Type")</f>
        <v>Select Type</v>
      </c>
      <c r="J474" s="124"/>
      <c r="K474" s="41" t="str">
        <f>IFERROR(VLOOKUP($J474,'Project Reference'!$S$2:$T$41,2),"Enter Project Number")</f>
        <v>Enter Project Number</v>
      </c>
      <c r="L474" s="41"/>
      <c r="M474" s="41"/>
      <c r="N474" s="15">
        <f t="shared" si="7"/>
        <v>0</v>
      </c>
      <c r="O474" s="19"/>
      <c r="P474" s="42" t="str">
        <f>IFERROR(VLOOKUP($J474,'Project Reference'!$B$2:$C$41,2)," ")</f>
        <v xml:space="preserve"> </v>
      </c>
      <c r="Q474" s="42" t="str">
        <f>IFERROR(VLOOKUP($J474,'Project Reference'!$B$2:$D$41,3)," ")</f>
        <v xml:space="preserve"> </v>
      </c>
      <c r="R474" s="42" t="str">
        <f>IFERROR(VLOOKUP($J474,'Project Reference'!$B$2:$E$41,4)," ")</f>
        <v xml:space="preserve"> </v>
      </c>
      <c r="S474" s="42" t="str">
        <f>IFERROR(VLOOKUP($J474,'Project Reference'!$B$2:$F$41,5,FALSE)," ")</f>
        <v xml:space="preserve"> </v>
      </c>
      <c r="T474" s="42" t="str">
        <f>IFERROR(VLOOKUP($J474,'Project Reference'!$B$2:$G$41,6,FALSE)," ")</f>
        <v xml:space="preserve"> </v>
      </c>
      <c r="U474" s="42" t="str">
        <f>IFERROR(VLOOKUP($J474,'Project Reference'!$B$2:$H$41,7,FALSE)," ")</f>
        <v xml:space="preserve"> </v>
      </c>
      <c r="V474" s="42" t="str">
        <f>IFERROR(VLOOKUP($J474,'Project Reference'!$B$2:$I$41,8,FALSE)," ")</f>
        <v xml:space="preserve"> </v>
      </c>
      <c r="W474" s="42" t="str">
        <f>IFERROR(VLOOKUP($J474,'Project Reference'!$B$2:$J$41,9,FALSE)," ")</f>
        <v xml:space="preserve"> </v>
      </c>
      <c r="X474" s="42" t="str">
        <f>IFERROR(VLOOKUP($J474,'Project Reference'!$B$2:$K$41,10)," ")</f>
        <v xml:space="preserve"> </v>
      </c>
      <c r="Y474" s="42" t="str">
        <f>IFERROR(VLOOKUP($J474,'Project Reference'!$B$2:$L$41,11)," ")</f>
        <v xml:space="preserve"> </v>
      </c>
      <c r="Z474" s="42" t="str">
        <f>IFERROR(VLOOKUP($J474,'Project Reference'!$B$2:$M$41,12)," ")</f>
        <v xml:space="preserve"> </v>
      </c>
      <c r="AA474" s="42" t="str">
        <f>IFERROR(VLOOKUP($J474,'Project Reference'!$B$2:$N$41,13)," ")</f>
        <v xml:space="preserve"> </v>
      </c>
    </row>
    <row r="475" spans="1:27" s="1" customFormat="1" x14ac:dyDescent="0.45">
      <c r="A475" s="43"/>
      <c r="B475" s="205"/>
      <c r="C475"/>
      <c r="D475" s="72"/>
      <c r="E475" s="72"/>
      <c r="F475" s="72"/>
      <c r="G475" s="72"/>
      <c r="H475" s="17"/>
      <c r="I475" s="41" t="str" cm="1">
        <f t="array" ref="I475">IFERROR(_xlfn.IFS(H475="Hard (Cash)","N/A",H475="Soft (In-Kind)", "Enter Source"),"Select Type")</f>
        <v>Select Type</v>
      </c>
      <c r="J475" s="124"/>
      <c r="K475" s="41" t="str">
        <f>IFERROR(VLOOKUP($J475,'Project Reference'!$S$2:$T$41,2),"Enter Project Number")</f>
        <v>Enter Project Number</v>
      </c>
      <c r="L475" s="41"/>
      <c r="M475" s="41"/>
      <c r="N475" s="15">
        <f t="shared" si="7"/>
        <v>0</v>
      </c>
      <c r="O475" s="19"/>
      <c r="P475" s="42" t="str">
        <f>IFERROR(VLOOKUP($J475,'Project Reference'!$B$2:$C$41,2)," ")</f>
        <v xml:space="preserve"> </v>
      </c>
      <c r="Q475" s="42" t="str">
        <f>IFERROR(VLOOKUP($J475,'Project Reference'!$B$2:$D$41,3)," ")</f>
        <v xml:space="preserve"> </v>
      </c>
      <c r="R475" s="42" t="str">
        <f>IFERROR(VLOOKUP($J475,'Project Reference'!$B$2:$E$41,4)," ")</f>
        <v xml:space="preserve"> </v>
      </c>
      <c r="S475" s="42" t="str">
        <f>IFERROR(VLOOKUP($J475,'Project Reference'!$B$2:$F$41,5,FALSE)," ")</f>
        <v xml:space="preserve"> </v>
      </c>
      <c r="T475" s="42" t="str">
        <f>IFERROR(VLOOKUP($J475,'Project Reference'!$B$2:$G$41,6,FALSE)," ")</f>
        <v xml:space="preserve"> </v>
      </c>
      <c r="U475" s="42" t="str">
        <f>IFERROR(VLOOKUP($J475,'Project Reference'!$B$2:$H$41,7,FALSE)," ")</f>
        <v xml:space="preserve"> </v>
      </c>
      <c r="V475" s="42" t="str">
        <f>IFERROR(VLOOKUP($J475,'Project Reference'!$B$2:$I$41,8,FALSE)," ")</f>
        <v xml:space="preserve"> </v>
      </c>
      <c r="W475" s="42" t="str">
        <f>IFERROR(VLOOKUP($J475,'Project Reference'!$B$2:$J$41,9,FALSE)," ")</f>
        <v xml:space="preserve"> </v>
      </c>
      <c r="X475" s="42" t="str">
        <f>IFERROR(VLOOKUP($J475,'Project Reference'!$B$2:$K$41,10)," ")</f>
        <v xml:space="preserve"> </v>
      </c>
      <c r="Y475" s="42" t="str">
        <f>IFERROR(VLOOKUP($J475,'Project Reference'!$B$2:$L$41,11)," ")</f>
        <v xml:space="preserve"> </v>
      </c>
      <c r="Z475" s="42" t="str">
        <f>IFERROR(VLOOKUP($J475,'Project Reference'!$B$2:$M$41,12)," ")</f>
        <v xml:space="preserve"> </v>
      </c>
      <c r="AA475" s="42" t="str">
        <f>IFERROR(VLOOKUP($J475,'Project Reference'!$B$2:$N$41,13)," ")</f>
        <v xml:space="preserve"> </v>
      </c>
    </row>
    <row r="476" spans="1:27" s="1" customFormat="1" x14ac:dyDescent="0.45">
      <c r="A476" s="43"/>
      <c r="B476" s="205"/>
      <c r="C476"/>
      <c r="D476" s="72"/>
      <c r="E476" s="72"/>
      <c r="F476" s="72"/>
      <c r="G476" s="72"/>
      <c r="H476" s="17"/>
      <c r="I476" s="41" t="str" cm="1">
        <f t="array" ref="I476">IFERROR(_xlfn.IFS(H476="Hard (Cash)","N/A",H476="Soft (In-Kind)", "Enter Source"),"Select Type")</f>
        <v>Select Type</v>
      </c>
      <c r="J476" s="124"/>
      <c r="K476" s="41" t="str">
        <f>IFERROR(VLOOKUP($J476,'Project Reference'!$S$2:$T$41,2),"Enter Project Number")</f>
        <v>Enter Project Number</v>
      </c>
      <c r="L476" s="41"/>
      <c r="M476" s="41"/>
      <c r="N476" s="15">
        <f t="shared" si="7"/>
        <v>0</v>
      </c>
      <c r="O476" s="19"/>
      <c r="P476" s="42" t="str">
        <f>IFERROR(VLOOKUP($J476,'Project Reference'!$B$2:$C$41,2)," ")</f>
        <v xml:space="preserve"> </v>
      </c>
      <c r="Q476" s="42" t="str">
        <f>IFERROR(VLOOKUP($J476,'Project Reference'!$B$2:$D$41,3)," ")</f>
        <v xml:space="preserve"> </v>
      </c>
      <c r="R476" s="42" t="str">
        <f>IFERROR(VLOOKUP($J476,'Project Reference'!$B$2:$E$41,4)," ")</f>
        <v xml:space="preserve"> </v>
      </c>
      <c r="S476" s="42" t="str">
        <f>IFERROR(VLOOKUP($J476,'Project Reference'!$B$2:$F$41,5,FALSE)," ")</f>
        <v xml:space="preserve"> </v>
      </c>
      <c r="T476" s="42" t="str">
        <f>IFERROR(VLOOKUP($J476,'Project Reference'!$B$2:$G$41,6,FALSE)," ")</f>
        <v xml:space="preserve"> </v>
      </c>
      <c r="U476" s="42" t="str">
        <f>IFERROR(VLOOKUP($J476,'Project Reference'!$B$2:$H$41,7,FALSE)," ")</f>
        <v xml:space="preserve"> </v>
      </c>
      <c r="V476" s="42" t="str">
        <f>IFERROR(VLOOKUP($J476,'Project Reference'!$B$2:$I$41,8,FALSE)," ")</f>
        <v xml:space="preserve"> </v>
      </c>
      <c r="W476" s="42" t="str">
        <f>IFERROR(VLOOKUP($J476,'Project Reference'!$B$2:$J$41,9,FALSE)," ")</f>
        <v xml:space="preserve"> </v>
      </c>
      <c r="X476" s="42" t="str">
        <f>IFERROR(VLOOKUP($J476,'Project Reference'!$B$2:$K$41,10)," ")</f>
        <v xml:space="preserve"> </v>
      </c>
      <c r="Y476" s="42" t="str">
        <f>IFERROR(VLOOKUP($J476,'Project Reference'!$B$2:$L$41,11)," ")</f>
        <v xml:space="preserve"> </v>
      </c>
      <c r="Z476" s="42" t="str">
        <f>IFERROR(VLOOKUP($J476,'Project Reference'!$B$2:$M$41,12)," ")</f>
        <v xml:space="preserve"> </v>
      </c>
      <c r="AA476" s="42" t="str">
        <f>IFERROR(VLOOKUP($J476,'Project Reference'!$B$2:$N$41,13)," ")</f>
        <v xml:space="preserve"> </v>
      </c>
    </row>
    <row r="477" spans="1:27" s="1" customFormat="1" x14ac:dyDescent="0.45">
      <c r="A477" s="43"/>
      <c r="B477" s="205"/>
      <c r="C477"/>
      <c r="D477" s="72"/>
      <c r="E477" s="72"/>
      <c r="F477" s="72"/>
      <c r="G477" s="72"/>
      <c r="H477" s="17"/>
      <c r="I477" s="41" t="str" cm="1">
        <f t="array" ref="I477">IFERROR(_xlfn.IFS(H477="Hard (Cash)","N/A",H477="Soft (In-Kind)", "Enter Source"),"Select Type")</f>
        <v>Select Type</v>
      </c>
      <c r="J477" s="124"/>
      <c r="K477" s="41" t="str">
        <f>IFERROR(VLOOKUP($J477,'Project Reference'!$S$2:$T$41,2),"Enter Project Number")</f>
        <v>Enter Project Number</v>
      </c>
      <c r="L477" s="41"/>
      <c r="M477" s="41"/>
      <c r="N477" s="15">
        <f t="shared" si="7"/>
        <v>0</v>
      </c>
      <c r="O477" s="19"/>
      <c r="P477" s="42" t="str">
        <f>IFERROR(VLOOKUP($J477,'Project Reference'!$B$2:$C$41,2)," ")</f>
        <v xml:space="preserve"> </v>
      </c>
      <c r="Q477" s="42" t="str">
        <f>IFERROR(VLOOKUP($J477,'Project Reference'!$B$2:$D$41,3)," ")</f>
        <v xml:space="preserve"> </v>
      </c>
      <c r="R477" s="42" t="str">
        <f>IFERROR(VLOOKUP($J477,'Project Reference'!$B$2:$E$41,4)," ")</f>
        <v xml:space="preserve"> </v>
      </c>
      <c r="S477" s="42" t="str">
        <f>IFERROR(VLOOKUP($J477,'Project Reference'!$B$2:$F$41,5,FALSE)," ")</f>
        <v xml:space="preserve"> </v>
      </c>
      <c r="T477" s="42" t="str">
        <f>IFERROR(VLOOKUP($J477,'Project Reference'!$B$2:$G$41,6,FALSE)," ")</f>
        <v xml:space="preserve"> </v>
      </c>
      <c r="U477" s="42" t="str">
        <f>IFERROR(VLOOKUP($J477,'Project Reference'!$B$2:$H$41,7,FALSE)," ")</f>
        <v xml:space="preserve"> </v>
      </c>
      <c r="V477" s="42" t="str">
        <f>IFERROR(VLOOKUP($J477,'Project Reference'!$B$2:$I$41,8,FALSE)," ")</f>
        <v xml:space="preserve"> </v>
      </c>
      <c r="W477" s="42" t="str">
        <f>IFERROR(VLOOKUP($J477,'Project Reference'!$B$2:$J$41,9,FALSE)," ")</f>
        <v xml:space="preserve"> </v>
      </c>
      <c r="X477" s="42" t="str">
        <f>IFERROR(VLOOKUP($J477,'Project Reference'!$B$2:$K$41,10)," ")</f>
        <v xml:space="preserve"> </v>
      </c>
      <c r="Y477" s="42" t="str">
        <f>IFERROR(VLOOKUP($J477,'Project Reference'!$B$2:$L$41,11)," ")</f>
        <v xml:space="preserve"> </v>
      </c>
      <c r="Z477" s="42" t="str">
        <f>IFERROR(VLOOKUP($J477,'Project Reference'!$B$2:$M$41,12)," ")</f>
        <v xml:space="preserve"> </v>
      </c>
      <c r="AA477" s="42" t="str">
        <f>IFERROR(VLOOKUP($J477,'Project Reference'!$B$2:$N$41,13)," ")</f>
        <v xml:space="preserve"> </v>
      </c>
    </row>
    <row r="478" spans="1:27" s="1" customFormat="1" x14ac:dyDescent="0.45">
      <c r="A478" s="43"/>
      <c r="B478" s="205"/>
      <c r="C478"/>
      <c r="D478" s="72"/>
      <c r="E478" s="72"/>
      <c r="F478" s="72"/>
      <c r="G478" s="72"/>
      <c r="H478" s="17"/>
      <c r="I478" s="41" t="str" cm="1">
        <f t="array" ref="I478">IFERROR(_xlfn.IFS(H478="Hard (Cash)","N/A",H478="Soft (In-Kind)", "Enter Source"),"Select Type")</f>
        <v>Select Type</v>
      </c>
      <c r="J478" s="124"/>
      <c r="K478" s="41" t="str">
        <f>IFERROR(VLOOKUP($J478,'Project Reference'!$S$2:$T$41,2),"Enter Project Number")</f>
        <v>Enter Project Number</v>
      </c>
      <c r="L478" s="41"/>
      <c r="M478" s="41"/>
      <c r="N478" s="15">
        <f t="shared" si="7"/>
        <v>0</v>
      </c>
      <c r="O478" s="19"/>
      <c r="P478" s="42" t="str">
        <f>IFERROR(VLOOKUP($J478,'Project Reference'!$B$2:$C$41,2)," ")</f>
        <v xml:space="preserve"> </v>
      </c>
      <c r="Q478" s="42" t="str">
        <f>IFERROR(VLOOKUP($J478,'Project Reference'!$B$2:$D$41,3)," ")</f>
        <v xml:space="preserve"> </v>
      </c>
      <c r="R478" s="42" t="str">
        <f>IFERROR(VLOOKUP($J478,'Project Reference'!$B$2:$E$41,4)," ")</f>
        <v xml:space="preserve"> </v>
      </c>
      <c r="S478" s="42" t="str">
        <f>IFERROR(VLOOKUP($J478,'Project Reference'!$B$2:$F$41,5,FALSE)," ")</f>
        <v xml:space="preserve"> </v>
      </c>
      <c r="T478" s="42" t="str">
        <f>IFERROR(VLOOKUP($J478,'Project Reference'!$B$2:$G$41,6,FALSE)," ")</f>
        <v xml:space="preserve"> </v>
      </c>
      <c r="U478" s="42" t="str">
        <f>IFERROR(VLOOKUP($J478,'Project Reference'!$B$2:$H$41,7,FALSE)," ")</f>
        <v xml:space="preserve"> </v>
      </c>
      <c r="V478" s="42" t="str">
        <f>IFERROR(VLOOKUP($J478,'Project Reference'!$B$2:$I$41,8,FALSE)," ")</f>
        <v xml:space="preserve"> </v>
      </c>
      <c r="W478" s="42" t="str">
        <f>IFERROR(VLOOKUP($J478,'Project Reference'!$B$2:$J$41,9,FALSE)," ")</f>
        <v xml:space="preserve"> </v>
      </c>
      <c r="X478" s="42" t="str">
        <f>IFERROR(VLOOKUP($J478,'Project Reference'!$B$2:$K$41,10)," ")</f>
        <v xml:space="preserve"> </v>
      </c>
      <c r="Y478" s="42" t="str">
        <f>IFERROR(VLOOKUP($J478,'Project Reference'!$B$2:$L$41,11)," ")</f>
        <v xml:space="preserve"> </v>
      </c>
      <c r="Z478" s="42" t="str">
        <f>IFERROR(VLOOKUP($J478,'Project Reference'!$B$2:$M$41,12)," ")</f>
        <v xml:space="preserve"> </v>
      </c>
      <c r="AA478" s="42" t="str">
        <f>IFERROR(VLOOKUP($J478,'Project Reference'!$B$2:$N$41,13)," ")</f>
        <v xml:space="preserve"> </v>
      </c>
    </row>
    <row r="479" spans="1:27" s="1" customFormat="1" x14ac:dyDescent="0.45">
      <c r="A479" s="43"/>
      <c r="B479" s="205"/>
      <c r="C479"/>
      <c r="D479" s="72"/>
      <c r="E479" s="72"/>
      <c r="F479" s="72"/>
      <c r="G479" s="72"/>
      <c r="H479" s="17"/>
      <c r="I479" s="41" t="str" cm="1">
        <f t="array" ref="I479">IFERROR(_xlfn.IFS(H479="Hard (Cash)","N/A",H479="Soft (In-Kind)", "Enter Source"),"Select Type")</f>
        <v>Select Type</v>
      </c>
      <c r="J479" s="124"/>
      <c r="K479" s="41" t="str">
        <f>IFERROR(VLOOKUP($J479,'Project Reference'!$S$2:$T$41,2),"Enter Project Number")</f>
        <v>Enter Project Number</v>
      </c>
      <c r="L479" s="41"/>
      <c r="M479" s="41"/>
      <c r="N479" s="15">
        <f t="shared" si="7"/>
        <v>0</v>
      </c>
      <c r="O479" s="19"/>
      <c r="P479" s="42" t="str">
        <f>IFERROR(VLOOKUP($J479,'Project Reference'!$B$2:$C$41,2)," ")</f>
        <v xml:space="preserve"> </v>
      </c>
      <c r="Q479" s="42" t="str">
        <f>IFERROR(VLOOKUP($J479,'Project Reference'!$B$2:$D$41,3)," ")</f>
        <v xml:space="preserve"> </v>
      </c>
      <c r="R479" s="42" t="str">
        <f>IFERROR(VLOOKUP($J479,'Project Reference'!$B$2:$E$41,4)," ")</f>
        <v xml:space="preserve"> </v>
      </c>
      <c r="S479" s="42" t="str">
        <f>IFERROR(VLOOKUP($J479,'Project Reference'!$B$2:$F$41,5,FALSE)," ")</f>
        <v xml:space="preserve"> </v>
      </c>
      <c r="T479" s="42" t="str">
        <f>IFERROR(VLOOKUP($J479,'Project Reference'!$B$2:$G$41,6,FALSE)," ")</f>
        <v xml:space="preserve"> </v>
      </c>
      <c r="U479" s="42" t="str">
        <f>IFERROR(VLOOKUP($J479,'Project Reference'!$B$2:$H$41,7,FALSE)," ")</f>
        <v xml:space="preserve"> </v>
      </c>
      <c r="V479" s="42" t="str">
        <f>IFERROR(VLOOKUP($J479,'Project Reference'!$B$2:$I$41,8,FALSE)," ")</f>
        <v xml:space="preserve"> </v>
      </c>
      <c r="W479" s="42" t="str">
        <f>IFERROR(VLOOKUP($J479,'Project Reference'!$B$2:$J$41,9,FALSE)," ")</f>
        <v xml:space="preserve"> </v>
      </c>
      <c r="X479" s="42" t="str">
        <f>IFERROR(VLOOKUP($J479,'Project Reference'!$B$2:$K$41,10)," ")</f>
        <v xml:space="preserve"> </v>
      </c>
      <c r="Y479" s="42" t="str">
        <f>IFERROR(VLOOKUP($J479,'Project Reference'!$B$2:$L$41,11)," ")</f>
        <v xml:space="preserve"> </v>
      </c>
      <c r="Z479" s="42" t="str">
        <f>IFERROR(VLOOKUP($J479,'Project Reference'!$B$2:$M$41,12)," ")</f>
        <v xml:space="preserve"> </v>
      </c>
      <c r="AA479" s="42" t="str">
        <f>IFERROR(VLOOKUP($J479,'Project Reference'!$B$2:$N$41,13)," ")</f>
        <v xml:space="preserve"> </v>
      </c>
    </row>
    <row r="480" spans="1:27" s="1" customFormat="1" x14ac:dyDescent="0.45">
      <c r="A480" s="43"/>
      <c r="B480" s="205"/>
      <c r="C480"/>
      <c r="D480" s="72"/>
      <c r="E480" s="72"/>
      <c r="F480" s="72"/>
      <c r="G480" s="72"/>
      <c r="H480" s="17"/>
      <c r="I480" s="41" t="str" cm="1">
        <f t="array" ref="I480">IFERROR(_xlfn.IFS(H480="Hard (Cash)","N/A",H480="Soft (In-Kind)", "Enter Source"),"Select Type")</f>
        <v>Select Type</v>
      </c>
      <c r="J480" s="124"/>
      <c r="K480" s="41" t="str">
        <f>IFERROR(VLOOKUP($J480,'Project Reference'!$S$2:$T$41,2),"Enter Project Number")</f>
        <v>Enter Project Number</v>
      </c>
      <c r="L480" s="41"/>
      <c r="M480" s="41"/>
      <c r="N480" s="15">
        <f t="shared" si="7"/>
        <v>0</v>
      </c>
      <c r="O480" s="19"/>
      <c r="P480" s="42" t="str">
        <f>IFERROR(VLOOKUP($J480,'Project Reference'!$B$2:$C$41,2)," ")</f>
        <v xml:space="preserve"> </v>
      </c>
      <c r="Q480" s="42" t="str">
        <f>IFERROR(VLOOKUP($J480,'Project Reference'!$B$2:$D$41,3)," ")</f>
        <v xml:space="preserve"> </v>
      </c>
      <c r="R480" s="42" t="str">
        <f>IFERROR(VLOOKUP($J480,'Project Reference'!$B$2:$E$41,4)," ")</f>
        <v xml:space="preserve"> </v>
      </c>
      <c r="S480" s="42" t="str">
        <f>IFERROR(VLOOKUP($J480,'Project Reference'!$B$2:$F$41,5,FALSE)," ")</f>
        <v xml:space="preserve"> </v>
      </c>
      <c r="T480" s="42" t="str">
        <f>IFERROR(VLOOKUP($J480,'Project Reference'!$B$2:$G$41,6,FALSE)," ")</f>
        <v xml:space="preserve"> </v>
      </c>
      <c r="U480" s="42" t="str">
        <f>IFERROR(VLOOKUP($J480,'Project Reference'!$B$2:$H$41,7,FALSE)," ")</f>
        <v xml:space="preserve"> </v>
      </c>
      <c r="V480" s="42" t="str">
        <f>IFERROR(VLOOKUP($J480,'Project Reference'!$B$2:$I$41,8,FALSE)," ")</f>
        <v xml:space="preserve"> </v>
      </c>
      <c r="W480" s="42" t="str">
        <f>IFERROR(VLOOKUP($J480,'Project Reference'!$B$2:$J$41,9,FALSE)," ")</f>
        <v xml:space="preserve"> </v>
      </c>
      <c r="X480" s="42" t="str">
        <f>IFERROR(VLOOKUP($J480,'Project Reference'!$B$2:$K$41,10)," ")</f>
        <v xml:space="preserve"> </v>
      </c>
      <c r="Y480" s="42" t="str">
        <f>IFERROR(VLOOKUP($J480,'Project Reference'!$B$2:$L$41,11)," ")</f>
        <v xml:space="preserve"> </v>
      </c>
      <c r="Z480" s="42" t="str">
        <f>IFERROR(VLOOKUP($J480,'Project Reference'!$B$2:$M$41,12)," ")</f>
        <v xml:space="preserve"> </v>
      </c>
      <c r="AA480" s="42" t="str">
        <f>IFERROR(VLOOKUP($J480,'Project Reference'!$B$2:$N$41,13)," ")</f>
        <v xml:space="preserve"> </v>
      </c>
    </row>
    <row r="481" spans="1:27" s="1" customFormat="1" x14ac:dyDescent="0.45">
      <c r="A481" s="43"/>
      <c r="B481" s="205"/>
      <c r="C481"/>
      <c r="D481" s="72"/>
      <c r="E481" s="72"/>
      <c r="F481" s="72"/>
      <c r="G481" s="72"/>
      <c r="H481" s="17"/>
      <c r="I481" s="41" t="str" cm="1">
        <f t="array" ref="I481">IFERROR(_xlfn.IFS(H481="Hard (Cash)","N/A",H481="Soft (In-Kind)", "Enter Source"),"Select Type")</f>
        <v>Select Type</v>
      </c>
      <c r="J481" s="124"/>
      <c r="K481" s="41" t="str">
        <f>IFERROR(VLOOKUP($J481,'Project Reference'!$S$2:$T$41,2),"Enter Project Number")</f>
        <v>Enter Project Number</v>
      </c>
      <c r="L481" s="41"/>
      <c r="M481" s="41"/>
      <c r="N481" s="15">
        <f t="shared" si="7"/>
        <v>0</v>
      </c>
      <c r="O481" s="19"/>
      <c r="P481" s="42" t="str">
        <f>IFERROR(VLOOKUP($J481,'Project Reference'!$B$2:$C$41,2)," ")</f>
        <v xml:space="preserve"> </v>
      </c>
      <c r="Q481" s="42" t="str">
        <f>IFERROR(VLOOKUP($J481,'Project Reference'!$B$2:$D$41,3)," ")</f>
        <v xml:space="preserve"> </v>
      </c>
      <c r="R481" s="42" t="str">
        <f>IFERROR(VLOOKUP($J481,'Project Reference'!$B$2:$E$41,4)," ")</f>
        <v xml:space="preserve"> </v>
      </c>
      <c r="S481" s="42" t="str">
        <f>IFERROR(VLOOKUP($J481,'Project Reference'!$B$2:$F$41,5,FALSE)," ")</f>
        <v xml:space="preserve"> </v>
      </c>
      <c r="T481" s="42" t="str">
        <f>IFERROR(VLOOKUP($J481,'Project Reference'!$B$2:$G$41,6,FALSE)," ")</f>
        <v xml:space="preserve"> </v>
      </c>
      <c r="U481" s="42" t="str">
        <f>IFERROR(VLOOKUP($J481,'Project Reference'!$B$2:$H$41,7,FALSE)," ")</f>
        <v xml:space="preserve"> </v>
      </c>
      <c r="V481" s="42" t="str">
        <f>IFERROR(VLOOKUP($J481,'Project Reference'!$B$2:$I$41,8,FALSE)," ")</f>
        <v xml:space="preserve"> </v>
      </c>
      <c r="W481" s="42" t="str">
        <f>IFERROR(VLOOKUP($J481,'Project Reference'!$B$2:$J$41,9,FALSE)," ")</f>
        <v xml:space="preserve"> </v>
      </c>
      <c r="X481" s="42" t="str">
        <f>IFERROR(VLOOKUP($J481,'Project Reference'!$B$2:$K$41,10)," ")</f>
        <v xml:space="preserve"> </v>
      </c>
      <c r="Y481" s="42" t="str">
        <f>IFERROR(VLOOKUP($J481,'Project Reference'!$B$2:$L$41,11)," ")</f>
        <v xml:space="preserve"> </v>
      </c>
      <c r="Z481" s="42" t="str">
        <f>IFERROR(VLOOKUP($J481,'Project Reference'!$B$2:$M$41,12)," ")</f>
        <v xml:space="preserve"> </v>
      </c>
      <c r="AA481" s="42" t="str">
        <f>IFERROR(VLOOKUP($J481,'Project Reference'!$B$2:$N$41,13)," ")</f>
        <v xml:space="preserve"> </v>
      </c>
    </row>
    <row r="482" spans="1:27" s="1" customFormat="1" x14ac:dyDescent="0.45">
      <c r="A482" s="43"/>
      <c r="B482" s="205"/>
      <c r="C482"/>
      <c r="D482" s="72"/>
      <c r="E482" s="72"/>
      <c r="F482" s="72"/>
      <c r="G482" s="72"/>
      <c r="H482" s="17"/>
      <c r="I482" s="41" t="str" cm="1">
        <f t="array" ref="I482">IFERROR(_xlfn.IFS(H482="Hard (Cash)","N/A",H482="Soft (In-Kind)", "Enter Source"),"Select Type")</f>
        <v>Select Type</v>
      </c>
      <c r="J482" s="124"/>
      <c r="K482" s="41" t="str">
        <f>IFERROR(VLOOKUP($J482,'Project Reference'!$S$2:$T$41,2),"Enter Project Number")</f>
        <v>Enter Project Number</v>
      </c>
      <c r="L482" s="41"/>
      <c r="M482" s="41"/>
      <c r="N482" s="15">
        <f t="shared" si="7"/>
        <v>0</v>
      </c>
      <c r="O482" s="19"/>
      <c r="P482" s="42" t="str">
        <f>IFERROR(VLOOKUP($J482,'Project Reference'!$B$2:$C$41,2)," ")</f>
        <v xml:space="preserve"> </v>
      </c>
      <c r="Q482" s="42" t="str">
        <f>IFERROR(VLOOKUP($J482,'Project Reference'!$B$2:$D$41,3)," ")</f>
        <v xml:space="preserve"> </v>
      </c>
      <c r="R482" s="42" t="str">
        <f>IFERROR(VLOOKUP($J482,'Project Reference'!$B$2:$E$41,4)," ")</f>
        <v xml:space="preserve"> </v>
      </c>
      <c r="S482" s="42" t="str">
        <f>IFERROR(VLOOKUP($J482,'Project Reference'!$B$2:$F$41,5,FALSE)," ")</f>
        <v xml:space="preserve"> </v>
      </c>
      <c r="T482" s="42" t="str">
        <f>IFERROR(VLOOKUP($J482,'Project Reference'!$B$2:$G$41,6,FALSE)," ")</f>
        <v xml:space="preserve"> </v>
      </c>
      <c r="U482" s="42" t="str">
        <f>IFERROR(VLOOKUP($J482,'Project Reference'!$B$2:$H$41,7,FALSE)," ")</f>
        <v xml:space="preserve"> </v>
      </c>
      <c r="V482" s="42" t="str">
        <f>IFERROR(VLOOKUP($J482,'Project Reference'!$B$2:$I$41,8,FALSE)," ")</f>
        <v xml:space="preserve"> </v>
      </c>
      <c r="W482" s="42" t="str">
        <f>IFERROR(VLOOKUP($J482,'Project Reference'!$B$2:$J$41,9,FALSE)," ")</f>
        <v xml:space="preserve"> </v>
      </c>
      <c r="X482" s="42" t="str">
        <f>IFERROR(VLOOKUP($J482,'Project Reference'!$B$2:$K$41,10)," ")</f>
        <v xml:space="preserve"> </v>
      </c>
      <c r="Y482" s="42" t="str">
        <f>IFERROR(VLOOKUP($J482,'Project Reference'!$B$2:$L$41,11)," ")</f>
        <v xml:space="preserve"> </v>
      </c>
      <c r="Z482" s="42" t="str">
        <f>IFERROR(VLOOKUP($J482,'Project Reference'!$B$2:$M$41,12)," ")</f>
        <v xml:space="preserve"> </v>
      </c>
      <c r="AA482" s="42" t="str">
        <f>IFERROR(VLOOKUP($J482,'Project Reference'!$B$2:$N$41,13)," ")</f>
        <v xml:space="preserve"> </v>
      </c>
    </row>
    <row r="483" spans="1:27" s="1" customFormat="1" x14ac:dyDescent="0.45">
      <c r="A483" s="43"/>
      <c r="B483" s="205"/>
      <c r="C483"/>
      <c r="D483" s="72"/>
      <c r="E483" s="72"/>
      <c r="F483" s="72"/>
      <c r="G483" s="72"/>
      <c r="H483" s="17"/>
      <c r="I483" s="41" t="str" cm="1">
        <f t="array" ref="I483">IFERROR(_xlfn.IFS(H483="Hard (Cash)","N/A",H483="Soft (In-Kind)", "Enter Source"),"Select Type")</f>
        <v>Select Type</v>
      </c>
      <c r="J483" s="124"/>
      <c r="K483" s="41" t="str">
        <f>IFERROR(VLOOKUP($J483,'Project Reference'!$S$2:$T$41,2),"Enter Project Number")</f>
        <v>Enter Project Number</v>
      </c>
      <c r="L483" s="41"/>
      <c r="M483" s="41"/>
      <c r="N483" s="15">
        <f t="shared" si="7"/>
        <v>0</v>
      </c>
      <c r="O483" s="19"/>
      <c r="P483" s="42" t="str">
        <f>IFERROR(VLOOKUP($J483,'Project Reference'!$B$2:$C$41,2)," ")</f>
        <v xml:space="preserve"> </v>
      </c>
      <c r="Q483" s="42" t="str">
        <f>IFERROR(VLOOKUP($J483,'Project Reference'!$B$2:$D$41,3)," ")</f>
        <v xml:space="preserve"> </v>
      </c>
      <c r="R483" s="42" t="str">
        <f>IFERROR(VLOOKUP($J483,'Project Reference'!$B$2:$E$41,4)," ")</f>
        <v xml:space="preserve"> </v>
      </c>
      <c r="S483" s="42" t="str">
        <f>IFERROR(VLOOKUP($J483,'Project Reference'!$B$2:$F$41,5,FALSE)," ")</f>
        <v xml:space="preserve"> </v>
      </c>
      <c r="T483" s="42" t="str">
        <f>IFERROR(VLOOKUP($J483,'Project Reference'!$B$2:$G$41,6,FALSE)," ")</f>
        <v xml:space="preserve"> </v>
      </c>
      <c r="U483" s="42" t="str">
        <f>IFERROR(VLOOKUP($J483,'Project Reference'!$B$2:$H$41,7,FALSE)," ")</f>
        <v xml:space="preserve"> </v>
      </c>
      <c r="V483" s="42" t="str">
        <f>IFERROR(VLOOKUP($J483,'Project Reference'!$B$2:$I$41,8,FALSE)," ")</f>
        <v xml:space="preserve"> </v>
      </c>
      <c r="W483" s="42" t="str">
        <f>IFERROR(VLOOKUP($J483,'Project Reference'!$B$2:$J$41,9,FALSE)," ")</f>
        <v xml:space="preserve"> </v>
      </c>
      <c r="X483" s="42" t="str">
        <f>IFERROR(VLOOKUP($J483,'Project Reference'!$B$2:$K$41,10)," ")</f>
        <v xml:space="preserve"> </v>
      </c>
      <c r="Y483" s="42" t="str">
        <f>IFERROR(VLOOKUP($J483,'Project Reference'!$B$2:$L$41,11)," ")</f>
        <v xml:space="preserve"> </v>
      </c>
      <c r="Z483" s="42" t="str">
        <f>IFERROR(VLOOKUP($J483,'Project Reference'!$B$2:$M$41,12)," ")</f>
        <v xml:space="preserve"> </v>
      </c>
      <c r="AA483" s="42" t="str">
        <f>IFERROR(VLOOKUP($J483,'Project Reference'!$B$2:$N$41,13)," ")</f>
        <v xml:space="preserve"> </v>
      </c>
    </row>
    <row r="484" spans="1:27" s="1" customFormat="1" x14ac:dyDescent="0.45">
      <c r="A484" s="43"/>
      <c r="B484" s="205"/>
      <c r="C484"/>
      <c r="D484" s="72"/>
      <c r="E484" s="72"/>
      <c r="F484" s="72"/>
      <c r="G484" s="72"/>
      <c r="H484" s="17"/>
      <c r="I484" s="41" t="str" cm="1">
        <f t="array" ref="I484">IFERROR(_xlfn.IFS(H484="Hard (Cash)","N/A",H484="Soft (In-Kind)", "Enter Source"),"Select Type")</f>
        <v>Select Type</v>
      </c>
      <c r="J484" s="124"/>
      <c r="K484" s="41" t="str">
        <f>IFERROR(VLOOKUP($J484,'Project Reference'!$S$2:$T$41,2),"Enter Project Number")</f>
        <v>Enter Project Number</v>
      </c>
      <c r="L484" s="41"/>
      <c r="M484" s="41"/>
      <c r="N484" s="15">
        <f t="shared" si="7"/>
        <v>0</v>
      </c>
      <c r="O484" s="19"/>
      <c r="P484" s="42" t="str">
        <f>IFERROR(VLOOKUP($J484,'Project Reference'!$B$2:$C$41,2)," ")</f>
        <v xml:space="preserve"> </v>
      </c>
      <c r="Q484" s="42" t="str">
        <f>IFERROR(VLOOKUP($J484,'Project Reference'!$B$2:$D$41,3)," ")</f>
        <v xml:space="preserve"> </v>
      </c>
      <c r="R484" s="42" t="str">
        <f>IFERROR(VLOOKUP($J484,'Project Reference'!$B$2:$E$41,4)," ")</f>
        <v xml:space="preserve"> </v>
      </c>
      <c r="S484" s="42" t="str">
        <f>IFERROR(VLOOKUP($J484,'Project Reference'!$B$2:$F$41,5,FALSE)," ")</f>
        <v xml:space="preserve"> </v>
      </c>
      <c r="T484" s="42" t="str">
        <f>IFERROR(VLOOKUP($J484,'Project Reference'!$B$2:$G$41,6,FALSE)," ")</f>
        <v xml:space="preserve"> </v>
      </c>
      <c r="U484" s="42" t="str">
        <f>IFERROR(VLOOKUP($J484,'Project Reference'!$B$2:$H$41,7,FALSE)," ")</f>
        <v xml:space="preserve"> </v>
      </c>
      <c r="V484" s="42" t="str">
        <f>IFERROR(VLOOKUP($J484,'Project Reference'!$B$2:$I$41,8,FALSE)," ")</f>
        <v xml:space="preserve"> </v>
      </c>
      <c r="W484" s="42" t="str">
        <f>IFERROR(VLOOKUP($J484,'Project Reference'!$B$2:$J$41,9,FALSE)," ")</f>
        <v xml:space="preserve"> </v>
      </c>
      <c r="X484" s="42" t="str">
        <f>IFERROR(VLOOKUP($J484,'Project Reference'!$B$2:$K$41,10)," ")</f>
        <v xml:space="preserve"> </v>
      </c>
      <c r="Y484" s="42" t="str">
        <f>IFERROR(VLOOKUP($J484,'Project Reference'!$B$2:$L$41,11)," ")</f>
        <v xml:space="preserve"> </v>
      </c>
      <c r="Z484" s="42" t="str">
        <f>IFERROR(VLOOKUP($J484,'Project Reference'!$B$2:$M$41,12)," ")</f>
        <v xml:space="preserve"> </v>
      </c>
      <c r="AA484" s="42" t="str">
        <f>IFERROR(VLOOKUP($J484,'Project Reference'!$B$2:$N$41,13)," ")</f>
        <v xml:space="preserve"> </v>
      </c>
    </row>
    <row r="485" spans="1:27" s="1" customFormat="1" x14ac:dyDescent="0.45">
      <c r="A485" s="43"/>
      <c r="B485" s="205"/>
      <c r="C485"/>
      <c r="D485" s="72"/>
      <c r="E485" s="72"/>
      <c r="F485" s="72"/>
      <c r="G485" s="72"/>
      <c r="H485" s="17"/>
      <c r="I485" s="41" t="str" cm="1">
        <f t="array" ref="I485">IFERROR(_xlfn.IFS(H485="Hard (Cash)","N/A",H485="Soft (In-Kind)", "Enter Source"),"Select Type")</f>
        <v>Select Type</v>
      </c>
      <c r="J485" s="124"/>
      <c r="K485" s="41" t="str">
        <f>IFERROR(VLOOKUP($J485,'Project Reference'!$S$2:$T$41,2),"Enter Project Number")</f>
        <v>Enter Project Number</v>
      </c>
      <c r="L485" s="41"/>
      <c r="M485" s="41"/>
      <c r="N485" s="15">
        <f t="shared" si="7"/>
        <v>0</v>
      </c>
      <c r="O485" s="19"/>
      <c r="P485" s="42" t="str">
        <f>IFERROR(VLOOKUP($J485,'Project Reference'!$B$2:$C$41,2)," ")</f>
        <v xml:space="preserve"> </v>
      </c>
      <c r="Q485" s="42" t="str">
        <f>IFERROR(VLOOKUP($J485,'Project Reference'!$B$2:$D$41,3)," ")</f>
        <v xml:space="preserve"> </v>
      </c>
      <c r="R485" s="42" t="str">
        <f>IFERROR(VLOOKUP($J485,'Project Reference'!$B$2:$E$41,4)," ")</f>
        <v xml:space="preserve"> </v>
      </c>
      <c r="S485" s="42" t="str">
        <f>IFERROR(VLOOKUP($J485,'Project Reference'!$B$2:$F$41,5,FALSE)," ")</f>
        <v xml:space="preserve"> </v>
      </c>
      <c r="T485" s="42" t="str">
        <f>IFERROR(VLOOKUP($J485,'Project Reference'!$B$2:$G$41,6,FALSE)," ")</f>
        <v xml:space="preserve"> </v>
      </c>
      <c r="U485" s="42" t="str">
        <f>IFERROR(VLOOKUP($J485,'Project Reference'!$B$2:$H$41,7,FALSE)," ")</f>
        <v xml:space="preserve"> </v>
      </c>
      <c r="V485" s="42" t="str">
        <f>IFERROR(VLOOKUP($J485,'Project Reference'!$B$2:$I$41,8,FALSE)," ")</f>
        <v xml:space="preserve"> </v>
      </c>
      <c r="W485" s="42" t="str">
        <f>IFERROR(VLOOKUP($J485,'Project Reference'!$B$2:$J$41,9,FALSE)," ")</f>
        <v xml:space="preserve"> </v>
      </c>
      <c r="X485" s="42" t="str">
        <f>IFERROR(VLOOKUP($J485,'Project Reference'!$B$2:$K$41,10)," ")</f>
        <v xml:space="preserve"> </v>
      </c>
      <c r="Y485" s="42" t="str">
        <f>IFERROR(VLOOKUP($J485,'Project Reference'!$B$2:$L$41,11)," ")</f>
        <v xml:space="preserve"> </v>
      </c>
      <c r="Z485" s="42" t="str">
        <f>IFERROR(VLOOKUP($J485,'Project Reference'!$B$2:$M$41,12)," ")</f>
        <v xml:space="preserve"> </v>
      </c>
      <c r="AA485" s="42" t="str">
        <f>IFERROR(VLOOKUP($J485,'Project Reference'!$B$2:$N$41,13)," ")</f>
        <v xml:space="preserve"> </v>
      </c>
    </row>
    <row r="486" spans="1:27" s="1" customFormat="1" x14ac:dyDescent="0.45">
      <c r="A486" s="43"/>
      <c r="B486" s="205"/>
      <c r="C486"/>
      <c r="D486" s="72"/>
      <c r="E486" s="72"/>
      <c r="F486" s="72"/>
      <c r="G486" s="72"/>
      <c r="H486" s="17"/>
      <c r="I486" s="41" t="str" cm="1">
        <f t="array" ref="I486">IFERROR(_xlfn.IFS(H486="Hard (Cash)","N/A",H486="Soft (In-Kind)", "Enter Source"),"Select Type")</f>
        <v>Select Type</v>
      </c>
      <c r="J486" s="124"/>
      <c r="K486" s="41" t="str">
        <f>IFERROR(VLOOKUP($J486,'Project Reference'!$S$2:$T$41,2),"Enter Project Number")</f>
        <v>Enter Project Number</v>
      </c>
      <c r="L486" s="41"/>
      <c r="M486" s="41"/>
      <c r="N486" s="15">
        <f t="shared" si="7"/>
        <v>0</v>
      </c>
      <c r="O486" s="19"/>
      <c r="P486" s="42" t="str">
        <f>IFERROR(VLOOKUP($J486,'Project Reference'!$B$2:$C$41,2)," ")</f>
        <v xml:space="preserve"> </v>
      </c>
      <c r="Q486" s="42" t="str">
        <f>IFERROR(VLOOKUP($J486,'Project Reference'!$B$2:$D$41,3)," ")</f>
        <v xml:space="preserve"> </v>
      </c>
      <c r="R486" s="42" t="str">
        <f>IFERROR(VLOOKUP($J486,'Project Reference'!$B$2:$E$41,4)," ")</f>
        <v xml:space="preserve"> </v>
      </c>
      <c r="S486" s="42" t="str">
        <f>IFERROR(VLOOKUP($J486,'Project Reference'!$B$2:$F$41,5,FALSE)," ")</f>
        <v xml:space="preserve"> </v>
      </c>
      <c r="T486" s="42" t="str">
        <f>IFERROR(VLOOKUP($J486,'Project Reference'!$B$2:$G$41,6,FALSE)," ")</f>
        <v xml:space="preserve"> </v>
      </c>
      <c r="U486" s="42" t="str">
        <f>IFERROR(VLOOKUP($J486,'Project Reference'!$B$2:$H$41,7,FALSE)," ")</f>
        <v xml:space="preserve"> </v>
      </c>
      <c r="V486" s="42" t="str">
        <f>IFERROR(VLOOKUP($J486,'Project Reference'!$B$2:$I$41,8,FALSE)," ")</f>
        <v xml:space="preserve"> </v>
      </c>
      <c r="W486" s="42" t="str">
        <f>IFERROR(VLOOKUP($J486,'Project Reference'!$B$2:$J$41,9,FALSE)," ")</f>
        <v xml:space="preserve"> </v>
      </c>
      <c r="X486" s="42" t="str">
        <f>IFERROR(VLOOKUP($J486,'Project Reference'!$B$2:$K$41,10)," ")</f>
        <v xml:space="preserve"> </v>
      </c>
      <c r="Y486" s="42" t="str">
        <f>IFERROR(VLOOKUP($J486,'Project Reference'!$B$2:$L$41,11)," ")</f>
        <v xml:space="preserve"> </v>
      </c>
      <c r="Z486" s="42" t="str">
        <f>IFERROR(VLOOKUP($J486,'Project Reference'!$B$2:$M$41,12)," ")</f>
        <v xml:space="preserve"> </v>
      </c>
      <c r="AA486" s="42" t="str">
        <f>IFERROR(VLOOKUP($J486,'Project Reference'!$B$2:$N$41,13)," ")</f>
        <v xml:space="preserve"> </v>
      </c>
    </row>
    <row r="487" spans="1:27" s="1" customFormat="1" x14ac:dyDescent="0.45">
      <c r="A487" s="43"/>
      <c r="B487" s="205"/>
      <c r="C487"/>
      <c r="D487" s="72"/>
      <c r="E487" s="72"/>
      <c r="F487" s="72"/>
      <c r="G487" s="72"/>
      <c r="H487" s="17"/>
      <c r="I487" s="41" t="str" cm="1">
        <f t="array" ref="I487">IFERROR(_xlfn.IFS(H487="Hard (Cash)","N/A",H487="Soft (In-Kind)", "Enter Source"),"Select Type")</f>
        <v>Select Type</v>
      </c>
      <c r="J487" s="124"/>
      <c r="K487" s="41" t="str">
        <f>IFERROR(VLOOKUP($J487,'Project Reference'!$S$2:$T$41,2),"Enter Project Number")</f>
        <v>Enter Project Number</v>
      </c>
      <c r="L487" s="41"/>
      <c r="M487" s="41"/>
      <c r="N487" s="15">
        <f t="shared" si="7"/>
        <v>0</v>
      </c>
      <c r="O487" s="19"/>
      <c r="P487" s="42" t="str">
        <f>IFERROR(VLOOKUP($J487,'Project Reference'!$B$2:$C$41,2)," ")</f>
        <v xml:space="preserve"> </v>
      </c>
      <c r="Q487" s="42" t="str">
        <f>IFERROR(VLOOKUP($J487,'Project Reference'!$B$2:$D$41,3)," ")</f>
        <v xml:space="preserve"> </v>
      </c>
      <c r="R487" s="42" t="str">
        <f>IFERROR(VLOOKUP($J487,'Project Reference'!$B$2:$E$41,4)," ")</f>
        <v xml:space="preserve"> </v>
      </c>
      <c r="S487" s="42" t="str">
        <f>IFERROR(VLOOKUP($J487,'Project Reference'!$B$2:$F$41,5,FALSE)," ")</f>
        <v xml:space="preserve"> </v>
      </c>
      <c r="T487" s="42" t="str">
        <f>IFERROR(VLOOKUP($J487,'Project Reference'!$B$2:$G$41,6,FALSE)," ")</f>
        <v xml:space="preserve"> </v>
      </c>
      <c r="U487" s="42" t="str">
        <f>IFERROR(VLOOKUP($J487,'Project Reference'!$B$2:$H$41,7,FALSE)," ")</f>
        <v xml:space="preserve"> </v>
      </c>
      <c r="V487" s="42" t="str">
        <f>IFERROR(VLOOKUP($J487,'Project Reference'!$B$2:$I$41,8,FALSE)," ")</f>
        <v xml:space="preserve"> </v>
      </c>
      <c r="W487" s="42" t="str">
        <f>IFERROR(VLOOKUP($J487,'Project Reference'!$B$2:$J$41,9,FALSE)," ")</f>
        <v xml:space="preserve"> </v>
      </c>
      <c r="X487" s="42" t="str">
        <f>IFERROR(VLOOKUP($J487,'Project Reference'!$B$2:$K$41,10)," ")</f>
        <v xml:space="preserve"> </v>
      </c>
      <c r="Y487" s="42" t="str">
        <f>IFERROR(VLOOKUP($J487,'Project Reference'!$B$2:$L$41,11)," ")</f>
        <v xml:space="preserve"> </v>
      </c>
      <c r="Z487" s="42" t="str">
        <f>IFERROR(VLOOKUP($J487,'Project Reference'!$B$2:$M$41,12)," ")</f>
        <v xml:space="preserve"> </v>
      </c>
      <c r="AA487" s="42" t="str">
        <f>IFERROR(VLOOKUP($J487,'Project Reference'!$B$2:$N$41,13)," ")</f>
        <v xml:space="preserve"> </v>
      </c>
    </row>
    <row r="488" spans="1:27" s="1" customFormat="1" x14ac:dyDescent="0.45">
      <c r="A488" s="43"/>
      <c r="B488" s="205"/>
      <c r="C488"/>
      <c r="D488" s="72"/>
      <c r="E488" s="72"/>
      <c r="F488" s="72"/>
      <c r="G488" s="72"/>
      <c r="H488" s="17"/>
      <c r="I488" s="41" t="str" cm="1">
        <f t="array" ref="I488">IFERROR(_xlfn.IFS(H488="Hard (Cash)","N/A",H488="Soft (In-Kind)", "Enter Source"),"Select Type")</f>
        <v>Select Type</v>
      </c>
      <c r="J488" s="124"/>
      <c r="K488" s="41" t="str">
        <f>IFERROR(VLOOKUP($J488,'Project Reference'!$S$2:$T$41,2),"Enter Project Number")</f>
        <v>Enter Project Number</v>
      </c>
      <c r="L488" s="41"/>
      <c r="M488" s="41"/>
      <c r="N488" s="15">
        <f t="shared" si="7"/>
        <v>0</v>
      </c>
      <c r="O488" s="19"/>
      <c r="P488" s="42" t="str">
        <f>IFERROR(VLOOKUP($J488,'Project Reference'!$B$2:$C$41,2)," ")</f>
        <v xml:space="preserve"> </v>
      </c>
      <c r="Q488" s="42" t="str">
        <f>IFERROR(VLOOKUP($J488,'Project Reference'!$B$2:$D$41,3)," ")</f>
        <v xml:space="preserve"> </v>
      </c>
      <c r="R488" s="42" t="str">
        <f>IFERROR(VLOOKUP($J488,'Project Reference'!$B$2:$E$41,4)," ")</f>
        <v xml:space="preserve"> </v>
      </c>
      <c r="S488" s="42" t="str">
        <f>IFERROR(VLOOKUP($J488,'Project Reference'!$B$2:$F$41,5,FALSE)," ")</f>
        <v xml:space="preserve"> </v>
      </c>
      <c r="T488" s="42" t="str">
        <f>IFERROR(VLOOKUP($J488,'Project Reference'!$B$2:$G$41,6,FALSE)," ")</f>
        <v xml:space="preserve"> </v>
      </c>
      <c r="U488" s="42" t="str">
        <f>IFERROR(VLOOKUP($J488,'Project Reference'!$B$2:$H$41,7,FALSE)," ")</f>
        <v xml:space="preserve"> </v>
      </c>
      <c r="V488" s="42" t="str">
        <f>IFERROR(VLOOKUP($J488,'Project Reference'!$B$2:$I$41,8,FALSE)," ")</f>
        <v xml:space="preserve"> </v>
      </c>
      <c r="W488" s="42" t="str">
        <f>IFERROR(VLOOKUP($J488,'Project Reference'!$B$2:$J$41,9,FALSE)," ")</f>
        <v xml:space="preserve"> </v>
      </c>
      <c r="X488" s="42" t="str">
        <f>IFERROR(VLOOKUP($J488,'Project Reference'!$B$2:$K$41,10)," ")</f>
        <v xml:space="preserve"> </v>
      </c>
      <c r="Y488" s="42" t="str">
        <f>IFERROR(VLOOKUP($J488,'Project Reference'!$B$2:$L$41,11)," ")</f>
        <v xml:space="preserve"> </v>
      </c>
      <c r="Z488" s="42" t="str">
        <f>IFERROR(VLOOKUP($J488,'Project Reference'!$B$2:$M$41,12)," ")</f>
        <v xml:space="preserve"> </v>
      </c>
      <c r="AA488" s="42" t="str">
        <f>IFERROR(VLOOKUP($J488,'Project Reference'!$B$2:$N$41,13)," ")</f>
        <v xml:space="preserve"> </v>
      </c>
    </row>
    <row r="489" spans="1:27" s="1" customFormat="1" x14ac:dyDescent="0.45">
      <c r="A489" s="43"/>
      <c r="B489" s="205"/>
      <c r="C489"/>
      <c r="D489" s="72"/>
      <c r="E489" s="72"/>
      <c r="F489" s="72"/>
      <c r="G489" s="72"/>
      <c r="H489" s="17"/>
      <c r="I489" s="41" t="str" cm="1">
        <f t="array" ref="I489">IFERROR(_xlfn.IFS(H489="Hard (Cash)","N/A",H489="Soft (In-Kind)", "Enter Source"),"Select Type")</f>
        <v>Select Type</v>
      </c>
      <c r="J489" s="124"/>
      <c r="K489" s="41" t="str">
        <f>IFERROR(VLOOKUP($J489,'Project Reference'!$S$2:$T$41,2),"Enter Project Number")</f>
        <v>Enter Project Number</v>
      </c>
      <c r="L489" s="41"/>
      <c r="M489" s="41"/>
      <c r="N489" s="15">
        <f t="shared" si="7"/>
        <v>0</v>
      </c>
      <c r="O489" s="19"/>
      <c r="P489" s="42" t="str">
        <f>IFERROR(VLOOKUP($J489,'Project Reference'!$B$2:$C$41,2)," ")</f>
        <v xml:space="preserve"> </v>
      </c>
      <c r="Q489" s="42" t="str">
        <f>IFERROR(VLOOKUP($J489,'Project Reference'!$B$2:$D$41,3)," ")</f>
        <v xml:space="preserve"> </v>
      </c>
      <c r="R489" s="42" t="str">
        <f>IFERROR(VLOOKUP($J489,'Project Reference'!$B$2:$E$41,4)," ")</f>
        <v xml:space="preserve"> </v>
      </c>
      <c r="S489" s="42" t="str">
        <f>IFERROR(VLOOKUP($J489,'Project Reference'!$B$2:$F$41,5,FALSE)," ")</f>
        <v xml:space="preserve"> </v>
      </c>
      <c r="T489" s="42" t="str">
        <f>IFERROR(VLOOKUP($J489,'Project Reference'!$B$2:$G$41,6,FALSE)," ")</f>
        <v xml:space="preserve"> </v>
      </c>
      <c r="U489" s="42" t="str">
        <f>IFERROR(VLOOKUP($J489,'Project Reference'!$B$2:$H$41,7,FALSE)," ")</f>
        <v xml:space="preserve"> </v>
      </c>
      <c r="V489" s="42" t="str">
        <f>IFERROR(VLOOKUP($J489,'Project Reference'!$B$2:$I$41,8,FALSE)," ")</f>
        <v xml:space="preserve"> </v>
      </c>
      <c r="W489" s="42" t="str">
        <f>IFERROR(VLOOKUP($J489,'Project Reference'!$B$2:$J$41,9,FALSE)," ")</f>
        <v xml:space="preserve"> </v>
      </c>
      <c r="X489" s="42" t="str">
        <f>IFERROR(VLOOKUP($J489,'Project Reference'!$B$2:$K$41,10)," ")</f>
        <v xml:space="preserve"> </v>
      </c>
      <c r="Y489" s="42" t="str">
        <f>IFERROR(VLOOKUP($J489,'Project Reference'!$B$2:$L$41,11)," ")</f>
        <v xml:space="preserve"> </v>
      </c>
      <c r="Z489" s="42" t="str">
        <f>IFERROR(VLOOKUP($J489,'Project Reference'!$B$2:$M$41,12)," ")</f>
        <v xml:space="preserve"> </v>
      </c>
      <c r="AA489" s="42" t="str">
        <f>IFERROR(VLOOKUP($J489,'Project Reference'!$B$2:$N$41,13)," ")</f>
        <v xml:space="preserve"> </v>
      </c>
    </row>
    <row r="490" spans="1:27" s="1" customFormat="1" x14ac:dyDescent="0.45">
      <c r="A490" s="43"/>
      <c r="B490" s="205"/>
      <c r="C490"/>
      <c r="D490" s="72"/>
      <c r="E490" s="72"/>
      <c r="F490" s="72"/>
      <c r="G490" s="72"/>
      <c r="H490" s="17"/>
      <c r="I490" s="41" t="str" cm="1">
        <f t="array" ref="I490">IFERROR(_xlfn.IFS(H490="Hard (Cash)","N/A",H490="Soft (In-Kind)", "Enter Source"),"Select Type")</f>
        <v>Select Type</v>
      </c>
      <c r="J490" s="124"/>
      <c r="K490" s="41" t="str">
        <f>IFERROR(VLOOKUP($J490,'Project Reference'!$S$2:$T$41,2),"Enter Project Number")</f>
        <v>Enter Project Number</v>
      </c>
      <c r="L490" s="41"/>
      <c r="M490" s="41"/>
      <c r="N490" s="15">
        <f t="shared" si="7"/>
        <v>0</v>
      </c>
      <c r="O490" s="19"/>
      <c r="P490" s="42" t="str">
        <f>IFERROR(VLOOKUP($J490,'Project Reference'!$B$2:$C$41,2)," ")</f>
        <v xml:space="preserve"> </v>
      </c>
      <c r="Q490" s="42" t="str">
        <f>IFERROR(VLOOKUP($J490,'Project Reference'!$B$2:$D$41,3)," ")</f>
        <v xml:space="preserve"> </v>
      </c>
      <c r="R490" s="42" t="str">
        <f>IFERROR(VLOOKUP($J490,'Project Reference'!$B$2:$E$41,4)," ")</f>
        <v xml:space="preserve"> </v>
      </c>
      <c r="S490" s="42" t="str">
        <f>IFERROR(VLOOKUP($J490,'Project Reference'!$B$2:$F$41,5,FALSE)," ")</f>
        <v xml:space="preserve"> </v>
      </c>
      <c r="T490" s="42" t="str">
        <f>IFERROR(VLOOKUP($J490,'Project Reference'!$B$2:$G$41,6,FALSE)," ")</f>
        <v xml:space="preserve"> </v>
      </c>
      <c r="U490" s="42" t="str">
        <f>IFERROR(VLOOKUP($J490,'Project Reference'!$B$2:$H$41,7,FALSE)," ")</f>
        <v xml:space="preserve"> </v>
      </c>
      <c r="V490" s="42" t="str">
        <f>IFERROR(VLOOKUP($J490,'Project Reference'!$B$2:$I$41,8,FALSE)," ")</f>
        <v xml:space="preserve"> </v>
      </c>
      <c r="W490" s="42" t="str">
        <f>IFERROR(VLOOKUP($J490,'Project Reference'!$B$2:$J$41,9,FALSE)," ")</f>
        <v xml:space="preserve"> </v>
      </c>
      <c r="X490" s="42" t="str">
        <f>IFERROR(VLOOKUP($J490,'Project Reference'!$B$2:$K$41,10)," ")</f>
        <v xml:space="preserve"> </v>
      </c>
      <c r="Y490" s="42" t="str">
        <f>IFERROR(VLOOKUP($J490,'Project Reference'!$B$2:$L$41,11)," ")</f>
        <v xml:space="preserve"> </v>
      </c>
      <c r="Z490" s="42" t="str">
        <f>IFERROR(VLOOKUP($J490,'Project Reference'!$B$2:$M$41,12)," ")</f>
        <v xml:space="preserve"> </v>
      </c>
      <c r="AA490" s="42" t="str">
        <f>IFERROR(VLOOKUP($J490,'Project Reference'!$B$2:$N$41,13)," ")</f>
        <v xml:space="preserve"> </v>
      </c>
    </row>
    <row r="491" spans="1:27" s="1" customFormat="1" x14ac:dyDescent="0.45">
      <c r="A491" s="43"/>
      <c r="B491" s="205"/>
      <c r="C491"/>
      <c r="D491" s="72"/>
      <c r="E491" s="72"/>
      <c r="F491" s="72"/>
      <c r="G491" s="72"/>
      <c r="H491" s="17"/>
      <c r="I491" s="41" t="str" cm="1">
        <f t="array" ref="I491">IFERROR(_xlfn.IFS(H491="Hard (Cash)","N/A",H491="Soft (In-Kind)", "Enter Source"),"Select Type")</f>
        <v>Select Type</v>
      </c>
      <c r="J491" s="124"/>
      <c r="K491" s="41" t="str">
        <f>IFERROR(VLOOKUP($J491,'Project Reference'!$S$2:$T$41,2),"Enter Project Number")</f>
        <v>Enter Project Number</v>
      </c>
      <c r="L491" s="41"/>
      <c r="M491" s="41"/>
      <c r="N491" s="15">
        <f t="shared" si="7"/>
        <v>0</v>
      </c>
      <c r="O491" s="19"/>
      <c r="P491" s="42" t="str">
        <f>IFERROR(VLOOKUP($J491,'Project Reference'!$B$2:$C$41,2)," ")</f>
        <v xml:space="preserve"> </v>
      </c>
      <c r="Q491" s="42" t="str">
        <f>IFERROR(VLOOKUP($J491,'Project Reference'!$B$2:$D$41,3)," ")</f>
        <v xml:space="preserve"> </v>
      </c>
      <c r="R491" s="42" t="str">
        <f>IFERROR(VLOOKUP($J491,'Project Reference'!$B$2:$E$41,4)," ")</f>
        <v xml:space="preserve"> </v>
      </c>
      <c r="S491" s="42" t="str">
        <f>IFERROR(VLOOKUP($J491,'Project Reference'!$B$2:$F$41,5,FALSE)," ")</f>
        <v xml:space="preserve"> </v>
      </c>
      <c r="T491" s="42" t="str">
        <f>IFERROR(VLOOKUP($J491,'Project Reference'!$B$2:$G$41,6,FALSE)," ")</f>
        <v xml:space="preserve"> </v>
      </c>
      <c r="U491" s="42" t="str">
        <f>IFERROR(VLOOKUP($J491,'Project Reference'!$B$2:$H$41,7,FALSE)," ")</f>
        <v xml:space="preserve"> </v>
      </c>
      <c r="V491" s="42" t="str">
        <f>IFERROR(VLOOKUP($J491,'Project Reference'!$B$2:$I$41,8,FALSE)," ")</f>
        <v xml:space="preserve"> </v>
      </c>
      <c r="W491" s="42" t="str">
        <f>IFERROR(VLOOKUP($J491,'Project Reference'!$B$2:$J$41,9,FALSE)," ")</f>
        <v xml:space="preserve"> </v>
      </c>
      <c r="X491" s="42" t="str">
        <f>IFERROR(VLOOKUP($J491,'Project Reference'!$B$2:$K$41,10)," ")</f>
        <v xml:space="preserve"> </v>
      </c>
      <c r="Y491" s="42" t="str">
        <f>IFERROR(VLOOKUP($J491,'Project Reference'!$B$2:$L$41,11)," ")</f>
        <v xml:space="preserve"> </v>
      </c>
      <c r="Z491" s="42" t="str">
        <f>IFERROR(VLOOKUP($J491,'Project Reference'!$B$2:$M$41,12)," ")</f>
        <v xml:space="preserve"> </v>
      </c>
      <c r="AA491" s="42" t="str">
        <f>IFERROR(VLOOKUP($J491,'Project Reference'!$B$2:$N$41,13)," ")</f>
        <v xml:space="preserve"> </v>
      </c>
    </row>
    <row r="492" spans="1:27" s="1" customFormat="1" x14ac:dyDescent="0.45">
      <c r="A492" s="43"/>
      <c r="B492" s="205"/>
      <c r="C492"/>
      <c r="D492" s="72"/>
      <c r="E492" s="72"/>
      <c r="F492" s="72"/>
      <c r="G492" s="72"/>
      <c r="H492" s="17"/>
      <c r="I492" s="41" t="str" cm="1">
        <f t="array" ref="I492">IFERROR(_xlfn.IFS(H492="Hard (Cash)","N/A",H492="Soft (In-Kind)", "Enter Source"),"Select Type")</f>
        <v>Select Type</v>
      </c>
      <c r="J492" s="124"/>
      <c r="K492" s="41" t="str">
        <f>IFERROR(VLOOKUP($J492,'Project Reference'!$S$2:$T$41,2),"Enter Project Number")</f>
        <v>Enter Project Number</v>
      </c>
      <c r="L492" s="41"/>
      <c r="M492" s="41"/>
      <c r="N492" s="15">
        <f t="shared" si="7"/>
        <v>0</v>
      </c>
      <c r="O492" s="19"/>
      <c r="P492" s="42" t="str">
        <f>IFERROR(VLOOKUP($J492,'Project Reference'!$B$2:$C$41,2)," ")</f>
        <v xml:space="preserve"> </v>
      </c>
      <c r="Q492" s="42" t="str">
        <f>IFERROR(VLOOKUP($J492,'Project Reference'!$B$2:$D$41,3)," ")</f>
        <v xml:space="preserve"> </v>
      </c>
      <c r="R492" s="42" t="str">
        <f>IFERROR(VLOOKUP($J492,'Project Reference'!$B$2:$E$41,4)," ")</f>
        <v xml:space="preserve"> </v>
      </c>
      <c r="S492" s="42" t="str">
        <f>IFERROR(VLOOKUP($J492,'Project Reference'!$B$2:$F$41,5,FALSE)," ")</f>
        <v xml:space="preserve"> </v>
      </c>
      <c r="T492" s="42" t="str">
        <f>IFERROR(VLOOKUP($J492,'Project Reference'!$B$2:$G$41,6,FALSE)," ")</f>
        <v xml:space="preserve"> </v>
      </c>
      <c r="U492" s="42" t="str">
        <f>IFERROR(VLOOKUP($J492,'Project Reference'!$B$2:$H$41,7,FALSE)," ")</f>
        <v xml:space="preserve"> </v>
      </c>
      <c r="V492" s="42" t="str">
        <f>IFERROR(VLOOKUP($J492,'Project Reference'!$B$2:$I$41,8,FALSE)," ")</f>
        <v xml:space="preserve"> </v>
      </c>
      <c r="W492" s="42" t="str">
        <f>IFERROR(VLOOKUP($J492,'Project Reference'!$B$2:$J$41,9,FALSE)," ")</f>
        <v xml:space="preserve"> </v>
      </c>
      <c r="X492" s="42" t="str">
        <f>IFERROR(VLOOKUP($J492,'Project Reference'!$B$2:$K$41,10)," ")</f>
        <v xml:space="preserve"> </v>
      </c>
      <c r="Y492" s="42" t="str">
        <f>IFERROR(VLOOKUP($J492,'Project Reference'!$B$2:$L$41,11)," ")</f>
        <v xml:space="preserve"> </v>
      </c>
      <c r="Z492" s="42" t="str">
        <f>IFERROR(VLOOKUP($J492,'Project Reference'!$B$2:$M$41,12)," ")</f>
        <v xml:space="preserve"> </v>
      </c>
      <c r="AA492" s="42" t="str">
        <f>IFERROR(VLOOKUP($J492,'Project Reference'!$B$2:$N$41,13)," ")</f>
        <v xml:space="preserve"> </v>
      </c>
    </row>
    <row r="493" spans="1:27" s="1" customFormat="1" x14ac:dyDescent="0.45">
      <c r="A493" s="43"/>
      <c r="B493" s="205"/>
      <c r="C493"/>
      <c r="D493" s="72"/>
      <c r="E493" s="72"/>
      <c r="F493" s="72"/>
      <c r="G493" s="72"/>
      <c r="H493" s="17"/>
      <c r="I493" s="41" t="str" cm="1">
        <f t="array" ref="I493">IFERROR(_xlfn.IFS(H493="Hard (Cash)","N/A",H493="Soft (In-Kind)", "Enter Source"),"Select Type")</f>
        <v>Select Type</v>
      </c>
      <c r="J493" s="124"/>
      <c r="K493" s="41" t="str">
        <f>IFERROR(VLOOKUP($J493,'Project Reference'!$S$2:$T$41,2),"Enter Project Number")</f>
        <v>Enter Project Number</v>
      </c>
      <c r="L493" s="41"/>
      <c r="M493" s="41"/>
      <c r="N493" s="15">
        <f t="shared" si="7"/>
        <v>0</v>
      </c>
      <c r="O493" s="19"/>
      <c r="P493" s="42" t="str">
        <f>IFERROR(VLOOKUP($J493,'Project Reference'!$B$2:$C$41,2)," ")</f>
        <v xml:space="preserve"> </v>
      </c>
      <c r="Q493" s="42" t="str">
        <f>IFERROR(VLOOKUP($J493,'Project Reference'!$B$2:$D$41,3)," ")</f>
        <v xml:space="preserve"> </v>
      </c>
      <c r="R493" s="42" t="str">
        <f>IFERROR(VLOOKUP($J493,'Project Reference'!$B$2:$E$41,4)," ")</f>
        <v xml:space="preserve"> </v>
      </c>
      <c r="S493" s="42" t="str">
        <f>IFERROR(VLOOKUP($J493,'Project Reference'!$B$2:$F$41,5,FALSE)," ")</f>
        <v xml:space="preserve"> </v>
      </c>
      <c r="T493" s="42" t="str">
        <f>IFERROR(VLOOKUP($J493,'Project Reference'!$B$2:$G$41,6,FALSE)," ")</f>
        <v xml:space="preserve"> </v>
      </c>
      <c r="U493" s="42" t="str">
        <f>IFERROR(VLOOKUP($J493,'Project Reference'!$B$2:$H$41,7,FALSE)," ")</f>
        <v xml:space="preserve"> </v>
      </c>
      <c r="V493" s="42" t="str">
        <f>IFERROR(VLOOKUP($J493,'Project Reference'!$B$2:$I$41,8,FALSE)," ")</f>
        <v xml:space="preserve"> </v>
      </c>
      <c r="W493" s="42" t="str">
        <f>IFERROR(VLOOKUP($J493,'Project Reference'!$B$2:$J$41,9,FALSE)," ")</f>
        <v xml:space="preserve"> </v>
      </c>
      <c r="X493" s="42" t="str">
        <f>IFERROR(VLOOKUP($J493,'Project Reference'!$B$2:$K$41,10)," ")</f>
        <v xml:space="preserve"> </v>
      </c>
      <c r="Y493" s="42" t="str">
        <f>IFERROR(VLOOKUP($J493,'Project Reference'!$B$2:$L$41,11)," ")</f>
        <v xml:space="preserve"> </v>
      </c>
      <c r="Z493" s="42" t="str">
        <f>IFERROR(VLOOKUP($J493,'Project Reference'!$B$2:$M$41,12)," ")</f>
        <v xml:space="preserve"> </v>
      </c>
      <c r="AA493" s="42" t="str">
        <f>IFERROR(VLOOKUP($J493,'Project Reference'!$B$2:$N$41,13)," ")</f>
        <v xml:space="preserve"> </v>
      </c>
    </row>
    <row r="494" spans="1:27" s="1" customFormat="1" x14ac:dyDescent="0.45">
      <c r="A494" s="43"/>
      <c r="B494" s="205"/>
      <c r="C494"/>
      <c r="D494" s="72"/>
      <c r="E494" s="72"/>
      <c r="F494" s="72"/>
      <c r="G494" s="72"/>
      <c r="H494" s="17"/>
      <c r="I494" s="41" t="str" cm="1">
        <f t="array" ref="I494">IFERROR(_xlfn.IFS(H494="Hard (Cash)","N/A",H494="Soft (In-Kind)", "Enter Source"),"Select Type")</f>
        <v>Select Type</v>
      </c>
      <c r="J494" s="124"/>
      <c r="K494" s="41" t="str">
        <f>IFERROR(VLOOKUP($J494,'Project Reference'!$S$2:$T$41,2),"Enter Project Number")</f>
        <v>Enter Project Number</v>
      </c>
      <c r="L494" s="41"/>
      <c r="M494" s="41"/>
      <c r="N494" s="15">
        <f t="shared" si="7"/>
        <v>0</v>
      </c>
      <c r="O494" s="19"/>
      <c r="P494" s="42" t="str">
        <f>IFERROR(VLOOKUP($J494,'Project Reference'!$B$2:$C$41,2)," ")</f>
        <v xml:space="preserve"> </v>
      </c>
      <c r="Q494" s="42" t="str">
        <f>IFERROR(VLOOKUP($J494,'Project Reference'!$B$2:$D$41,3)," ")</f>
        <v xml:space="preserve"> </v>
      </c>
      <c r="R494" s="42" t="str">
        <f>IFERROR(VLOOKUP($J494,'Project Reference'!$B$2:$E$41,4)," ")</f>
        <v xml:space="preserve"> </v>
      </c>
      <c r="S494" s="42" t="str">
        <f>IFERROR(VLOOKUP($J494,'Project Reference'!$B$2:$F$41,5,FALSE)," ")</f>
        <v xml:space="preserve"> </v>
      </c>
      <c r="T494" s="42" t="str">
        <f>IFERROR(VLOOKUP($J494,'Project Reference'!$B$2:$G$41,6,FALSE)," ")</f>
        <v xml:space="preserve"> </v>
      </c>
      <c r="U494" s="42" t="str">
        <f>IFERROR(VLOOKUP($J494,'Project Reference'!$B$2:$H$41,7,FALSE)," ")</f>
        <v xml:space="preserve"> </v>
      </c>
      <c r="V494" s="42" t="str">
        <f>IFERROR(VLOOKUP($J494,'Project Reference'!$B$2:$I$41,8,FALSE)," ")</f>
        <v xml:space="preserve"> </v>
      </c>
      <c r="W494" s="42" t="str">
        <f>IFERROR(VLOOKUP($J494,'Project Reference'!$B$2:$J$41,9,FALSE)," ")</f>
        <v xml:space="preserve"> </v>
      </c>
      <c r="X494" s="42" t="str">
        <f>IFERROR(VLOOKUP($J494,'Project Reference'!$B$2:$K$41,10)," ")</f>
        <v xml:space="preserve"> </v>
      </c>
      <c r="Y494" s="42" t="str">
        <f>IFERROR(VLOOKUP($J494,'Project Reference'!$B$2:$L$41,11)," ")</f>
        <v xml:space="preserve"> </v>
      </c>
      <c r="Z494" s="42" t="str">
        <f>IFERROR(VLOOKUP($J494,'Project Reference'!$B$2:$M$41,12)," ")</f>
        <v xml:space="preserve"> </v>
      </c>
      <c r="AA494" s="42" t="str">
        <f>IFERROR(VLOOKUP($J494,'Project Reference'!$B$2:$N$41,13)," ")</f>
        <v xml:space="preserve"> </v>
      </c>
    </row>
    <row r="495" spans="1:27" s="1" customFormat="1" x14ac:dyDescent="0.45">
      <c r="A495" s="43"/>
      <c r="B495" s="205"/>
      <c r="C495"/>
      <c r="D495" s="72"/>
      <c r="E495" s="72"/>
      <c r="F495" s="72"/>
      <c r="G495" s="72"/>
      <c r="H495" s="17"/>
      <c r="I495" s="41" t="str" cm="1">
        <f t="array" ref="I495">IFERROR(_xlfn.IFS(H495="Hard (Cash)","N/A",H495="Soft (In-Kind)", "Enter Source"),"Select Type")</f>
        <v>Select Type</v>
      </c>
      <c r="J495" s="124"/>
      <c r="K495" s="41" t="str">
        <f>IFERROR(VLOOKUP($J495,'Project Reference'!$S$2:$T$41,2),"Enter Project Number")</f>
        <v>Enter Project Number</v>
      </c>
      <c r="L495" s="41"/>
      <c r="M495" s="41"/>
      <c r="N495" s="15">
        <f t="shared" si="7"/>
        <v>0</v>
      </c>
      <c r="O495" s="19"/>
      <c r="P495" s="42" t="str">
        <f>IFERROR(VLOOKUP($J495,'Project Reference'!$B$2:$C$41,2)," ")</f>
        <v xml:space="preserve"> </v>
      </c>
      <c r="Q495" s="42" t="str">
        <f>IFERROR(VLOOKUP($J495,'Project Reference'!$B$2:$D$41,3)," ")</f>
        <v xml:space="preserve"> </v>
      </c>
      <c r="R495" s="42" t="str">
        <f>IFERROR(VLOOKUP($J495,'Project Reference'!$B$2:$E$41,4)," ")</f>
        <v xml:space="preserve"> </v>
      </c>
      <c r="S495" s="42" t="str">
        <f>IFERROR(VLOOKUP($J495,'Project Reference'!$B$2:$F$41,5,FALSE)," ")</f>
        <v xml:space="preserve"> </v>
      </c>
      <c r="T495" s="42" t="str">
        <f>IFERROR(VLOOKUP($J495,'Project Reference'!$B$2:$G$41,6,FALSE)," ")</f>
        <v xml:space="preserve"> </v>
      </c>
      <c r="U495" s="42" t="str">
        <f>IFERROR(VLOOKUP($J495,'Project Reference'!$B$2:$H$41,7,FALSE)," ")</f>
        <v xml:space="preserve"> </v>
      </c>
      <c r="V495" s="42" t="str">
        <f>IFERROR(VLOOKUP($J495,'Project Reference'!$B$2:$I$41,8,FALSE)," ")</f>
        <v xml:space="preserve"> </v>
      </c>
      <c r="W495" s="42" t="str">
        <f>IFERROR(VLOOKUP($J495,'Project Reference'!$B$2:$J$41,9,FALSE)," ")</f>
        <v xml:space="preserve"> </v>
      </c>
      <c r="X495" s="42" t="str">
        <f>IFERROR(VLOOKUP($J495,'Project Reference'!$B$2:$K$41,10)," ")</f>
        <v xml:space="preserve"> </v>
      </c>
      <c r="Y495" s="42" t="str">
        <f>IFERROR(VLOOKUP($J495,'Project Reference'!$B$2:$L$41,11)," ")</f>
        <v xml:space="preserve"> </v>
      </c>
      <c r="Z495" s="42" t="str">
        <f>IFERROR(VLOOKUP($J495,'Project Reference'!$B$2:$M$41,12)," ")</f>
        <v xml:space="preserve"> </v>
      </c>
      <c r="AA495" s="42" t="str">
        <f>IFERROR(VLOOKUP($J495,'Project Reference'!$B$2:$N$41,13)," ")</f>
        <v xml:space="preserve"> </v>
      </c>
    </row>
    <row r="496" spans="1:27" s="1" customFormat="1" x14ac:dyDescent="0.45">
      <c r="A496" s="43"/>
      <c r="B496" s="205"/>
      <c r="C496"/>
      <c r="D496" s="72"/>
      <c r="E496" s="72"/>
      <c r="F496" s="72"/>
      <c r="G496" s="72"/>
      <c r="H496" s="17"/>
      <c r="I496" s="41" t="str" cm="1">
        <f t="array" ref="I496">IFERROR(_xlfn.IFS(H496="Hard (Cash)","N/A",H496="Soft (In-Kind)", "Enter Source"),"Select Type")</f>
        <v>Select Type</v>
      </c>
      <c r="J496" s="124"/>
      <c r="K496" s="41" t="str">
        <f>IFERROR(VLOOKUP($J496,'Project Reference'!$S$2:$T$41,2),"Enter Project Number")</f>
        <v>Enter Project Number</v>
      </c>
      <c r="L496" s="41"/>
      <c r="M496" s="41"/>
      <c r="N496" s="15">
        <f t="shared" si="7"/>
        <v>0</v>
      </c>
      <c r="O496" s="19"/>
      <c r="P496" s="42" t="str">
        <f>IFERROR(VLOOKUP($J496,'Project Reference'!$B$2:$C$41,2)," ")</f>
        <v xml:space="preserve"> </v>
      </c>
      <c r="Q496" s="42" t="str">
        <f>IFERROR(VLOOKUP($J496,'Project Reference'!$B$2:$D$41,3)," ")</f>
        <v xml:space="preserve"> </v>
      </c>
      <c r="R496" s="42" t="str">
        <f>IFERROR(VLOOKUP($J496,'Project Reference'!$B$2:$E$41,4)," ")</f>
        <v xml:space="preserve"> </v>
      </c>
      <c r="S496" s="42" t="str">
        <f>IFERROR(VLOOKUP($J496,'Project Reference'!$B$2:$F$41,5,FALSE)," ")</f>
        <v xml:space="preserve"> </v>
      </c>
      <c r="T496" s="42" t="str">
        <f>IFERROR(VLOOKUP($J496,'Project Reference'!$B$2:$G$41,6,FALSE)," ")</f>
        <v xml:space="preserve"> </v>
      </c>
      <c r="U496" s="42" t="str">
        <f>IFERROR(VLOOKUP($J496,'Project Reference'!$B$2:$H$41,7,FALSE)," ")</f>
        <v xml:space="preserve"> </v>
      </c>
      <c r="V496" s="42" t="str">
        <f>IFERROR(VLOOKUP($J496,'Project Reference'!$B$2:$I$41,8,FALSE)," ")</f>
        <v xml:space="preserve"> </v>
      </c>
      <c r="W496" s="42" t="str">
        <f>IFERROR(VLOOKUP($J496,'Project Reference'!$B$2:$J$41,9,FALSE)," ")</f>
        <v xml:space="preserve"> </v>
      </c>
      <c r="X496" s="42" t="str">
        <f>IFERROR(VLOOKUP($J496,'Project Reference'!$B$2:$K$41,10)," ")</f>
        <v xml:space="preserve"> </v>
      </c>
      <c r="Y496" s="42" t="str">
        <f>IFERROR(VLOOKUP($J496,'Project Reference'!$B$2:$L$41,11)," ")</f>
        <v xml:space="preserve"> </v>
      </c>
      <c r="Z496" s="42" t="str">
        <f>IFERROR(VLOOKUP($J496,'Project Reference'!$B$2:$M$41,12)," ")</f>
        <v xml:space="preserve"> </v>
      </c>
      <c r="AA496" s="42" t="str">
        <f>IFERROR(VLOOKUP($J496,'Project Reference'!$B$2:$N$41,13)," ")</f>
        <v xml:space="preserve"> </v>
      </c>
    </row>
    <row r="497" spans="1:27" s="1" customFormat="1" x14ac:dyDescent="0.45">
      <c r="A497" s="43"/>
      <c r="B497" s="205"/>
      <c r="C497"/>
      <c r="D497" s="72"/>
      <c r="E497" s="72"/>
      <c r="F497" s="72"/>
      <c r="G497" s="72"/>
      <c r="H497" s="17"/>
      <c r="I497" s="41" t="str" cm="1">
        <f t="array" ref="I497">IFERROR(_xlfn.IFS(H497="Hard (Cash)","N/A",H497="Soft (In-Kind)", "Enter Source"),"Select Type")</f>
        <v>Select Type</v>
      </c>
      <c r="J497" s="124"/>
      <c r="K497" s="41" t="str">
        <f>IFERROR(VLOOKUP($J497,'Project Reference'!$S$2:$T$41,2),"Enter Project Number")</f>
        <v>Enter Project Number</v>
      </c>
      <c r="L497" s="41"/>
      <c r="M497" s="41"/>
      <c r="N497" s="15">
        <f t="shared" si="7"/>
        <v>0</v>
      </c>
      <c r="O497" s="19"/>
      <c r="P497" s="42" t="str">
        <f>IFERROR(VLOOKUP($J497,'Project Reference'!$B$2:$C$41,2)," ")</f>
        <v xml:space="preserve"> </v>
      </c>
      <c r="Q497" s="42" t="str">
        <f>IFERROR(VLOOKUP($J497,'Project Reference'!$B$2:$D$41,3)," ")</f>
        <v xml:space="preserve"> </v>
      </c>
      <c r="R497" s="42" t="str">
        <f>IFERROR(VLOOKUP($J497,'Project Reference'!$B$2:$E$41,4)," ")</f>
        <v xml:space="preserve"> </v>
      </c>
      <c r="S497" s="42" t="str">
        <f>IFERROR(VLOOKUP($J497,'Project Reference'!$B$2:$F$41,5,FALSE)," ")</f>
        <v xml:space="preserve"> </v>
      </c>
      <c r="T497" s="42" t="str">
        <f>IFERROR(VLOOKUP($J497,'Project Reference'!$B$2:$G$41,6,FALSE)," ")</f>
        <v xml:space="preserve"> </v>
      </c>
      <c r="U497" s="42" t="str">
        <f>IFERROR(VLOOKUP($J497,'Project Reference'!$B$2:$H$41,7,FALSE)," ")</f>
        <v xml:space="preserve"> </v>
      </c>
      <c r="V497" s="42" t="str">
        <f>IFERROR(VLOOKUP($J497,'Project Reference'!$B$2:$I$41,8,FALSE)," ")</f>
        <v xml:space="preserve"> </v>
      </c>
      <c r="W497" s="42" t="str">
        <f>IFERROR(VLOOKUP($J497,'Project Reference'!$B$2:$J$41,9,FALSE)," ")</f>
        <v xml:space="preserve"> </v>
      </c>
      <c r="X497" s="42" t="str">
        <f>IFERROR(VLOOKUP($J497,'Project Reference'!$B$2:$K$41,10)," ")</f>
        <v xml:space="preserve"> </v>
      </c>
      <c r="Y497" s="42" t="str">
        <f>IFERROR(VLOOKUP($J497,'Project Reference'!$B$2:$L$41,11)," ")</f>
        <v xml:space="preserve"> </v>
      </c>
      <c r="Z497" s="42" t="str">
        <f>IFERROR(VLOOKUP($J497,'Project Reference'!$B$2:$M$41,12)," ")</f>
        <v xml:space="preserve"> </v>
      </c>
      <c r="AA497" s="42" t="str">
        <f>IFERROR(VLOOKUP($J497,'Project Reference'!$B$2:$N$41,13)," ")</f>
        <v xml:space="preserve"> </v>
      </c>
    </row>
    <row r="498" spans="1:27" s="1" customFormat="1" x14ac:dyDescent="0.45">
      <c r="A498" s="43"/>
      <c r="B498" s="205"/>
      <c r="C498"/>
      <c r="D498" s="72"/>
      <c r="E498" s="72"/>
      <c r="F498" s="72"/>
      <c r="G498" s="72"/>
      <c r="H498" s="17"/>
      <c r="I498" s="41" t="str" cm="1">
        <f t="array" ref="I498">IFERROR(_xlfn.IFS(H498="Hard (Cash)","N/A",H498="Soft (In-Kind)", "Enter Source"),"Select Type")</f>
        <v>Select Type</v>
      </c>
      <c r="J498" s="124"/>
      <c r="K498" s="41" t="str">
        <f>IFERROR(VLOOKUP($J498,'Project Reference'!$S$2:$T$41,2),"Enter Project Number")</f>
        <v>Enter Project Number</v>
      </c>
      <c r="L498" s="41"/>
      <c r="M498" s="41"/>
      <c r="N498" s="15">
        <f t="shared" si="7"/>
        <v>0</v>
      </c>
      <c r="O498" s="19"/>
      <c r="P498" s="42" t="str">
        <f>IFERROR(VLOOKUP($J498,'Project Reference'!$B$2:$C$41,2)," ")</f>
        <v xml:space="preserve"> </v>
      </c>
      <c r="Q498" s="42" t="str">
        <f>IFERROR(VLOOKUP($J498,'Project Reference'!$B$2:$D$41,3)," ")</f>
        <v xml:space="preserve"> </v>
      </c>
      <c r="R498" s="42" t="str">
        <f>IFERROR(VLOOKUP($J498,'Project Reference'!$B$2:$E$41,4)," ")</f>
        <v xml:space="preserve"> </v>
      </c>
      <c r="S498" s="42" t="str">
        <f>IFERROR(VLOOKUP($J498,'Project Reference'!$B$2:$F$41,5,FALSE)," ")</f>
        <v xml:space="preserve"> </v>
      </c>
      <c r="T498" s="42" t="str">
        <f>IFERROR(VLOOKUP($J498,'Project Reference'!$B$2:$G$41,6,FALSE)," ")</f>
        <v xml:space="preserve"> </v>
      </c>
      <c r="U498" s="42" t="str">
        <f>IFERROR(VLOOKUP($J498,'Project Reference'!$B$2:$H$41,7,FALSE)," ")</f>
        <v xml:space="preserve"> </v>
      </c>
      <c r="V498" s="42" t="str">
        <f>IFERROR(VLOOKUP($J498,'Project Reference'!$B$2:$I$41,8,FALSE)," ")</f>
        <v xml:space="preserve"> </v>
      </c>
      <c r="W498" s="42" t="str">
        <f>IFERROR(VLOOKUP($J498,'Project Reference'!$B$2:$J$41,9,FALSE)," ")</f>
        <v xml:space="preserve"> </v>
      </c>
      <c r="X498" s="42" t="str">
        <f>IFERROR(VLOOKUP($J498,'Project Reference'!$B$2:$K$41,10)," ")</f>
        <v xml:space="preserve"> </v>
      </c>
      <c r="Y498" s="42" t="str">
        <f>IFERROR(VLOOKUP($J498,'Project Reference'!$B$2:$L$41,11)," ")</f>
        <v xml:space="preserve"> </v>
      </c>
      <c r="Z498" s="42" t="str">
        <f>IFERROR(VLOOKUP($J498,'Project Reference'!$B$2:$M$41,12)," ")</f>
        <v xml:space="preserve"> </v>
      </c>
      <c r="AA498" s="42" t="str">
        <f>IFERROR(VLOOKUP($J498,'Project Reference'!$B$2:$N$41,13)," ")</f>
        <v xml:space="preserve"> </v>
      </c>
    </row>
    <row r="499" spans="1:27" s="1" customFormat="1" x14ac:dyDescent="0.45">
      <c r="A499" s="43"/>
      <c r="B499" s="205"/>
      <c r="C499"/>
      <c r="D499" s="72"/>
      <c r="E499" s="72"/>
      <c r="F499" s="72"/>
      <c r="G499" s="72"/>
      <c r="H499" s="17"/>
      <c r="I499" s="41" t="str" cm="1">
        <f t="array" ref="I499">IFERROR(_xlfn.IFS(H499="Hard (Cash)","N/A",H499="Soft (In-Kind)", "Enter Source"),"Select Type")</f>
        <v>Select Type</v>
      </c>
      <c r="J499" s="124"/>
      <c r="K499" s="41" t="str">
        <f>IFERROR(VLOOKUP($J499,'Project Reference'!$S$2:$T$41,2),"Enter Project Number")</f>
        <v>Enter Project Number</v>
      </c>
      <c r="L499" s="41"/>
      <c r="M499" s="41"/>
      <c r="N499" s="15">
        <f t="shared" si="7"/>
        <v>0</v>
      </c>
      <c r="O499" s="19"/>
      <c r="P499" s="42" t="str">
        <f>IFERROR(VLOOKUP($J499,'Project Reference'!$B$2:$C$41,2)," ")</f>
        <v xml:space="preserve"> </v>
      </c>
      <c r="Q499" s="42" t="str">
        <f>IFERROR(VLOOKUP($J499,'Project Reference'!$B$2:$D$41,3)," ")</f>
        <v xml:space="preserve"> </v>
      </c>
      <c r="R499" s="42" t="str">
        <f>IFERROR(VLOOKUP($J499,'Project Reference'!$B$2:$E$41,4)," ")</f>
        <v xml:space="preserve"> </v>
      </c>
      <c r="S499" s="42" t="str">
        <f>IFERROR(VLOOKUP($J499,'Project Reference'!$B$2:$F$41,5,FALSE)," ")</f>
        <v xml:space="preserve"> </v>
      </c>
      <c r="T499" s="42" t="str">
        <f>IFERROR(VLOOKUP($J499,'Project Reference'!$B$2:$G$41,6,FALSE)," ")</f>
        <v xml:space="preserve"> </v>
      </c>
      <c r="U499" s="42" t="str">
        <f>IFERROR(VLOOKUP($J499,'Project Reference'!$B$2:$H$41,7,FALSE)," ")</f>
        <v xml:space="preserve"> </v>
      </c>
      <c r="V499" s="42" t="str">
        <f>IFERROR(VLOOKUP($J499,'Project Reference'!$B$2:$I$41,8,FALSE)," ")</f>
        <v xml:space="preserve"> </v>
      </c>
      <c r="W499" s="42" t="str">
        <f>IFERROR(VLOOKUP($J499,'Project Reference'!$B$2:$J$41,9,FALSE)," ")</f>
        <v xml:space="preserve"> </v>
      </c>
      <c r="X499" s="42" t="str">
        <f>IFERROR(VLOOKUP($J499,'Project Reference'!$B$2:$K$41,10)," ")</f>
        <v xml:space="preserve"> </v>
      </c>
      <c r="Y499" s="42" t="str">
        <f>IFERROR(VLOOKUP($J499,'Project Reference'!$B$2:$L$41,11)," ")</f>
        <v xml:space="preserve"> </v>
      </c>
      <c r="Z499" s="42" t="str">
        <f>IFERROR(VLOOKUP($J499,'Project Reference'!$B$2:$M$41,12)," ")</f>
        <v xml:space="preserve"> </v>
      </c>
      <c r="AA499" s="42" t="str">
        <f>IFERROR(VLOOKUP($J499,'Project Reference'!$B$2:$N$41,13)," ")</f>
        <v xml:space="preserve"> </v>
      </c>
    </row>
    <row r="500" spans="1:27" s="1" customFormat="1" x14ac:dyDescent="0.45">
      <c r="A500" s="43"/>
      <c r="B500" s="205"/>
      <c r="C500"/>
      <c r="D500" s="72"/>
      <c r="E500" s="72"/>
      <c r="F500" s="72"/>
      <c r="G500" s="72"/>
      <c r="H500" s="17"/>
      <c r="I500" s="41" t="str" cm="1">
        <f t="array" ref="I500">IFERROR(_xlfn.IFS(H500="Hard (Cash)","N/A",H500="Soft (In-Kind)", "Enter Source"),"Select Type")</f>
        <v>Select Type</v>
      </c>
      <c r="J500" s="124"/>
      <c r="K500" s="41" t="str">
        <f>IFERROR(VLOOKUP($J500,'Project Reference'!$S$2:$T$41,2),"Enter Project Number")</f>
        <v>Enter Project Number</v>
      </c>
      <c r="L500" s="41"/>
      <c r="M500" s="41"/>
      <c r="N500" s="15">
        <f t="shared" si="7"/>
        <v>0</v>
      </c>
      <c r="O500" s="19"/>
      <c r="P500" s="42" t="str">
        <f>IFERROR(VLOOKUP($J500,'Project Reference'!$B$2:$C$41,2)," ")</f>
        <v xml:space="preserve"> </v>
      </c>
      <c r="Q500" s="42" t="str">
        <f>IFERROR(VLOOKUP($J500,'Project Reference'!$B$2:$D$41,3)," ")</f>
        <v xml:space="preserve"> </v>
      </c>
      <c r="R500" s="42" t="str">
        <f>IFERROR(VLOOKUP($J500,'Project Reference'!$B$2:$E$41,4)," ")</f>
        <v xml:space="preserve"> </v>
      </c>
      <c r="S500" s="42" t="str">
        <f>IFERROR(VLOOKUP($J500,'Project Reference'!$B$2:$F$41,5,FALSE)," ")</f>
        <v xml:space="preserve"> </v>
      </c>
      <c r="T500" s="42" t="str">
        <f>IFERROR(VLOOKUP($J500,'Project Reference'!$B$2:$G$41,6,FALSE)," ")</f>
        <v xml:space="preserve"> </v>
      </c>
      <c r="U500" s="42" t="str">
        <f>IFERROR(VLOOKUP($J500,'Project Reference'!$B$2:$H$41,7,FALSE)," ")</f>
        <v xml:space="preserve"> </v>
      </c>
      <c r="V500" s="42" t="str">
        <f>IFERROR(VLOOKUP($J500,'Project Reference'!$B$2:$I$41,8,FALSE)," ")</f>
        <v xml:space="preserve"> </v>
      </c>
      <c r="W500" s="42" t="str">
        <f>IFERROR(VLOOKUP($J500,'Project Reference'!$B$2:$J$41,9,FALSE)," ")</f>
        <v xml:space="preserve"> </v>
      </c>
      <c r="X500" s="42" t="str">
        <f>IFERROR(VLOOKUP($J500,'Project Reference'!$B$2:$K$41,10)," ")</f>
        <v xml:space="preserve"> </v>
      </c>
      <c r="Y500" s="42" t="str">
        <f>IFERROR(VLOOKUP($J500,'Project Reference'!$B$2:$L$41,11)," ")</f>
        <v xml:space="preserve"> </v>
      </c>
      <c r="Z500" s="42" t="str">
        <f>IFERROR(VLOOKUP($J500,'Project Reference'!$B$2:$M$41,12)," ")</f>
        <v xml:space="preserve"> </v>
      </c>
      <c r="AA500" s="42" t="str">
        <f>IFERROR(VLOOKUP($J500,'Project Reference'!$B$2:$N$41,13)," ")</f>
        <v xml:space="preserve"> </v>
      </c>
    </row>
    <row r="501" spans="1:27" s="1" customFormat="1" x14ac:dyDescent="0.45">
      <c r="A501" s="43"/>
      <c r="B501" s="205"/>
      <c r="C501"/>
      <c r="D501" s="72"/>
      <c r="E501" s="72"/>
      <c r="F501" s="72"/>
      <c r="G501" s="72"/>
      <c r="H501" s="17"/>
      <c r="I501" s="41" t="str" cm="1">
        <f t="array" ref="I501">IFERROR(_xlfn.IFS(H501="Hard (Cash)","N/A",H501="Soft (In-Kind)", "Enter Source"),"Select Type")</f>
        <v>Select Type</v>
      </c>
      <c r="J501" s="124"/>
      <c r="K501" s="41" t="str">
        <f>IFERROR(VLOOKUP($J501,'Project Reference'!$S$2:$T$41,2),"Enter Project Number")</f>
        <v>Enter Project Number</v>
      </c>
      <c r="L501" s="41"/>
      <c r="M501" s="41"/>
      <c r="N501" s="15">
        <f t="shared" si="7"/>
        <v>0</v>
      </c>
      <c r="O501" s="19"/>
      <c r="P501" s="42" t="str">
        <f>IFERROR(VLOOKUP($J501,'Project Reference'!$B$2:$C$41,2)," ")</f>
        <v xml:space="preserve"> </v>
      </c>
      <c r="Q501" s="42" t="str">
        <f>IFERROR(VLOOKUP($J501,'Project Reference'!$B$2:$D$41,3)," ")</f>
        <v xml:space="preserve"> </v>
      </c>
      <c r="R501" s="42" t="str">
        <f>IFERROR(VLOOKUP($J501,'Project Reference'!$B$2:$E$41,4)," ")</f>
        <v xml:space="preserve"> </v>
      </c>
      <c r="S501" s="42" t="str">
        <f>IFERROR(VLOOKUP($J501,'Project Reference'!$B$2:$F$41,5,FALSE)," ")</f>
        <v xml:space="preserve"> </v>
      </c>
      <c r="T501" s="42" t="str">
        <f>IFERROR(VLOOKUP($J501,'Project Reference'!$B$2:$G$41,6,FALSE)," ")</f>
        <v xml:space="preserve"> </v>
      </c>
      <c r="U501" s="42" t="str">
        <f>IFERROR(VLOOKUP($J501,'Project Reference'!$B$2:$H$41,7,FALSE)," ")</f>
        <v xml:space="preserve"> </v>
      </c>
      <c r="V501" s="42" t="str">
        <f>IFERROR(VLOOKUP($J501,'Project Reference'!$B$2:$I$41,8,FALSE)," ")</f>
        <v xml:space="preserve"> </v>
      </c>
      <c r="W501" s="42" t="str">
        <f>IFERROR(VLOOKUP($J501,'Project Reference'!$B$2:$J$41,9,FALSE)," ")</f>
        <v xml:space="preserve"> </v>
      </c>
      <c r="X501" s="42" t="str">
        <f>IFERROR(VLOOKUP($J501,'Project Reference'!$B$2:$K$41,10)," ")</f>
        <v xml:space="preserve"> </v>
      </c>
      <c r="Y501" s="42" t="str">
        <f>IFERROR(VLOOKUP($J501,'Project Reference'!$B$2:$L$41,11)," ")</f>
        <v xml:space="preserve"> </v>
      </c>
      <c r="Z501" s="42" t="str">
        <f>IFERROR(VLOOKUP($J501,'Project Reference'!$B$2:$M$41,12)," ")</f>
        <v xml:space="preserve"> </v>
      </c>
      <c r="AA501" s="42" t="str">
        <f>IFERROR(VLOOKUP($J501,'Project Reference'!$B$2:$N$41,13)," ")</f>
        <v xml:space="preserve"> </v>
      </c>
    </row>
    <row r="502" spans="1:27" s="1" customFormat="1" x14ac:dyDescent="0.45">
      <c r="A502" s="43"/>
      <c r="B502" s="205"/>
      <c r="C502"/>
      <c r="D502" s="72"/>
      <c r="E502" s="72"/>
      <c r="F502" s="72"/>
      <c r="G502" s="72"/>
      <c r="H502" s="17"/>
      <c r="I502" s="41" t="str" cm="1">
        <f t="array" ref="I502">IFERROR(_xlfn.IFS(H502="Hard (Cash)","N/A",H502="Soft (In-Kind)", "Enter Source"),"Select Type")</f>
        <v>Select Type</v>
      </c>
      <c r="J502" s="124"/>
      <c r="K502" s="41" t="str">
        <f>IFERROR(VLOOKUP($J502,'Project Reference'!$S$2:$T$41,2),"Enter Project Number")</f>
        <v>Enter Project Number</v>
      </c>
      <c r="L502" s="41"/>
      <c r="M502" s="41"/>
      <c r="N502" s="15">
        <f t="shared" si="7"/>
        <v>0</v>
      </c>
      <c r="O502" s="19"/>
      <c r="P502" s="42" t="str">
        <f>IFERROR(VLOOKUP($J502,'Project Reference'!$B$2:$C$41,2)," ")</f>
        <v xml:space="preserve"> </v>
      </c>
      <c r="Q502" s="42" t="str">
        <f>IFERROR(VLOOKUP($J502,'Project Reference'!$B$2:$D$41,3)," ")</f>
        <v xml:space="preserve"> </v>
      </c>
      <c r="R502" s="42" t="str">
        <f>IFERROR(VLOOKUP($J502,'Project Reference'!$B$2:$E$41,4)," ")</f>
        <v xml:space="preserve"> </v>
      </c>
      <c r="S502" s="42" t="str">
        <f>IFERROR(VLOOKUP($J502,'Project Reference'!$B$2:$F$41,5,FALSE)," ")</f>
        <v xml:space="preserve"> </v>
      </c>
      <c r="T502" s="42" t="str">
        <f>IFERROR(VLOOKUP($J502,'Project Reference'!$B$2:$G$41,6,FALSE)," ")</f>
        <v xml:space="preserve"> </v>
      </c>
      <c r="U502" s="42" t="str">
        <f>IFERROR(VLOOKUP($J502,'Project Reference'!$B$2:$H$41,7,FALSE)," ")</f>
        <v xml:space="preserve"> </v>
      </c>
      <c r="V502" s="42" t="str">
        <f>IFERROR(VLOOKUP($J502,'Project Reference'!$B$2:$I$41,8,FALSE)," ")</f>
        <v xml:space="preserve"> </v>
      </c>
      <c r="W502" s="42" t="str">
        <f>IFERROR(VLOOKUP($J502,'Project Reference'!$B$2:$J$41,9,FALSE)," ")</f>
        <v xml:space="preserve"> </v>
      </c>
      <c r="X502" s="42" t="str">
        <f>IFERROR(VLOOKUP($J502,'Project Reference'!$B$2:$K$41,10)," ")</f>
        <v xml:space="preserve"> </v>
      </c>
      <c r="Y502" s="42" t="str">
        <f>IFERROR(VLOOKUP($J502,'Project Reference'!$B$2:$L$41,11)," ")</f>
        <v xml:space="preserve"> </v>
      </c>
      <c r="Z502" s="42" t="str">
        <f>IFERROR(VLOOKUP($J502,'Project Reference'!$B$2:$M$41,12)," ")</f>
        <v xml:space="preserve"> </v>
      </c>
      <c r="AA502" s="42" t="str">
        <f>IFERROR(VLOOKUP($J502,'Project Reference'!$B$2:$N$41,13)," ")</f>
        <v xml:space="preserve"> </v>
      </c>
    </row>
    <row r="503" spans="1:27" s="1" customFormat="1" x14ac:dyDescent="0.45">
      <c r="A503" s="43"/>
      <c r="B503" s="205"/>
      <c r="C503"/>
      <c r="D503" s="72"/>
      <c r="E503" s="72"/>
      <c r="F503" s="72"/>
      <c r="G503" s="72"/>
      <c r="H503" s="17"/>
      <c r="I503" s="41" t="str" cm="1">
        <f t="array" ref="I503">IFERROR(_xlfn.IFS(H503="Hard (Cash)","N/A",H503="Soft (In-Kind)", "Enter Source"),"Select Type")</f>
        <v>Select Type</v>
      </c>
      <c r="J503" s="124"/>
      <c r="K503" s="41" t="str">
        <f>IFERROR(VLOOKUP($J503,'Project Reference'!$S$2:$T$41,2),"Enter Project Number")</f>
        <v>Enter Project Number</v>
      </c>
      <c r="L503" s="41"/>
      <c r="M503" s="41"/>
      <c r="N503" s="15">
        <f t="shared" si="7"/>
        <v>0</v>
      </c>
      <c r="O503" s="19"/>
      <c r="P503" s="42" t="str">
        <f>IFERROR(VLOOKUP($J503,'Project Reference'!$B$2:$C$41,2)," ")</f>
        <v xml:space="preserve"> </v>
      </c>
      <c r="Q503" s="42" t="str">
        <f>IFERROR(VLOOKUP($J503,'Project Reference'!$B$2:$D$41,3)," ")</f>
        <v xml:space="preserve"> </v>
      </c>
      <c r="R503" s="42" t="str">
        <f>IFERROR(VLOOKUP($J503,'Project Reference'!$B$2:$E$41,4)," ")</f>
        <v xml:space="preserve"> </v>
      </c>
      <c r="S503" s="42" t="str">
        <f>IFERROR(VLOOKUP($J503,'Project Reference'!$B$2:$F$41,5,FALSE)," ")</f>
        <v xml:space="preserve"> </v>
      </c>
      <c r="T503" s="42" t="str">
        <f>IFERROR(VLOOKUP($J503,'Project Reference'!$B$2:$G$41,6,FALSE)," ")</f>
        <v xml:space="preserve"> </v>
      </c>
      <c r="U503" s="42" t="str">
        <f>IFERROR(VLOOKUP($J503,'Project Reference'!$B$2:$H$41,7,FALSE)," ")</f>
        <v xml:space="preserve"> </v>
      </c>
      <c r="V503" s="42" t="str">
        <f>IFERROR(VLOOKUP($J503,'Project Reference'!$B$2:$I$41,8,FALSE)," ")</f>
        <v xml:space="preserve"> </v>
      </c>
      <c r="W503" s="42" t="str">
        <f>IFERROR(VLOOKUP($J503,'Project Reference'!$B$2:$J$41,9,FALSE)," ")</f>
        <v xml:space="preserve"> </v>
      </c>
      <c r="X503" s="42" t="str">
        <f>IFERROR(VLOOKUP($J503,'Project Reference'!$B$2:$K$41,10)," ")</f>
        <v xml:space="preserve"> </v>
      </c>
      <c r="Y503" s="42" t="str">
        <f>IFERROR(VLOOKUP($J503,'Project Reference'!$B$2:$L$41,11)," ")</f>
        <v xml:space="preserve"> </v>
      </c>
      <c r="Z503" s="42" t="str">
        <f>IFERROR(VLOOKUP($J503,'Project Reference'!$B$2:$M$41,12)," ")</f>
        <v xml:space="preserve"> </v>
      </c>
      <c r="AA503" s="42" t="str">
        <f>IFERROR(VLOOKUP($J503,'Project Reference'!$B$2:$N$41,13)," ")</f>
        <v xml:space="preserve"> </v>
      </c>
    </row>
    <row r="504" spans="1:27" s="1" customFormat="1" x14ac:dyDescent="0.45">
      <c r="A504" s="43"/>
      <c r="B504" s="205"/>
      <c r="C504"/>
      <c r="D504" s="72"/>
      <c r="E504" s="72"/>
      <c r="F504" s="72"/>
      <c r="G504" s="72"/>
      <c r="H504" s="17"/>
      <c r="I504" s="41" t="str" cm="1">
        <f t="array" ref="I504">IFERROR(_xlfn.IFS(H504="Hard (Cash)","N/A",H504="Soft (In-Kind)", "Enter Source"),"Select Type")</f>
        <v>Select Type</v>
      </c>
      <c r="J504" s="124"/>
      <c r="K504" s="41" t="str">
        <f>IFERROR(VLOOKUP($J504,'Project Reference'!$S$2:$T$41,2),"Enter Project Number")</f>
        <v>Enter Project Number</v>
      </c>
      <c r="L504" s="41"/>
      <c r="M504" s="41"/>
      <c r="N504" s="15">
        <f t="shared" si="7"/>
        <v>0</v>
      </c>
      <c r="O504" s="19"/>
      <c r="P504" s="42" t="str">
        <f>IFERROR(VLOOKUP($J504,'Project Reference'!$B$2:$C$41,2)," ")</f>
        <v xml:space="preserve"> </v>
      </c>
      <c r="Q504" s="42" t="str">
        <f>IFERROR(VLOOKUP($J504,'Project Reference'!$B$2:$D$41,3)," ")</f>
        <v xml:space="preserve"> </v>
      </c>
      <c r="R504" s="42" t="str">
        <f>IFERROR(VLOOKUP($J504,'Project Reference'!$B$2:$E$41,4)," ")</f>
        <v xml:space="preserve"> </v>
      </c>
      <c r="S504" s="42" t="str">
        <f>IFERROR(VLOOKUP($J504,'Project Reference'!$B$2:$F$41,5,FALSE)," ")</f>
        <v xml:space="preserve"> </v>
      </c>
      <c r="T504" s="42" t="str">
        <f>IFERROR(VLOOKUP($J504,'Project Reference'!$B$2:$G$41,6,FALSE)," ")</f>
        <v xml:space="preserve"> </v>
      </c>
      <c r="U504" s="42" t="str">
        <f>IFERROR(VLOOKUP($J504,'Project Reference'!$B$2:$H$41,7,FALSE)," ")</f>
        <v xml:space="preserve"> </v>
      </c>
      <c r="V504" s="42" t="str">
        <f>IFERROR(VLOOKUP($J504,'Project Reference'!$B$2:$I$41,8,FALSE)," ")</f>
        <v xml:space="preserve"> </v>
      </c>
      <c r="W504" s="42" t="str">
        <f>IFERROR(VLOOKUP($J504,'Project Reference'!$B$2:$J$41,9,FALSE)," ")</f>
        <v xml:space="preserve"> </v>
      </c>
      <c r="X504" s="42" t="str">
        <f>IFERROR(VLOOKUP($J504,'Project Reference'!$B$2:$K$41,10)," ")</f>
        <v xml:space="preserve"> </v>
      </c>
      <c r="Y504" s="42" t="str">
        <f>IFERROR(VLOOKUP($J504,'Project Reference'!$B$2:$L$41,11)," ")</f>
        <v xml:space="preserve"> </v>
      </c>
      <c r="Z504" s="42" t="str">
        <f>IFERROR(VLOOKUP($J504,'Project Reference'!$B$2:$M$41,12)," ")</f>
        <v xml:space="preserve"> </v>
      </c>
      <c r="AA504" s="42" t="str">
        <f>IFERROR(VLOOKUP($J504,'Project Reference'!$B$2:$N$41,13)," ")</f>
        <v xml:space="preserve"> </v>
      </c>
    </row>
    <row r="505" spans="1:27" s="1" customFormat="1" x14ac:dyDescent="0.45">
      <c r="A505" s="43"/>
      <c r="B505" s="205"/>
      <c r="C505"/>
      <c r="D505" s="72"/>
      <c r="E505" s="72"/>
      <c r="F505" s="72"/>
      <c r="G505" s="72"/>
      <c r="H505" s="17"/>
      <c r="I505" s="41" t="str" cm="1">
        <f t="array" ref="I505">IFERROR(_xlfn.IFS(H505="Hard (Cash)","N/A",H505="Soft (In-Kind)", "Enter Source"),"Select Type")</f>
        <v>Select Type</v>
      </c>
      <c r="J505" s="124"/>
      <c r="K505" s="41" t="str">
        <f>IFERROR(VLOOKUP($J505,'Project Reference'!$S$2:$T$41,2),"Enter Project Number")</f>
        <v>Enter Project Number</v>
      </c>
      <c r="L505" s="41"/>
      <c r="M505" s="41"/>
      <c r="N505" s="15">
        <f t="shared" si="7"/>
        <v>0</v>
      </c>
      <c r="O505" s="19"/>
      <c r="P505" s="42" t="str">
        <f>IFERROR(VLOOKUP($J505,'Project Reference'!$B$2:$C$41,2)," ")</f>
        <v xml:space="preserve"> </v>
      </c>
      <c r="Q505" s="42" t="str">
        <f>IFERROR(VLOOKUP($J505,'Project Reference'!$B$2:$D$41,3)," ")</f>
        <v xml:space="preserve"> </v>
      </c>
      <c r="R505" s="42" t="str">
        <f>IFERROR(VLOOKUP($J505,'Project Reference'!$B$2:$E$41,4)," ")</f>
        <v xml:space="preserve"> </v>
      </c>
      <c r="S505" s="42" t="str">
        <f>IFERROR(VLOOKUP($J505,'Project Reference'!$B$2:$F$41,5,FALSE)," ")</f>
        <v xml:space="preserve"> </v>
      </c>
      <c r="T505" s="42" t="str">
        <f>IFERROR(VLOOKUP($J505,'Project Reference'!$B$2:$G$41,6,FALSE)," ")</f>
        <v xml:space="preserve"> </v>
      </c>
      <c r="U505" s="42" t="str">
        <f>IFERROR(VLOOKUP($J505,'Project Reference'!$B$2:$H$41,7,FALSE)," ")</f>
        <v xml:space="preserve"> </v>
      </c>
      <c r="V505" s="42" t="str">
        <f>IFERROR(VLOOKUP($J505,'Project Reference'!$B$2:$I$41,8,FALSE)," ")</f>
        <v xml:space="preserve"> </v>
      </c>
      <c r="W505" s="42" t="str">
        <f>IFERROR(VLOOKUP($J505,'Project Reference'!$B$2:$J$41,9,FALSE)," ")</f>
        <v xml:space="preserve"> </v>
      </c>
      <c r="X505" s="42" t="str">
        <f>IFERROR(VLOOKUP($J505,'Project Reference'!$B$2:$K$41,10)," ")</f>
        <v xml:space="preserve"> </v>
      </c>
      <c r="Y505" s="42" t="str">
        <f>IFERROR(VLOOKUP($J505,'Project Reference'!$B$2:$L$41,11)," ")</f>
        <v xml:space="preserve"> </v>
      </c>
      <c r="Z505" s="42" t="str">
        <f>IFERROR(VLOOKUP($J505,'Project Reference'!$B$2:$M$41,12)," ")</f>
        <v xml:space="preserve"> </v>
      </c>
      <c r="AA505" s="42" t="str">
        <f>IFERROR(VLOOKUP($J505,'Project Reference'!$B$2:$N$41,13)," ")</f>
        <v xml:space="preserve"> </v>
      </c>
    </row>
    <row r="506" spans="1:27" s="1" customFormat="1" x14ac:dyDescent="0.45">
      <c r="A506" s="43"/>
      <c r="B506" s="205"/>
      <c r="C506"/>
      <c r="D506" s="72"/>
      <c r="E506" s="72"/>
      <c r="F506" s="72"/>
      <c r="G506" s="72"/>
      <c r="H506" s="17"/>
      <c r="I506" s="41" t="str" cm="1">
        <f t="array" ref="I506">IFERROR(_xlfn.IFS(H506="Hard (Cash)","N/A",H506="Soft (In-Kind)", "Enter Source"),"Select Type")</f>
        <v>Select Type</v>
      </c>
      <c r="J506" s="124"/>
      <c r="K506" s="41" t="str">
        <f>IFERROR(VLOOKUP($J506,'Project Reference'!$S$2:$T$41,2),"Enter Project Number")</f>
        <v>Enter Project Number</v>
      </c>
      <c r="L506" s="41"/>
      <c r="M506" s="41"/>
      <c r="N506" s="15">
        <f t="shared" si="7"/>
        <v>0</v>
      </c>
      <c r="O506" s="19"/>
      <c r="P506" s="42" t="str">
        <f>IFERROR(VLOOKUP($J506,'Project Reference'!$B$2:$C$41,2)," ")</f>
        <v xml:space="preserve"> </v>
      </c>
      <c r="Q506" s="42" t="str">
        <f>IFERROR(VLOOKUP($J506,'Project Reference'!$B$2:$D$41,3)," ")</f>
        <v xml:space="preserve"> </v>
      </c>
      <c r="R506" s="42" t="str">
        <f>IFERROR(VLOOKUP($J506,'Project Reference'!$B$2:$E$41,4)," ")</f>
        <v xml:space="preserve"> </v>
      </c>
      <c r="S506" s="42" t="str">
        <f>IFERROR(VLOOKUP($J506,'Project Reference'!$B$2:$F$41,5,FALSE)," ")</f>
        <v xml:space="preserve"> </v>
      </c>
      <c r="T506" s="42" t="str">
        <f>IFERROR(VLOOKUP($J506,'Project Reference'!$B$2:$G$41,6,FALSE)," ")</f>
        <v xml:space="preserve"> </v>
      </c>
      <c r="U506" s="42" t="str">
        <f>IFERROR(VLOOKUP($J506,'Project Reference'!$B$2:$H$41,7,FALSE)," ")</f>
        <v xml:space="preserve"> </v>
      </c>
      <c r="V506" s="42" t="str">
        <f>IFERROR(VLOOKUP($J506,'Project Reference'!$B$2:$I$41,8,FALSE)," ")</f>
        <v xml:space="preserve"> </v>
      </c>
      <c r="W506" s="42" t="str">
        <f>IFERROR(VLOOKUP($J506,'Project Reference'!$B$2:$J$41,9,FALSE)," ")</f>
        <v xml:space="preserve"> </v>
      </c>
      <c r="X506" s="42" t="str">
        <f>IFERROR(VLOOKUP($J506,'Project Reference'!$B$2:$K$41,10)," ")</f>
        <v xml:space="preserve"> </v>
      </c>
      <c r="Y506" s="42" t="str">
        <f>IFERROR(VLOOKUP($J506,'Project Reference'!$B$2:$L$41,11)," ")</f>
        <v xml:space="preserve"> </v>
      </c>
      <c r="Z506" s="42" t="str">
        <f>IFERROR(VLOOKUP($J506,'Project Reference'!$B$2:$M$41,12)," ")</f>
        <v xml:space="preserve"> </v>
      </c>
      <c r="AA506" s="42" t="str">
        <f>IFERROR(VLOOKUP($J506,'Project Reference'!$B$2:$N$41,13)," ")</f>
        <v xml:space="preserve"> </v>
      </c>
    </row>
    <row r="507" spans="1:27" s="1" customFormat="1" x14ac:dyDescent="0.45">
      <c r="A507" s="43"/>
      <c r="B507" s="205"/>
      <c r="C507"/>
      <c r="D507" s="72"/>
      <c r="E507" s="72"/>
      <c r="F507" s="72"/>
      <c r="G507" s="72"/>
      <c r="H507" s="17"/>
      <c r="I507" s="41" t="str" cm="1">
        <f t="array" ref="I507">IFERROR(_xlfn.IFS(H507="Hard (Cash)","N/A",H507="Soft (In-Kind)", "Enter Source"),"Select Type")</f>
        <v>Select Type</v>
      </c>
      <c r="J507" s="124"/>
      <c r="K507" s="41" t="str">
        <f>IFERROR(VLOOKUP($J507,'Project Reference'!$S$2:$T$41,2),"Enter Project Number")</f>
        <v>Enter Project Number</v>
      </c>
      <c r="L507" s="41"/>
      <c r="M507" s="41"/>
      <c r="N507" s="15">
        <f t="shared" si="7"/>
        <v>0</v>
      </c>
      <c r="O507" s="19"/>
      <c r="P507" s="42" t="str">
        <f>IFERROR(VLOOKUP($J507,'Project Reference'!$B$2:$C$41,2)," ")</f>
        <v xml:space="preserve"> </v>
      </c>
      <c r="Q507" s="42" t="str">
        <f>IFERROR(VLOOKUP($J507,'Project Reference'!$B$2:$D$41,3)," ")</f>
        <v xml:space="preserve"> </v>
      </c>
      <c r="R507" s="42" t="str">
        <f>IFERROR(VLOOKUP($J507,'Project Reference'!$B$2:$E$41,4)," ")</f>
        <v xml:space="preserve"> </v>
      </c>
      <c r="S507" s="42" t="str">
        <f>IFERROR(VLOOKUP($J507,'Project Reference'!$B$2:$F$41,5,FALSE)," ")</f>
        <v xml:space="preserve"> </v>
      </c>
      <c r="T507" s="42" t="str">
        <f>IFERROR(VLOOKUP($J507,'Project Reference'!$B$2:$G$41,6,FALSE)," ")</f>
        <v xml:space="preserve"> </v>
      </c>
      <c r="U507" s="42" t="str">
        <f>IFERROR(VLOOKUP($J507,'Project Reference'!$B$2:$H$41,7,FALSE)," ")</f>
        <v xml:space="preserve"> </v>
      </c>
      <c r="V507" s="42" t="str">
        <f>IFERROR(VLOOKUP($J507,'Project Reference'!$B$2:$I$41,8,FALSE)," ")</f>
        <v xml:space="preserve"> </v>
      </c>
      <c r="W507" s="42" t="str">
        <f>IFERROR(VLOOKUP($J507,'Project Reference'!$B$2:$J$41,9,FALSE)," ")</f>
        <v xml:space="preserve"> </v>
      </c>
      <c r="X507" s="42" t="str">
        <f>IFERROR(VLOOKUP($J507,'Project Reference'!$B$2:$K$41,10)," ")</f>
        <v xml:space="preserve"> </v>
      </c>
      <c r="Y507" s="42" t="str">
        <f>IFERROR(VLOOKUP($J507,'Project Reference'!$B$2:$L$41,11)," ")</f>
        <v xml:space="preserve"> </v>
      </c>
      <c r="Z507" s="42" t="str">
        <f>IFERROR(VLOOKUP($J507,'Project Reference'!$B$2:$M$41,12)," ")</f>
        <v xml:space="preserve"> </v>
      </c>
      <c r="AA507" s="42" t="str">
        <f>IFERROR(VLOOKUP($J507,'Project Reference'!$B$2:$N$41,13)," ")</f>
        <v xml:space="preserve"> </v>
      </c>
    </row>
    <row r="508" spans="1:27" s="1" customFormat="1" x14ac:dyDescent="0.45">
      <c r="A508" s="43"/>
      <c r="B508" s="205"/>
      <c r="C508"/>
      <c r="D508" s="72"/>
      <c r="E508" s="72"/>
      <c r="F508" s="72"/>
      <c r="G508" s="72"/>
      <c r="H508" s="17"/>
      <c r="I508" s="41" t="str" cm="1">
        <f t="array" ref="I508">IFERROR(_xlfn.IFS(H508="Hard (Cash)","N/A",H508="Soft (In-Kind)", "Enter Source"),"Select Type")</f>
        <v>Select Type</v>
      </c>
      <c r="J508" s="124"/>
      <c r="K508" s="41" t="str">
        <f>IFERROR(VLOOKUP($J508,'Project Reference'!$S$2:$T$41,2),"Enter Project Number")</f>
        <v>Enter Project Number</v>
      </c>
      <c r="L508" s="41"/>
      <c r="M508" s="41"/>
      <c r="N508" s="15">
        <f t="shared" si="7"/>
        <v>0</v>
      </c>
      <c r="O508" s="19"/>
      <c r="P508" s="42" t="str">
        <f>IFERROR(VLOOKUP($J508,'Project Reference'!$B$2:$C$41,2)," ")</f>
        <v xml:space="preserve"> </v>
      </c>
      <c r="Q508" s="42" t="str">
        <f>IFERROR(VLOOKUP($J508,'Project Reference'!$B$2:$D$41,3)," ")</f>
        <v xml:space="preserve"> </v>
      </c>
      <c r="R508" s="42" t="str">
        <f>IFERROR(VLOOKUP($J508,'Project Reference'!$B$2:$E$41,4)," ")</f>
        <v xml:space="preserve"> </v>
      </c>
      <c r="S508" s="42" t="str">
        <f>IFERROR(VLOOKUP($J508,'Project Reference'!$B$2:$F$41,5,FALSE)," ")</f>
        <v xml:space="preserve"> </v>
      </c>
      <c r="T508" s="42" t="str">
        <f>IFERROR(VLOOKUP($J508,'Project Reference'!$B$2:$G$41,6,FALSE)," ")</f>
        <v xml:space="preserve"> </v>
      </c>
      <c r="U508" s="42" t="str">
        <f>IFERROR(VLOOKUP($J508,'Project Reference'!$B$2:$H$41,7,FALSE)," ")</f>
        <v xml:space="preserve"> </v>
      </c>
      <c r="V508" s="42" t="str">
        <f>IFERROR(VLOOKUP($J508,'Project Reference'!$B$2:$I$41,8,FALSE)," ")</f>
        <v xml:space="preserve"> </v>
      </c>
      <c r="W508" s="42" t="str">
        <f>IFERROR(VLOOKUP($J508,'Project Reference'!$B$2:$J$41,9,FALSE)," ")</f>
        <v xml:space="preserve"> </v>
      </c>
      <c r="X508" s="42" t="str">
        <f>IFERROR(VLOOKUP($J508,'Project Reference'!$B$2:$K$41,10)," ")</f>
        <v xml:space="preserve"> </v>
      </c>
      <c r="Y508" s="42" t="str">
        <f>IFERROR(VLOOKUP($J508,'Project Reference'!$B$2:$L$41,11)," ")</f>
        <v xml:space="preserve"> </v>
      </c>
      <c r="Z508" s="42" t="str">
        <f>IFERROR(VLOOKUP($J508,'Project Reference'!$B$2:$M$41,12)," ")</f>
        <v xml:space="preserve"> </v>
      </c>
      <c r="AA508" s="42" t="str">
        <f>IFERROR(VLOOKUP($J508,'Project Reference'!$B$2:$N$41,13)," ")</f>
        <v xml:space="preserve"> </v>
      </c>
    </row>
    <row r="509" spans="1:27" s="1" customFormat="1" x14ac:dyDescent="0.45">
      <c r="A509" s="43"/>
      <c r="B509" s="205"/>
      <c r="C509"/>
      <c r="D509" s="72"/>
      <c r="E509" s="72"/>
      <c r="F509" s="72"/>
      <c r="G509" s="72"/>
      <c r="H509" s="17"/>
      <c r="I509" s="41" t="str" cm="1">
        <f t="array" ref="I509">IFERROR(_xlfn.IFS(H509="Hard (Cash)","N/A",H509="Soft (In-Kind)", "Enter Source"),"Select Type")</f>
        <v>Select Type</v>
      </c>
      <c r="J509" s="124"/>
      <c r="K509" s="41" t="str">
        <f>IFERROR(VLOOKUP($J509,'Project Reference'!$S$2:$T$41,2),"Enter Project Number")</f>
        <v>Enter Project Number</v>
      </c>
      <c r="L509" s="41"/>
      <c r="M509" s="41"/>
      <c r="N509" s="15">
        <f t="shared" si="7"/>
        <v>0</v>
      </c>
      <c r="O509" s="19"/>
      <c r="P509" s="42" t="str">
        <f>IFERROR(VLOOKUP($J509,'Project Reference'!$B$2:$C$41,2)," ")</f>
        <v xml:space="preserve"> </v>
      </c>
      <c r="Q509" s="42" t="str">
        <f>IFERROR(VLOOKUP($J509,'Project Reference'!$B$2:$D$41,3)," ")</f>
        <v xml:space="preserve"> </v>
      </c>
      <c r="R509" s="42" t="str">
        <f>IFERROR(VLOOKUP($J509,'Project Reference'!$B$2:$E$41,4)," ")</f>
        <v xml:space="preserve"> </v>
      </c>
      <c r="S509" s="42" t="str">
        <f>IFERROR(VLOOKUP($J509,'Project Reference'!$B$2:$F$41,5,FALSE)," ")</f>
        <v xml:space="preserve"> </v>
      </c>
      <c r="T509" s="42" t="str">
        <f>IFERROR(VLOOKUP($J509,'Project Reference'!$B$2:$G$41,6,FALSE)," ")</f>
        <v xml:space="preserve"> </v>
      </c>
      <c r="U509" s="42" t="str">
        <f>IFERROR(VLOOKUP($J509,'Project Reference'!$B$2:$H$41,7,FALSE)," ")</f>
        <v xml:space="preserve"> </v>
      </c>
      <c r="V509" s="42" t="str">
        <f>IFERROR(VLOOKUP($J509,'Project Reference'!$B$2:$I$41,8,FALSE)," ")</f>
        <v xml:space="preserve"> </v>
      </c>
      <c r="W509" s="42" t="str">
        <f>IFERROR(VLOOKUP($J509,'Project Reference'!$B$2:$J$41,9,FALSE)," ")</f>
        <v xml:space="preserve"> </v>
      </c>
      <c r="X509" s="42" t="str">
        <f>IFERROR(VLOOKUP($J509,'Project Reference'!$B$2:$K$41,10)," ")</f>
        <v xml:space="preserve"> </v>
      </c>
      <c r="Y509" s="42" t="str">
        <f>IFERROR(VLOOKUP($J509,'Project Reference'!$B$2:$L$41,11)," ")</f>
        <v xml:space="preserve"> </v>
      </c>
      <c r="Z509" s="42" t="str">
        <f>IFERROR(VLOOKUP($J509,'Project Reference'!$B$2:$M$41,12)," ")</f>
        <v xml:space="preserve"> </v>
      </c>
      <c r="AA509" s="42" t="str">
        <f>IFERROR(VLOOKUP($J509,'Project Reference'!$B$2:$N$41,13)," ")</f>
        <v xml:space="preserve"> </v>
      </c>
    </row>
    <row r="510" spans="1:27" s="1" customFormat="1" x14ac:dyDescent="0.45">
      <c r="A510" s="43"/>
      <c r="B510" s="205"/>
      <c r="C510"/>
      <c r="D510" s="72"/>
      <c r="E510" s="72"/>
      <c r="F510" s="72"/>
      <c r="G510" s="72"/>
      <c r="H510" s="17"/>
      <c r="I510" s="41" t="str" cm="1">
        <f t="array" ref="I510">IFERROR(_xlfn.IFS(H510="Hard (Cash)","N/A",H510="Soft (In-Kind)", "Enter Source"),"Select Type")</f>
        <v>Select Type</v>
      </c>
      <c r="J510" s="124"/>
      <c r="K510" s="41" t="str">
        <f>IFERROR(VLOOKUP($J510,'Project Reference'!$S$2:$T$41,2),"Enter Project Number")</f>
        <v>Enter Project Number</v>
      </c>
      <c r="L510" s="41"/>
      <c r="M510" s="41"/>
      <c r="N510" s="15">
        <f t="shared" si="7"/>
        <v>0</v>
      </c>
      <c r="O510" s="19"/>
      <c r="P510" s="42" t="str">
        <f>IFERROR(VLOOKUP($J510,'Project Reference'!$B$2:$C$41,2)," ")</f>
        <v xml:space="preserve"> </v>
      </c>
      <c r="Q510" s="42" t="str">
        <f>IFERROR(VLOOKUP($J510,'Project Reference'!$B$2:$D$41,3)," ")</f>
        <v xml:space="preserve"> </v>
      </c>
      <c r="R510" s="42" t="str">
        <f>IFERROR(VLOOKUP($J510,'Project Reference'!$B$2:$E$41,4)," ")</f>
        <v xml:space="preserve"> </v>
      </c>
      <c r="S510" s="42" t="str">
        <f>IFERROR(VLOOKUP($J510,'Project Reference'!$B$2:$F$41,5,FALSE)," ")</f>
        <v xml:space="preserve"> </v>
      </c>
      <c r="T510" s="42" t="str">
        <f>IFERROR(VLOOKUP($J510,'Project Reference'!$B$2:$G$41,6,FALSE)," ")</f>
        <v xml:space="preserve"> </v>
      </c>
      <c r="U510" s="42" t="str">
        <f>IFERROR(VLOOKUP($J510,'Project Reference'!$B$2:$H$41,7,FALSE)," ")</f>
        <v xml:space="preserve"> </v>
      </c>
      <c r="V510" s="42" t="str">
        <f>IFERROR(VLOOKUP($J510,'Project Reference'!$B$2:$I$41,8,FALSE)," ")</f>
        <v xml:space="preserve"> </v>
      </c>
      <c r="W510" s="42" t="str">
        <f>IFERROR(VLOOKUP($J510,'Project Reference'!$B$2:$J$41,9,FALSE)," ")</f>
        <v xml:space="preserve"> </v>
      </c>
      <c r="X510" s="42" t="str">
        <f>IFERROR(VLOOKUP($J510,'Project Reference'!$B$2:$K$41,10)," ")</f>
        <v xml:space="preserve"> </v>
      </c>
      <c r="Y510" s="42" t="str">
        <f>IFERROR(VLOOKUP($J510,'Project Reference'!$B$2:$L$41,11)," ")</f>
        <v xml:space="preserve"> </v>
      </c>
      <c r="Z510" s="42" t="str">
        <f>IFERROR(VLOOKUP($J510,'Project Reference'!$B$2:$M$41,12)," ")</f>
        <v xml:space="preserve"> </v>
      </c>
      <c r="AA510" s="42" t="str">
        <f>IFERROR(VLOOKUP($J510,'Project Reference'!$B$2:$N$41,13)," ")</f>
        <v xml:space="preserve"> </v>
      </c>
    </row>
    <row r="511" spans="1:27" s="1" customFormat="1" x14ac:dyDescent="0.45">
      <c r="A511" s="43"/>
      <c r="B511" s="205"/>
      <c r="C511"/>
      <c r="D511" s="72"/>
      <c r="E511" s="72"/>
      <c r="F511" s="72"/>
      <c r="G511" s="72"/>
      <c r="H511" s="17"/>
      <c r="I511" s="41" t="str" cm="1">
        <f t="array" ref="I511">IFERROR(_xlfn.IFS(H511="Hard (Cash)","N/A",H511="Soft (In-Kind)", "Enter Source"),"Select Type")</f>
        <v>Select Type</v>
      </c>
      <c r="J511" s="124"/>
      <c r="K511" s="41" t="str">
        <f>IFERROR(VLOOKUP($J511,'Project Reference'!$S$2:$T$41,2),"Enter Project Number")</f>
        <v>Enter Project Number</v>
      </c>
      <c r="L511" s="41"/>
      <c r="M511" s="41"/>
      <c r="N511" s="15">
        <f t="shared" si="7"/>
        <v>0</v>
      </c>
      <c r="O511" s="19"/>
      <c r="P511" s="42" t="str">
        <f>IFERROR(VLOOKUP($J511,'Project Reference'!$B$2:$C$41,2)," ")</f>
        <v xml:space="preserve"> </v>
      </c>
      <c r="Q511" s="42" t="str">
        <f>IFERROR(VLOOKUP($J511,'Project Reference'!$B$2:$D$41,3)," ")</f>
        <v xml:space="preserve"> </v>
      </c>
      <c r="R511" s="42" t="str">
        <f>IFERROR(VLOOKUP($J511,'Project Reference'!$B$2:$E$41,4)," ")</f>
        <v xml:space="preserve"> </v>
      </c>
      <c r="S511" s="42" t="str">
        <f>IFERROR(VLOOKUP($J511,'Project Reference'!$B$2:$F$41,5,FALSE)," ")</f>
        <v xml:space="preserve"> </v>
      </c>
      <c r="T511" s="42" t="str">
        <f>IFERROR(VLOOKUP($J511,'Project Reference'!$B$2:$G$41,6,FALSE)," ")</f>
        <v xml:space="preserve"> </v>
      </c>
      <c r="U511" s="42" t="str">
        <f>IFERROR(VLOOKUP($J511,'Project Reference'!$B$2:$H$41,7,FALSE)," ")</f>
        <v xml:space="preserve"> </v>
      </c>
      <c r="V511" s="42" t="str">
        <f>IFERROR(VLOOKUP($J511,'Project Reference'!$B$2:$I$41,8,FALSE)," ")</f>
        <v xml:space="preserve"> </v>
      </c>
      <c r="W511" s="42" t="str">
        <f>IFERROR(VLOOKUP($J511,'Project Reference'!$B$2:$J$41,9,FALSE)," ")</f>
        <v xml:space="preserve"> </v>
      </c>
      <c r="X511" s="42" t="str">
        <f>IFERROR(VLOOKUP($J511,'Project Reference'!$B$2:$K$41,10)," ")</f>
        <v xml:space="preserve"> </v>
      </c>
      <c r="Y511" s="42" t="str">
        <f>IFERROR(VLOOKUP($J511,'Project Reference'!$B$2:$L$41,11)," ")</f>
        <v xml:space="preserve"> </v>
      </c>
      <c r="Z511" s="42" t="str">
        <f>IFERROR(VLOOKUP($J511,'Project Reference'!$B$2:$M$41,12)," ")</f>
        <v xml:space="preserve"> </v>
      </c>
      <c r="AA511" s="42" t="str">
        <f>IFERROR(VLOOKUP($J511,'Project Reference'!$B$2:$N$41,13)," ")</f>
        <v xml:space="preserve"> </v>
      </c>
    </row>
    <row r="512" spans="1:27" s="1" customFormat="1" x14ac:dyDescent="0.45">
      <c r="A512" s="43"/>
      <c r="B512" s="205"/>
      <c r="C512"/>
      <c r="D512" s="72"/>
      <c r="E512" s="72"/>
      <c r="F512" s="72"/>
      <c r="G512" s="72"/>
      <c r="H512" s="17"/>
      <c r="I512" s="41" t="str" cm="1">
        <f t="array" ref="I512">IFERROR(_xlfn.IFS(H512="Hard (Cash)","N/A",H512="Soft (In-Kind)", "Enter Source"),"Select Type")</f>
        <v>Select Type</v>
      </c>
      <c r="J512" s="124"/>
      <c r="K512" s="41" t="str">
        <f>IFERROR(VLOOKUP($J512,'Project Reference'!$S$2:$T$41,2),"Enter Project Number")</f>
        <v>Enter Project Number</v>
      </c>
      <c r="L512" s="41"/>
      <c r="M512" s="41"/>
      <c r="N512" s="15">
        <f t="shared" si="7"/>
        <v>0</v>
      </c>
      <c r="O512" s="19"/>
      <c r="P512" s="42" t="str">
        <f>IFERROR(VLOOKUP($J512,'Project Reference'!$B$2:$C$41,2)," ")</f>
        <v xml:space="preserve"> </v>
      </c>
      <c r="Q512" s="42" t="str">
        <f>IFERROR(VLOOKUP($J512,'Project Reference'!$B$2:$D$41,3)," ")</f>
        <v xml:space="preserve"> </v>
      </c>
      <c r="R512" s="42" t="str">
        <f>IFERROR(VLOOKUP($J512,'Project Reference'!$B$2:$E$41,4)," ")</f>
        <v xml:space="preserve"> </v>
      </c>
      <c r="S512" s="42" t="str">
        <f>IFERROR(VLOOKUP($J512,'Project Reference'!$B$2:$F$41,5,FALSE)," ")</f>
        <v xml:space="preserve"> </v>
      </c>
      <c r="T512" s="42" t="str">
        <f>IFERROR(VLOOKUP($J512,'Project Reference'!$B$2:$G$41,6,FALSE)," ")</f>
        <v xml:space="preserve"> </v>
      </c>
      <c r="U512" s="42" t="str">
        <f>IFERROR(VLOOKUP($J512,'Project Reference'!$B$2:$H$41,7,FALSE)," ")</f>
        <v xml:space="preserve"> </v>
      </c>
      <c r="V512" s="42" t="str">
        <f>IFERROR(VLOOKUP($J512,'Project Reference'!$B$2:$I$41,8,FALSE)," ")</f>
        <v xml:space="preserve"> </v>
      </c>
      <c r="W512" s="42" t="str">
        <f>IFERROR(VLOOKUP($J512,'Project Reference'!$B$2:$J$41,9,FALSE)," ")</f>
        <v xml:space="preserve"> </v>
      </c>
      <c r="X512" s="42" t="str">
        <f>IFERROR(VLOOKUP($J512,'Project Reference'!$B$2:$K$41,10)," ")</f>
        <v xml:space="preserve"> </v>
      </c>
      <c r="Y512" s="42" t="str">
        <f>IFERROR(VLOOKUP($J512,'Project Reference'!$B$2:$L$41,11)," ")</f>
        <v xml:space="preserve"> </v>
      </c>
      <c r="Z512" s="42" t="str">
        <f>IFERROR(VLOOKUP($J512,'Project Reference'!$B$2:$M$41,12)," ")</f>
        <v xml:space="preserve"> </v>
      </c>
      <c r="AA512" s="42" t="str">
        <f>IFERROR(VLOOKUP($J512,'Project Reference'!$B$2:$N$41,13)," ")</f>
        <v xml:space="preserve"> </v>
      </c>
    </row>
    <row r="513" spans="1:27" s="1" customFormat="1" x14ac:dyDescent="0.45">
      <c r="A513" s="43"/>
      <c r="B513" s="205"/>
      <c r="C513"/>
      <c r="D513" s="72"/>
      <c r="E513" s="72"/>
      <c r="F513" s="72"/>
      <c r="G513" s="72"/>
      <c r="H513" s="17"/>
      <c r="I513" s="41" t="str" cm="1">
        <f t="array" ref="I513">IFERROR(_xlfn.IFS(H513="Hard (Cash)","N/A",H513="Soft (In-Kind)", "Enter Source"),"Select Type")</f>
        <v>Select Type</v>
      </c>
      <c r="J513" s="124"/>
      <c r="K513" s="41" t="str">
        <f>IFERROR(VLOOKUP($J513,'Project Reference'!$S$2:$T$41,2),"Enter Project Number")</f>
        <v>Enter Project Number</v>
      </c>
      <c r="L513" s="41"/>
      <c r="M513" s="41"/>
      <c r="N513" s="15">
        <f t="shared" si="7"/>
        <v>0</v>
      </c>
      <c r="O513" s="19"/>
      <c r="P513" s="42" t="str">
        <f>IFERROR(VLOOKUP($J513,'Project Reference'!$B$2:$C$41,2)," ")</f>
        <v xml:space="preserve"> </v>
      </c>
      <c r="Q513" s="42" t="str">
        <f>IFERROR(VLOOKUP($J513,'Project Reference'!$B$2:$D$41,3)," ")</f>
        <v xml:space="preserve"> </v>
      </c>
      <c r="R513" s="42" t="str">
        <f>IFERROR(VLOOKUP($J513,'Project Reference'!$B$2:$E$41,4)," ")</f>
        <v xml:space="preserve"> </v>
      </c>
      <c r="S513" s="42" t="str">
        <f>IFERROR(VLOOKUP($J513,'Project Reference'!$B$2:$F$41,5,FALSE)," ")</f>
        <v xml:space="preserve"> </v>
      </c>
      <c r="T513" s="42" t="str">
        <f>IFERROR(VLOOKUP($J513,'Project Reference'!$B$2:$G$41,6,FALSE)," ")</f>
        <v xml:space="preserve"> </v>
      </c>
      <c r="U513" s="42" t="str">
        <f>IFERROR(VLOOKUP($J513,'Project Reference'!$B$2:$H$41,7,FALSE)," ")</f>
        <v xml:space="preserve"> </v>
      </c>
      <c r="V513" s="42" t="str">
        <f>IFERROR(VLOOKUP($J513,'Project Reference'!$B$2:$I$41,8,FALSE)," ")</f>
        <v xml:space="preserve"> </v>
      </c>
      <c r="W513" s="42" t="str">
        <f>IFERROR(VLOOKUP($J513,'Project Reference'!$B$2:$J$41,9,FALSE)," ")</f>
        <v xml:space="preserve"> </v>
      </c>
      <c r="X513" s="42" t="str">
        <f>IFERROR(VLOOKUP($J513,'Project Reference'!$B$2:$K$41,10)," ")</f>
        <v xml:space="preserve"> </v>
      </c>
      <c r="Y513" s="42" t="str">
        <f>IFERROR(VLOOKUP($J513,'Project Reference'!$B$2:$L$41,11)," ")</f>
        <v xml:space="preserve"> </v>
      </c>
      <c r="Z513" s="42" t="str">
        <f>IFERROR(VLOOKUP($J513,'Project Reference'!$B$2:$M$41,12)," ")</f>
        <v xml:space="preserve"> </v>
      </c>
      <c r="AA513" s="42" t="str">
        <f>IFERROR(VLOOKUP($J513,'Project Reference'!$B$2:$N$41,13)," ")</f>
        <v xml:space="preserve"> </v>
      </c>
    </row>
    <row r="514" spans="1:27" s="1" customFormat="1" x14ac:dyDescent="0.45">
      <c r="A514" s="43"/>
      <c r="B514" s="205"/>
      <c r="C514"/>
      <c r="D514" s="72"/>
      <c r="E514" s="72"/>
      <c r="F514" s="72"/>
      <c r="G514" s="72"/>
      <c r="H514" s="17"/>
      <c r="I514" s="41" t="str" cm="1">
        <f t="array" ref="I514">IFERROR(_xlfn.IFS(H514="Hard (Cash)","N/A",H514="Soft (In-Kind)", "Enter Source"),"Select Type")</f>
        <v>Select Type</v>
      </c>
      <c r="J514" s="124"/>
      <c r="K514" s="41" t="str">
        <f>IFERROR(VLOOKUP($J514,'Project Reference'!$S$2:$T$41,2),"Enter Project Number")</f>
        <v>Enter Project Number</v>
      </c>
      <c r="L514" s="41"/>
      <c r="M514" s="41"/>
      <c r="N514" s="15">
        <f t="shared" si="7"/>
        <v>0</v>
      </c>
      <c r="O514" s="19"/>
      <c r="P514" s="42" t="str">
        <f>IFERROR(VLOOKUP($J514,'Project Reference'!$B$2:$C$41,2)," ")</f>
        <v xml:space="preserve"> </v>
      </c>
      <c r="Q514" s="42" t="str">
        <f>IFERROR(VLOOKUP($J514,'Project Reference'!$B$2:$D$41,3)," ")</f>
        <v xml:space="preserve"> </v>
      </c>
      <c r="R514" s="42" t="str">
        <f>IFERROR(VLOOKUP($J514,'Project Reference'!$B$2:$E$41,4)," ")</f>
        <v xml:space="preserve"> </v>
      </c>
      <c r="S514" s="42" t="str">
        <f>IFERROR(VLOOKUP($J514,'Project Reference'!$B$2:$F$41,5,FALSE)," ")</f>
        <v xml:space="preserve"> </v>
      </c>
      <c r="T514" s="42" t="str">
        <f>IFERROR(VLOOKUP($J514,'Project Reference'!$B$2:$G$41,6,FALSE)," ")</f>
        <v xml:space="preserve"> </v>
      </c>
      <c r="U514" s="42" t="str">
        <f>IFERROR(VLOOKUP($J514,'Project Reference'!$B$2:$H$41,7,FALSE)," ")</f>
        <v xml:space="preserve"> </v>
      </c>
      <c r="V514" s="42" t="str">
        <f>IFERROR(VLOOKUP($J514,'Project Reference'!$B$2:$I$41,8,FALSE)," ")</f>
        <v xml:space="preserve"> </v>
      </c>
      <c r="W514" s="42" t="str">
        <f>IFERROR(VLOOKUP($J514,'Project Reference'!$B$2:$J$41,9,FALSE)," ")</f>
        <v xml:space="preserve"> </v>
      </c>
      <c r="X514" s="42" t="str">
        <f>IFERROR(VLOOKUP($J514,'Project Reference'!$B$2:$K$41,10)," ")</f>
        <v xml:space="preserve"> </v>
      </c>
      <c r="Y514" s="42" t="str">
        <f>IFERROR(VLOOKUP($J514,'Project Reference'!$B$2:$L$41,11)," ")</f>
        <v xml:space="preserve"> </v>
      </c>
      <c r="Z514" s="42" t="str">
        <f>IFERROR(VLOOKUP($J514,'Project Reference'!$B$2:$M$41,12)," ")</f>
        <v xml:space="preserve"> </v>
      </c>
      <c r="AA514" s="42" t="str">
        <f>IFERROR(VLOOKUP($J514,'Project Reference'!$B$2:$N$41,13)," ")</f>
        <v xml:space="preserve"> </v>
      </c>
    </row>
    <row r="515" spans="1:27" s="1" customFormat="1" x14ac:dyDescent="0.45">
      <c r="A515" s="43"/>
      <c r="B515" s="205"/>
      <c r="C515"/>
      <c r="D515" s="72"/>
      <c r="E515" s="72"/>
      <c r="F515" s="72"/>
      <c r="G515" s="72"/>
      <c r="H515" s="17"/>
      <c r="I515" s="41" t="str" cm="1">
        <f t="array" ref="I515">IFERROR(_xlfn.IFS(H515="Hard (Cash)","N/A",H515="Soft (In-Kind)", "Enter Source"),"Select Type")</f>
        <v>Select Type</v>
      </c>
      <c r="J515" s="124"/>
      <c r="K515" s="41" t="str">
        <f>IFERROR(VLOOKUP($J515,'Project Reference'!$S$2:$T$41,2),"Enter Project Number")</f>
        <v>Enter Project Number</v>
      </c>
      <c r="L515" s="41"/>
      <c r="M515" s="41"/>
      <c r="N515" s="15">
        <f t="shared" si="7"/>
        <v>0</v>
      </c>
      <c r="O515" s="19"/>
      <c r="P515" s="42" t="str">
        <f>IFERROR(VLOOKUP($J515,'Project Reference'!$B$2:$C$41,2)," ")</f>
        <v xml:space="preserve"> </v>
      </c>
      <c r="Q515" s="42" t="str">
        <f>IFERROR(VLOOKUP($J515,'Project Reference'!$B$2:$D$41,3)," ")</f>
        <v xml:space="preserve"> </v>
      </c>
      <c r="R515" s="42" t="str">
        <f>IFERROR(VLOOKUP($J515,'Project Reference'!$B$2:$E$41,4)," ")</f>
        <v xml:space="preserve"> </v>
      </c>
      <c r="S515" s="42" t="str">
        <f>IFERROR(VLOOKUP($J515,'Project Reference'!$B$2:$F$41,5,FALSE)," ")</f>
        <v xml:space="preserve"> </v>
      </c>
      <c r="T515" s="42" t="str">
        <f>IFERROR(VLOOKUP($J515,'Project Reference'!$B$2:$G$41,6,FALSE)," ")</f>
        <v xml:space="preserve"> </v>
      </c>
      <c r="U515" s="42" t="str">
        <f>IFERROR(VLOOKUP($J515,'Project Reference'!$B$2:$H$41,7,FALSE)," ")</f>
        <v xml:space="preserve"> </v>
      </c>
      <c r="V515" s="42" t="str">
        <f>IFERROR(VLOOKUP($J515,'Project Reference'!$B$2:$I$41,8,FALSE)," ")</f>
        <v xml:space="preserve"> </v>
      </c>
      <c r="W515" s="42" t="str">
        <f>IFERROR(VLOOKUP($J515,'Project Reference'!$B$2:$J$41,9,FALSE)," ")</f>
        <v xml:space="preserve"> </v>
      </c>
      <c r="X515" s="42" t="str">
        <f>IFERROR(VLOOKUP($J515,'Project Reference'!$B$2:$K$41,10)," ")</f>
        <v xml:space="preserve"> </v>
      </c>
      <c r="Y515" s="42" t="str">
        <f>IFERROR(VLOOKUP($J515,'Project Reference'!$B$2:$L$41,11)," ")</f>
        <v xml:space="preserve"> </v>
      </c>
      <c r="Z515" s="42" t="str">
        <f>IFERROR(VLOOKUP($J515,'Project Reference'!$B$2:$M$41,12)," ")</f>
        <v xml:space="preserve"> </v>
      </c>
      <c r="AA515" s="42" t="str">
        <f>IFERROR(VLOOKUP($J515,'Project Reference'!$B$2:$N$41,13)," ")</f>
        <v xml:space="preserve"> </v>
      </c>
    </row>
    <row r="516" spans="1:27" s="1" customFormat="1" x14ac:dyDescent="0.45">
      <c r="A516" s="43"/>
      <c r="B516" s="205"/>
      <c r="C516"/>
      <c r="D516" s="72"/>
      <c r="E516" s="72"/>
      <c r="F516" s="72"/>
      <c r="G516" s="72"/>
      <c r="H516" s="17"/>
      <c r="I516" s="41" t="str" cm="1">
        <f t="array" ref="I516">IFERROR(_xlfn.IFS(H516="Hard (Cash)","N/A",H516="Soft (In-Kind)", "Enter Source"),"Select Type")</f>
        <v>Select Type</v>
      </c>
      <c r="J516" s="124"/>
      <c r="K516" s="41" t="str">
        <f>IFERROR(VLOOKUP($J516,'Project Reference'!$S$2:$T$41,2),"Enter Project Number")</f>
        <v>Enter Project Number</v>
      </c>
      <c r="L516" s="41"/>
      <c r="M516" s="41"/>
      <c r="N516" s="15">
        <f t="shared" si="7"/>
        <v>0</v>
      </c>
      <c r="O516" s="19"/>
      <c r="P516" s="42" t="str">
        <f>IFERROR(VLOOKUP($J516,'Project Reference'!$B$2:$C$41,2)," ")</f>
        <v xml:space="preserve"> </v>
      </c>
      <c r="Q516" s="42" t="str">
        <f>IFERROR(VLOOKUP($J516,'Project Reference'!$B$2:$D$41,3)," ")</f>
        <v xml:space="preserve"> </v>
      </c>
      <c r="R516" s="42" t="str">
        <f>IFERROR(VLOOKUP($J516,'Project Reference'!$B$2:$E$41,4)," ")</f>
        <v xml:space="preserve"> </v>
      </c>
      <c r="S516" s="42" t="str">
        <f>IFERROR(VLOOKUP($J516,'Project Reference'!$B$2:$F$41,5,FALSE)," ")</f>
        <v xml:space="preserve"> </v>
      </c>
      <c r="T516" s="42" t="str">
        <f>IFERROR(VLOOKUP($J516,'Project Reference'!$B$2:$G$41,6,FALSE)," ")</f>
        <v xml:space="preserve"> </v>
      </c>
      <c r="U516" s="42" t="str">
        <f>IFERROR(VLOOKUP($J516,'Project Reference'!$B$2:$H$41,7,FALSE)," ")</f>
        <v xml:space="preserve"> </v>
      </c>
      <c r="V516" s="42" t="str">
        <f>IFERROR(VLOOKUP($J516,'Project Reference'!$B$2:$I$41,8,FALSE)," ")</f>
        <v xml:space="preserve"> </v>
      </c>
      <c r="W516" s="42" t="str">
        <f>IFERROR(VLOOKUP($J516,'Project Reference'!$B$2:$J$41,9,FALSE)," ")</f>
        <v xml:space="preserve"> </v>
      </c>
      <c r="X516" s="42" t="str">
        <f>IFERROR(VLOOKUP($J516,'Project Reference'!$B$2:$K$41,10)," ")</f>
        <v xml:space="preserve"> </v>
      </c>
      <c r="Y516" s="42" t="str">
        <f>IFERROR(VLOOKUP($J516,'Project Reference'!$B$2:$L$41,11)," ")</f>
        <v xml:space="preserve"> </v>
      </c>
      <c r="Z516" s="42" t="str">
        <f>IFERROR(VLOOKUP($J516,'Project Reference'!$B$2:$M$41,12)," ")</f>
        <v xml:space="preserve"> </v>
      </c>
      <c r="AA516" s="42" t="str">
        <f>IFERROR(VLOOKUP($J516,'Project Reference'!$B$2:$N$41,13)," ")</f>
        <v xml:space="preserve"> </v>
      </c>
    </row>
    <row r="517" spans="1:27" s="1" customFormat="1" x14ac:dyDescent="0.45">
      <c r="A517" s="43"/>
      <c r="B517" s="205"/>
      <c r="C517"/>
      <c r="D517" s="72"/>
      <c r="E517" s="72"/>
      <c r="F517" s="72"/>
      <c r="G517" s="72"/>
      <c r="H517" s="17"/>
      <c r="I517" s="41" t="str" cm="1">
        <f t="array" ref="I517">IFERROR(_xlfn.IFS(H517="Hard (Cash)","N/A",H517="Soft (In-Kind)", "Enter Source"),"Select Type")</f>
        <v>Select Type</v>
      </c>
      <c r="J517" s="124"/>
      <c r="K517" s="41" t="str">
        <f>IFERROR(VLOOKUP($J517,'Project Reference'!$S$2:$T$41,2),"Enter Project Number")</f>
        <v>Enter Project Number</v>
      </c>
      <c r="L517" s="41"/>
      <c r="M517" s="41"/>
      <c r="N517" s="15">
        <f t="shared" si="7"/>
        <v>0</v>
      </c>
      <c r="O517" s="19"/>
      <c r="P517" s="42" t="str">
        <f>IFERROR(VLOOKUP($J517,'Project Reference'!$B$2:$C$41,2)," ")</f>
        <v xml:space="preserve"> </v>
      </c>
      <c r="Q517" s="42" t="str">
        <f>IFERROR(VLOOKUP($J517,'Project Reference'!$B$2:$D$41,3)," ")</f>
        <v xml:space="preserve"> </v>
      </c>
      <c r="R517" s="42" t="str">
        <f>IFERROR(VLOOKUP($J517,'Project Reference'!$B$2:$E$41,4)," ")</f>
        <v xml:space="preserve"> </v>
      </c>
      <c r="S517" s="42" t="str">
        <f>IFERROR(VLOOKUP($J517,'Project Reference'!$B$2:$F$41,5,FALSE)," ")</f>
        <v xml:space="preserve"> </v>
      </c>
      <c r="T517" s="42" t="str">
        <f>IFERROR(VLOOKUP($J517,'Project Reference'!$B$2:$G$41,6,FALSE)," ")</f>
        <v xml:space="preserve"> </v>
      </c>
      <c r="U517" s="42" t="str">
        <f>IFERROR(VLOOKUP($J517,'Project Reference'!$B$2:$H$41,7,FALSE)," ")</f>
        <v xml:space="preserve"> </v>
      </c>
      <c r="V517" s="42" t="str">
        <f>IFERROR(VLOOKUP($J517,'Project Reference'!$B$2:$I$41,8,FALSE)," ")</f>
        <v xml:space="preserve"> </v>
      </c>
      <c r="W517" s="42" t="str">
        <f>IFERROR(VLOOKUP($J517,'Project Reference'!$B$2:$J$41,9,FALSE)," ")</f>
        <v xml:space="preserve"> </v>
      </c>
      <c r="X517" s="42" t="str">
        <f>IFERROR(VLOOKUP($J517,'Project Reference'!$B$2:$K$41,10)," ")</f>
        <v xml:space="preserve"> </v>
      </c>
      <c r="Y517" s="42" t="str">
        <f>IFERROR(VLOOKUP($J517,'Project Reference'!$B$2:$L$41,11)," ")</f>
        <v xml:space="preserve"> </v>
      </c>
      <c r="Z517" s="42" t="str">
        <f>IFERROR(VLOOKUP($J517,'Project Reference'!$B$2:$M$41,12)," ")</f>
        <v xml:space="preserve"> </v>
      </c>
      <c r="AA517" s="42" t="str">
        <f>IFERROR(VLOOKUP($J517,'Project Reference'!$B$2:$N$41,13)," ")</f>
        <v xml:space="preserve"> </v>
      </c>
    </row>
    <row r="518" spans="1:27" s="1" customFormat="1" x14ac:dyDescent="0.45">
      <c r="A518" s="43"/>
      <c r="B518" s="205"/>
      <c r="C518"/>
      <c r="D518" s="72"/>
      <c r="E518" s="72"/>
      <c r="F518" s="72"/>
      <c r="G518" s="72"/>
      <c r="H518" s="17"/>
      <c r="I518" s="41" t="str" cm="1">
        <f t="array" ref="I518">IFERROR(_xlfn.IFS(H518="Hard (Cash)","N/A",H518="Soft (In-Kind)", "Enter Source"),"Select Type")</f>
        <v>Select Type</v>
      </c>
      <c r="J518" s="124"/>
      <c r="K518" s="41" t="str">
        <f>IFERROR(VLOOKUP($J518,'Project Reference'!$S$2:$T$41,2),"Enter Project Number")</f>
        <v>Enter Project Number</v>
      </c>
      <c r="L518" s="41"/>
      <c r="M518" s="41"/>
      <c r="N518" s="15">
        <f t="shared" si="7"/>
        <v>0</v>
      </c>
      <c r="O518" s="19"/>
      <c r="P518" s="42" t="str">
        <f>IFERROR(VLOOKUP($J518,'Project Reference'!$B$2:$C$41,2)," ")</f>
        <v xml:space="preserve"> </v>
      </c>
      <c r="Q518" s="42" t="str">
        <f>IFERROR(VLOOKUP($J518,'Project Reference'!$B$2:$D$41,3)," ")</f>
        <v xml:space="preserve"> </v>
      </c>
      <c r="R518" s="42" t="str">
        <f>IFERROR(VLOOKUP($J518,'Project Reference'!$B$2:$E$41,4)," ")</f>
        <v xml:space="preserve"> </v>
      </c>
      <c r="S518" s="42" t="str">
        <f>IFERROR(VLOOKUP($J518,'Project Reference'!$B$2:$F$41,5,FALSE)," ")</f>
        <v xml:space="preserve"> </v>
      </c>
      <c r="T518" s="42" t="str">
        <f>IFERROR(VLOOKUP($J518,'Project Reference'!$B$2:$G$41,6,FALSE)," ")</f>
        <v xml:space="preserve"> </v>
      </c>
      <c r="U518" s="42" t="str">
        <f>IFERROR(VLOOKUP($J518,'Project Reference'!$B$2:$H$41,7,FALSE)," ")</f>
        <v xml:space="preserve"> </v>
      </c>
      <c r="V518" s="42" t="str">
        <f>IFERROR(VLOOKUP($J518,'Project Reference'!$B$2:$I$41,8,FALSE)," ")</f>
        <v xml:space="preserve"> </v>
      </c>
      <c r="W518" s="42" t="str">
        <f>IFERROR(VLOOKUP($J518,'Project Reference'!$B$2:$J$41,9,FALSE)," ")</f>
        <v xml:space="preserve"> </v>
      </c>
      <c r="X518" s="42" t="str">
        <f>IFERROR(VLOOKUP($J518,'Project Reference'!$B$2:$K$41,10)," ")</f>
        <v xml:space="preserve"> </v>
      </c>
      <c r="Y518" s="42" t="str">
        <f>IFERROR(VLOOKUP($J518,'Project Reference'!$B$2:$L$41,11)," ")</f>
        <v xml:space="preserve"> </v>
      </c>
      <c r="Z518" s="42" t="str">
        <f>IFERROR(VLOOKUP($J518,'Project Reference'!$B$2:$M$41,12)," ")</f>
        <v xml:space="preserve"> </v>
      </c>
      <c r="AA518" s="42" t="str">
        <f>IFERROR(VLOOKUP($J518,'Project Reference'!$B$2:$N$41,13)," ")</f>
        <v xml:space="preserve"> </v>
      </c>
    </row>
    <row r="519" spans="1:27" s="1" customFormat="1" x14ac:dyDescent="0.45">
      <c r="A519" s="43"/>
      <c r="B519" s="205"/>
      <c r="C519"/>
      <c r="D519" s="72"/>
      <c r="E519" s="72"/>
      <c r="F519" s="72"/>
      <c r="G519" s="72"/>
      <c r="H519" s="17"/>
      <c r="I519" s="41" t="str" cm="1">
        <f t="array" ref="I519">IFERROR(_xlfn.IFS(H519="Hard (Cash)","N/A",H519="Soft (In-Kind)", "Enter Source"),"Select Type")</f>
        <v>Select Type</v>
      </c>
      <c r="J519" s="124"/>
      <c r="K519" s="41" t="str">
        <f>IFERROR(VLOOKUP($J519,'Project Reference'!$S$2:$T$41,2),"Enter Project Number")</f>
        <v>Enter Project Number</v>
      </c>
      <c r="L519" s="41"/>
      <c r="M519" s="41"/>
      <c r="N519" s="15">
        <f t="shared" si="7"/>
        <v>0</v>
      </c>
      <c r="O519" s="19"/>
      <c r="P519" s="42" t="str">
        <f>IFERROR(VLOOKUP($J519,'Project Reference'!$B$2:$C$41,2)," ")</f>
        <v xml:space="preserve"> </v>
      </c>
      <c r="Q519" s="42" t="str">
        <f>IFERROR(VLOOKUP($J519,'Project Reference'!$B$2:$D$41,3)," ")</f>
        <v xml:space="preserve"> </v>
      </c>
      <c r="R519" s="42" t="str">
        <f>IFERROR(VLOOKUP($J519,'Project Reference'!$B$2:$E$41,4)," ")</f>
        <v xml:space="preserve"> </v>
      </c>
      <c r="S519" s="42" t="str">
        <f>IFERROR(VLOOKUP($J519,'Project Reference'!$B$2:$F$41,5,FALSE)," ")</f>
        <v xml:space="preserve"> </v>
      </c>
      <c r="T519" s="42" t="str">
        <f>IFERROR(VLOOKUP($J519,'Project Reference'!$B$2:$G$41,6,FALSE)," ")</f>
        <v xml:space="preserve"> </v>
      </c>
      <c r="U519" s="42" t="str">
        <f>IFERROR(VLOOKUP($J519,'Project Reference'!$B$2:$H$41,7,FALSE)," ")</f>
        <v xml:space="preserve"> </v>
      </c>
      <c r="V519" s="42" t="str">
        <f>IFERROR(VLOOKUP($J519,'Project Reference'!$B$2:$I$41,8,FALSE)," ")</f>
        <v xml:space="preserve"> </v>
      </c>
      <c r="W519" s="42" t="str">
        <f>IFERROR(VLOOKUP($J519,'Project Reference'!$B$2:$J$41,9,FALSE)," ")</f>
        <v xml:space="preserve"> </v>
      </c>
      <c r="X519" s="42" t="str">
        <f>IFERROR(VLOOKUP($J519,'Project Reference'!$B$2:$K$41,10)," ")</f>
        <v xml:space="preserve"> </v>
      </c>
      <c r="Y519" s="42" t="str">
        <f>IFERROR(VLOOKUP($J519,'Project Reference'!$B$2:$L$41,11)," ")</f>
        <v xml:space="preserve"> </v>
      </c>
      <c r="Z519" s="42" t="str">
        <f>IFERROR(VLOOKUP($J519,'Project Reference'!$B$2:$M$41,12)," ")</f>
        <v xml:space="preserve"> </v>
      </c>
      <c r="AA519" s="42" t="str">
        <f>IFERROR(VLOOKUP($J519,'Project Reference'!$B$2:$N$41,13)," ")</f>
        <v xml:space="preserve"> </v>
      </c>
    </row>
    <row r="520" spans="1:27" s="1" customFormat="1" x14ac:dyDescent="0.45">
      <c r="A520" s="43"/>
      <c r="B520" s="205"/>
      <c r="C520"/>
      <c r="D520" s="72"/>
      <c r="E520" s="72"/>
      <c r="F520" s="72"/>
      <c r="G520" s="72"/>
      <c r="H520" s="17"/>
      <c r="I520" s="41" t="str" cm="1">
        <f t="array" ref="I520">IFERROR(_xlfn.IFS(H520="Hard (Cash)","N/A",H520="Soft (In-Kind)", "Enter Source"),"Select Type")</f>
        <v>Select Type</v>
      </c>
      <c r="J520" s="124"/>
      <c r="K520" s="41" t="str">
        <f>IFERROR(VLOOKUP($J520,'Project Reference'!$S$2:$T$41,2),"Enter Project Number")</f>
        <v>Enter Project Number</v>
      </c>
      <c r="L520" s="41"/>
      <c r="M520" s="41"/>
      <c r="N520" s="15">
        <f t="shared" si="7"/>
        <v>0</v>
      </c>
      <c r="O520" s="19"/>
      <c r="P520" s="42" t="str">
        <f>IFERROR(VLOOKUP($J520,'Project Reference'!$B$2:$C$41,2)," ")</f>
        <v xml:space="preserve"> </v>
      </c>
      <c r="Q520" s="42" t="str">
        <f>IFERROR(VLOOKUP($J520,'Project Reference'!$B$2:$D$41,3)," ")</f>
        <v xml:space="preserve"> </v>
      </c>
      <c r="R520" s="42" t="str">
        <f>IFERROR(VLOOKUP($J520,'Project Reference'!$B$2:$E$41,4)," ")</f>
        <v xml:space="preserve"> </v>
      </c>
      <c r="S520" s="42" t="str">
        <f>IFERROR(VLOOKUP($J520,'Project Reference'!$B$2:$F$41,5,FALSE)," ")</f>
        <v xml:space="preserve"> </v>
      </c>
      <c r="T520" s="42" t="str">
        <f>IFERROR(VLOOKUP($J520,'Project Reference'!$B$2:$G$41,6,FALSE)," ")</f>
        <v xml:space="preserve"> </v>
      </c>
      <c r="U520" s="42" t="str">
        <f>IFERROR(VLOOKUP($J520,'Project Reference'!$B$2:$H$41,7,FALSE)," ")</f>
        <v xml:space="preserve"> </v>
      </c>
      <c r="V520" s="42" t="str">
        <f>IFERROR(VLOOKUP($J520,'Project Reference'!$B$2:$I$41,8,FALSE)," ")</f>
        <v xml:space="preserve"> </v>
      </c>
      <c r="W520" s="42" t="str">
        <f>IFERROR(VLOOKUP($J520,'Project Reference'!$B$2:$J$41,9,FALSE)," ")</f>
        <v xml:space="preserve"> </v>
      </c>
      <c r="X520" s="42" t="str">
        <f>IFERROR(VLOOKUP($J520,'Project Reference'!$B$2:$K$41,10)," ")</f>
        <v xml:space="preserve"> </v>
      </c>
      <c r="Y520" s="42" t="str">
        <f>IFERROR(VLOOKUP($J520,'Project Reference'!$B$2:$L$41,11)," ")</f>
        <v xml:space="preserve"> </v>
      </c>
      <c r="Z520" s="42" t="str">
        <f>IFERROR(VLOOKUP($J520,'Project Reference'!$B$2:$M$41,12)," ")</f>
        <v xml:space="preserve"> </v>
      </c>
      <c r="AA520" s="42" t="str">
        <f>IFERROR(VLOOKUP($J520,'Project Reference'!$B$2:$N$41,13)," ")</f>
        <v xml:space="preserve"> </v>
      </c>
    </row>
    <row r="521" spans="1:27" s="1" customFormat="1" x14ac:dyDescent="0.45">
      <c r="A521" s="43"/>
      <c r="B521" s="205"/>
      <c r="C521"/>
      <c r="D521" s="72"/>
      <c r="E521" s="72"/>
      <c r="F521" s="72"/>
      <c r="G521" s="72"/>
      <c r="H521" s="17"/>
      <c r="I521" s="41" t="str" cm="1">
        <f t="array" ref="I521">IFERROR(_xlfn.IFS(H521="Hard (Cash)","N/A",H521="Soft (In-Kind)", "Enter Source"),"Select Type")</f>
        <v>Select Type</v>
      </c>
      <c r="J521" s="124"/>
      <c r="K521" s="41" t="str">
        <f>IFERROR(VLOOKUP($J521,'Project Reference'!$S$2:$T$41,2),"Enter Project Number")</f>
        <v>Enter Project Number</v>
      </c>
      <c r="L521" s="41"/>
      <c r="M521" s="41"/>
      <c r="N521" s="15">
        <f t="shared" si="7"/>
        <v>0</v>
      </c>
      <c r="O521" s="19"/>
      <c r="P521" s="42" t="str">
        <f>IFERROR(VLOOKUP($J521,'Project Reference'!$B$2:$C$41,2)," ")</f>
        <v xml:space="preserve"> </v>
      </c>
      <c r="Q521" s="42" t="str">
        <f>IFERROR(VLOOKUP($J521,'Project Reference'!$B$2:$D$41,3)," ")</f>
        <v xml:space="preserve"> </v>
      </c>
      <c r="R521" s="42" t="str">
        <f>IFERROR(VLOOKUP($J521,'Project Reference'!$B$2:$E$41,4)," ")</f>
        <v xml:space="preserve"> </v>
      </c>
      <c r="S521" s="42" t="str">
        <f>IFERROR(VLOOKUP($J521,'Project Reference'!$B$2:$F$41,5,FALSE)," ")</f>
        <v xml:space="preserve"> </v>
      </c>
      <c r="T521" s="42" t="str">
        <f>IFERROR(VLOOKUP($J521,'Project Reference'!$B$2:$G$41,6,FALSE)," ")</f>
        <v xml:space="preserve"> </v>
      </c>
      <c r="U521" s="42" t="str">
        <f>IFERROR(VLOOKUP($J521,'Project Reference'!$B$2:$H$41,7,FALSE)," ")</f>
        <v xml:space="preserve"> </v>
      </c>
      <c r="V521" s="42" t="str">
        <f>IFERROR(VLOOKUP($J521,'Project Reference'!$B$2:$I$41,8,FALSE)," ")</f>
        <v xml:space="preserve"> </v>
      </c>
      <c r="W521" s="42" t="str">
        <f>IFERROR(VLOOKUP($J521,'Project Reference'!$B$2:$J$41,9,FALSE)," ")</f>
        <v xml:space="preserve"> </v>
      </c>
      <c r="X521" s="42" t="str">
        <f>IFERROR(VLOOKUP($J521,'Project Reference'!$B$2:$K$41,10)," ")</f>
        <v xml:space="preserve"> </v>
      </c>
      <c r="Y521" s="42" t="str">
        <f>IFERROR(VLOOKUP($J521,'Project Reference'!$B$2:$L$41,11)," ")</f>
        <v xml:space="preserve"> </v>
      </c>
      <c r="Z521" s="42" t="str">
        <f>IFERROR(VLOOKUP($J521,'Project Reference'!$B$2:$M$41,12)," ")</f>
        <v xml:space="preserve"> </v>
      </c>
      <c r="AA521" s="42" t="str">
        <f>IFERROR(VLOOKUP($J521,'Project Reference'!$B$2:$N$41,13)," ")</f>
        <v xml:space="preserve"> </v>
      </c>
    </row>
    <row r="522" spans="1:27" s="1" customFormat="1" x14ac:dyDescent="0.45">
      <c r="A522" s="43"/>
      <c r="B522" s="205"/>
      <c r="C522"/>
      <c r="D522" s="72"/>
      <c r="E522" s="72"/>
      <c r="F522" s="72"/>
      <c r="G522" s="72"/>
      <c r="H522" s="17"/>
      <c r="I522" s="41" t="str" cm="1">
        <f t="array" ref="I522">IFERROR(_xlfn.IFS(H522="Hard (Cash)","N/A",H522="Soft (In-Kind)", "Enter Source"),"Select Type")</f>
        <v>Select Type</v>
      </c>
      <c r="J522" s="124"/>
      <c r="K522" s="41" t="str">
        <f>IFERROR(VLOOKUP($J522,'Project Reference'!$S$2:$T$41,2),"Enter Project Number")</f>
        <v>Enter Project Number</v>
      </c>
      <c r="L522" s="41"/>
      <c r="M522" s="41"/>
      <c r="N522" s="15">
        <f t="shared" si="7"/>
        <v>0</v>
      </c>
      <c r="O522" s="19"/>
      <c r="P522" s="42" t="str">
        <f>IFERROR(VLOOKUP($J522,'Project Reference'!$B$2:$C$41,2)," ")</f>
        <v xml:space="preserve"> </v>
      </c>
      <c r="Q522" s="42" t="str">
        <f>IFERROR(VLOOKUP($J522,'Project Reference'!$B$2:$D$41,3)," ")</f>
        <v xml:space="preserve"> </v>
      </c>
      <c r="R522" s="42" t="str">
        <f>IFERROR(VLOOKUP($J522,'Project Reference'!$B$2:$E$41,4)," ")</f>
        <v xml:space="preserve"> </v>
      </c>
      <c r="S522" s="42" t="str">
        <f>IFERROR(VLOOKUP($J522,'Project Reference'!$B$2:$F$41,5,FALSE)," ")</f>
        <v xml:space="preserve"> </v>
      </c>
      <c r="T522" s="42" t="str">
        <f>IFERROR(VLOOKUP($J522,'Project Reference'!$B$2:$G$41,6,FALSE)," ")</f>
        <v xml:space="preserve"> </v>
      </c>
      <c r="U522" s="42" t="str">
        <f>IFERROR(VLOOKUP($J522,'Project Reference'!$B$2:$H$41,7,FALSE)," ")</f>
        <v xml:space="preserve"> </v>
      </c>
      <c r="V522" s="42" t="str">
        <f>IFERROR(VLOOKUP($J522,'Project Reference'!$B$2:$I$41,8,FALSE)," ")</f>
        <v xml:space="preserve"> </v>
      </c>
      <c r="W522" s="42" t="str">
        <f>IFERROR(VLOOKUP($J522,'Project Reference'!$B$2:$J$41,9,FALSE)," ")</f>
        <v xml:space="preserve"> </v>
      </c>
      <c r="X522" s="42" t="str">
        <f>IFERROR(VLOOKUP($J522,'Project Reference'!$B$2:$K$41,10)," ")</f>
        <v xml:space="preserve"> </v>
      </c>
      <c r="Y522" s="42" t="str">
        <f>IFERROR(VLOOKUP($J522,'Project Reference'!$B$2:$L$41,11)," ")</f>
        <v xml:space="preserve"> </v>
      </c>
      <c r="Z522" s="42" t="str">
        <f>IFERROR(VLOOKUP($J522,'Project Reference'!$B$2:$M$41,12)," ")</f>
        <v xml:space="preserve"> </v>
      </c>
      <c r="AA522" s="42" t="str">
        <f>IFERROR(VLOOKUP($J522,'Project Reference'!$B$2:$N$41,13)," ")</f>
        <v xml:space="preserve"> </v>
      </c>
    </row>
    <row r="523" spans="1:27" s="1" customFormat="1" x14ac:dyDescent="0.45">
      <c r="A523" s="43"/>
      <c r="B523" s="205"/>
      <c r="C523"/>
      <c r="D523" s="72"/>
      <c r="E523" s="72"/>
      <c r="F523" s="72"/>
      <c r="G523" s="72"/>
      <c r="H523" s="17"/>
      <c r="I523" s="41" t="str" cm="1">
        <f t="array" ref="I523">IFERROR(_xlfn.IFS(H523="Hard (Cash)","N/A",H523="Soft (In-Kind)", "Enter Source"),"Select Type")</f>
        <v>Select Type</v>
      </c>
      <c r="J523" s="124"/>
      <c r="K523" s="41" t="str">
        <f>IFERROR(VLOOKUP($J523,'Project Reference'!$S$2:$T$41,2),"Enter Project Number")</f>
        <v>Enter Project Number</v>
      </c>
      <c r="L523" s="41"/>
      <c r="M523" s="41"/>
      <c r="N523" s="15">
        <f t="shared" ref="N523:N560" si="8">SUM(D523:G523)</f>
        <v>0</v>
      </c>
      <c r="O523" s="19"/>
      <c r="P523" s="42" t="str">
        <f>IFERROR(VLOOKUP($J523,'Project Reference'!$B$2:$C$41,2)," ")</f>
        <v xml:space="preserve"> </v>
      </c>
      <c r="Q523" s="42" t="str">
        <f>IFERROR(VLOOKUP($J523,'Project Reference'!$B$2:$D$41,3)," ")</f>
        <v xml:space="preserve"> </v>
      </c>
      <c r="R523" s="42" t="str">
        <f>IFERROR(VLOOKUP($J523,'Project Reference'!$B$2:$E$41,4)," ")</f>
        <v xml:space="preserve"> </v>
      </c>
      <c r="S523" s="42" t="str">
        <f>IFERROR(VLOOKUP($J523,'Project Reference'!$B$2:$F$41,5,FALSE)," ")</f>
        <v xml:space="preserve"> </v>
      </c>
      <c r="T523" s="42" t="str">
        <f>IFERROR(VLOOKUP($J523,'Project Reference'!$B$2:$G$41,6,FALSE)," ")</f>
        <v xml:space="preserve"> </v>
      </c>
      <c r="U523" s="42" t="str">
        <f>IFERROR(VLOOKUP($J523,'Project Reference'!$B$2:$H$41,7,FALSE)," ")</f>
        <v xml:space="preserve"> </v>
      </c>
      <c r="V523" s="42" t="str">
        <f>IFERROR(VLOOKUP($J523,'Project Reference'!$B$2:$I$41,8,FALSE)," ")</f>
        <v xml:space="preserve"> </v>
      </c>
      <c r="W523" s="42" t="str">
        <f>IFERROR(VLOOKUP($J523,'Project Reference'!$B$2:$J$41,9,FALSE)," ")</f>
        <v xml:space="preserve"> </v>
      </c>
      <c r="X523" s="42" t="str">
        <f>IFERROR(VLOOKUP($J523,'Project Reference'!$B$2:$K$41,10)," ")</f>
        <v xml:space="preserve"> </v>
      </c>
      <c r="Y523" s="42" t="str">
        <f>IFERROR(VLOOKUP($J523,'Project Reference'!$B$2:$L$41,11)," ")</f>
        <v xml:space="preserve"> </v>
      </c>
      <c r="Z523" s="42" t="str">
        <f>IFERROR(VLOOKUP($J523,'Project Reference'!$B$2:$M$41,12)," ")</f>
        <v xml:space="preserve"> </v>
      </c>
      <c r="AA523" s="42" t="str">
        <f>IFERROR(VLOOKUP($J523,'Project Reference'!$B$2:$N$41,13)," ")</f>
        <v xml:space="preserve"> </v>
      </c>
    </row>
    <row r="524" spans="1:27" s="1" customFormat="1" x14ac:dyDescent="0.45">
      <c r="A524" s="43"/>
      <c r="B524" s="205"/>
      <c r="C524"/>
      <c r="D524" s="72"/>
      <c r="E524" s="72"/>
      <c r="F524" s="72"/>
      <c r="G524" s="72"/>
      <c r="H524" s="17"/>
      <c r="I524" s="41" t="str" cm="1">
        <f t="array" ref="I524">IFERROR(_xlfn.IFS(H524="Hard (Cash)","N/A",H524="Soft (In-Kind)", "Enter Source"),"Select Type")</f>
        <v>Select Type</v>
      </c>
      <c r="J524" s="124"/>
      <c r="K524" s="41" t="str">
        <f>IFERROR(VLOOKUP($J524,'Project Reference'!$S$2:$T$41,2),"Enter Project Number")</f>
        <v>Enter Project Number</v>
      </c>
      <c r="L524" s="41"/>
      <c r="M524" s="41"/>
      <c r="N524" s="15">
        <f t="shared" si="8"/>
        <v>0</v>
      </c>
      <c r="O524" s="19"/>
      <c r="P524" s="42" t="str">
        <f>IFERROR(VLOOKUP($J524,'Project Reference'!$B$2:$C$41,2)," ")</f>
        <v xml:space="preserve"> </v>
      </c>
      <c r="Q524" s="42" t="str">
        <f>IFERROR(VLOOKUP($J524,'Project Reference'!$B$2:$D$41,3)," ")</f>
        <v xml:space="preserve"> </v>
      </c>
      <c r="R524" s="42" t="str">
        <f>IFERROR(VLOOKUP($J524,'Project Reference'!$B$2:$E$41,4)," ")</f>
        <v xml:space="preserve"> </v>
      </c>
      <c r="S524" s="42" t="str">
        <f>IFERROR(VLOOKUP($J524,'Project Reference'!$B$2:$F$41,5,FALSE)," ")</f>
        <v xml:space="preserve"> </v>
      </c>
      <c r="T524" s="42" t="str">
        <f>IFERROR(VLOOKUP($J524,'Project Reference'!$B$2:$G$41,6,FALSE)," ")</f>
        <v xml:space="preserve"> </v>
      </c>
      <c r="U524" s="42" t="str">
        <f>IFERROR(VLOOKUP($J524,'Project Reference'!$B$2:$H$41,7,FALSE)," ")</f>
        <v xml:space="preserve"> </v>
      </c>
      <c r="V524" s="42" t="str">
        <f>IFERROR(VLOOKUP($J524,'Project Reference'!$B$2:$I$41,8,FALSE)," ")</f>
        <v xml:space="preserve"> </v>
      </c>
      <c r="W524" s="42" t="str">
        <f>IFERROR(VLOOKUP($J524,'Project Reference'!$B$2:$J$41,9,FALSE)," ")</f>
        <v xml:space="preserve"> </v>
      </c>
      <c r="X524" s="42" t="str">
        <f>IFERROR(VLOOKUP($J524,'Project Reference'!$B$2:$K$41,10)," ")</f>
        <v xml:space="preserve"> </v>
      </c>
      <c r="Y524" s="42" t="str">
        <f>IFERROR(VLOOKUP($J524,'Project Reference'!$B$2:$L$41,11)," ")</f>
        <v xml:space="preserve"> </v>
      </c>
      <c r="Z524" s="42" t="str">
        <f>IFERROR(VLOOKUP($J524,'Project Reference'!$B$2:$M$41,12)," ")</f>
        <v xml:space="preserve"> </v>
      </c>
      <c r="AA524" s="42" t="str">
        <f>IFERROR(VLOOKUP($J524,'Project Reference'!$B$2:$N$41,13)," ")</f>
        <v xml:space="preserve"> </v>
      </c>
    </row>
    <row r="525" spans="1:27" s="1" customFormat="1" x14ac:dyDescent="0.45">
      <c r="A525" s="43"/>
      <c r="B525" s="205"/>
      <c r="C525"/>
      <c r="D525" s="72"/>
      <c r="E525" s="72"/>
      <c r="F525" s="72"/>
      <c r="G525" s="72"/>
      <c r="H525" s="17"/>
      <c r="I525" s="41" t="str" cm="1">
        <f t="array" ref="I525">IFERROR(_xlfn.IFS(H525="Hard (Cash)","N/A",H525="Soft (In-Kind)", "Enter Source"),"Select Type")</f>
        <v>Select Type</v>
      </c>
      <c r="J525" s="124"/>
      <c r="K525" s="41" t="str">
        <f>IFERROR(VLOOKUP($J525,'Project Reference'!$S$2:$T$41,2),"Enter Project Number")</f>
        <v>Enter Project Number</v>
      </c>
      <c r="L525" s="41"/>
      <c r="M525" s="41"/>
      <c r="N525" s="15">
        <f t="shared" si="8"/>
        <v>0</v>
      </c>
      <c r="O525" s="19"/>
      <c r="P525" s="42" t="str">
        <f>IFERROR(VLOOKUP($J525,'Project Reference'!$B$2:$C$41,2)," ")</f>
        <v xml:space="preserve"> </v>
      </c>
      <c r="Q525" s="42" t="str">
        <f>IFERROR(VLOOKUP($J525,'Project Reference'!$B$2:$D$41,3)," ")</f>
        <v xml:space="preserve"> </v>
      </c>
      <c r="R525" s="42" t="str">
        <f>IFERROR(VLOOKUP($J525,'Project Reference'!$B$2:$E$41,4)," ")</f>
        <v xml:space="preserve"> </v>
      </c>
      <c r="S525" s="42" t="str">
        <f>IFERROR(VLOOKUP($J525,'Project Reference'!$B$2:$F$41,5,FALSE)," ")</f>
        <v xml:space="preserve"> </v>
      </c>
      <c r="T525" s="42" t="str">
        <f>IFERROR(VLOOKUP($J525,'Project Reference'!$B$2:$G$41,6,FALSE)," ")</f>
        <v xml:space="preserve"> </v>
      </c>
      <c r="U525" s="42" t="str">
        <f>IFERROR(VLOOKUP($J525,'Project Reference'!$B$2:$H$41,7,FALSE)," ")</f>
        <v xml:space="preserve"> </v>
      </c>
      <c r="V525" s="42" t="str">
        <f>IFERROR(VLOOKUP($J525,'Project Reference'!$B$2:$I$41,8,FALSE)," ")</f>
        <v xml:space="preserve"> </v>
      </c>
      <c r="W525" s="42" t="str">
        <f>IFERROR(VLOOKUP($J525,'Project Reference'!$B$2:$J$41,9,FALSE)," ")</f>
        <v xml:space="preserve"> </v>
      </c>
      <c r="X525" s="42" t="str">
        <f>IFERROR(VLOOKUP($J525,'Project Reference'!$B$2:$K$41,10)," ")</f>
        <v xml:space="preserve"> </v>
      </c>
      <c r="Y525" s="42" t="str">
        <f>IFERROR(VLOOKUP($J525,'Project Reference'!$B$2:$L$41,11)," ")</f>
        <v xml:space="preserve"> </v>
      </c>
      <c r="Z525" s="42" t="str">
        <f>IFERROR(VLOOKUP($J525,'Project Reference'!$B$2:$M$41,12)," ")</f>
        <v xml:space="preserve"> </v>
      </c>
      <c r="AA525" s="42" t="str">
        <f>IFERROR(VLOOKUP($J525,'Project Reference'!$B$2:$N$41,13)," ")</f>
        <v xml:space="preserve"> </v>
      </c>
    </row>
    <row r="526" spans="1:27" s="1" customFormat="1" x14ac:dyDescent="0.45">
      <c r="A526" s="43"/>
      <c r="B526" s="205"/>
      <c r="C526"/>
      <c r="D526" s="72"/>
      <c r="E526" s="72"/>
      <c r="F526" s="72"/>
      <c r="G526" s="72"/>
      <c r="H526" s="17"/>
      <c r="I526" s="41" t="str" cm="1">
        <f t="array" ref="I526">IFERROR(_xlfn.IFS(H526="Hard (Cash)","N/A",H526="Soft (In-Kind)", "Enter Source"),"Select Type")</f>
        <v>Select Type</v>
      </c>
      <c r="J526" s="124"/>
      <c r="K526" s="41" t="str">
        <f>IFERROR(VLOOKUP($J526,'Project Reference'!$S$2:$T$41,2),"Enter Project Number")</f>
        <v>Enter Project Number</v>
      </c>
      <c r="L526" s="41"/>
      <c r="M526" s="41"/>
      <c r="N526" s="15">
        <f t="shared" si="8"/>
        <v>0</v>
      </c>
      <c r="O526" s="19"/>
      <c r="P526" s="42" t="str">
        <f>IFERROR(VLOOKUP($J526,'Project Reference'!$B$2:$C$41,2)," ")</f>
        <v xml:space="preserve"> </v>
      </c>
      <c r="Q526" s="42" t="str">
        <f>IFERROR(VLOOKUP($J526,'Project Reference'!$B$2:$D$41,3)," ")</f>
        <v xml:space="preserve"> </v>
      </c>
      <c r="R526" s="42" t="str">
        <f>IFERROR(VLOOKUP($J526,'Project Reference'!$B$2:$E$41,4)," ")</f>
        <v xml:space="preserve"> </v>
      </c>
      <c r="S526" s="42" t="str">
        <f>IFERROR(VLOOKUP($J526,'Project Reference'!$B$2:$F$41,5,FALSE)," ")</f>
        <v xml:space="preserve"> </v>
      </c>
      <c r="T526" s="42" t="str">
        <f>IFERROR(VLOOKUP($J526,'Project Reference'!$B$2:$G$41,6,FALSE)," ")</f>
        <v xml:space="preserve"> </v>
      </c>
      <c r="U526" s="42" t="str">
        <f>IFERROR(VLOOKUP($J526,'Project Reference'!$B$2:$H$41,7,FALSE)," ")</f>
        <v xml:space="preserve"> </v>
      </c>
      <c r="V526" s="42" t="str">
        <f>IFERROR(VLOOKUP($J526,'Project Reference'!$B$2:$I$41,8,FALSE)," ")</f>
        <v xml:space="preserve"> </v>
      </c>
      <c r="W526" s="42" t="str">
        <f>IFERROR(VLOOKUP($J526,'Project Reference'!$B$2:$J$41,9,FALSE)," ")</f>
        <v xml:space="preserve"> </v>
      </c>
      <c r="X526" s="42" t="str">
        <f>IFERROR(VLOOKUP($J526,'Project Reference'!$B$2:$K$41,10)," ")</f>
        <v xml:space="preserve"> </v>
      </c>
      <c r="Y526" s="42" t="str">
        <f>IFERROR(VLOOKUP($J526,'Project Reference'!$B$2:$L$41,11)," ")</f>
        <v xml:space="preserve"> </v>
      </c>
      <c r="Z526" s="42" t="str">
        <f>IFERROR(VLOOKUP($J526,'Project Reference'!$B$2:$M$41,12)," ")</f>
        <v xml:space="preserve"> </v>
      </c>
      <c r="AA526" s="42" t="str">
        <f>IFERROR(VLOOKUP($J526,'Project Reference'!$B$2:$N$41,13)," ")</f>
        <v xml:space="preserve"> </v>
      </c>
    </row>
    <row r="527" spans="1:27" s="1" customFormat="1" x14ac:dyDescent="0.45">
      <c r="A527" s="43"/>
      <c r="B527" s="205"/>
      <c r="C527"/>
      <c r="D527" s="72"/>
      <c r="E527" s="72"/>
      <c r="F527" s="72"/>
      <c r="G527" s="72"/>
      <c r="H527" s="17"/>
      <c r="I527" s="41" t="str" cm="1">
        <f t="array" ref="I527">IFERROR(_xlfn.IFS(H527="Hard (Cash)","N/A",H527="Soft (In-Kind)", "Enter Source"),"Select Type")</f>
        <v>Select Type</v>
      </c>
      <c r="J527" s="124"/>
      <c r="K527" s="41" t="str">
        <f>IFERROR(VLOOKUP($J527,'Project Reference'!$S$2:$T$41,2),"Enter Project Number")</f>
        <v>Enter Project Number</v>
      </c>
      <c r="L527" s="41"/>
      <c r="M527" s="41"/>
      <c r="N527" s="15">
        <f t="shared" si="8"/>
        <v>0</v>
      </c>
      <c r="O527" s="19"/>
      <c r="P527" s="42" t="str">
        <f>IFERROR(VLOOKUP($J527,'Project Reference'!$B$2:$C$41,2)," ")</f>
        <v xml:space="preserve"> </v>
      </c>
      <c r="Q527" s="42" t="str">
        <f>IFERROR(VLOOKUP($J527,'Project Reference'!$B$2:$D$41,3)," ")</f>
        <v xml:space="preserve"> </v>
      </c>
      <c r="R527" s="42" t="str">
        <f>IFERROR(VLOOKUP($J527,'Project Reference'!$B$2:$E$41,4)," ")</f>
        <v xml:space="preserve"> </v>
      </c>
      <c r="S527" s="42" t="str">
        <f>IFERROR(VLOOKUP($J527,'Project Reference'!$B$2:$F$41,5,FALSE)," ")</f>
        <v xml:space="preserve"> </v>
      </c>
      <c r="T527" s="42" t="str">
        <f>IFERROR(VLOOKUP($J527,'Project Reference'!$B$2:$G$41,6,FALSE)," ")</f>
        <v xml:space="preserve"> </v>
      </c>
      <c r="U527" s="42" t="str">
        <f>IFERROR(VLOOKUP($J527,'Project Reference'!$B$2:$H$41,7,FALSE)," ")</f>
        <v xml:space="preserve"> </v>
      </c>
      <c r="V527" s="42" t="str">
        <f>IFERROR(VLOOKUP($J527,'Project Reference'!$B$2:$I$41,8,FALSE)," ")</f>
        <v xml:space="preserve"> </v>
      </c>
      <c r="W527" s="42" t="str">
        <f>IFERROR(VLOOKUP($J527,'Project Reference'!$B$2:$J$41,9,FALSE)," ")</f>
        <v xml:space="preserve"> </v>
      </c>
      <c r="X527" s="42" t="str">
        <f>IFERROR(VLOOKUP($J527,'Project Reference'!$B$2:$K$41,10)," ")</f>
        <v xml:space="preserve"> </v>
      </c>
      <c r="Y527" s="42" t="str">
        <f>IFERROR(VLOOKUP($J527,'Project Reference'!$B$2:$L$41,11)," ")</f>
        <v xml:space="preserve"> </v>
      </c>
      <c r="Z527" s="42" t="str">
        <f>IFERROR(VLOOKUP($J527,'Project Reference'!$B$2:$M$41,12)," ")</f>
        <v xml:space="preserve"> </v>
      </c>
      <c r="AA527" s="42" t="str">
        <f>IFERROR(VLOOKUP($J527,'Project Reference'!$B$2:$N$41,13)," ")</f>
        <v xml:space="preserve"> </v>
      </c>
    </row>
    <row r="528" spans="1:27" s="1" customFormat="1" x14ac:dyDescent="0.45">
      <c r="A528" s="43"/>
      <c r="B528" s="205"/>
      <c r="C528"/>
      <c r="D528" s="72"/>
      <c r="E528" s="72"/>
      <c r="F528" s="72"/>
      <c r="G528" s="72"/>
      <c r="H528" s="17"/>
      <c r="I528" s="41" t="str" cm="1">
        <f t="array" ref="I528">IFERROR(_xlfn.IFS(H528="Hard (Cash)","N/A",H528="Soft (In-Kind)", "Enter Source"),"Select Type")</f>
        <v>Select Type</v>
      </c>
      <c r="J528" s="124"/>
      <c r="K528" s="41" t="str">
        <f>IFERROR(VLOOKUP($J528,'Project Reference'!$S$2:$T$41,2),"Enter Project Number")</f>
        <v>Enter Project Number</v>
      </c>
      <c r="L528" s="41"/>
      <c r="M528" s="41"/>
      <c r="N528" s="15">
        <f t="shared" si="8"/>
        <v>0</v>
      </c>
      <c r="O528" s="19"/>
      <c r="P528" s="42" t="str">
        <f>IFERROR(VLOOKUP($J528,'Project Reference'!$B$2:$C$41,2)," ")</f>
        <v xml:space="preserve"> </v>
      </c>
      <c r="Q528" s="42" t="str">
        <f>IFERROR(VLOOKUP($J528,'Project Reference'!$B$2:$D$41,3)," ")</f>
        <v xml:space="preserve"> </v>
      </c>
      <c r="R528" s="42" t="str">
        <f>IFERROR(VLOOKUP($J528,'Project Reference'!$B$2:$E$41,4)," ")</f>
        <v xml:space="preserve"> </v>
      </c>
      <c r="S528" s="42" t="str">
        <f>IFERROR(VLOOKUP($J528,'Project Reference'!$B$2:$F$41,5,FALSE)," ")</f>
        <v xml:space="preserve"> </v>
      </c>
      <c r="T528" s="42" t="str">
        <f>IFERROR(VLOOKUP($J528,'Project Reference'!$B$2:$G$41,6,FALSE)," ")</f>
        <v xml:space="preserve"> </v>
      </c>
      <c r="U528" s="42" t="str">
        <f>IFERROR(VLOOKUP($J528,'Project Reference'!$B$2:$H$41,7,FALSE)," ")</f>
        <v xml:space="preserve"> </v>
      </c>
      <c r="V528" s="42" t="str">
        <f>IFERROR(VLOOKUP($J528,'Project Reference'!$B$2:$I$41,8,FALSE)," ")</f>
        <v xml:space="preserve"> </v>
      </c>
      <c r="W528" s="42" t="str">
        <f>IFERROR(VLOOKUP($J528,'Project Reference'!$B$2:$J$41,9,FALSE)," ")</f>
        <v xml:space="preserve"> </v>
      </c>
      <c r="X528" s="42" t="str">
        <f>IFERROR(VLOOKUP($J528,'Project Reference'!$B$2:$K$41,10)," ")</f>
        <v xml:space="preserve"> </v>
      </c>
      <c r="Y528" s="42" t="str">
        <f>IFERROR(VLOOKUP($J528,'Project Reference'!$B$2:$L$41,11)," ")</f>
        <v xml:space="preserve"> </v>
      </c>
      <c r="Z528" s="42" t="str">
        <f>IFERROR(VLOOKUP($J528,'Project Reference'!$B$2:$M$41,12)," ")</f>
        <v xml:space="preserve"> </v>
      </c>
      <c r="AA528" s="42" t="str">
        <f>IFERROR(VLOOKUP($J528,'Project Reference'!$B$2:$N$41,13)," ")</f>
        <v xml:space="preserve"> </v>
      </c>
    </row>
    <row r="529" spans="1:27" s="1" customFormat="1" x14ac:dyDescent="0.45">
      <c r="A529" s="43"/>
      <c r="B529" s="205"/>
      <c r="C529"/>
      <c r="D529" s="72"/>
      <c r="E529" s="72"/>
      <c r="F529" s="72"/>
      <c r="G529" s="72"/>
      <c r="H529" s="17"/>
      <c r="I529" s="41" t="str" cm="1">
        <f t="array" ref="I529">IFERROR(_xlfn.IFS(H529="Hard (Cash)","N/A",H529="Soft (In-Kind)", "Enter Source"),"Select Type")</f>
        <v>Select Type</v>
      </c>
      <c r="J529" s="124"/>
      <c r="K529" s="41" t="str">
        <f>IFERROR(VLOOKUP($J529,'Project Reference'!$S$2:$T$41,2),"Enter Project Number")</f>
        <v>Enter Project Number</v>
      </c>
      <c r="L529" s="41"/>
      <c r="M529" s="41"/>
      <c r="N529" s="15">
        <f t="shared" si="8"/>
        <v>0</v>
      </c>
      <c r="O529" s="19"/>
      <c r="P529" s="42" t="str">
        <f>IFERROR(VLOOKUP($J529,'Project Reference'!$B$2:$C$41,2)," ")</f>
        <v xml:space="preserve"> </v>
      </c>
      <c r="Q529" s="42" t="str">
        <f>IFERROR(VLOOKUP($J529,'Project Reference'!$B$2:$D$41,3)," ")</f>
        <v xml:space="preserve"> </v>
      </c>
      <c r="R529" s="42" t="str">
        <f>IFERROR(VLOOKUP($J529,'Project Reference'!$B$2:$E$41,4)," ")</f>
        <v xml:space="preserve"> </v>
      </c>
      <c r="S529" s="42" t="str">
        <f>IFERROR(VLOOKUP($J529,'Project Reference'!$B$2:$F$41,5,FALSE)," ")</f>
        <v xml:space="preserve"> </v>
      </c>
      <c r="T529" s="42" t="str">
        <f>IFERROR(VLOOKUP($J529,'Project Reference'!$B$2:$G$41,6,FALSE)," ")</f>
        <v xml:space="preserve"> </v>
      </c>
      <c r="U529" s="42" t="str">
        <f>IFERROR(VLOOKUP($J529,'Project Reference'!$B$2:$H$41,7,FALSE)," ")</f>
        <v xml:space="preserve"> </v>
      </c>
      <c r="V529" s="42" t="str">
        <f>IFERROR(VLOOKUP($J529,'Project Reference'!$B$2:$I$41,8,FALSE)," ")</f>
        <v xml:space="preserve"> </v>
      </c>
      <c r="W529" s="42" t="str">
        <f>IFERROR(VLOOKUP($J529,'Project Reference'!$B$2:$J$41,9,FALSE)," ")</f>
        <v xml:space="preserve"> </v>
      </c>
      <c r="X529" s="42" t="str">
        <f>IFERROR(VLOOKUP($J529,'Project Reference'!$B$2:$K$41,10)," ")</f>
        <v xml:space="preserve"> </v>
      </c>
      <c r="Y529" s="42" t="str">
        <f>IFERROR(VLOOKUP($J529,'Project Reference'!$B$2:$L$41,11)," ")</f>
        <v xml:space="preserve"> </v>
      </c>
      <c r="Z529" s="42" t="str">
        <f>IFERROR(VLOOKUP($J529,'Project Reference'!$B$2:$M$41,12)," ")</f>
        <v xml:space="preserve"> </v>
      </c>
      <c r="AA529" s="42" t="str">
        <f>IFERROR(VLOOKUP($J529,'Project Reference'!$B$2:$N$41,13)," ")</f>
        <v xml:space="preserve"> </v>
      </c>
    </row>
    <row r="530" spans="1:27" s="1" customFormat="1" x14ac:dyDescent="0.45">
      <c r="A530" s="43"/>
      <c r="B530" s="205"/>
      <c r="C530"/>
      <c r="D530" s="72"/>
      <c r="E530" s="72"/>
      <c r="F530" s="72"/>
      <c r="G530" s="72"/>
      <c r="H530" s="17"/>
      <c r="I530" s="41" t="str" cm="1">
        <f t="array" ref="I530">IFERROR(_xlfn.IFS(H530="Hard (Cash)","N/A",H530="Soft (In-Kind)", "Enter Source"),"Select Type")</f>
        <v>Select Type</v>
      </c>
      <c r="J530" s="124"/>
      <c r="K530" s="41" t="str">
        <f>IFERROR(VLOOKUP($J530,'Project Reference'!$S$2:$T$41,2),"Enter Project Number")</f>
        <v>Enter Project Number</v>
      </c>
      <c r="L530" s="41"/>
      <c r="M530" s="41"/>
      <c r="N530" s="15">
        <f t="shared" si="8"/>
        <v>0</v>
      </c>
      <c r="O530" s="19"/>
      <c r="P530" s="42" t="str">
        <f>IFERROR(VLOOKUP($J530,'Project Reference'!$B$2:$C$41,2)," ")</f>
        <v xml:space="preserve"> </v>
      </c>
      <c r="Q530" s="42" t="str">
        <f>IFERROR(VLOOKUP($J530,'Project Reference'!$B$2:$D$41,3)," ")</f>
        <v xml:space="preserve"> </v>
      </c>
      <c r="R530" s="42" t="str">
        <f>IFERROR(VLOOKUP($J530,'Project Reference'!$B$2:$E$41,4)," ")</f>
        <v xml:space="preserve"> </v>
      </c>
      <c r="S530" s="42" t="str">
        <f>IFERROR(VLOOKUP($J530,'Project Reference'!$B$2:$F$41,5,FALSE)," ")</f>
        <v xml:space="preserve"> </v>
      </c>
      <c r="T530" s="42" t="str">
        <f>IFERROR(VLOOKUP($J530,'Project Reference'!$B$2:$G$41,6,FALSE)," ")</f>
        <v xml:space="preserve"> </v>
      </c>
      <c r="U530" s="42" t="str">
        <f>IFERROR(VLOOKUP($J530,'Project Reference'!$B$2:$H$41,7,FALSE)," ")</f>
        <v xml:space="preserve"> </v>
      </c>
      <c r="V530" s="42" t="str">
        <f>IFERROR(VLOOKUP($J530,'Project Reference'!$B$2:$I$41,8,FALSE)," ")</f>
        <v xml:space="preserve"> </v>
      </c>
      <c r="W530" s="42" t="str">
        <f>IFERROR(VLOOKUP($J530,'Project Reference'!$B$2:$J$41,9,FALSE)," ")</f>
        <v xml:space="preserve"> </v>
      </c>
      <c r="X530" s="42" t="str">
        <f>IFERROR(VLOOKUP($J530,'Project Reference'!$B$2:$K$41,10)," ")</f>
        <v xml:space="preserve"> </v>
      </c>
      <c r="Y530" s="42" t="str">
        <f>IFERROR(VLOOKUP($J530,'Project Reference'!$B$2:$L$41,11)," ")</f>
        <v xml:space="preserve"> </v>
      </c>
      <c r="Z530" s="42" t="str">
        <f>IFERROR(VLOOKUP($J530,'Project Reference'!$B$2:$M$41,12)," ")</f>
        <v xml:space="preserve"> </v>
      </c>
      <c r="AA530" s="42" t="str">
        <f>IFERROR(VLOOKUP($J530,'Project Reference'!$B$2:$N$41,13)," ")</f>
        <v xml:space="preserve"> </v>
      </c>
    </row>
    <row r="531" spans="1:27" s="1" customFormat="1" x14ac:dyDescent="0.45">
      <c r="A531" s="43"/>
      <c r="B531" s="205"/>
      <c r="C531"/>
      <c r="D531" s="72"/>
      <c r="E531" s="72"/>
      <c r="F531" s="72"/>
      <c r="G531" s="72"/>
      <c r="H531" s="17"/>
      <c r="I531" s="41" t="str" cm="1">
        <f t="array" ref="I531">IFERROR(_xlfn.IFS(H531="Hard (Cash)","N/A",H531="Soft (In-Kind)", "Enter Source"),"Select Type")</f>
        <v>Select Type</v>
      </c>
      <c r="J531" s="124"/>
      <c r="K531" s="41" t="str">
        <f>IFERROR(VLOOKUP($J531,'Project Reference'!$S$2:$T$41,2),"Enter Project Number")</f>
        <v>Enter Project Number</v>
      </c>
      <c r="L531" s="41"/>
      <c r="M531" s="41"/>
      <c r="N531" s="15">
        <f t="shared" si="8"/>
        <v>0</v>
      </c>
      <c r="O531" s="19"/>
      <c r="P531" s="42" t="str">
        <f>IFERROR(VLOOKUP($J531,'Project Reference'!$B$2:$C$41,2)," ")</f>
        <v xml:space="preserve"> </v>
      </c>
      <c r="Q531" s="42" t="str">
        <f>IFERROR(VLOOKUP($J531,'Project Reference'!$B$2:$D$41,3)," ")</f>
        <v xml:space="preserve"> </v>
      </c>
      <c r="R531" s="42" t="str">
        <f>IFERROR(VLOOKUP($J531,'Project Reference'!$B$2:$E$41,4)," ")</f>
        <v xml:space="preserve"> </v>
      </c>
      <c r="S531" s="42" t="str">
        <f>IFERROR(VLOOKUP($J531,'Project Reference'!$B$2:$F$41,5,FALSE)," ")</f>
        <v xml:space="preserve"> </v>
      </c>
      <c r="T531" s="42" t="str">
        <f>IFERROR(VLOOKUP($J531,'Project Reference'!$B$2:$G$41,6,FALSE)," ")</f>
        <v xml:space="preserve"> </v>
      </c>
      <c r="U531" s="42" t="str">
        <f>IFERROR(VLOOKUP($J531,'Project Reference'!$B$2:$H$41,7,FALSE)," ")</f>
        <v xml:space="preserve"> </v>
      </c>
      <c r="V531" s="42" t="str">
        <f>IFERROR(VLOOKUP($J531,'Project Reference'!$B$2:$I$41,8,FALSE)," ")</f>
        <v xml:space="preserve"> </v>
      </c>
      <c r="W531" s="42" t="str">
        <f>IFERROR(VLOOKUP($J531,'Project Reference'!$B$2:$J$41,9,FALSE)," ")</f>
        <v xml:space="preserve"> </v>
      </c>
      <c r="X531" s="42" t="str">
        <f>IFERROR(VLOOKUP($J531,'Project Reference'!$B$2:$K$41,10)," ")</f>
        <v xml:space="preserve"> </v>
      </c>
      <c r="Y531" s="42" t="str">
        <f>IFERROR(VLOOKUP($J531,'Project Reference'!$B$2:$L$41,11)," ")</f>
        <v xml:space="preserve"> </v>
      </c>
      <c r="Z531" s="42" t="str">
        <f>IFERROR(VLOOKUP($J531,'Project Reference'!$B$2:$M$41,12)," ")</f>
        <v xml:space="preserve"> </v>
      </c>
      <c r="AA531" s="42" t="str">
        <f>IFERROR(VLOOKUP($J531,'Project Reference'!$B$2:$N$41,13)," ")</f>
        <v xml:space="preserve"> </v>
      </c>
    </row>
    <row r="532" spans="1:27" s="1" customFormat="1" x14ac:dyDescent="0.45">
      <c r="A532" s="43"/>
      <c r="B532" s="205"/>
      <c r="C532"/>
      <c r="D532" s="72"/>
      <c r="E532" s="72"/>
      <c r="F532" s="72"/>
      <c r="G532" s="72"/>
      <c r="H532" s="17"/>
      <c r="I532" s="41" t="str" cm="1">
        <f t="array" ref="I532">IFERROR(_xlfn.IFS(H532="Hard (Cash)","N/A",H532="Soft (In-Kind)", "Enter Source"),"Select Type")</f>
        <v>Select Type</v>
      </c>
      <c r="J532" s="124"/>
      <c r="K532" s="41" t="str">
        <f>IFERROR(VLOOKUP($J532,'Project Reference'!$S$2:$T$41,2),"Enter Project Number")</f>
        <v>Enter Project Number</v>
      </c>
      <c r="L532" s="41"/>
      <c r="M532" s="41"/>
      <c r="N532" s="15">
        <f t="shared" si="8"/>
        <v>0</v>
      </c>
      <c r="O532" s="19"/>
      <c r="P532" s="42" t="str">
        <f>IFERROR(VLOOKUP($J532,'Project Reference'!$B$2:$C$41,2)," ")</f>
        <v xml:space="preserve"> </v>
      </c>
      <c r="Q532" s="42" t="str">
        <f>IFERROR(VLOOKUP($J532,'Project Reference'!$B$2:$D$41,3)," ")</f>
        <v xml:space="preserve"> </v>
      </c>
      <c r="R532" s="42" t="str">
        <f>IFERROR(VLOOKUP($J532,'Project Reference'!$B$2:$E$41,4)," ")</f>
        <v xml:space="preserve"> </v>
      </c>
      <c r="S532" s="42" t="str">
        <f>IFERROR(VLOOKUP($J532,'Project Reference'!$B$2:$F$41,5,FALSE)," ")</f>
        <v xml:space="preserve"> </v>
      </c>
      <c r="T532" s="42" t="str">
        <f>IFERROR(VLOOKUP($J532,'Project Reference'!$B$2:$G$41,6,FALSE)," ")</f>
        <v xml:space="preserve"> </v>
      </c>
      <c r="U532" s="42" t="str">
        <f>IFERROR(VLOOKUP($J532,'Project Reference'!$B$2:$H$41,7,FALSE)," ")</f>
        <v xml:space="preserve"> </v>
      </c>
      <c r="V532" s="42" t="str">
        <f>IFERROR(VLOOKUP($J532,'Project Reference'!$B$2:$I$41,8,FALSE)," ")</f>
        <v xml:space="preserve"> </v>
      </c>
      <c r="W532" s="42" t="str">
        <f>IFERROR(VLOOKUP($J532,'Project Reference'!$B$2:$J$41,9,FALSE)," ")</f>
        <v xml:space="preserve"> </v>
      </c>
      <c r="X532" s="42" t="str">
        <f>IFERROR(VLOOKUP($J532,'Project Reference'!$B$2:$K$41,10)," ")</f>
        <v xml:space="preserve"> </v>
      </c>
      <c r="Y532" s="42" t="str">
        <f>IFERROR(VLOOKUP($J532,'Project Reference'!$B$2:$L$41,11)," ")</f>
        <v xml:space="preserve"> </v>
      </c>
      <c r="Z532" s="42" t="str">
        <f>IFERROR(VLOOKUP($J532,'Project Reference'!$B$2:$M$41,12)," ")</f>
        <v xml:space="preserve"> </v>
      </c>
      <c r="AA532" s="42" t="str">
        <f>IFERROR(VLOOKUP($J532,'Project Reference'!$B$2:$N$41,13)," ")</f>
        <v xml:space="preserve"> </v>
      </c>
    </row>
    <row r="533" spans="1:27" s="1" customFormat="1" x14ac:dyDescent="0.45">
      <c r="A533" s="43"/>
      <c r="B533" s="205"/>
      <c r="C533"/>
      <c r="D533" s="72"/>
      <c r="E533" s="72"/>
      <c r="F533" s="72"/>
      <c r="G533" s="72"/>
      <c r="H533" s="17"/>
      <c r="I533" s="41" t="str" cm="1">
        <f t="array" ref="I533">IFERROR(_xlfn.IFS(H533="Hard (Cash)","N/A",H533="Soft (In-Kind)", "Enter Source"),"Select Type")</f>
        <v>Select Type</v>
      </c>
      <c r="J533" s="124"/>
      <c r="K533" s="41" t="str">
        <f>IFERROR(VLOOKUP($J533,'Project Reference'!$S$2:$T$41,2),"Enter Project Number")</f>
        <v>Enter Project Number</v>
      </c>
      <c r="L533" s="41"/>
      <c r="M533" s="41"/>
      <c r="N533" s="15">
        <f t="shared" si="8"/>
        <v>0</v>
      </c>
      <c r="O533" s="19"/>
      <c r="P533" s="42" t="str">
        <f>IFERROR(VLOOKUP($J533,'Project Reference'!$B$2:$C$41,2)," ")</f>
        <v xml:space="preserve"> </v>
      </c>
      <c r="Q533" s="42" t="str">
        <f>IFERROR(VLOOKUP($J533,'Project Reference'!$B$2:$D$41,3)," ")</f>
        <v xml:space="preserve"> </v>
      </c>
      <c r="R533" s="42" t="str">
        <f>IFERROR(VLOOKUP($J533,'Project Reference'!$B$2:$E$41,4)," ")</f>
        <v xml:space="preserve"> </v>
      </c>
      <c r="S533" s="42" t="str">
        <f>IFERROR(VLOOKUP($J533,'Project Reference'!$B$2:$F$41,5,FALSE)," ")</f>
        <v xml:space="preserve"> </v>
      </c>
      <c r="T533" s="42" t="str">
        <f>IFERROR(VLOOKUP($J533,'Project Reference'!$B$2:$G$41,6,FALSE)," ")</f>
        <v xml:space="preserve"> </v>
      </c>
      <c r="U533" s="42" t="str">
        <f>IFERROR(VLOOKUP($J533,'Project Reference'!$B$2:$H$41,7,FALSE)," ")</f>
        <v xml:space="preserve"> </v>
      </c>
      <c r="V533" s="42" t="str">
        <f>IFERROR(VLOOKUP($J533,'Project Reference'!$B$2:$I$41,8,FALSE)," ")</f>
        <v xml:space="preserve"> </v>
      </c>
      <c r="W533" s="42" t="str">
        <f>IFERROR(VLOOKUP($J533,'Project Reference'!$B$2:$J$41,9,FALSE)," ")</f>
        <v xml:space="preserve"> </v>
      </c>
      <c r="X533" s="42" t="str">
        <f>IFERROR(VLOOKUP($J533,'Project Reference'!$B$2:$K$41,10)," ")</f>
        <v xml:space="preserve"> </v>
      </c>
      <c r="Y533" s="42" t="str">
        <f>IFERROR(VLOOKUP($J533,'Project Reference'!$B$2:$L$41,11)," ")</f>
        <v xml:space="preserve"> </v>
      </c>
      <c r="Z533" s="42" t="str">
        <f>IFERROR(VLOOKUP($J533,'Project Reference'!$B$2:$M$41,12)," ")</f>
        <v xml:space="preserve"> </v>
      </c>
      <c r="AA533" s="42" t="str">
        <f>IFERROR(VLOOKUP($J533,'Project Reference'!$B$2:$N$41,13)," ")</f>
        <v xml:space="preserve"> </v>
      </c>
    </row>
    <row r="534" spans="1:27" s="1" customFormat="1" x14ac:dyDescent="0.45">
      <c r="A534" s="43"/>
      <c r="B534" s="205"/>
      <c r="C534"/>
      <c r="D534" s="72"/>
      <c r="E534" s="72"/>
      <c r="F534" s="72"/>
      <c r="G534" s="72"/>
      <c r="H534" s="17"/>
      <c r="I534" s="41" t="str" cm="1">
        <f t="array" ref="I534">IFERROR(_xlfn.IFS(H534="Hard (Cash)","N/A",H534="Soft (In-Kind)", "Enter Source"),"Select Type")</f>
        <v>Select Type</v>
      </c>
      <c r="J534" s="124"/>
      <c r="K534" s="41" t="str">
        <f>IFERROR(VLOOKUP($J534,'Project Reference'!$S$2:$T$41,2),"Enter Project Number")</f>
        <v>Enter Project Number</v>
      </c>
      <c r="L534" s="41"/>
      <c r="M534" s="41"/>
      <c r="N534" s="15">
        <f t="shared" si="8"/>
        <v>0</v>
      </c>
      <c r="O534" s="19"/>
      <c r="P534" s="42" t="str">
        <f>IFERROR(VLOOKUP($J534,'Project Reference'!$B$2:$C$41,2)," ")</f>
        <v xml:space="preserve"> </v>
      </c>
      <c r="Q534" s="42" t="str">
        <f>IFERROR(VLOOKUP($J534,'Project Reference'!$B$2:$D$41,3)," ")</f>
        <v xml:space="preserve"> </v>
      </c>
      <c r="R534" s="42" t="str">
        <f>IFERROR(VLOOKUP($J534,'Project Reference'!$B$2:$E$41,4)," ")</f>
        <v xml:space="preserve"> </v>
      </c>
      <c r="S534" s="42" t="str">
        <f>IFERROR(VLOOKUP($J534,'Project Reference'!$B$2:$F$41,5,FALSE)," ")</f>
        <v xml:space="preserve"> </v>
      </c>
      <c r="T534" s="42" t="str">
        <f>IFERROR(VLOOKUP($J534,'Project Reference'!$B$2:$G$41,6,FALSE)," ")</f>
        <v xml:space="preserve"> </v>
      </c>
      <c r="U534" s="42" t="str">
        <f>IFERROR(VLOOKUP($J534,'Project Reference'!$B$2:$H$41,7,FALSE)," ")</f>
        <v xml:space="preserve"> </v>
      </c>
      <c r="V534" s="42" t="str">
        <f>IFERROR(VLOOKUP($J534,'Project Reference'!$B$2:$I$41,8,FALSE)," ")</f>
        <v xml:space="preserve"> </v>
      </c>
      <c r="W534" s="42" t="str">
        <f>IFERROR(VLOOKUP($J534,'Project Reference'!$B$2:$J$41,9,FALSE)," ")</f>
        <v xml:space="preserve"> </v>
      </c>
      <c r="X534" s="42" t="str">
        <f>IFERROR(VLOOKUP($J534,'Project Reference'!$B$2:$K$41,10)," ")</f>
        <v xml:space="preserve"> </v>
      </c>
      <c r="Y534" s="42" t="str">
        <f>IFERROR(VLOOKUP($J534,'Project Reference'!$B$2:$L$41,11)," ")</f>
        <v xml:space="preserve"> </v>
      </c>
      <c r="Z534" s="42" t="str">
        <f>IFERROR(VLOOKUP($J534,'Project Reference'!$B$2:$M$41,12)," ")</f>
        <v xml:space="preserve"> </v>
      </c>
      <c r="AA534" s="42" t="str">
        <f>IFERROR(VLOOKUP($J534,'Project Reference'!$B$2:$N$41,13)," ")</f>
        <v xml:space="preserve"> </v>
      </c>
    </row>
    <row r="535" spans="1:27" s="1" customFormat="1" x14ac:dyDescent="0.45">
      <c r="A535" s="43"/>
      <c r="B535" s="205"/>
      <c r="C535"/>
      <c r="D535" s="72"/>
      <c r="E535" s="72"/>
      <c r="F535" s="72"/>
      <c r="G535" s="72"/>
      <c r="H535" s="17"/>
      <c r="I535" s="41" t="str" cm="1">
        <f t="array" ref="I535">IFERROR(_xlfn.IFS(H535="Hard (Cash)","N/A",H535="Soft (In-Kind)", "Enter Source"),"Select Type")</f>
        <v>Select Type</v>
      </c>
      <c r="J535" s="124"/>
      <c r="K535" s="41" t="str">
        <f>IFERROR(VLOOKUP($J535,'Project Reference'!$S$2:$T$41,2),"Enter Project Number")</f>
        <v>Enter Project Number</v>
      </c>
      <c r="L535" s="41"/>
      <c r="M535" s="41"/>
      <c r="N535" s="15">
        <f t="shared" si="8"/>
        <v>0</v>
      </c>
      <c r="O535" s="19"/>
      <c r="P535" s="42" t="str">
        <f>IFERROR(VLOOKUP($J535,'Project Reference'!$B$2:$C$41,2)," ")</f>
        <v xml:space="preserve"> </v>
      </c>
      <c r="Q535" s="42" t="str">
        <f>IFERROR(VLOOKUP($J535,'Project Reference'!$B$2:$D$41,3)," ")</f>
        <v xml:space="preserve"> </v>
      </c>
      <c r="R535" s="42" t="str">
        <f>IFERROR(VLOOKUP($J535,'Project Reference'!$B$2:$E$41,4)," ")</f>
        <v xml:space="preserve"> </v>
      </c>
      <c r="S535" s="42" t="str">
        <f>IFERROR(VLOOKUP($J535,'Project Reference'!$B$2:$F$41,5,FALSE)," ")</f>
        <v xml:space="preserve"> </v>
      </c>
      <c r="T535" s="42" t="str">
        <f>IFERROR(VLOOKUP($J535,'Project Reference'!$B$2:$G$41,6,FALSE)," ")</f>
        <v xml:space="preserve"> </v>
      </c>
      <c r="U535" s="42" t="str">
        <f>IFERROR(VLOOKUP($J535,'Project Reference'!$B$2:$H$41,7,FALSE)," ")</f>
        <v xml:space="preserve"> </v>
      </c>
      <c r="V535" s="42" t="str">
        <f>IFERROR(VLOOKUP($J535,'Project Reference'!$B$2:$I$41,8,FALSE)," ")</f>
        <v xml:space="preserve"> </v>
      </c>
      <c r="W535" s="42" t="str">
        <f>IFERROR(VLOOKUP($J535,'Project Reference'!$B$2:$J$41,9,FALSE)," ")</f>
        <v xml:space="preserve"> </v>
      </c>
      <c r="X535" s="42" t="str">
        <f>IFERROR(VLOOKUP($J535,'Project Reference'!$B$2:$K$41,10)," ")</f>
        <v xml:space="preserve"> </v>
      </c>
      <c r="Y535" s="42" t="str">
        <f>IFERROR(VLOOKUP($J535,'Project Reference'!$B$2:$L$41,11)," ")</f>
        <v xml:space="preserve"> </v>
      </c>
      <c r="Z535" s="42" t="str">
        <f>IFERROR(VLOOKUP($J535,'Project Reference'!$B$2:$M$41,12)," ")</f>
        <v xml:space="preserve"> </v>
      </c>
      <c r="AA535" s="42" t="str">
        <f>IFERROR(VLOOKUP($J535,'Project Reference'!$B$2:$N$41,13)," ")</f>
        <v xml:space="preserve"> </v>
      </c>
    </row>
    <row r="536" spans="1:27" s="1" customFormat="1" x14ac:dyDescent="0.45">
      <c r="A536" s="43"/>
      <c r="B536" s="205"/>
      <c r="C536"/>
      <c r="D536" s="72"/>
      <c r="E536" s="72"/>
      <c r="F536" s="72"/>
      <c r="G536" s="72"/>
      <c r="H536" s="17"/>
      <c r="I536" s="41" t="str" cm="1">
        <f t="array" ref="I536">IFERROR(_xlfn.IFS(H536="Hard (Cash)","N/A",H536="Soft (In-Kind)", "Enter Source"),"Select Type")</f>
        <v>Select Type</v>
      </c>
      <c r="J536" s="124"/>
      <c r="K536" s="41" t="str">
        <f>IFERROR(VLOOKUP($J536,'Project Reference'!$S$2:$T$41,2),"Enter Project Number")</f>
        <v>Enter Project Number</v>
      </c>
      <c r="L536" s="41"/>
      <c r="M536" s="41"/>
      <c r="N536" s="15">
        <f t="shared" si="8"/>
        <v>0</v>
      </c>
      <c r="O536" s="19"/>
      <c r="P536" s="42" t="str">
        <f>IFERROR(VLOOKUP($J536,'Project Reference'!$B$2:$C$41,2)," ")</f>
        <v xml:space="preserve"> </v>
      </c>
      <c r="Q536" s="42" t="str">
        <f>IFERROR(VLOOKUP($J536,'Project Reference'!$B$2:$D$41,3)," ")</f>
        <v xml:space="preserve"> </v>
      </c>
      <c r="R536" s="42" t="str">
        <f>IFERROR(VLOOKUP($J536,'Project Reference'!$B$2:$E$41,4)," ")</f>
        <v xml:space="preserve"> </v>
      </c>
      <c r="S536" s="42" t="str">
        <f>IFERROR(VLOOKUP($J536,'Project Reference'!$B$2:$F$41,5,FALSE)," ")</f>
        <v xml:space="preserve"> </v>
      </c>
      <c r="T536" s="42" t="str">
        <f>IFERROR(VLOOKUP($J536,'Project Reference'!$B$2:$G$41,6,FALSE)," ")</f>
        <v xml:space="preserve"> </v>
      </c>
      <c r="U536" s="42" t="str">
        <f>IFERROR(VLOOKUP($J536,'Project Reference'!$B$2:$H$41,7,FALSE)," ")</f>
        <v xml:space="preserve"> </v>
      </c>
      <c r="V536" s="42" t="str">
        <f>IFERROR(VLOOKUP($J536,'Project Reference'!$B$2:$I$41,8,FALSE)," ")</f>
        <v xml:space="preserve"> </v>
      </c>
      <c r="W536" s="42" t="str">
        <f>IFERROR(VLOOKUP($J536,'Project Reference'!$B$2:$J$41,9,FALSE)," ")</f>
        <v xml:space="preserve"> </v>
      </c>
      <c r="X536" s="42" t="str">
        <f>IFERROR(VLOOKUP($J536,'Project Reference'!$B$2:$K$41,10)," ")</f>
        <v xml:space="preserve"> </v>
      </c>
      <c r="Y536" s="42" t="str">
        <f>IFERROR(VLOOKUP($J536,'Project Reference'!$B$2:$L$41,11)," ")</f>
        <v xml:space="preserve"> </v>
      </c>
      <c r="Z536" s="42" t="str">
        <f>IFERROR(VLOOKUP($J536,'Project Reference'!$B$2:$M$41,12)," ")</f>
        <v xml:space="preserve"> </v>
      </c>
      <c r="AA536" s="42" t="str">
        <f>IFERROR(VLOOKUP($J536,'Project Reference'!$B$2:$N$41,13)," ")</f>
        <v xml:space="preserve"> </v>
      </c>
    </row>
    <row r="537" spans="1:27" s="1" customFormat="1" x14ac:dyDescent="0.45">
      <c r="A537" s="43"/>
      <c r="B537" s="205"/>
      <c r="C537"/>
      <c r="D537" s="72"/>
      <c r="E537" s="72"/>
      <c r="F537" s="72"/>
      <c r="G537" s="72"/>
      <c r="H537" s="17"/>
      <c r="I537" s="41" t="str" cm="1">
        <f t="array" ref="I537">IFERROR(_xlfn.IFS(H537="Hard (Cash)","N/A",H537="Soft (In-Kind)", "Enter Source"),"Select Type")</f>
        <v>Select Type</v>
      </c>
      <c r="J537" s="124"/>
      <c r="K537" s="41" t="str">
        <f>IFERROR(VLOOKUP($J537,'Project Reference'!$S$2:$T$41,2),"Enter Project Number")</f>
        <v>Enter Project Number</v>
      </c>
      <c r="L537" s="41"/>
      <c r="M537" s="41"/>
      <c r="N537" s="15">
        <f t="shared" si="8"/>
        <v>0</v>
      </c>
      <c r="O537" s="19"/>
      <c r="P537" s="42" t="str">
        <f>IFERROR(VLOOKUP($J537,'Project Reference'!$B$2:$C$41,2)," ")</f>
        <v xml:space="preserve"> </v>
      </c>
      <c r="Q537" s="42" t="str">
        <f>IFERROR(VLOOKUP($J537,'Project Reference'!$B$2:$D$41,3)," ")</f>
        <v xml:space="preserve"> </v>
      </c>
      <c r="R537" s="42" t="str">
        <f>IFERROR(VLOOKUP($J537,'Project Reference'!$B$2:$E$41,4)," ")</f>
        <v xml:space="preserve"> </v>
      </c>
      <c r="S537" s="42" t="str">
        <f>IFERROR(VLOOKUP($J537,'Project Reference'!$B$2:$F$41,5,FALSE)," ")</f>
        <v xml:space="preserve"> </v>
      </c>
      <c r="T537" s="42" t="str">
        <f>IFERROR(VLOOKUP($J537,'Project Reference'!$B$2:$G$41,6,FALSE)," ")</f>
        <v xml:space="preserve"> </v>
      </c>
      <c r="U537" s="42" t="str">
        <f>IFERROR(VLOOKUP($J537,'Project Reference'!$B$2:$H$41,7,FALSE)," ")</f>
        <v xml:space="preserve"> </v>
      </c>
      <c r="V537" s="42" t="str">
        <f>IFERROR(VLOOKUP($J537,'Project Reference'!$B$2:$I$41,8,FALSE)," ")</f>
        <v xml:space="preserve"> </v>
      </c>
      <c r="W537" s="42" t="str">
        <f>IFERROR(VLOOKUP($J537,'Project Reference'!$B$2:$J$41,9,FALSE)," ")</f>
        <v xml:space="preserve"> </v>
      </c>
      <c r="X537" s="42" t="str">
        <f>IFERROR(VLOOKUP($J537,'Project Reference'!$B$2:$K$41,10)," ")</f>
        <v xml:space="preserve"> </v>
      </c>
      <c r="Y537" s="42" t="str">
        <f>IFERROR(VLOOKUP($J537,'Project Reference'!$B$2:$L$41,11)," ")</f>
        <v xml:space="preserve"> </v>
      </c>
      <c r="Z537" s="42" t="str">
        <f>IFERROR(VLOOKUP($J537,'Project Reference'!$B$2:$M$41,12)," ")</f>
        <v xml:space="preserve"> </v>
      </c>
      <c r="AA537" s="42" t="str">
        <f>IFERROR(VLOOKUP($J537,'Project Reference'!$B$2:$N$41,13)," ")</f>
        <v xml:space="preserve"> </v>
      </c>
    </row>
    <row r="538" spans="1:27" s="1" customFormat="1" x14ac:dyDescent="0.45">
      <c r="A538" s="43"/>
      <c r="B538" s="205"/>
      <c r="C538"/>
      <c r="D538" s="72"/>
      <c r="E538" s="72"/>
      <c r="F538" s="72"/>
      <c r="G538" s="72"/>
      <c r="H538" s="17"/>
      <c r="I538" s="41" t="str" cm="1">
        <f t="array" ref="I538">IFERROR(_xlfn.IFS(H538="Hard (Cash)","N/A",H538="Soft (In-Kind)", "Enter Source"),"Select Type")</f>
        <v>Select Type</v>
      </c>
      <c r="J538" s="124"/>
      <c r="K538" s="41" t="str">
        <f>IFERROR(VLOOKUP($J538,'Project Reference'!$S$2:$T$41,2),"Enter Project Number")</f>
        <v>Enter Project Number</v>
      </c>
      <c r="L538" s="41"/>
      <c r="M538" s="41"/>
      <c r="N538" s="15">
        <f t="shared" si="8"/>
        <v>0</v>
      </c>
      <c r="O538" s="19"/>
      <c r="P538" s="42" t="str">
        <f>IFERROR(VLOOKUP($J538,'Project Reference'!$B$2:$C$41,2)," ")</f>
        <v xml:space="preserve"> </v>
      </c>
      <c r="Q538" s="42" t="str">
        <f>IFERROR(VLOOKUP($J538,'Project Reference'!$B$2:$D$41,3)," ")</f>
        <v xml:space="preserve"> </v>
      </c>
      <c r="R538" s="42" t="str">
        <f>IFERROR(VLOOKUP($J538,'Project Reference'!$B$2:$E$41,4)," ")</f>
        <v xml:space="preserve"> </v>
      </c>
      <c r="S538" s="42" t="str">
        <f>IFERROR(VLOOKUP($J538,'Project Reference'!$B$2:$F$41,5,FALSE)," ")</f>
        <v xml:space="preserve"> </v>
      </c>
      <c r="T538" s="42" t="str">
        <f>IFERROR(VLOOKUP($J538,'Project Reference'!$B$2:$G$41,6,FALSE)," ")</f>
        <v xml:space="preserve"> </v>
      </c>
      <c r="U538" s="42" t="str">
        <f>IFERROR(VLOOKUP($J538,'Project Reference'!$B$2:$H$41,7,FALSE)," ")</f>
        <v xml:space="preserve"> </v>
      </c>
      <c r="V538" s="42" t="str">
        <f>IFERROR(VLOOKUP($J538,'Project Reference'!$B$2:$I$41,8,FALSE)," ")</f>
        <v xml:space="preserve"> </v>
      </c>
      <c r="W538" s="42" t="str">
        <f>IFERROR(VLOOKUP($J538,'Project Reference'!$B$2:$J$41,9,FALSE)," ")</f>
        <v xml:space="preserve"> </v>
      </c>
      <c r="X538" s="42" t="str">
        <f>IFERROR(VLOOKUP($J538,'Project Reference'!$B$2:$K$41,10)," ")</f>
        <v xml:space="preserve"> </v>
      </c>
      <c r="Y538" s="42" t="str">
        <f>IFERROR(VLOOKUP($J538,'Project Reference'!$B$2:$L$41,11)," ")</f>
        <v xml:space="preserve"> </v>
      </c>
      <c r="Z538" s="42" t="str">
        <f>IFERROR(VLOOKUP($J538,'Project Reference'!$B$2:$M$41,12)," ")</f>
        <v xml:space="preserve"> </v>
      </c>
      <c r="AA538" s="42" t="str">
        <f>IFERROR(VLOOKUP($J538,'Project Reference'!$B$2:$N$41,13)," ")</f>
        <v xml:space="preserve"> </v>
      </c>
    </row>
    <row r="539" spans="1:27" s="1" customFormat="1" x14ac:dyDescent="0.45">
      <c r="A539" s="43"/>
      <c r="B539" s="205"/>
      <c r="C539"/>
      <c r="D539" s="72"/>
      <c r="E539" s="72"/>
      <c r="F539" s="72"/>
      <c r="G539" s="72"/>
      <c r="H539" s="17"/>
      <c r="I539" s="41" t="str" cm="1">
        <f t="array" ref="I539">IFERROR(_xlfn.IFS(H539="Hard (Cash)","N/A",H539="Soft (In-Kind)", "Enter Source"),"Select Type")</f>
        <v>Select Type</v>
      </c>
      <c r="J539" s="124"/>
      <c r="K539" s="41" t="str">
        <f>IFERROR(VLOOKUP($J539,'Project Reference'!$S$2:$T$41,2),"Enter Project Number")</f>
        <v>Enter Project Number</v>
      </c>
      <c r="L539" s="41"/>
      <c r="M539" s="41"/>
      <c r="N539" s="15">
        <f t="shared" si="8"/>
        <v>0</v>
      </c>
      <c r="O539" s="19"/>
      <c r="P539" s="42" t="str">
        <f>IFERROR(VLOOKUP($J539,'Project Reference'!$B$2:$C$41,2)," ")</f>
        <v xml:space="preserve"> </v>
      </c>
      <c r="Q539" s="42" t="str">
        <f>IFERROR(VLOOKUP($J539,'Project Reference'!$B$2:$D$41,3)," ")</f>
        <v xml:space="preserve"> </v>
      </c>
      <c r="R539" s="42" t="str">
        <f>IFERROR(VLOOKUP($J539,'Project Reference'!$B$2:$E$41,4)," ")</f>
        <v xml:space="preserve"> </v>
      </c>
      <c r="S539" s="42" t="str">
        <f>IFERROR(VLOOKUP($J539,'Project Reference'!$B$2:$F$41,5,FALSE)," ")</f>
        <v xml:space="preserve"> </v>
      </c>
      <c r="T539" s="42" t="str">
        <f>IFERROR(VLOOKUP($J539,'Project Reference'!$B$2:$G$41,6,FALSE)," ")</f>
        <v xml:space="preserve"> </v>
      </c>
      <c r="U539" s="42" t="str">
        <f>IFERROR(VLOOKUP($J539,'Project Reference'!$B$2:$H$41,7,FALSE)," ")</f>
        <v xml:space="preserve"> </v>
      </c>
      <c r="V539" s="42" t="str">
        <f>IFERROR(VLOOKUP($J539,'Project Reference'!$B$2:$I$41,8,FALSE)," ")</f>
        <v xml:space="preserve"> </v>
      </c>
      <c r="W539" s="42" t="str">
        <f>IFERROR(VLOOKUP($J539,'Project Reference'!$B$2:$J$41,9,FALSE)," ")</f>
        <v xml:space="preserve"> </v>
      </c>
      <c r="X539" s="42" t="str">
        <f>IFERROR(VLOOKUP($J539,'Project Reference'!$B$2:$K$41,10)," ")</f>
        <v xml:space="preserve"> </v>
      </c>
      <c r="Y539" s="42" t="str">
        <f>IFERROR(VLOOKUP($J539,'Project Reference'!$B$2:$L$41,11)," ")</f>
        <v xml:space="preserve"> </v>
      </c>
      <c r="Z539" s="42" t="str">
        <f>IFERROR(VLOOKUP($J539,'Project Reference'!$B$2:$M$41,12)," ")</f>
        <v xml:space="preserve"> </v>
      </c>
      <c r="AA539" s="42" t="str">
        <f>IFERROR(VLOOKUP($J539,'Project Reference'!$B$2:$N$41,13)," ")</f>
        <v xml:space="preserve"> </v>
      </c>
    </row>
    <row r="540" spans="1:27" s="1" customFormat="1" x14ac:dyDescent="0.45">
      <c r="A540" s="43"/>
      <c r="B540" s="205"/>
      <c r="C540"/>
      <c r="D540" s="72"/>
      <c r="E540" s="72"/>
      <c r="F540" s="72"/>
      <c r="G540" s="72"/>
      <c r="H540" s="17"/>
      <c r="I540" s="41" t="str" cm="1">
        <f t="array" ref="I540">IFERROR(_xlfn.IFS(H540="Hard (Cash)","N/A",H540="Soft (In-Kind)", "Enter Source"),"Select Type")</f>
        <v>Select Type</v>
      </c>
      <c r="J540" s="124"/>
      <c r="K540" s="41" t="str">
        <f>IFERROR(VLOOKUP($J540,'Project Reference'!$S$2:$T$41,2),"Enter Project Number")</f>
        <v>Enter Project Number</v>
      </c>
      <c r="L540" s="41"/>
      <c r="M540" s="41"/>
      <c r="N540" s="15">
        <f t="shared" si="8"/>
        <v>0</v>
      </c>
      <c r="O540" s="19"/>
      <c r="P540" s="42" t="str">
        <f>IFERROR(VLOOKUP($J540,'Project Reference'!$B$2:$C$41,2)," ")</f>
        <v xml:space="preserve"> </v>
      </c>
      <c r="Q540" s="42" t="str">
        <f>IFERROR(VLOOKUP($J540,'Project Reference'!$B$2:$D$41,3)," ")</f>
        <v xml:space="preserve"> </v>
      </c>
      <c r="R540" s="42" t="str">
        <f>IFERROR(VLOOKUP($J540,'Project Reference'!$B$2:$E$41,4)," ")</f>
        <v xml:space="preserve"> </v>
      </c>
      <c r="S540" s="42" t="str">
        <f>IFERROR(VLOOKUP($J540,'Project Reference'!$B$2:$F$41,5,FALSE)," ")</f>
        <v xml:space="preserve"> </v>
      </c>
      <c r="T540" s="42" t="str">
        <f>IFERROR(VLOOKUP($J540,'Project Reference'!$B$2:$G$41,6,FALSE)," ")</f>
        <v xml:space="preserve"> </v>
      </c>
      <c r="U540" s="42" t="str">
        <f>IFERROR(VLOOKUP($J540,'Project Reference'!$B$2:$H$41,7,FALSE)," ")</f>
        <v xml:space="preserve"> </v>
      </c>
      <c r="V540" s="42" t="str">
        <f>IFERROR(VLOOKUP($J540,'Project Reference'!$B$2:$I$41,8,FALSE)," ")</f>
        <v xml:space="preserve"> </v>
      </c>
      <c r="W540" s="42" t="str">
        <f>IFERROR(VLOOKUP($J540,'Project Reference'!$B$2:$J$41,9,FALSE)," ")</f>
        <v xml:space="preserve"> </v>
      </c>
      <c r="X540" s="42" t="str">
        <f>IFERROR(VLOOKUP($J540,'Project Reference'!$B$2:$K$41,10)," ")</f>
        <v xml:space="preserve"> </v>
      </c>
      <c r="Y540" s="42" t="str">
        <f>IFERROR(VLOOKUP($J540,'Project Reference'!$B$2:$L$41,11)," ")</f>
        <v xml:space="preserve"> </v>
      </c>
      <c r="Z540" s="42" t="str">
        <f>IFERROR(VLOOKUP($J540,'Project Reference'!$B$2:$M$41,12)," ")</f>
        <v xml:space="preserve"> </v>
      </c>
      <c r="AA540" s="42" t="str">
        <f>IFERROR(VLOOKUP($J540,'Project Reference'!$B$2:$N$41,13)," ")</f>
        <v xml:space="preserve"> </v>
      </c>
    </row>
    <row r="541" spans="1:27" s="1" customFormat="1" x14ac:dyDescent="0.45">
      <c r="A541" s="43"/>
      <c r="B541" s="205"/>
      <c r="C541"/>
      <c r="D541" s="72"/>
      <c r="E541" s="72"/>
      <c r="F541" s="72"/>
      <c r="G541" s="72"/>
      <c r="H541" s="17"/>
      <c r="I541" s="41" t="str" cm="1">
        <f t="array" ref="I541">IFERROR(_xlfn.IFS(H541="Hard (Cash)","N/A",H541="Soft (In-Kind)", "Enter Source"),"Select Type")</f>
        <v>Select Type</v>
      </c>
      <c r="J541" s="124"/>
      <c r="K541" s="41" t="str">
        <f>IFERROR(VLOOKUP($J541,'Project Reference'!$S$2:$T$41,2),"Enter Project Number")</f>
        <v>Enter Project Number</v>
      </c>
      <c r="L541" s="41"/>
      <c r="M541" s="41"/>
      <c r="N541" s="15">
        <f t="shared" si="8"/>
        <v>0</v>
      </c>
      <c r="O541" s="19"/>
      <c r="P541" s="42" t="str">
        <f>IFERROR(VLOOKUP($J541,'Project Reference'!$B$2:$C$41,2)," ")</f>
        <v xml:space="preserve"> </v>
      </c>
      <c r="Q541" s="42" t="str">
        <f>IFERROR(VLOOKUP($J541,'Project Reference'!$B$2:$D$41,3)," ")</f>
        <v xml:space="preserve"> </v>
      </c>
      <c r="R541" s="42" t="str">
        <f>IFERROR(VLOOKUP($J541,'Project Reference'!$B$2:$E$41,4)," ")</f>
        <v xml:space="preserve"> </v>
      </c>
      <c r="S541" s="42" t="str">
        <f>IFERROR(VLOOKUP($J541,'Project Reference'!$B$2:$F$41,5,FALSE)," ")</f>
        <v xml:space="preserve"> </v>
      </c>
      <c r="T541" s="42" t="str">
        <f>IFERROR(VLOOKUP($J541,'Project Reference'!$B$2:$G$41,6,FALSE)," ")</f>
        <v xml:space="preserve"> </v>
      </c>
      <c r="U541" s="42" t="str">
        <f>IFERROR(VLOOKUP($J541,'Project Reference'!$B$2:$H$41,7,FALSE)," ")</f>
        <v xml:space="preserve"> </v>
      </c>
      <c r="V541" s="42" t="str">
        <f>IFERROR(VLOOKUP($J541,'Project Reference'!$B$2:$I$41,8,FALSE)," ")</f>
        <v xml:space="preserve"> </v>
      </c>
      <c r="W541" s="42" t="str">
        <f>IFERROR(VLOOKUP($J541,'Project Reference'!$B$2:$J$41,9,FALSE)," ")</f>
        <v xml:space="preserve"> </v>
      </c>
      <c r="X541" s="42" t="str">
        <f>IFERROR(VLOOKUP($J541,'Project Reference'!$B$2:$K$41,10)," ")</f>
        <v xml:space="preserve"> </v>
      </c>
      <c r="Y541" s="42" t="str">
        <f>IFERROR(VLOOKUP($J541,'Project Reference'!$B$2:$L$41,11)," ")</f>
        <v xml:space="preserve"> </v>
      </c>
      <c r="Z541" s="42" t="str">
        <f>IFERROR(VLOOKUP($J541,'Project Reference'!$B$2:$M$41,12)," ")</f>
        <v xml:space="preserve"> </v>
      </c>
      <c r="AA541" s="42" t="str">
        <f>IFERROR(VLOOKUP($J541,'Project Reference'!$B$2:$N$41,13)," ")</f>
        <v xml:space="preserve"> </v>
      </c>
    </row>
    <row r="542" spans="1:27" s="1" customFormat="1" x14ac:dyDescent="0.45">
      <c r="A542" s="43"/>
      <c r="B542" s="205"/>
      <c r="C542"/>
      <c r="D542" s="72"/>
      <c r="E542" s="72"/>
      <c r="F542" s="72"/>
      <c r="G542" s="72"/>
      <c r="H542" s="17"/>
      <c r="I542" s="41" t="str" cm="1">
        <f t="array" ref="I542">IFERROR(_xlfn.IFS(H542="Hard (Cash)","N/A",H542="Soft (In-Kind)", "Enter Source"),"Select Type")</f>
        <v>Select Type</v>
      </c>
      <c r="J542" s="124"/>
      <c r="K542" s="41" t="str">
        <f>IFERROR(VLOOKUP($J542,'Project Reference'!$S$2:$T$41,2),"Enter Project Number")</f>
        <v>Enter Project Number</v>
      </c>
      <c r="L542" s="41"/>
      <c r="M542" s="41"/>
      <c r="N542" s="15">
        <f t="shared" si="8"/>
        <v>0</v>
      </c>
      <c r="O542" s="19"/>
      <c r="P542" s="42" t="str">
        <f>IFERROR(VLOOKUP($J542,'Project Reference'!$B$2:$C$41,2)," ")</f>
        <v xml:space="preserve"> </v>
      </c>
      <c r="Q542" s="42" t="str">
        <f>IFERROR(VLOOKUP($J542,'Project Reference'!$B$2:$D$41,3)," ")</f>
        <v xml:space="preserve"> </v>
      </c>
      <c r="R542" s="42" t="str">
        <f>IFERROR(VLOOKUP($J542,'Project Reference'!$B$2:$E$41,4)," ")</f>
        <v xml:space="preserve"> </v>
      </c>
      <c r="S542" s="42" t="str">
        <f>IFERROR(VLOOKUP($J542,'Project Reference'!$B$2:$F$41,5,FALSE)," ")</f>
        <v xml:space="preserve"> </v>
      </c>
      <c r="T542" s="42" t="str">
        <f>IFERROR(VLOOKUP($J542,'Project Reference'!$B$2:$G$41,6,FALSE)," ")</f>
        <v xml:space="preserve"> </v>
      </c>
      <c r="U542" s="42" t="str">
        <f>IFERROR(VLOOKUP($J542,'Project Reference'!$B$2:$H$41,7,FALSE)," ")</f>
        <v xml:space="preserve"> </v>
      </c>
      <c r="V542" s="42" t="str">
        <f>IFERROR(VLOOKUP($J542,'Project Reference'!$B$2:$I$41,8,FALSE)," ")</f>
        <v xml:space="preserve"> </v>
      </c>
      <c r="W542" s="42" t="str">
        <f>IFERROR(VLOOKUP($J542,'Project Reference'!$B$2:$J$41,9,FALSE)," ")</f>
        <v xml:space="preserve"> </v>
      </c>
      <c r="X542" s="42" t="str">
        <f>IFERROR(VLOOKUP($J542,'Project Reference'!$B$2:$K$41,10)," ")</f>
        <v xml:space="preserve"> </v>
      </c>
      <c r="Y542" s="42" t="str">
        <f>IFERROR(VLOOKUP($J542,'Project Reference'!$B$2:$L$41,11)," ")</f>
        <v xml:space="preserve"> </v>
      </c>
      <c r="Z542" s="42" t="str">
        <f>IFERROR(VLOOKUP($J542,'Project Reference'!$B$2:$M$41,12)," ")</f>
        <v xml:space="preserve"> </v>
      </c>
      <c r="AA542" s="42" t="str">
        <f>IFERROR(VLOOKUP($J542,'Project Reference'!$B$2:$N$41,13)," ")</f>
        <v xml:space="preserve"> </v>
      </c>
    </row>
    <row r="543" spans="1:27" s="1" customFormat="1" x14ac:dyDescent="0.45">
      <c r="A543" s="43"/>
      <c r="B543" s="205"/>
      <c r="C543"/>
      <c r="D543" s="72"/>
      <c r="E543" s="72"/>
      <c r="F543" s="72"/>
      <c r="G543" s="72"/>
      <c r="H543" s="17"/>
      <c r="I543" s="41" t="str" cm="1">
        <f t="array" ref="I543">IFERROR(_xlfn.IFS(H543="Hard (Cash)","N/A",H543="Soft (In-Kind)", "Enter Source"),"Select Type")</f>
        <v>Select Type</v>
      </c>
      <c r="J543" s="124"/>
      <c r="K543" s="41" t="str">
        <f>IFERROR(VLOOKUP($J543,'Project Reference'!$S$2:$T$41,2),"Enter Project Number")</f>
        <v>Enter Project Number</v>
      </c>
      <c r="L543" s="41"/>
      <c r="M543" s="41"/>
      <c r="N543" s="15">
        <f t="shared" si="8"/>
        <v>0</v>
      </c>
      <c r="O543" s="19"/>
      <c r="P543" s="42" t="str">
        <f>IFERROR(VLOOKUP($J543,'Project Reference'!$B$2:$C$41,2)," ")</f>
        <v xml:space="preserve"> </v>
      </c>
      <c r="Q543" s="42" t="str">
        <f>IFERROR(VLOOKUP($J543,'Project Reference'!$B$2:$D$41,3)," ")</f>
        <v xml:space="preserve"> </v>
      </c>
      <c r="R543" s="42" t="str">
        <f>IFERROR(VLOOKUP($J543,'Project Reference'!$B$2:$E$41,4)," ")</f>
        <v xml:space="preserve"> </v>
      </c>
      <c r="S543" s="42" t="str">
        <f>IFERROR(VLOOKUP($J543,'Project Reference'!$B$2:$F$41,5,FALSE)," ")</f>
        <v xml:space="preserve"> </v>
      </c>
      <c r="T543" s="42" t="str">
        <f>IFERROR(VLOOKUP($J543,'Project Reference'!$B$2:$G$41,6,FALSE)," ")</f>
        <v xml:space="preserve"> </v>
      </c>
      <c r="U543" s="42" t="str">
        <f>IFERROR(VLOOKUP($J543,'Project Reference'!$B$2:$H$41,7,FALSE)," ")</f>
        <v xml:space="preserve"> </v>
      </c>
      <c r="V543" s="42" t="str">
        <f>IFERROR(VLOOKUP($J543,'Project Reference'!$B$2:$I$41,8,FALSE)," ")</f>
        <v xml:space="preserve"> </v>
      </c>
      <c r="W543" s="42" t="str">
        <f>IFERROR(VLOOKUP($J543,'Project Reference'!$B$2:$J$41,9,FALSE)," ")</f>
        <v xml:space="preserve"> </v>
      </c>
      <c r="X543" s="42" t="str">
        <f>IFERROR(VLOOKUP($J543,'Project Reference'!$B$2:$K$41,10)," ")</f>
        <v xml:space="preserve"> </v>
      </c>
      <c r="Y543" s="42" t="str">
        <f>IFERROR(VLOOKUP($J543,'Project Reference'!$B$2:$L$41,11)," ")</f>
        <v xml:space="preserve"> </v>
      </c>
      <c r="Z543" s="42" t="str">
        <f>IFERROR(VLOOKUP($J543,'Project Reference'!$B$2:$M$41,12)," ")</f>
        <v xml:space="preserve"> </v>
      </c>
      <c r="AA543" s="42" t="str">
        <f>IFERROR(VLOOKUP($J543,'Project Reference'!$B$2:$N$41,13)," ")</f>
        <v xml:space="preserve"> </v>
      </c>
    </row>
    <row r="544" spans="1:27" s="1" customFormat="1" x14ac:dyDescent="0.45">
      <c r="A544" s="43"/>
      <c r="B544" s="205"/>
      <c r="C544"/>
      <c r="D544" s="72"/>
      <c r="E544" s="72"/>
      <c r="F544" s="72"/>
      <c r="G544" s="72"/>
      <c r="H544" s="17"/>
      <c r="I544" s="41" t="str" cm="1">
        <f t="array" ref="I544">IFERROR(_xlfn.IFS(H544="Hard (Cash)","N/A",H544="Soft (In-Kind)", "Enter Source"),"Select Type")</f>
        <v>Select Type</v>
      </c>
      <c r="J544" s="124"/>
      <c r="K544" s="41" t="str">
        <f>IFERROR(VLOOKUP($J544,'Project Reference'!$S$2:$T$41,2),"Enter Project Number")</f>
        <v>Enter Project Number</v>
      </c>
      <c r="L544" s="41"/>
      <c r="M544" s="41"/>
      <c r="N544" s="15">
        <f t="shared" si="8"/>
        <v>0</v>
      </c>
      <c r="O544" s="19"/>
      <c r="P544" s="42" t="str">
        <f>IFERROR(VLOOKUP($J544,'Project Reference'!$B$2:$C$41,2)," ")</f>
        <v xml:space="preserve"> </v>
      </c>
      <c r="Q544" s="42" t="str">
        <f>IFERROR(VLOOKUP($J544,'Project Reference'!$B$2:$D$41,3)," ")</f>
        <v xml:space="preserve"> </v>
      </c>
      <c r="R544" s="42" t="str">
        <f>IFERROR(VLOOKUP($J544,'Project Reference'!$B$2:$E$41,4)," ")</f>
        <v xml:space="preserve"> </v>
      </c>
      <c r="S544" s="42" t="str">
        <f>IFERROR(VLOOKUP($J544,'Project Reference'!$B$2:$F$41,5,FALSE)," ")</f>
        <v xml:space="preserve"> </v>
      </c>
      <c r="T544" s="42" t="str">
        <f>IFERROR(VLOOKUP($J544,'Project Reference'!$B$2:$G$41,6,FALSE)," ")</f>
        <v xml:space="preserve"> </v>
      </c>
      <c r="U544" s="42" t="str">
        <f>IFERROR(VLOOKUP($J544,'Project Reference'!$B$2:$H$41,7,FALSE)," ")</f>
        <v xml:space="preserve"> </v>
      </c>
      <c r="V544" s="42" t="str">
        <f>IFERROR(VLOOKUP($J544,'Project Reference'!$B$2:$I$41,8,FALSE)," ")</f>
        <v xml:space="preserve"> </v>
      </c>
      <c r="W544" s="42" t="str">
        <f>IFERROR(VLOOKUP($J544,'Project Reference'!$B$2:$J$41,9,FALSE)," ")</f>
        <v xml:space="preserve"> </v>
      </c>
      <c r="X544" s="42" t="str">
        <f>IFERROR(VLOOKUP($J544,'Project Reference'!$B$2:$K$41,10)," ")</f>
        <v xml:space="preserve"> </v>
      </c>
      <c r="Y544" s="42" t="str">
        <f>IFERROR(VLOOKUP($J544,'Project Reference'!$B$2:$L$41,11)," ")</f>
        <v xml:space="preserve"> </v>
      </c>
      <c r="Z544" s="42" t="str">
        <f>IFERROR(VLOOKUP($J544,'Project Reference'!$B$2:$M$41,12)," ")</f>
        <v xml:space="preserve"> </v>
      </c>
      <c r="AA544" s="42" t="str">
        <f>IFERROR(VLOOKUP($J544,'Project Reference'!$B$2:$N$41,13)," ")</f>
        <v xml:space="preserve"> </v>
      </c>
    </row>
    <row r="545" spans="1:27" s="1" customFormat="1" x14ac:dyDescent="0.45">
      <c r="A545" s="43"/>
      <c r="B545" s="205"/>
      <c r="C545"/>
      <c r="D545" s="72"/>
      <c r="E545" s="72"/>
      <c r="F545" s="72"/>
      <c r="G545" s="72"/>
      <c r="H545" s="17"/>
      <c r="I545" s="41" t="str" cm="1">
        <f t="array" ref="I545">IFERROR(_xlfn.IFS(H545="Hard (Cash)","N/A",H545="Soft (In-Kind)", "Enter Source"),"Select Type")</f>
        <v>Select Type</v>
      </c>
      <c r="J545" s="124"/>
      <c r="K545" s="41" t="str">
        <f>IFERROR(VLOOKUP($J545,'Project Reference'!$S$2:$T$41,2),"Enter Project Number")</f>
        <v>Enter Project Number</v>
      </c>
      <c r="L545" s="41"/>
      <c r="M545" s="41"/>
      <c r="N545" s="15">
        <f t="shared" si="8"/>
        <v>0</v>
      </c>
      <c r="O545" s="19"/>
      <c r="P545" s="42" t="str">
        <f>IFERROR(VLOOKUP($J545,'Project Reference'!$B$2:$C$41,2)," ")</f>
        <v xml:space="preserve"> </v>
      </c>
      <c r="Q545" s="42" t="str">
        <f>IFERROR(VLOOKUP($J545,'Project Reference'!$B$2:$D$41,3)," ")</f>
        <v xml:space="preserve"> </v>
      </c>
      <c r="R545" s="42" t="str">
        <f>IFERROR(VLOOKUP($J545,'Project Reference'!$B$2:$E$41,4)," ")</f>
        <v xml:space="preserve"> </v>
      </c>
      <c r="S545" s="42" t="str">
        <f>IFERROR(VLOOKUP($J545,'Project Reference'!$B$2:$F$41,5,FALSE)," ")</f>
        <v xml:space="preserve"> </v>
      </c>
      <c r="T545" s="42" t="str">
        <f>IFERROR(VLOOKUP($J545,'Project Reference'!$B$2:$G$41,6,FALSE)," ")</f>
        <v xml:space="preserve"> </v>
      </c>
      <c r="U545" s="42" t="str">
        <f>IFERROR(VLOOKUP($J545,'Project Reference'!$B$2:$H$41,7,FALSE)," ")</f>
        <v xml:space="preserve"> </v>
      </c>
      <c r="V545" s="42" t="str">
        <f>IFERROR(VLOOKUP($J545,'Project Reference'!$B$2:$I$41,8,FALSE)," ")</f>
        <v xml:space="preserve"> </v>
      </c>
      <c r="W545" s="42" t="str">
        <f>IFERROR(VLOOKUP($J545,'Project Reference'!$B$2:$J$41,9,FALSE)," ")</f>
        <v xml:space="preserve"> </v>
      </c>
      <c r="X545" s="42" t="str">
        <f>IFERROR(VLOOKUP($J545,'Project Reference'!$B$2:$K$41,10)," ")</f>
        <v xml:space="preserve"> </v>
      </c>
      <c r="Y545" s="42" t="str">
        <f>IFERROR(VLOOKUP($J545,'Project Reference'!$B$2:$L$41,11)," ")</f>
        <v xml:space="preserve"> </v>
      </c>
      <c r="Z545" s="42" t="str">
        <f>IFERROR(VLOOKUP($J545,'Project Reference'!$B$2:$M$41,12)," ")</f>
        <v xml:space="preserve"> </v>
      </c>
      <c r="AA545" s="42" t="str">
        <f>IFERROR(VLOOKUP($J545,'Project Reference'!$B$2:$N$41,13)," ")</f>
        <v xml:space="preserve"> </v>
      </c>
    </row>
    <row r="546" spans="1:27" s="1" customFormat="1" x14ac:dyDescent="0.45">
      <c r="A546" s="43"/>
      <c r="B546" s="205"/>
      <c r="C546"/>
      <c r="D546" s="72"/>
      <c r="E546" s="72"/>
      <c r="F546" s="72"/>
      <c r="G546" s="72"/>
      <c r="H546" s="17"/>
      <c r="I546" s="41" t="str" cm="1">
        <f t="array" ref="I546">IFERROR(_xlfn.IFS(H546="Hard (Cash)","N/A",H546="Soft (In-Kind)", "Enter Source"),"Select Type")</f>
        <v>Select Type</v>
      </c>
      <c r="J546" s="124"/>
      <c r="K546" s="41" t="str">
        <f>IFERROR(VLOOKUP($J546,'Project Reference'!$S$2:$T$41,2),"Enter Project Number")</f>
        <v>Enter Project Number</v>
      </c>
      <c r="L546" s="41"/>
      <c r="M546" s="41"/>
      <c r="N546" s="15">
        <f t="shared" si="8"/>
        <v>0</v>
      </c>
      <c r="O546" s="19"/>
      <c r="P546" s="42" t="str">
        <f>IFERROR(VLOOKUP($J546,'Project Reference'!$B$2:$C$41,2)," ")</f>
        <v xml:space="preserve"> </v>
      </c>
      <c r="Q546" s="42" t="str">
        <f>IFERROR(VLOOKUP($J546,'Project Reference'!$B$2:$D$41,3)," ")</f>
        <v xml:space="preserve"> </v>
      </c>
      <c r="R546" s="42" t="str">
        <f>IFERROR(VLOOKUP($J546,'Project Reference'!$B$2:$E$41,4)," ")</f>
        <v xml:space="preserve"> </v>
      </c>
      <c r="S546" s="42" t="str">
        <f>IFERROR(VLOOKUP($J546,'Project Reference'!$B$2:$F$41,5,FALSE)," ")</f>
        <v xml:space="preserve"> </v>
      </c>
      <c r="T546" s="42" t="str">
        <f>IFERROR(VLOOKUP($J546,'Project Reference'!$B$2:$G$41,6,FALSE)," ")</f>
        <v xml:space="preserve"> </v>
      </c>
      <c r="U546" s="42" t="str">
        <f>IFERROR(VLOOKUP($J546,'Project Reference'!$B$2:$H$41,7,FALSE)," ")</f>
        <v xml:space="preserve"> </v>
      </c>
      <c r="V546" s="42" t="str">
        <f>IFERROR(VLOOKUP($J546,'Project Reference'!$B$2:$I$41,8,FALSE)," ")</f>
        <v xml:space="preserve"> </v>
      </c>
      <c r="W546" s="42" t="str">
        <f>IFERROR(VLOOKUP($J546,'Project Reference'!$B$2:$J$41,9,FALSE)," ")</f>
        <v xml:space="preserve"> </v>
      </c>
      <c r="X546" s="42" t="str">
        <f>IFERROR(VLOOKUP($J546,'Project Reference'!$B$2:$K$41,10)," ")</f>
        <v xml:space="preserve"> </v>
      </c>
      <c r="Y546" s="42" t="str">
        <f>IFERROR(VLOOKUP($J546,'Project Reference'!$B$2:$L$41,11)," ")</f>
        <v xml:space="preserve"> </v>
      </c>
      <c r="Z546" s="42" t="str">
        <f>IFERROR(VLOOKUP($J546,'Project Reference'!$B$2:$M$41,12)," ")</f>
        <v xml:space="preserve"> </v>
      </c>
      <c r="AA546" s="42" t="str">
        <f>IFERROR(VLOOKUP($J546,'Project Reference'!$B$2:$N$41,13)," ")</f>
        <v xml:space="preserve"> </v>
      </c>
    </row>
    <row r="547" spans="1:27" s="1" customFormat="1" x14ac:dyDescent="0.45">
      <c r="A547" s="43"/>
      <c r="B547" s="205"/>
      <c r="C547"/>
      <c r="D547" s="72"/>
      <c r="E547" s="72"/>
      <c r="F547" s="72"/>
      <c r="G547" s="72"/>
      <c r="H547" s="17"/>
      <c r="I547" s="41" t="str" cm="1">
        <f t="array" ref="I547">IFERROR(_xlfn.IFS(H547="Hard (Cash)","N/A",H547="Soft (In-Kind)", "Enter Source"),"Select Type")</f>
        <v>Select Type</v>
      </c>
      <c r="J547" s="124"/>
      <c r="K547" s="41" t="str">
        <f>IFERROR(VLOOKUP($J547,'Project Reference'!$S$2:$T$41,2),"Enter Project Number")</f>
        <v>Enter Project Number</v>
      </c>
      <c r="L547" s="41"/>
      <c r="M547" s="41"/>
      <c r="N547" s="15">
        <f t="shared" si="8"/>
        <v>0</v>
      </c>
      <c r="O547" s="19"/>
      <c r="P547" s="42" t="str">
        <f>IFERROR(VLOOKUP($J547,'Project Reference'!$B$2:$C$41,2)," ")</f>
        <v xml:space="preserve"> </v>
      </c>
      <c r="Q547" s="42" t="str">
        <f>IFERROR(VLOOKUP($J547,'Project Reference'!$B$2:$D$41,3)," ")</f>
        <v xml:space="preserve"> </v>
      </c>
      <c r="R547" s="42" t="str">
        <f>IFERROR(VLOOKUP($J547,'Project Reference'!$B$2:$E$41,4)," ")</f>
        <v xml:space="preserve"> </v>
      </c>
      <c r="S547" s="42" t="str">
        <f>IFERROR(VLOOKUP($J547,'Project Reference'!$B$2:$F$41,5,FALSE)," ")</f>
        <v xml:space="preserve"> </v>
      </c>
      <c r="T547" s="42" t="str">
        <f>IFERROR(VLOOKUP($J547,'Project Reference'!$B$2:$G$41,6,FALSE)," ")</f>
        <v xml:space="preserve"> </v>
      </c>
      <c r="U547" s="42" t="str">
        <f>IFERROR(VLOOKUP($J547,'Project Reference'!$B$2:$H$41,7,FALSE)," ")</f>
        <v xml:space="preserve"> </v>
      </c>
      <c r="V547" s="42" t="str">
        <f>IFERROR(VLOOKUP($J547,'Project Reference'!$B$2:$I$41,8,FALSE)," ")</f>
        <v xml:space="preserve"> </v>
      </c>
      <c r="W547" s="42" t="str">
        <f>IFERROR(VLOOKUP($J547,'Project Reference'!$B$2:$J$41,9,FALSE)," ")</f>
        <v xml:space="preserve"> </v>
      </c>
      <c r="X547" s="42" t="str">
        <f>IFERROR(VLOOKUP($J547,'Project Reference'!$B$2:$K$41,10)," ")</f>
        <v xml:space="preserve"> </v>
      </c>
      <c r="Y547" s="42" t="str">
        <f>IFERROR(VLOOKUP($J547,'Project Reference'!$B$2:$L$41,11)," ")</f>
        <v xml:space="preserve"> </v>
      </c>
      <c r="Z547" s="42" t="str">
        <f>IFERROR(VLOOKUP($J547,'Project Reference'!$B$2:$M$41,12)," ")</f>
        <v xml:space="preserve"> </v>
      </c>
      <c r="AA547" s="42" t="str">
        <f>IFERROR(VLOOKUP($J547,'Project Reference'!$B$2:$N$41,13)," ")</f>
        <v xml:space="preserve"> </v>
      </c>
    </row>
    <row r="548" spans="1:27" s="1" customFormat="1" x14ac:dyDescent="0.45">
      <c r="A548" s="43"/>
      <c r="B548" s="205"/>
      <c r="C548"/>
      <c r="D548" s="72"/>
      <c r="E548" s="72"/>
      <c r="F548" s="72"/>
      <c r="G548" s="72"/>
      <c r="H548" s="17"/>
      <c r="I548" s="41" t="str" cm="1">
        <f t="array" ref="I548">IFERROR(_xlfn.IFS(H548="Hard (Cash)","N/A",H548="Soft (In-Kind)", "Enter Source"),"Select Type")</f>
        <v>Select Type</v>
      </c>
      <c r="J548" s="124"/>
      <c r="K548" s="41" t="str">
        <f>IFERROR(VLOOKUP($J548,'Project Reference'!$S$2:$T$41,2),"Enter Project Number")</f>
        <v>Enter Project Number</v>
      </c>
      <c r="L548" s="41"/>
      <c r="M548" s="41"/>
      <c r="N548" s="15">
        <f t="shared" si="8"/>
        <v>0</v>
      </c>
      <c r="O548" s="19"/>
      <c r="P548" s="42" t="str">
        <f>IFERROR(VLOOKUP($J548,'Project Reference'!$B$2:$C$41,2)," ")</f>
        <v xml:space="preserve"> </v>
      </c>
      <c r="Q548" s="42" t="str">
        <f>IFERROR(VLOOKUP($J548,'Project Reference'!$B$2:$D$41,3)," ")</f>
        <v xml:space="preserve"> </v>
      </c>
      <c r="R548" s="42" t="str">
        <f>IFERROR(VLOOKUP($J548,'Project Reference'!$B$2:$E$41,4)," ")</f>
        <v xml:space="preserve"> </v>
      </c>
      <c r="S548" s="42" t="str">
        <f>IFERROR(VLOOKUP($J548,'Project Reference'!$B$2:$F$41,5,FALSE)," ")</f>
        <v xml:space="preserve"> </v>
      </c>
      <c r="T548" s="42" t="str">
        <f>IFERROR(VLOOKUP($J548,'Project Reference'!$B$2:$G$41,6,FALSE)," ")</f>
        <v xml:space="preserve"> </v>
      </c>
      <c r="U548" s="42" t="str">
        <f>IFERROR(VLOOKUP($J548,'Project Reference'!$B$2:$H$41,7,FALSE)," ")</f>
        <v xml:space="preserve"> </v>
      </c>
      <c r="V548" s="42" t="str">
        <f>IFERROR(VLOOKUP($J548,'Project Reference'!$B$2:$I$41,8,FALSE)," ")</f>
        <v xml:space="preserve"> </v>
      </c>
      <c r="W548" s="42" t="str">
        <f>IFERROR(VLOOKUP($J548,'Project Reference'!$B$2:$J$41,9,FALSE)," ")</f>
        <v xml:space="preserve"> </v>
      </c>
      <c r="X548" s="42" t="str">
        <f>IFERROR(VLOOKUP($J548,'Project Reference'!$B$2:$K$41,10)," ")</f>
        <v xml:space="preserve"> </v>
      </c>
      <c r="Y548" s="42" t="str">
        <f>IFERROR(VLOOKUP($J548,'Project Reference'!$B$2:$L$41,11)," ")</f>
        <v xml:space="preserve"> </v>
      </c>
      <c r="Z548" s="42" t="str">
        <f>IFERROR(VLOOKUP($J548,'Project Reference'!$B$2:$M$41,12)," ")</f>
        <v xml:space="preserve"> </v>
      </c>
      <c r="AA548" s="42" t="str">
        <f>IFERROR(VLOOKUP($J548,'Project Reference'!$B$2:$N$41,13)," ")</f>
        <v xml:space="preserve"> </v>
      </c>
    </row>
    <row r="549" spans="1:27" s="1" customFormat="1" x14ac:dyDescent="0.45">
      <c r="A549" s="43"/>
      <c r="B549" s="205"/>
      <c r="C549"/>
      <c r="D549" s="72"/>
      <c r="E549" s="72"/>
      <c r="F549" s="72"/>
      <c r="G549" s="72"/>
      <c r="H549" s="17"/>
      <c r="I549" s="41" t="str" cm="1">
        <f t="array" ref="I549">IFERROR(_xlfn.IFS(H549="Hard (Cash)","N/A",H549="Soft (In-Kind)", "Enter Source"),"Select Type")</f>
        <v>Select Type</v>
      </c>
      <c r="J549" s="124"/>
      <c r="K549" s="41" t="str">
        <f>IFERROR(VLOOKUP($J549,'Project Reference'!$S$2:$T$41,2),"Enter Project Number")</f>
        <v>Enter Project Number</v>
      </c>
      <c r="L549" s="41"/>
      <c r="M549" s="41"/>
      <c r="N549" s="15">
        <f t="shared" si="8"/>
        <v>0</v>
      </c>
      <c r="O549" s="19"/>
      <c r="P549" s="42" t="str">
        <f>IFERROR(VLOOKUP($J549,'Project Reference'!$B$2:$C$41,2)," ")</f>
        <v xml:space="preserve"> </v>
      </c>
      <c r="Q549" s="42" t="str">
        <f>IFERROR(VLOOKUP($J549,'Project Reference'!$B$2:$D$41,3)," ")</f>
        <v xml:space="preserve"> </v>
      </c>
      <c r="R549" s="42" t="str">
        <f>IFERROR(VLOOKUP($J549,'Project Reference'!$B$2:$E$41,4)," ")</f>
        <v xml:space="preserve"> </v>
      </c>
      <c r="S549" s="42" t="str">
        <f>IFERROR(VLOOKUP($J549,'Project Reference'!$B$2:$F$41,5,FALSE)," ")</f>
        <v xml:space="preserve"> </v>
      </c>
      <c r="T549" s="42" t="str">
        <f>IFERROR(VLOOKUP($J549,'Project Reference'!$B$2:$G$41,6,FALSE)," ")</f>
        <v xml:space="preserve"> </v>
      </c>
      <c r="U549" s="42" t="str">
        <f>IFERROR(VLOOKUP($J549,'Project Reference'!$B$2:$H$41,7,FALSE)," ")</f>
        <v xml:space="preserve"> </v>
      </c>
      <c r="V549" s="42" t="str">
        <f>IFERROR(VLOOKUP($J549,'Project Reference'!$B$2:$I$41,8,FALSE)," ")</f>
        <v xml:space="preserve"> </v>
      </c>
      <c r="W549" s="42" t="str">
        <f>IFERROR(VLOOKUP($J549,'Project Reference'!$B$2:$J$41,9,FALSE)," ")</f>
        <v xml:space="preserve"> </v>
      </c>
      <c r="X549" s="42" t="str">
        <f>IFERROR(VLOOKUP($J549,'Project Reference'!$B$2:$K$41,10)," ")</f>
        <v xml:space="preserve"> </v>
      </c>
      <c r="Y549" s="42" t="str">
        <f>IFERROR(VLOOKUP($J549,'Project Reference'!$B$2:$L$41,11)," ")</f>
        <v xml:space="preserve"> </v>
      </c>
      <c r="Z549" s="42" t="str">
        <f>IFERROR(VLOOKUP($J549,'Project Reference'!$B$2:$M$41,12)," ")</f>
        <v xml:space="preserve"> </v>
      </c>
      <c r="AA549" s="42" t="str">
        <f>IFERROR(VLOOKUP($J549,'Project Reference'!$B$2:$N$41,13)," ")</f>
        <v xml:space="preserve"> </v>
      </c>
    </row>
    <row r="550" spans="1:27" s="1" customFormat="1" x14ac:dyDescent="0.45">
      <c r="A550" s="43"/>
      <c r="B550" s="205"/>
      <c r="C550"/>
      <c r="D550" s="72"/>
      <c r="E550" s="72"/>
      <c r="F550" s="72"/>
      <c r="G550" s="72"/>
      <c r="H550" s="17"/>
      <c r="I550" s="41" t="str" cm="1">
        <f t="array" ref="I550">IFERROR(_xlfn.IFS(H550="Hard (Cash)","N/A",H550="Soft (In-Kind)", "Enter Source"),"Select Type")</f>
        <v>Select Type</v>
      </c>
      <c r="J550" s="124"/>
      <c r="K550" s="41" t="str">
        <f>IFERROR(VLOOKUP($J550,'Project Reference'!$S$2:$T$41,2),"Enter Project Number")</f>
        <v>Enter Project Number</v>
      </c>
      <c r="L550" s="41"/>
      <c r="M550" s="41"/>
      <c r="N550" s="15">
        <f t="shared" si="8"/>
        <v>0</v>
      </c>
      <c r="O550" s="19"/>
      <c r="P550" s="42" t="str">
        <f>IFERROR(VLOOKUP($J550,'Project Reference'!$B$2:$C$41,2)," ")</f>
        <v xml:space="preserve"> </v>
      </c>
      <c r="Q550" s="42" t="str">
        <f>IFERROR(VLOOKUP($J550,'Project Reference'!$B$2:$D$41,3)," ")</f>
        <v xml:space="preserve"> </v>
      </c>
      <c r="R550" s="42" t="str">
        <f>IFERROR(VLOOKUP($J550,'Project Reference'!$B$2:$E$41,4)," ")</f>
        <v xml:space="preserve"> </v>
      </c>
      <c r="S550" s="42" t="str">
        <f>IFERROR(VLOOKUP($J550,'Project Reference'!$B$2:$F$41,5,FALSE)," ")</f>
        <v xml:space="preserve"> </v>
      </c>
      <c r="T550" s="42" t="str">
        <f>IFERROR(VLOOKUP($J550,'Project Reference'!$B$2:$G$41,6,FALSE)," ")</f>
        <v xml:space="preserve"> </v>
      </c>
      <c r="U550" s="42" t="str">
        <f>IFERROR(VLOOKUP($J550,'Project Reference'!$B$2:$H$41,7,FALSE)," ")</f>
        <v xml:space="preserve"> </v>
      </c>
      <c r="V550" s="42" t="str">
        <f>IFERROR(VLOOKUP($J550,'Project Reference'!$B$2:$I$41,8,FALSE)," ")</f>
        <v xml:space="preserve"> </v>
      </c>
      <c r="W550" s="42" t="str">
        <f>IFERROR(VLOOKUP($J550,'Project Reference'!$B$2:$J$41,9,FALSE)," ")</f>
        <v xml:space="preserve"> </v>
      </c>
      <c r="X550" s="42" t="str">
        <f>IFERROR(VLOOKUP($J550,'Project Reference'!$B$2:$K$41,10)," ")</f>
        <v xml:space="preserve"> </v>
      </c>
      <c r="Y550" s="42" t="str">
        <f>IFERROR(VLOOKUP($J550,'Project Reference'!$B$2:$L$41,11)," ")</f>
        <v xml:space="preserve"> </v>
      </c>
      <c r="Z550" s="42" t="str">
        <f>IFERROR(VLOOKUP($J550,'Project Reference'!$B$2:$M$41,12)," ")</f>
        <v xml:space="preserve"> </v>
      </c>
      <c r="AA550" s="42" t="str">
        <f>IFERROR(VLOOKUP($J550,'Project Reference'!$B$2:$N$41,13)," ")</f>
        <v xml:space="preserve"> </v>
      </c>
    </row>
    <row r="551" spans="1:27" s="1" customFormat="1" x14ac:dyDescent="0.45">
      <c r="A551" s="43"/>
      <c r="B551" s="205"/>
      <c r="C551"/>
      <c r="D551" s="72"/>
      <c r="E551" s="72"/>
      <c r="F551" s="72"/>
      <c r="G551" s="72"/>
      <c r="H551" s="17"/>
      <c r="I551" s="41" t="str" cm="1">
        <f t="array" ref="I551">IFERROR(_xlfn.IFS(H551="Hard (Cash)","N/A",H551="Soft (In-Kind)", "Enter Source"),"Select Type")</f>
        <v>Select Type</v>
      </c>
      <c r="J551" s="124"/>
      <c r="K551" s="41" t="str">
        <f>IFERROR(VLOOKUP($J551,'Project Reference'!$S$2:$T$41,2),"Enter Project Number")</f>
        <v>Enter Project Number</v>
      </c>
      <c r="L551" s="41"/>
      <c r="M551" s="41"/>
      <c r="N551" s="15">
        <f t="shared" si="8"/>
        <v>0</v>
      </c>
      <c r="O551" s="19"/>
      <c r="P551" s="42" t="str">
        <f>IFERROR(VLOOKUP($J551,'Project Reference'!$B$2:$C$41,2)," ")</f>
        <v xml:space="preserve"> </v>
      </c>
      <c r="Q551" s="42" t="str">
        <f>IFERROR(VLOOKUP($J551,'Project Reference'!$B$2:$D$41,3)," ")</f>
        <v xml:space="preserve"> </v>
      </c>
      <c r="R551" s="42" t="str">
        <f>IFERROR(VLOOKUP($J551,'Project Reference'!$B$2:$E$41,4)," ")</f>
        <v xml:space="preserve"> </v>
      </c>
      <c r="S551" s="42" t="str">
        <f>IFERROR(VLOOKUP($J551,'Project Reference'!$B$2:$F$41,5,FALSE)," ")</f>
        <v xml:space="preserve"> </v>
      </c>
      <c r="T551" s="42" t="str">
        <f>IFERROR(VLOOKUP($J551,'Project Reference'!$B$2:$G$41,6,FALSE)," ")</f>
        <v xml:space="preserve"> </v>
      </c>
      <c r="U551" s="42" t="str">
        <f>IFERROR(VLOOKUP($J551,'Project Reference'!$B$2:$H$41,7,FALSE)," ")</f>
        <v xml:space="preserve"> </v>
      </c>
      <c r="V551" s="42" t="str">
        <f>IFERROR(VLOOKUP($J551,'Project Reference'!$B$2:$I$41,8,FALSE)," ")</f>
        <v xml:space="preserve"> </v>
      </c>
      <c r="W551" s="42" t="str">
        <f>IFERROR(VLOOKUP($J551,'Project Reference'!$B$2:$J$41,9,FALSE)," ")</f>
        <v xml:space="preserve"> </v>
      </c>
      <c r="X551" s="42" t="str">
        <f>IFERROR(VLOOKUP($J551,'Project Reference'!$B$2:$K$41,10)," ")</f>
        <v xml:space="preserve"> </v>
      </c>
      <c r="Y551" s="42" t="str">
        <f>IFERROR(VLOOKUP($J551,'Project Reference'!$B$2:$L$41,11)," ")</f>
        <v xml:space="preserve"> </v>
      </c>
      <c r="Z551" s="42" t="str">
        <f>IFERROR(VLOOKUP($J551,'Project Reference'!$B$2:$M$41,12)," ")</f>
        <v xml:space="preserve"> </v>
      </c>
      <c r="AA551" s="42" t="str">
        <f>IFERROR(VLOOKUP($J551,'Project Reference'!$B$2:$N$41,13)," ")</f>
        <v xml:space="preserve"> </v>
      </c>
    </row>
    <row r="552" spans="1:27" s="1" customFormat="1" x14ac:dyDescent="0.45">
      <c r="A552" s="43"/>
      <c r="B552" s="205"/>
      <c r="C552"/>
      <c r="D552" s="72"/>
      <c r="E552" s="72"/>
      <c r="F552" s="72"/>
      <c r="G552" s="72"/>
      <c r="H552" s="17"/>
      <c r="I552" s="41" t="str" cm="1">
        <f t="array" ref="I552">IFERROR(_xlfn.IFS(H552="Hard (Cash)","N/A",H552="Soft (In-Kind)", "Enter Source"),"Select Type")</f>
        <v>Select Type</v>
      </c>
      <c r="J552" s="124"/>
      <c r="K552" s="41" t="str">
        <f>IFERROR(VLOOKUP($J552,'Project Reference'!$S$2:$T$41,2),"Enter Project Number")</f>
        <v>Enter Project Number</v>
      </c>
      <c r="L552" s="41"/>
      <c r="M552" s="41"/>
      <c r="N552" s="15">
        <f t="shared" si="8"/>
        <v>0</v>
      </c>
      <c r="O552" s="19"/>
      <c r="P552" s="42" t="str">
        <f>IFERROR(VLOOKUP($J552,'Project Reference'!$B$2:$C$41,2)," ")</f>
        <v xml:space="preserve"> </v>
      </c>
      <c r="Q552" s="42" t="str">
        <f>IFERROR(VLOOKUP($J552,'Project Reference'!$B$2:$D$41,3)," ")</f>
        <v xml:space="preserve"> </v>
      </c>
      <c r="R552" s="42" t="str">
        <f>IFERROR(VLOOKUP($J552,'Project Reference'!$B$2:$E$41,4)," ")</f>
        <v xml:space="preserve"> </v>
      </c>
      <c r="S552" s="42" t="str">
        <f>IFERROR(VLOOKUP($J552,'Project Reference'!$B$2:$F$41,5,FALSE)," ")</f>
        <v xml:space="preserve"> </v>
      </c>
      <c r="T552" s="42" t="str">
        <f>IFERROR(VLOOKUP($J552,'Project Reference'!$B$2:$G$41,6,FALSE)," ")</f>
        <v xml:space="preserve"> </v>
      </c>
      <c r="U552" s="42" t="str">
        <f>IFERROR(VLOOKUP($J552,'Project Reference'!$B$2:$H$41,7,FALSE)," ")</f>
        <v xml:space="preserve"> </v>
      </c>
      <c r="V552" s="42" t="str">
        <f>IFERROR(VLOOKUP($J552,'Project Reference'!$B$2:$I$41,8,FALSE)," ")</f>
        <v xml:space="preserve"> </v>
      </c>
      <c r="W552" s="42" t="str">
        <f>IFERROR(VLOOKUP($J552,'Project Reference'!$B$2:$J$41,9,FALSE)," ")</f>
        <v xml:space="preserve"> </v>
      </c>
      <c r="X552" s="42" t="str">
        <f>IFERROR(VLOOKUP($J552,'Project Reference'!$B$2:$K$41,10)," ")</f>
        <v xml:space="preserve"> </v>
      </c>
      <c r="Y552" s="42" t="str">
        <f>IFERROR(VLOOKUP($J552,'Project Reference'!$B$2:$L$41,11)," ")</f>
        <v xml:space="preserve"> </v>
      </c>
      <c r="Z552" s="42" t="str">
        <f>IFERROR(VLOOKUP($J552,'Project Reference'!$B$2:$M$41,12)," ")</f>
        <v xml:space="preserve"> </v>
      </c>
      <c r="AA552" s="42" t="str">
        <f>IFERROR(VLOOKUP($J552,'Project Reference'!$B$2:$N$41,13)," ")</f>
        <v xml:space="preserve"> </v>
      </c>
    </row>
    <row r="553" spans="1:27" s="1" customFormat="1" x14ac:dyDescent="0.45">
      <c r="A553" s="43"/>
      <c r="B553" s="205"/>
      <c r="C553"/>
      <c r="D553" s="72"/>
      <c r="E553" s="72"/>
      <c r="F553" s="72"/>
      <c r="G553" s="72"/>
      <c r="H553" s="17"/>
      <c r="I553" s="41" t="str" cm="1">
        <f t="array" ref="I553">IFERROR(_xlfn.IFS(H553="Hard (Cash)","N/A",H553="Soft (In-Kind)", "Enter Source"),"Select Type")</f>
        <v>Select Type</v>
      </c>
      <c r="J553" s="124"/>
      <c r="K553" s="41" t="str">
        <f>IFERROR(VLOOKUP($J553,'Project Reference'!$S$2:$T$41,2),"Enter Project Number")</f>
        <v>Enter Project Number</v>
      </c>
      <c r="L553" s="41"/>
      <c r="M553" s="41"/>
      <c r="N553" s="15">
        <f t="shared" si="8"/>
        <v>0</v>
      </c>
      <c r="O553" s="19"/>
      <c r="P553" s="42" t="str">
        <f>IFERROR(VLOOKUP($J553,'Project Reference'!$B$2:$C$41,2)," ")</f>
        <v xml:space="preserve"> </v>
      </c>
      <c r="Q553" s="42" t="str">
        <f>IFERROR(VLOOKUP($J553,'Project Reference'!$B$2:$D$41,3)," ")</f>
        <v xml:space="preserve"> </v>
      </c>
      <c r="R553" s="42" t="str">
        <f>IFERROR(VLOOKUP($J553,'Project Reference'!$B$2:$E$41,4)," ")</f>
        <v xml:space="preserve"> </v>
      </c>
      <c r="S553" s="42" t="str">
        <f>IFERROR(VLOOKUP($J553,'Project Reference'!$B$2:$F$41,5,FALSE)," ")</f>
        <v xml:space="preserve"> </v>
      </c>
      <c r="T553" s="42" t="str">
        <f>IFERROR(VLOOKUP($J553,'Project Reference'!$B$2:$G$41,6,FALSE)," ")</f>
        <v xml:space="preserve"> </v>
      </c>
      <c r="U553" s="42" t="str">
        <f>IFERROR(VLOOKUP($J553,'Project Reference'!$B$2:$H$41,7,FALSE)," ")</f>
        <v xml:space="preserve"> </v>
      </c>
      <c r="V553" s="42" t="str">
        <f>IFERROR(VLOOKUP($J553,'Project Reference'!$B$2:$I$41,8,FALSE)," ")</f>
        <v xml:space="preserve"> </v>
      </c>
      <c r="W553" s="42" t="str">
        <f>IFERROR(VLOOKUP($J553,'Project Reference'!$B$2:$J$41,9,FALSE)," ")</f>
        <v xml:space="preserve"> </v>
      </c>
      <c r="X553" s="42" t="str">
        <f>IFERROR(VLOOKUP($J553,'Project Reference'!$B$2:$K$41,10)," ")</f>
        <v xml:space="preserve"> </v>
      </c>
      <c r="Y553" s="42" t="str">
        <f>IFERROR(VLOOKUP($J553,'Project Reference'!$B$2:$L$41,11)," ")</f>
        <v xml:space="preserve"> </v>
      </c>
      <c r="Z553" s="42" t="str">
        <f>IFERROR(VLOOKUP($J553,'Project Reference'!$B$2:$M$41,12)," ")</f>
        <v xml:space="preserve"> </v>
      </c>
      <c r="AA553" s="42" t="str">
        <f>IFERROR(VLOOKUP($J553,'Project Reference'!$B$2:$N$41,13)," ")</f>
        <v xml:space="preserve"> </v>
      </c>
    </row>
    <row r="554" spans="1:27" s="1" customFormat="1" x14ac:dyDescent="0.45">
      <c r="A554" s="43"/>
      <c r="B554" s="205"/>
      <c r="C554"/>
      <c r="D554" s="72"/>
      <c r="E554" s="72"/>
      <c r="F554" s="72"/>
      <c r="G554" s="72"/>
      <c r="H554" s="17"/>
      <c r="I554" s="41" t="str" cm="1">
        <f t="array" ref="I554">IFERROR(_xlfn.IFS(H554="Hard (Cash)","N/A",H554="Soft (In-Kind)", "Enter Source"),"Select Type")</f>
        <v>Select Type</v>
      </c>
      <c r="J554" s="124"/>
      <c r="K554" s="41" t="str">
        <f>IFERROR(VLOOKUP($J554,'Project Reference'!$S$2:$T$41,2),"Enter Project Number")</f>
        <v>Enter Project Number</v>
      </c>
      <c r="L554" s="41"/>
      <c r="M554" s="41"/>
      <c r="N554" s="15">
        <f t="shared" si="8"/>
        <v>0</v>
      </c>
      <c r="O554" s="19"/>
      <c r="P554" s="42" t="str">
        <f>IFERROR(VLOOKUP($J554,'Project Reference'!$B$2:$C$41,2)," ")</f>
        <v xml:space="preserve"> </v>
      </c>
      <c r="Q554" s="42" t="str">
        <f>IFERROR(VLOOKUP($J554,'Project Reference'!$B$2:$D$41,3)," ")</f>
        <v xml:space="preserve"> </v>
      </c>
      <c r="R554" s="42" t="str">
        <f>IFERROR(VLOOKUP($J554,'Project Reference'!$B$2:$E$41,4)," ")</f>
        <v xml:space="preserve"> </v>
      </c>
      <c r="S554" s="42" t="str">
        <f>IFERROR(VLOOKUP($J554,'Project Reference'!$B$2:$F$41,5,FALSE)," ")</f>
        <v xml:space="preserve"> </v>
      </c>
      <c r="T554" s="42" t="str">
        <f>IFERROR(VLOOKUP($J554,'Project Reference'!$B$2:$G$41,6,FALSE)," ")</f>
        <v xml:space="preserve"> </v>
      </c>
      <c r="U554" s="42" t="str">
        <f>IFERROR(VLOOKUP($J554,'Project Reference'!$B$2:$H$41,7,FALSE)," ")</f>
        <v xml:space="preserve"> </v>
      </c>
      <c r="V554" s="42" t="str">
        <f>IFERROR(VLOOKUP($J554,'Project Reference'!$B$2:$I$41,8,FALSE)," ")</f>
        <v xml:space="preserve"> </v>
      </c>
      <c r="W554" s="42" t="str">
        <f>IFERROR(VLOOKUP($J554,'Project Reference'!$B$2:$J$41,9,FALSE)," ")</f>
        <v xml:space="preserve"> </v>
      </c>
      <c r="X554" s="42" t="str">
        <f>IFERROR(VLOOKUP($J554,'Project Reference'!$B$2:$K$41,10)," ")</f>
        <v xml:space="preserve"> </v>
      </c>
      <c r="Y554" s="42" t="str">
        <f>IFERROR(VLOOKUP($J554,'Project Reference'!$B$2:$L$41,11)," ")</f>
        <v xml:space="preserve"> </v>
      </c>
      <c r="Z554" s="42" t="str">
        <f>IFERROR(VLOOKUP($J554,'Project Reference'!$B$2:$M$41,12)," ")</f>
        <v xml:space="preserve"> </v>
      </c>
      <c r="AA554" s="42" t="str">
        <f>IFERROR(VLOOKUP($J554,'Project Reference'!$B$2:$N$41,13)," ")</f>
        <v xml:space="preserve"> </v>
      </c>
    </row>
    <row r="555" spans="1:27" s="1" customFormat="1" x14ac:dyDescent="0.45">
      <c r="A555" s="43"/>
      <c r="B555" s="205"/>
      <c r="C555"/>
      <c r="D555" s="72"/>
      <c r="E555" s="72"/>
      <c r="F555" s="72"/>
      <c r="G555" s="72"/>
      <c r="H555" s="17"/>
      <c r="I555" s="41" t="str" cm="1">
        <f t="array" ref="I555">IFERROR(_xlfn.IFS(H555="Hard (Cash)","N/A",H555="Soft (In-Kind)", "Enter Source"),"Select Type")</f>
        <v>Select Type</v>
      </c>
      <c r="J555" s="124"/>
      <c r="K555" s="41" t="str">
        <f>IFERROR(VLOOKUP($J555,'Project Reference'!$S$2:$T$41,2),"Enter Project Number")</f>
        <v>Enter Project Number</v>
      </c>
      <c r="L555" s="41"/>
      <c r="M555" s="41"/>
      <c r="N555" s="15">
        <f t="shared" si="8"/>
        <v>0</v>
      </c>
      <c r="O555" s="19"/>
      <c r="P555" s="42" t="str">
        <f>IFERROR(VLOOKUP($J555,'Project Reference'!$B$2:$C$41,2)," ")</f>
        <v xml:space="preserve"> </v>
      </c>
      <c r="Q555" s="42" t="str">
        <f>IFERROR(VLOOKUP($J555,'Project Reference'!$B$2:$D$41,3)," ")</f>
        <v xml:space="preserve"> </v>
      </c>
      <c r="R555" s="42" t="str">
        <f>IFERROR(VLOOKUP($J555,'Project Reference'!$B$2:$E$41,4)," ")</f>
        <v xml:space="preserve"> </v>
      </c>
      <c r="S555" s="42" t="str">
        <f>IFERROR(VLOOKUP($J555,'Project Reference'!$B$2:$F$41,5,FALSE)," ")</f>
        <v xml:space="preserve"> </v>
      </c>
      <c r="T555" s="42" t="str">
        <f>IFERROR(VLOOKUP($J555,'Project Reference'!$B$2:$G$41,6,FALSE)," ")</f>
        <v xml:space="preserve"> </v>
      </c>
      <c r="U555" s="42" t="str">
        <f>IFERROR(VLOOKUP($J555,'Project Reference'!$B$2:$H$41,7,FALSE)," ")</f>
        <v xml:space="preserve"> </v>
      </c>
      <c r="V555" s="42" t="str">
        <f>IFERROR(VLOOKUP($J555,'Project Reference'!$B$2:$I$41,8,FALSE)," ")</f>
        <v xml:space="preserve"> </v>
      </c>
      <c r="W555" s="42" t="str">
        <f>IFERROR(VLOOKUP($J555,'Project Reference'!$B$2:$J$41,9,FALSE)," ")</f>
        <v xml:space="preserve"> </v>
      </c>
      <c r="X555" s="42" t="str">
        <f>IFERROR(VLOOKUP($J555,'Project Reference'!$B$2:$K$41,10)," ")</f>
        <v xml:space="preserve"> </v>
      </c>
      <c r="Y555" s="42" t="str">
        <f>IFERROR(VLOOKUP($J555,'Project Reference'!$B$2:$L$41,11)," ")</f>
        <v xml:space="preserve"> </v>
      </c>
      <c r="Z555" s="42" t="str">
        <f>IFERROR(VLOOKUP($J555,'Project Reference'!$B$2:$M$41,12)," ")</f>
        <v xml:space="preserve"> </v>
      </c>
      <c r="AA555" s="42" t="str">
        <f>IFERROR(VLOOKUP($J555,'Project Reference'!$B$2:$N$41,13)," ")</f>
        <v xml:space="preserve"> </v>
      </c>
    </row>
    <row r="556" spans="1:27" s="1" customFormat="1" x14ac:dyDescent="0.45">
      <c r="A556" s="43"/>
      <c r="B556" s="205"/>
      <c r="C556"/>
      <c r="D556" s="72"/>
      <c r="E556" s="72"/>
      <c r="F556" s="72"/>
      <c r="G556" s="72"/>
      <c r="H556" s="17"/>
      <c r="I556" s="41" t="str" cm="1">
        <f t="array" ref="I556">IFERROR(_xlfn.IFS(H556="Hard (Cash)","N/A",H556="Soft (In-Kind)", "Enter Source"),"Select Type")</f>
        <v>Select Type</v>
      </c>
      <c r="J556" s="124"/>
      <c r="K556" s="41" t="str">
        <f>IFERROR(VLOOKUP($J556,'Project Reference'!$S$2:$T$41,2),"Enter Project Number")</f>
        <v>Enter Project Number</v>
      </c>
      <c r="L556" s="41"/>
      <c r="M556" s="41"/>
      <c r="N556" s="15">
        <f t="shared" si="8"/>
        <v>0</v>
      </c>
      <c r="O556" s="19"/>
      <c r="P556" s="42" t="str">
        <f>IFERROR(VLOOKUP($J556,'Project Reference'!$B$2:$C$41,2)," ")</f>
        <v xml:space="preserve"> </v>
      </c>
      <c r="Q556" s="42" t="str">
        <f>IFERROR(VLOOKUP($J556,'Project Reference'!$B$2:$D$41,3)," ")</f>
        <v xml:space="preserve"> </v>
      </c>
      <c r="R556" s="42" t="str">
        <f>IFERROR(VLOOKUP($J556,'Project Reference'!$B$2:$E$41,4)," ")</f>
        <v xml:space="preserve"> </v>
      </c>
      <c r="S556" s="42" t="str">
        <f>IFERROR(VLOOKUP($J556,'Project Reference'!$B$2:$F$41,5,FALSE)," ")</f>
        <v xml:space="preserve"> </v>
      </c>
      <c r="T556" s="42" t="str">
        <f>IFERROR(VLOOKUP($J556,'Project Reference'!$B$2:$G$41,6,FALSE)," ")</f>
        <v xml:space="preserve"> </v>
      </c>
      <c r="U556" s="42" t="str">
        <f>IFERROR(VLOOKUP($J556,'Project Reference'!$B$2:$H$41,7,FALSE)," ")</f>
        <v xml:space="preserve"> </v>
      </c>
      <c r="V556" s="42" t="str">
        <f>IFERROR(VLOOKUP($J556,'Project Reference'!$B$2:$I$41,8,FALSE)," ")</f>
        <v xml:space="preserve"> </v>
      </c>
      <c r="W556" s="42" t="str">
        <f>IFERROR(VLOOKUP($J556,'Project Reference'!$B$2:$J$41,9,FALSE)," ")</f>
        <v xml:space="preserve"> </v>
      </c>
      <c r="X556" s="42" t="str">
        <f>IFERROR(VLOOKUP($J556,'Project Reference'!$B$2:$K$41,10)," ")</f>
        <v xml:space="preserve"> </v>
      </c>
      <c r="Y556" s="42" t="str">
        <f>IFERROR(VLOOKUP($J556,'Project Reference'!$B$2:$L$41,11)," ")</f>
        <v xml:space="preserve"> </v>
      </c>
      <c r="Z556" s="42" t="str">
        <f>IFERROR(VLOOKUP($J556,'Project Reference'!$B$2:$M$41,12)," ")</f>
        <v xml:space="preserve"> </v>
      </c>
      <c r="AA556" s="42" t="str">
        <f>IFERROR(VLOOKUP($J556,'Project Reference'!$B$2:$N$41,13)," ")</f>
        <v xml:space="preserve"> </v>
      </c>
    </row>
    <row r="557" spans="1:27" s="1" customFormat="1" x14ac:dyDescent="0.45">
      <c r="A557" s="43"/>
      <c r="B557" s="205"/>
      <c r="C557"/>
      <c r="D557" s="72"/>
      <c r="E557" s="72"/>
      <c r="F557" s="72"/>
      <c r="G557" s="72"/>
      <c r="H557" s="17"/>
      <c r="I557" s="41" t="str" cm="1">
        <f t="array" ref="I557">IFERROR(_xlfn.IFS(H557="Hard (Cash)","N/A",H557="Soft (In-Kind)", "Enter Source"),"Select Type")</f>
        <v>Select Type</v>
      </c>
      <c r="J557" s="124"/>
      <c r="K557" s="41" t="str">
        <f>IFERROR(VLOOKUP($J557,'Project Reference'!$S$2:$T$41,2),"Enter Project Number")</f>
        <v>Enter Project Number</v>
      </c>
      <c r="L557" s="41"/>
      <c r="M557" s="41"/>
      <c r="N557" s="15">
        <f t="shared" si="8"/>
        <v>0</v>
      </c>
      <c r="O557" s="19"/>
      <c r="P557" s="42" t="str">
        <f>IFERROR(VLOOKUP($J557,'Project Reference'!$B$2:$C$41,2)," ")</f>
        <v xml:space="preserve"> </v>
      </c>
      <c r="Q557" s="42" t="str">
        <f>IFERROR(VLOOKUP($J557,'Project Reference'!$B$2:$D$41,3)," ")</f>
        <v xml:space="preserve"> </v>
      </c>
      <c r="R557" s="42" t="str">
        <f>IFERROR(VLOOKUP($J557,'Project Reference'!$B$2:$E$41,4)," ")</f>
        <v xml:space="preserve"> </v>
      </c>
      <c r="S557" s="42" t="str">
        <f>IFERROR(VLOOKUP($J557,'Project Reference'!$B$2:$F$41,5,FALSE)," ")</f>
        <v xml:space="preserve"> </v>
      </c>
      <c r="T557" s="42" t="str">
        <f>IFERROR(VLOOKUP($J557,'Project Reference'!$B$2:$G$41,6,FALSE)," ")</f>
        <v xml:space="preserve"> </v>
      </c>
      <c r="U557" s="42" t="str">
        <f>IFERROR(VLOOKUP($J557,'Project Reference'!$B$2:$H$41,7,FALSE)," ")</f>
        <v xml:space="preserve"> </v>
      </c>
      <c r="V557" s="42" t="str">
        <f>IFERROR(VLOOKUP($J557,'Project Reference'!$B$2:$I$41,8,FALSE)," ")</f>
        <v xml:space="preserve"> </v>
      </c>
      <c r="W557" s="42" t="str">
        <f>IFERROR(VLOOKUP($J557,'Project Reference'!$B$2:$J$41,9,FALSE)," ")</f>
        <v xml:space="preserve"> </v>
      </c>
      <c r="X557" s="42" t="str">
        <f>IFERROR(VLOOKUP($J557,'Project Reference'!$B$2:$K$41,10)," ")</f>
        <v xml:space="preserve"> </v>
      </c>
      <c r="Y557" s="42" t="str">
        <f>IFERROR(VLOOKUP($J557,'Project Reference'!$B$2:$L$41,11)," ")</f>
        <v xml:space="preserve"> </v>
      </c>
      <c r="Z557" s="42" t="str">
        <f>IFERROR(VLOOKUP($J557,'Project Reference'!$B$2:$M$41,12)," ")</f>
        <v xml:space="preserve"> </v>
      </c>
      <c r="AA557" s="42" t="str">
        <f>IFERROR(VLOOKUP($J557,'Project Reference'!$B$2:$N$41,13)," ")</f>
        <v xml:space="preserve"> </v>
      </c>
    </row>
    <row r="558" spans="1:27" s="1" customFormat="1" x14ac:dyDescent="0.45">
      <c r="A558" s="43"/>
      <c r="B558" s="205"/>
      <c r="C558"/>
      <c r="D558" s="72"/>
      <c r="E558" s="72"/>
      <c r="F558" s="72"/>
      <c r="G558" s="72"/>
      <c r="H558" s="17"/>
      <c r="I558" s="41" t="str" cm="1">
        <f t="array" ref="I558">IFERROR(_xlfn.IFS(H558="Hard (Cash)","N/A",H558="Soft (In-Kind)", "Enter Source"),"Select Type")</f>
        <v>Select Type</v>
      </c>
      <c r="J558" s="124"/>
      <c r="K558" s="41" t="str">
        <f>IFERROR(VLOOKUP($J558,'Project Reference'!$S$2:$T$41,2),"Enter Project Number")</f>
        <v>Enter Project Number</v>
      </c>
      <c r="L558" s="41"/>
      <c r="M558" s="41"/>
      <c r="N558" s="15">
        <f t="shared" si="8"/>
        <v>0</v>
      </c>
      <c r="O558" s="19"/>
      <c r="P558" s="42" t="str">
        <f>IFERROR(VLOOKUP($J558,'Project Reference'!$B$2:$C$41,2)," ")</f>
        <v xml:space="preserve"> </v>
      </c>
      <c r="Q558" s="42" t="str">
        <f>IFERROR(VLOOKUP($J558,'Project Reference'!$B$2:$D$41,3)," ")</f>
        <v xml:space="preserve"> </v>
      </c>
      <c r="R558" s="42" t="str">
        <f>IFERROR(VLOOKUP($J558,'Project Reference'!$B$2:$E$41,4)," ")</f>
        <v xml:space="preserve"> </v>
      </c>
      <c r="S558" s="42" t="str">
        <f>IFERROR(VLOOKUP($J558,'Project Reference'!$B$2:$F$41,5,FALSE)," ")</f>
        <v xml:space="preserve"> </v>
      </c>
      <c r="T558" s="42" t="str">
        <f>IFERROR(VLOOKUP($J558,'Project Reference'!$B$2:$G$41,6,FALSE)," ")</f>
        <v xml:space="preserve"> </v>
      </c>
      <c r="U558" s="42" t="str">
        <f>IFERROR(VLOOKUP($J558,'Project Reference'!$B$2:$H$41,7,FALSE)," ")</f>
        <v xml:space="preserve"> </v>
      </c>
      <c r="V558" s="42" t="str">
        <f>IFERROR(VLOOKUP($J558,'Project Reference'!$B$2:$I$41,8,FALSE)," ")</f>
        <v xml:space="preserve"> </v>
      </c>
      <c r="W558" s="42" t="str">
        <f>IFERROR(VLOOKUP($J558,'Project Reference'!$B$2:$J$41,9,FALSE)," ")</f>
        <v xml:space="preserve"> </v>
      </c>
      <c r="X558" s="42" t="str">
        <f>IFERROR(VLOOKUP($J558,'Project Reference'!$B$2:$K$41,10)," ")</f>
        <v xml:space="preserve"> </v>
      </c>
      <c r="Y558" s="42" t="str">
        <f>IFERROR(VLOOKUP($J558,'Project Reference'!$B$2:$L$41,11)," ")</f>
        <v xml:space="preserve"> </v>
      </c>
      <c r="Z558" s="42" t="str">
        <f>IFERROR(VLOOKUP($J558,'Project Reference'!$B$2:$M$41,12)," ")</f>
        <v xml:space="preserve"> </v>
      </c>
      <c r="AA558" s="42" t="str">
        <f>IFERROR(VLOOKUP($J558,'Project Reference'!$B$2:$N$41,13)," ")</f>
        <v xml:space="preserve"> </v>
      </c>
    </row>
    <row r="559" spans="1:27" s="1" customFormat="1" x14ac:dyDescent="0.45">
      <c r="A559" s="43"/>
      <c r="B559" s="205"/>
      <c r="C559"/>
      <c r="D559" s="72"/>
      <c r="E559" s="72"/>
      <c r="F559" s="72"/>
      <c r="G559" s="72"/>
      <c r="H559" s="17"/>
      <c r="I559" s="41" t="str" cm="1">
        <f t="array" ref="I559">IFERROR(_xlfn.IFS(H559="Hard (Cash)","N/A",H559="Soft (In-Kind)", "Enter Source"),"Select Type")</f>
        <v>Select Type</v>
      </c>
      <c r="J559" s="124"/>
      <c r="K559" s="41" t="str">
        <f>IFERROR(VLOOKUP($J559,'Project Reference'!$S$2:$T$41,2),"Enter Project Number")</f>
        <v>Enter Project Number</v>
      </c>
      <c r="L559" s="41"/>
      <c r="M559" s="41"/>
      <c r="N559" s="15">
        <f t="shared" si="8"/>
        <v>0</v>
      </c>
      <c r="O559" s="19"/>
      <c r="P559" s="42" t="str">
        <f>IFERROR(VLOOKUP($J559,'Project Reference'!$B$2:$C$41,2)," ")</f>
        <v xml:space="preserve"> </v>
      </c>
      <c r="Q559" s="42" t="str">
        <f>IFERROR(VLOOKUP($J559,'Project Reference'!$B$2:$D$41,3)," ")</f>
        <v xml:space="preserve"> </v>
      </c>
      <c r="R559" s="42" t="str">
        <f>IFERROR(VLOOKUP($J559,'Project Reference'!$B$2:$E$41,4)," ")</f>
        <v xml:space="preserve"> </v>
      </c>
      <c r="S559" s="42" t="str">
        <f>IFERROR(VLOOKUP($J559,'Project Reference'!$B$2:$F$41,5,FALSE)," ")</f>
        <v xml:space="preserve"> </v>
      </c>
      <c r="T559" s="42" t="str">
        <f>IFERROR(VLOOKUP($J559,'Project Reference'!$B$2:$G$41,6,FALSE)," ")</f>
        <v xml:space="preserve"> </v>
      </c>
      <c r="U559" s="42" t="str">
        <f>IFERROR(VLOOKUP($J559,'Project Reference'!$B$2:$H$41,7,FALSE)," ")</f>
        <v xml:space="preserve"> </v>
      </c>
      <c r="V559" s="42" t="str">
        <f>IFERROR(VLOOKUP($J559,'Project Reference'!$B$2:$I$41,8,FALSE)," ")</f>
        <v xml:space="preserve"> </v>
      </c>
      <c r="W559" s="42" t="str">
        <f>IFERROR(VLOOKUP($J559,'Project Reference'!$B$2:$J$41,9,FALSE)," ")</f>
        <v xml:space="preserve"> </v>
      </c>
      <c r="X559" s="42" t="str">
        <f>IFERROR(VLOOKUP($J559,'Project Reference'!$B$2:$K$41,10)," ")</f>
        <v xml:space="preserve"> </v>
      </c>
      <c r="Y559" s="42" t="str">
        <f>IFERROR(VLOOKUP($J559,'Project Reference'!$B$2:$L$41,11)," ")</f>
        <v xml:space="preserve"> </v>
      </c>
      <c r="Z559" s="42" t="str">
        <f>IFERROR(VLOOKUP($J559,'Project Reference'!$B$2:$M$41,12)," ")</f>
        <v xml:space="preserve"> </v>
      </c>
      <c r="AA559" s="42" t="str">
        <f>IFERROR(VLOOKUP($J559,'Project Reference'!$B$2:$N$41,13)," ")</f>
        <v xml:space="preserve"> </v>
      </c>
    </row>
    <row r="560" spans="1:27" s="1" customFormat="1" x14ac:dyDescent="0.45">
      <c r="A560" s="43"/>
      <c r="B560" s="205"/>
      <c r="C560"/>
      <c r="D560" s="72"/>
      <c r="E560" s="72"/>
      <c r="F560" s="72"/>
      <c r="G560" s="72"/>
      <c r="H560" s="17"/>
      <c r="I560" s="41" t="str" cm="1">
        <f t="array" ref="I560">IFERROR(_xlfn.IFS(H560="Hard (Cash)","N/A",H560="Soft (In-Kind)", "Enter Source"),"Select Type")</f>
        <v>Select Type</v>
      </c>
      <c r="J560" s="124"/>
      <c r="K560" s="41" t="str">
        <f>IFERROR(VLOOKUP($J560,'Project Reference'!$S$2:$T$41,2),"Enter Project Number")</f>
        <v>Enter Project Number</v>
      </c>
      <c r="L560" s="41"/>
      <c r="M560" s="41"/>
      <c r="N560" s="15">
        <f t="shared" si="8"/>
        <v>0</v>
      </c>
      <c r="O560" s="19"/>
      <c r="P560" s="42" t="str">
        <f>IFERROR(VLOOKUP($J560,'Project Reference'!$B$2:$C$41,2)," ")</f>
        <v xml:space="preserve"> </v>
      </c>
      <c r="Q560" s="42" t="str">
        <f>IFERROR(VLOOKUP($J560,'Project Reference'!$B$2:$D$41,3)," ")</f>
        <v xml:space="preserve"> </v>
      </c>
      <c r="R560" s="42" t="str">
        <f>IFERROR(VLOOKUP($J560,'Project Reference'!$B$2:$E$41,4)," ")</f>
        <v xml:space="preserve"> </v>
      </c>
      <c r="S560" s="42" t="str">
        <f>IFERROR(VLOOKUP($J560,'Project Reference'!$B$2:$F$41,5,FALSE)," ")</f>
        <v xml:space="preserve"> </v>
      </c>
      <c r="T560" s="42" t="str">
        <f>IFERROR(VLOOKUP($J560,'Project Reference'!$B$2:$G$41,6,FALSE)," ")</f>
        <v xml:space="preserve"> </v>
      </c>
      <c r="U560" s="42" t="str">
        <f>IFERROR(VLOOKUP($J560,'Project Reference'!$B$2:$H$41,7,FALSE)," ")</f>
        <v xml:space="preserve"> </v>
      </c>
      <c r="V560" s="42" t="str">
        <f>IFERROR(VLOOKUP($J560,'Project Reference'!$B$2:$I$41,8,FALSE)," ")</f>
        <v xml:space="preserve"> </v>
      </c>
      <c r="W560" s="42" t="str">
        <f>IFERROR(VLOOKUP($J560,'Project Reference'!$B$2:$J$41,9,FALSE)," ")</f>
        <v xml:space="preserve"> </v>
      </c>
      <c r="X560" s="42" t="str">
        <f>IFERROR(VLOOKUP($J560,'Project Reference'!$B$2:$K$41,10)," ")</f>
        <v xml:space="preserve"> </v>
      </c>
      <c r="Y560" s="42" t="str">
        <f>IFERROR(VLOOKUP($J560,'Project Reference'!$B$2:$L$41,11)," ")</f>
        <v xml:space="preserve"> </v>
      </c>
      <c r="Z560" s="42" t="str">
        <f>IFERROR(VLOOKUP($J560,'Project Reference'!$B$2:$M$41,12)," ")</f>
        <v xml:space="preserve"> </v>
      </c>
      <c r="AA560" s="42" t="str">
        <f>IFERROR(VLOOKUP($J560,'Project Reference'!$B$2:$N$41,13)," ")</f>
        <v xml:space="preserve"> </v>
      </c>
    </row>
    <row r="561" spans="1:27" x14ac:dyDescent="0.45">
      <c r="A561" s="43"/>
      <c r="B561" s="205"/>
      <c r="C561"/>
      <c r="D561" s="72"/>
      <c r="E561" s="72"/>
      <c r="F561" s="72"/>
      <c r="G561" s="72"/>
      <c r="H561" s="17"/>
      <c r="I561" s="41" t="str" cm="1">
        <f t="array" ref="I561">IFERROR(_xlfn.IFS(H561="Hard (Cash)","N/A",H561="Soft (In-Kind)", "Enter Source"),"Select Type")</f>
        <v>Select Type</v>
      </c>
      <c r="J561" s="124"/>
      <c r="K561" s="41" t="str">
        <f>IFERROR(VLOOKUP($J561,'Project Reference'!$S$2:$T$41,2),"Enter Project Number")</f>
        <v>Enter Project Number</v>
      </c>
      <c r="L561" s="41"/>
      <c r="M561" s="41"/>
      <c r="N561" s="15">
        <f t="shared" ref="N561:N624" si="9">SUM(D561:G561)</f>
        <v>0</v>
      </c>
      <c r="O561" s="19"/>
      <c r="P561" s="42" t="str">
        <f>IFERROR(VLOOKUP($J561,'Project Reference'!$B$2:$C$41,2)," ")</f>
        <v xml:space="preserve"> </v>
      </c>
      <c r="Q561" s="42" t="str">
        <f>IFERROR(VLOOKUP($J561,'Project Reference'!$B$2:$D$41,3)," ")</f>
        <v xml:space="preserve"> </v>
      </c>
      <c r="R561" s="42" t="str">
        <f>IFERROR(VLOOKUP($J561,'Project Reference'!$B$2:$E$41,4)," ")</f>
        <v xml:space="preserve"> </v>
      </c>
      <c r="S561" s="42" t="str">
        <f>IFERROR(VLOOKUP($J561,'Project Reference'!$B$2:$F$41,5,FALSE)," ")</f>
        <v xml:space="preserve"> </v>
      </c>
      <c r="T561" s="42" t="str">
        <f>IFERROR(VLOOKUP($J561,'Project Reference'!$B$2:$G$41,6,FALSE)," ")</f>
        <v xml:space="preserve"> </v>
      </c>
      <c r="U561" s="42" t="str">
        <f>IFERROR(VLOOKUP($J561,'Project Reference'!$B$2:$H$41,7,FALSE)," ")</f>
        <v xml:space="preserve"> </v>
      </c>
      <c r="V561" s="42" t="str">
        <f>IFERROR(VLOOKUP($J561,'Project Reference'!$B$2:$I$41,8,FALSE)," ")</f>
        <v xml:space="preserve"> </v>
      </c>
      <c r="W561" s="42" t="str">
        <f>IFERROR(VLOOKUP($J561,'Project Reference'!$B$2:$J$41,9,FALSE)," ")</f>
        <v xml:space="preserve"> </v>
      </c>
      <c r="X561" s="42" t="str">
        <f>IFERROR(VLOOKUP($J561,'Project Reference'!$B$2:$K$41,10)," ")</f>
        <v xml:space="preserve"> </v>
      </c>
      <c r="Y561" s="42" t="str">
        <f>IFERROR(VLOOKUP($J561,'Project Reference'!$B$2:$L$41,11)," ")</f>
        <v xml:space="preserve"> </v>
      </c>
      <c r="Z561" s="42" t="str">
        <f>IFERROR(VLOOKUP($J561,'Project Reference'!$B$2:$M$41,12)," ")</f>
        <v xml:space="preserve"> </v>
      </c>
      <c r="AA561" s="42" t="str">
        <f>IFERROR(VLOOKUP($J561,'Project Reference'!$B$2:$N$41,13)," ")</f>
        <v xml:space="preserve"> </v>
      </c>
    </row>
    <row r="562" spans="1:27" x14ac:dyDescent="0.45">
      <c r="A562" s="43"/>
      <c r="B562" s="205"/>
      <c r="C562"/>
      <c r="D562" s="72"/>
      <c r="E562" s="72"/>
      <c r="F562" s="72"/>
      <c r="G562" s="72"/>
      <c r="H562" s="17"/>
      <c r="I562" s="41" t="str" cm="1">
        <f t="array" ref="I562">IFERROR(_xlfn.IFS(H562="Hard (Cash)","N/A",H562="Soft (In-Kind)", "Enter Source"),"Select Type")</f>
        <v>Select Type</v>
      </c>
      <c r="J562" s="124"/>
      <c r="K562" s="41" t="str">
        <f>IFERROR(VLOOKUP($J562,'Project Reference'!$S$2:$T$41,2),"Enter Project Number")</f>
        <v>Enter Project Number</v>
      </c>
      <c r="L562" s="41"/>
      <c r="M562" s="41"/>
      <c r="N562" s="15">
        <f t="shared" si="9"/>
        <v>0</v>
      </c>
      <c r="O562" s="19"/>
      <c r="P562" s="42" t="str">
        <f>IFERROR(VLOOKUP($J562,'Project Reference'!$B$2:$C$41,2)," ")</f>
        <v xml:space="preserve"> </v>
      </c>
      <c r="Q562" s="42" t="str">
        <f>IFERROR(VLOOKUP($J562,'Project Reference'!$B$2:$D$41,3)," ")</f>
        <v xml:space="preserve"> </v>
      </c>
      <c r="R562" s="42" t="str">
        <f>IFERROR(VLOOKUP($J562,'Project Reference'!$B$2:$E$41,4)," ")</f>
        <v xml:space="preserve"> </v>
      </c>
      <c r="S562" s="42" t="str">
        <f>IFERROR(VLOOKUP($J562,'Project Reference'!$B$2:$F$41,5,FALSE)," ")</f>
        <v xml:space="preserve"> </v>
      </c>
      <c r="T562" s="42" t="str">
        <f>IFERROR(VLOOKUP($J562,'Project Reference'!$B$2:$G$41,6,FALSE)," ")</f>
        <v xml:space="preserve"> </v>
      </c>
      <c r="U562" s="42" t="str">
        <f>IFERROR(VLOOKUP($J562,'Project Reference'!$B$2:$H$41,7,FALSE)," ")</f>
        <v xml:space="preserve"> </v>
      </c>
      <c r="V562" s="42" t="str">
        <f>IFERROR(VLOOKUP($J562,'Project Reference'!$B$2:$I$41,8,FALSE)," ")</f>
        <v xml:space="preserve"> </v>
      </c>
      <c r="W562" s="42" t="str">
        <f>IFERROR(VLOOKUP($J562,'Project Reference'!$B$2:$J$41,9,FALSE)," ")</f>
        <v xml:space="preserve"> </v>
      </c>
      <c r="X562" s="42" t="str">
        <f>IFERROR(VLOOKUP($J562,'Project Reference'!$B$2:$K$41,10)," ")</f>
        <v xml:space="preserve"> </v>
      </c>
      <c r="Y562" s="42" t="str">
        <f>IFERROR(VLOOKUP($J562,'Project Reference'!$B$2:$L$41,11)," ")</f>
        <v xml:space="preserve"> </v>
      </c>
      <c r="Z562" s="42" t="str">
        <f>IFERROR(VLOOKUP($J562,'Project Reference'!$B$2:$M$41,12)," ")</f>
        <v xml:space="preserve"> </v>
      </c>
      <c r="AA562" s="42" t="str">
        <f>IFERROR(VLOOKUP($J562,'Project Reference'!$B$2:$N$41,13)," ")</f>
        <v xml:space="preserve"> </v>
      </c>
    </row>
    <row r="563" spans="1:27" x14ac:dyDescent="0.45">
      <c r="A563" s="43"/>
      <c r="B563" s="205"/>
      <c r="C563"/>
      <c r="D563" s="72"/>
      <c r="E563" s="72"/>
      <c r="F563" s="72"/>
      <c r="G563" s="72"/>
      <c r="H563" s="17"/>
      <c r="I563" s="41" t="str" cm="1">
        <f t="array" ref="I563">IFERROR(_xlfn.IFS(H563="Hard (Cash)","N/A",H563="Soft (In-Kind)", "Enter Source"),"Select Type")</f>
        <v>Select Type</v>
      </c>
      <c r="J563" s="124"/>
      <c r="K563" s="41" t="str">
        <f>IFERROR(VLOOKUP($J563,'Project Reference'!$S$2:$T$41,2),"Enter Project Number")</f>
        <v>Enter Project Number</v>
      </c>
      <c r="L563" s="41"/>
      <c r="M563" s="41"/>
      <c r="N563" s="15">
        <f t="shared" si="9"/>
        <v>0</v>
      </c>
      <c r="O563" s="19"/>
      <c r="P563" s="42" t="str">
        <f>IFERROR(VLOOKUP($J563,'Project Reference'!$B$2:$C$41,2)," ")</f>
        <v xml:space="preserve"> </v>
      </c>
      <c r="Q563" s="42" t="str">
        <f>IFERROR(VLOOKUP($J563,'Project Reference'!$B$2:$D$41,3)," ")</f>
        <v xml:space="preserve"> </v>
      </c>
      <c r="R563" s="42" t="str">
        <f>IFERROR(VLOOKUP($J563,'Project Reference'!$B$2:$E$41,4)," ")</f>
        <v xml:space="preserve"> </v>
      </c>
      <c r="S563" s="42" t="str">
        <f>IFERROR(VLOOKUP($J563,'Project Reference'!$B$2:$F$41,5,FALSE)," ")</f>
        <v xml:space="preserve"> </v>
      </c>
      <c r="T563" s="42" t="str">
        <f>IFERROR(VLOOKUP($J563,'Project Reference'!$B$2:$G$41,6,FALSE)," ")</f>
        <v xml:space="preserve"> </v>
      </c>
      <c r="U563" s="42" t="str">
        <f>IFERROR(VLOOKUP($J563,'Project Reference'!$B$2:$H$41,7,FALSE)," ")</f>
        <v xml:space="preserve"> </v>
      </c>
      <c r="V563" s="42" t="str">
        <f>IFERROR(VLOOKUP($J563,'Project Reference'!$B$2:$I$41,8,FALSE)," ")</f>
        <v xml:space="preserve"> </v>
      </c>
      <c r="W563" s="42" t="str">
        <f>IFERROR(VLOOKUP($J563,'Project Reference'!$B$2:$J$41,9,FALSE)," ")</f>
        <v xml:space="preserve"> </v>
      </c>
      <c r="X563" s="42" t="str">
        <f>IFERROR(VLOOKUP($J563,'Project Reference'!$B$2:$K$41,10)," ")</f>
        <v xml:space="preserve"> </v>
      </c>
      <c r="Y563" s="42" t="str">
        <f>IFERROR(VLOOKUP($J563,'Project Reference'!$B$2:$L$41,11)," ")</f>
        <v xml:space="preserve"> </v>
      </c>
      <c r="Z563" s="42" t="str">
        <f>IFERROR(VLOOKUP($J563,'Project Reference'!$B$2:$M$41,12)," ")</f>
        <v xml:space="preserve"> </v>
      </c>
      <c r="AA563" s="42" t="str">
        <f>IFERROR(VLOOKUP($J563,'Project Reference'!$B$2:$N$41,13)," ")</f>
        <v xml:space="preserve"> </v>
      </c>
    </row>
    <row r="564" spans="1:27" x14ac:dyDescent="0.45">
      <c r="A564" s="43"/>
      <c r="B564" s="205"/>
      <c r="C564"/>
      <c r="D564" s="72"/>
      <c r="E564" s="72"/>
      <c r="F564" s="72"/>
      <c r="G564" s="72"/>
      <c r="H564" s="17"/>
      <c r="I564" s="41" t="str" cm="1">
        <f t="array" ref="I564">IFERROR(_xlfn.IFS(H564="Hard (Cash)","N/A",H564="Soft (In-Kind)", "Enter Source"),"Select Type")</f>
        <v>Select Type</v>
      </c>
      <c r="J564" s="124"/>
      <c r="K564" s="41" t="str">
        <f>IFERROR(VLOOKUP($J564,'Project Reference'!$S$2:$T$41,2),"Enter Project Number")</f>
        <v>Enter Project Number</v>
      </c>
      <c r="L564" s="41"/>
      <c r="M564" s="41"/>
      <c r="N564" s="15">
        <f t="shared" si="9"/>
        <v>0</v>
      </c>
      <c r="O564" s="19"/>
      <c r="P564" s="42" t="str">
        <f>IFERROR(VLOOKUP($J564,'Project Reference'!$B$2:$C$41,2)," ")</f>
        <v xml:space="preserve"> </v>
      </c>
      <c r="Q564" s="42" t="str">
        <f>IFERROR(VLOOKUP($J564,'Project Reference'!$B$2:$D$41,3)," ")</f>
        <v xml:space="preserve"> </v>
      </c>
      <c r="R564" s="42" t="str">
        <f>IFERROR(VLOOKUP($J564,'Project Reference'!$B$2:$E$41,4)," ")</f>
        <v xml:space="preserve"> </v>
      </c>
      <c r="S564" s="42" t="str">
        <f>IFERROR(VLOOKUP($J564,'Project Reference'!$B$2:$F$41,5,FALSE)," ")</f>
        <v xml:space="preserve"> </v>
      </c>
      <c r="T564" s="42" t="str">
        <f>IFERROR(VLOOKUP($J564,'Project Reference'!$B$2:$G$41,6,FALSE)," ")</f>
        <v xml:space="preserve"> </v>
      </c>
      <c r="U564" s="42" t="str">
        <f>IFERROR(VLOOKUP($J564,'Project Reference'!$B$2:$H$41,7,FALSE)," ")</f>
        <v xml:space="preserve"> </v>
      </c>
      <c r="V564" s="42" t="str">
        <f>IFERROR(VLOOKUP($J564,'Project Reference'!$B$2:$I$41,8,FALSE)," ")</f>
        <v xml:space="preserve"> </v>
      </c>
      <c r="W564" s="42" t="str">
        <f>IFERROR(VLOOKUP($J564,'Project Reference'!$B$2:$J$41,9,FALSE)," ")</f>
        <v xml:space="preserve"> </v>
      </c>
      <c r="X564" s="42" t="str">
        <f>IFERROR(VLOOKUP($J564,'Project Reference'!$B$2:$K$41,10)," ")</f>
        <v xml:space="preserve"> </v>
      </c>
      <c r="Y564" s="42" t="str">
        <f>IFERROR(VLOOKUP($J564,'Project Reference'!$B$2:$L$41,11)," ")</f>
        <v xml:space="preserve"> </v>
      </c>
      <c r="Z564" s="42" t="str">
        <f>IFERROR(VLOOKUP($J564,'Project Reference'!$B$2:$M$41,12)," ")</f>
        <v xml:space="preserve"> </v>
      </c>
      <c r="AA564" s="42" t="str">
        <f>IFERROR(VLOOKUP($J564,'Project Reference'!$B$2:$N$41,13)," ")</f>
        <v xml:space="preserve"> </v>
      </c>
    </row>
    <row r="565" spans="1:27" x14ac:dyDescent="0.45">
      <c r="A565" s="43"/>
      <c r="B565" s="205"/>
      <c r="C565"/>
      <c r="D565" s="72"/>
      <c r="E565" s="72"/>
      <c r="F565" s="72"/>
      <c r="G565" s="72"/>
      <c r="H565" s="17"/>
      <c r="I565" s="41" t="str" cm="1">
        <f t="array" ref="I565">IFERROR(_xlfn.IFS(H565="Hard (Cash)","N/A",H565="Soft (In-Kind)", "Enter Source"),"Select Type")</f>
        <v>Select Type</v>
      </c>
      <c r="J565" s="124"/>
      <c r="K565" s="41" t="str">
        <f>IFERROR(VLOOKUP($J565,'Project Reference'!$S$2:$T$41,2),"Enter Project Number")</f>
        <v>Enter Project Number</v>
      </c>
      <c r="L565" s="41"/>
      <c r="M565" s="41"/>
      <c r="N565" s="15">
        <f t="shared" si="9"/>
        <v>0</v>
      </c>
      <c r="O565" s="19"/>
      <c r="P565" s="42" t="str">
        <f>IFERROR(VLOOKUP($J565,'Project Reference'!$B$2:$C$41,2)," ")</f>
        <v xml:space="preserve"> </v>
      </c>
      <c r="Q565" s="42" t="str">
        <f>IFERROR(VLOOKUP($J565,'Project Reference'!$B$2:$D$41,3)," ")</f>
        <v xml:space="preserve"> </v>
      </c>
      <c r="R565" s="42" t="str">
        <f>IFERROR(VLOOKUP($J565,'Project Reference'!$B$2:$E$41,4)," ")</f>
        <v xml:space="preserve"> </v>
      </c>
      <c r="S565" s="42" t="str">
        <f>IFERROR(VLOOKUP($J565,'Project Reference'!$B$2:$F$41,5,FALSE)," ")</f>
        <v xml:space="preserve"> </v>
      </c>
      <c r="T565" s="42" t="str">
        <f>IFERROR(VLOOKUP($J565,'Project Reference'!$B$2:$G$41,6,FALSE)," ")</f>
        <v xml:space="preserve"> </v>
      </c>
      <c r="U565" s="42" t="str">
        <f>IFERROR(VLOOKUP($J565,'Project Reference'!$B$2:$H$41,7,FALSE)," ")</f>
        <v xml:space="preserve"> </v>
      </c>
      <c r="V565" s="42" t="str">
        <f>IFERROR(VLOOKUP($J565,'Project Reference'!$B$2:$I$41,8,FALSE)," ")</f>
        <v xml:space="preserve"> </v>
      </c>
      <c r="W565" s="42" t="str">
        <f>IFERROR(VLOOKUP($J565,'Project Reference'!$B$2:$J$41,9,FALSE)," ")</f>
        <v xml:space="preserve"> </v>
      </c>
      <c r="X565" s="42" t="str">
        <f>IFERROR(VLOOKUP($J565,'Project Reference'!$B$2:$K$41,10)," ")</f>
        <v xml:space="preserve"> </v>
      </c>
      <c r="Y565" s="42" t="str">
        <f>IFERROR(VLOOKUP($J565,'Project Reference'!$B$2:$L$41,11)," ")</f>
        <v xml:space="preserve"> </v>
      </c>
      <c r="Z565" s="42" t="str">
        <f>IFERROR(VLOOKUP($J565,'Project Reference'!$B$2:$M$41,12)," ")</f>
        <v xml:space="preserve"> </v>
      </c>
      <c r="AA565" s="42" t="str">
        <f>IFERROR(VLOOKUP($J565,'Project Reference'!$B$2:$N$41,13)," ")</f>
        <v xml:space="preserve"> </v>
      </c>
    </row>
    <row r="566" spans="1:27" x14ac:dyDescent="0.45">
      <c r="A566" s="43"/>
      <c r="B566" s="205"/>
      <c r="C566"/>
      <c r="D566" s="72"/>
      <c r="E566" s="72"/>
      <c r="F566" s="72"/>
      <c r="G566" s="72"/>
      <c r="H566" s="17"/>
      <c r="I566" s="41" t="str" cm="1">
        <f t="array" ref="I566">IFERROR(_xlfn.IFS(H566="Hard (Cash)","N/A",H566="Soft (In-Kind)", "Enter Source"),"Select Type")</f>
        <v>Select Type</v>
      </c>
      <c r="J566" s="124"/>
      <c r="K566" s="41" t="str">
        <f>IFERROR(VLOOKUP($J566,'Project Reference'!$S$2:$T$41,2),"Enter Project Number")</f>
        <v>Enter Project Number</v>
      </c>
      <c r="L566" s="41"/>
      <c r="M566" s="41"/>
      <c r="N566" s="15">
        <f t="shared" si="9"/>
        <v>0</v>
      </c>
      <c r="O566" s="19"/>
      <c r="P566" s="42" t="str">
        <f>IFERROR(VLOOKUP($J566,'Project Reference'!$B$2:$C$41,2)," ")</f>
        <v xml:space="preserve"> </v>
      </c>
      <c r="Q566" s="42" t="str">
        <f>IFERROR(VLOOKUP($J566,'Project Reference'!$B$2:$D$41,3)," ")</f>
        <v xml:space="preserve"> </v>
      </c>
      <c r="R566" s="42" t="str">
        <f>IFERROR(VLOOKUP($J566,'Project Reference'!$B$2:$E$41,4)," ")</f>
        <v xml:space="preserve"> </v>
      </c>
      <c r="S566" s="42" t="str">
        <f>IFERROR(VLOOKUP($J566,'Project Reference'!$B$2:$F$41,5,FALSE)," ")</f>
        <v xml:space="preserve"> </v>
      </c>
      <c r="T566" s="42" t="str">
        <f>IFERROR(VLOOKUP($J566,'Project Reference'!$B$2:$G$41,6,FALSE)," ")</f>
        <v xml:space="preserve"> </v>
      </c>
      <c r="U566" s="42" t="str">
        <f>IFERROR(VLOOKUP($J566,'Project Reference'!$B$2:$H$41,7,FALSE)," ")</f>
        <v xml:space="preserve"> </v>
      </c>
      <c r="V566" s="42" t="str">
        <f>IFERROR(VLOOKUP($J566,'Project Reference'!$B$2:$I$41,8,FALSE)," ")</f>
        <v xml:space="preserve"> </v>
      </c>
      <c r="W566" s="42" t="str">
        <f>IFERROR(VLOOKUP($J566,'Project Reference'!$B$2:$J$41,9,FALSE)," ")</f>
        <v xml:space="preserve"> </v>
      </c>
      <c r="X566" s="42" t="str">
        <f>IFERROR(VLOOKUP($J566,'Project Reference'!$B$2:$K$41,10)," ")</f>
        <v xml:space="preserve"> </v>
      </c>
      <c r="Y566" s="42" t="str">
        <f>IFERROR(VLOOKUP($J566,'Project Reference'!$B$2:$L$41,11)," ")</f>
        <v xml:space="preserve"> </v>
      </c>
      <c r="Z566" s="42" t="str">
        <f>IFERROR(VLOOKUP($J566,'Project Reference'!$B$2:$M$41,12)," ")</f>
        <v xml:space="preserve"> </v>
      </c>
      <c r="AA566" s="42" t="str">
        <f>IFERROR(VLOOKUP($J566,'Project Reference'!$B$2:$N$41,13)," ")</f>
        <v xml:space="preserve"> </v>
      </c>
    </row>
    <row r="567" spans="1:27" x14ac:dyDescent="0.45">
      <c r="A567" s="43"/>
      <c r="B567" s="205"/>
      <c r="C567"/>
      <c r="D567" s="72"/>
      <c r="E567" s="72"/>
      <c r="F567" s="72"/>
      <c r="G567" s="72"/>
      <c r="H567" s="17"/>
      <c r="I567" s="41" t="str" cm="1">
        <f t="array" ref="I567">IFERROR(_xlfn.IFS(H567="Hard (Cash)","N/A",H567="Soft (In-Kind)", "Enter Source"),"Select Type")</f>
        <v>Select Type</v>
      </c>
      <c r="J567" s="124"/>
      <c r="K567" s="41" t="str">
        <f>IFERROR(VLOOKUP($J567,'Project Reference'!$S$2:$T$41,2),"Enter Project Number")</f>
        <v>Enter Project Number</v>
      </c>
      <c r="L567" s="41"/>
      <c r="M567" s="41"/>
      <c r="N567" s="15">
        <f t="shared" si="9"/>
        <v>0</v>
      </c>
      <c r="O567" s="19"/>
      <c r="P567" s="42" t="str">
        <f>IFERROR(VLOOKUP($J567,'Project Reference'!$B$2:$C$41,2)," ")</f>
        <v xml:space="preserve"> </v>
      </c>
      <c r="Q567" s="42" t="str">
        <f>IFERROR(VLOOKUP($J567,'Project Reference'!$B$2:$D$41,3)," ")</f>
        <v xml:space="preserve"> </v>
      </c>
      <c r="R567" s="42" t="str">
        <f>IFERROR(VLOOKUP($J567,'Project Reference'!$B$2:$E$41,4)," ")</f>
        <v xml:space="preserve"> </v>
      </c>
      <c r="S567" s="42" t="str">
        <f>IFERROR(VLOOKUP($J567,'Project Reference'!$B$2:$F$41,5,FALSE)," ")</f>
        <v xml:space="preserve"> </v>
      </c>
      <c r="T567" s="42" t="str">
        <f>IFERROR(VLOOKUP($J567,'Project Reference'!$B$2:$G$41,6,FALSE)," ")</f>
        <v xml:space="preserve"> </v>
      </c>
      <c r="U567" s="42" t="str">
        <f>IFERROR(VLOOKUP($J567,'Project Reference'!$B$2:$H$41,7,FALSE)," ")</f>
        <v xml:space="preserve"> </v>
      </c>
      <c r="V567" s="42" t="str">
        <f>IFERROR(VLOOKUP($J567,'Project Reference'!$B$2:$I$41,8,FALSE)," ")</f>
        <v xml:space="preserve"> </v>
      </c>
      <c r="W567" s="42" t="str">
        <f>IFERROR(VLOOKUP($J567,'Project Reference'!$B$2:$J$41,9,FALSE)," ")</f>
        <v xml:space="preserve"> </v>
      </c>
      <c r="X567" s="42" t="str">
        <f>IFERROR(VLOOKUP($J567,'Project Reference'!$B$2:$K$41,10)," ")</f>
        <v xml:space="preserve"> </v>
      </c>
      <c r="Y567" s="42" t="str">
        <f>IFERROR(VLOOKUP($J567,'Project Reference'!$B$2:$L$41,11)," ")</f>
        <v xml:space="preserve"> </v>
      </c>
      <c r="Z567" s="42" t="str">
        <f>IFERROR(VLOOKUP($J567,'Project Reference'!$B$2:$M$41,12)," ")</f>
        <v xml:space="preserve"> </v>
      </c>
      <c r="AA567" s="42" t="str">
        <f>IFERROR(VLOOKUP($J567,'Project Reference'!$B$2:$N$41,13)," ")</f>
        <v xml:space="preserve"> </v>
      </c>
    </row>
    <row r="568" spans="1:27" x14ac:dyDescent="0.45">
      <c r="A568" s="43"/>
      <c r="B568" s="205"/>
      <c r="C568"/>
      <c r="D568" s="72"/>
      <c r="E568" s="72"/>
      <c r="F568" s="72"/>
      <c r="G568" s="72"/>
      <c r="H568" s="17"/>
      <c r="I568" s="41" t="str" cm="1">
        <f t="array" ref="I568">IFERROR(_xlfn.IFS(H568="Hard (Cash)","N/A",H568="Soft (In-Kind)", "Enter Source"),"Select Type")</f>
        <v>Select Type</v>
      </c>
      <c r="J568" s="124"/>
      <c r="K568" s="41" t="str">
        <f>IFERROR(VLOOKUP($J568,'Project Reference'!$S$2:$T$41,2),"Enter Project Number")</f>
        <v>Enter Project Number</v>
      </c>
      <c r="L568" s="41"/>
      <c r="M568" s="41"/>
      <c r="N568" s="15">
        <f t="shared" si="9"/>
        <v>0</v>
      </c>
      <c r="O568" s="19"/>
      <c r="P568" s="42" t="str">
        <f>IFERROR(VLOOKUP($J568,'Project Reference'!$B$2:$C$41,2)," ")</f>
        <v xml:space="preserve"> </v>
      </c>
      <c r="Q568" s="42" t="str">
        <f>IFERROR(VLOOKUP($J568,'Project Reference'!$B$2:$D$41,3)," ")</f>
        <v xml:space="preserve"> </v>
      </c>
      <c r="R568" s="42" t="str">
        <f>IFERROR(VLOOKUP($J568,'Project Reference'!$B$2:$E$41,4)," ")</f>
        <v xml:space="preserve"> </v>
      </c>
      <c r="S568" s="42" t="str">
        <f>IFERROR(VLOOKUP($J568,'Project Reference'!$B$2:$F$41,5,FALSE)," ")</f>
        <v xml:space="preserve"> </v>
      </c>
      <c r="T568" s="42" t="str">
        <f>IFERROR(VLOOKUP($J568,'Project Reference'!$B$2:$G$41,6,FALSE)," ")</f>
        <v xml:space="preserve"> </v>
      </c>
      <c r="U568" s="42" t="str">
        <f>IFERROR(VLOOKUP($J568,'Project Reference'!$B$2:$H$41,7,FALSE)," ")</f>
        <v xml:space="preserve"> </v>
      </c>
      <c r="V568" s="42" t="str">
        <f>IFERROR(VLOOKUP($J568,'Project Reference'!$B$2:$I$41,8,FALSE)," ")</f>
        <v xml:space="preserve"> </v>
      </c>
      <c r="W568" s="42" t="str">
        <f>IFERROR(VLOOKUP($J568,'Project Reference'!$B$2:$J$41,9,FALSE)," ")</f>
        <v xml:space="preserve"> </v>
      </c>
      <c r="X568" s="42" t="str">
        <f>IFERROR(VLOOKUP($J568,'Project Reference'!$B$2:$K$41,10)," ")</f>
        <v xml:space="preserve"> </v>
      </c>
      <c r="Y568" s="42" t="str">
        <f>IFERROR(VLOOKUP($J568,'Project Reference'!$B$2:$L$41,11)," ")</f>
        <v xml:space="preserve"> </v>
      </c>
      <c r="Z568" s="42" t="str">
        <f>IFERROR(VLOOKUP($J568,'Project Reference'!$B$2:$M$41,12)," ")</f>
        <v xml:space="preserve"> </v>
      </c>
      <c r="AA568" s="42" t="str">
        <f>IFERROR(VLOOKUP($J568,'Project Reference'!$B$2:$N$41,13)," ")</f>
        <v xml:space="preserve"> </v>
      </c>
    </row>
    <row r="569" spans="1:27" x14ac:dyDescent="0.45">
      <c r="A569" s="43"/>
      <c r="B569" s="205"/>
      <c r="C569"/>
      <c r="D569" s="72"/>
      <c r="E569" s="72"/>
      <c r="F569" s="72"/>
      <c r="G569" s="72"/>
      <c r="H569" s="17"/>
      <c r="I569" s="41" t="str" cm="1">
        <f t="array" ref="I569">IFERROR(_xlfn.IFS(H569="Hard (Cash)","N/A",H569="Soft (In-Kind)", "Enter Source"),"Select Type")</f>
        <v>Select Type</v>
      </c>
      <c r="J569" s="124"/>
      <c r="K569" s="41" t="str">
        <f>IFERROR(VLOOKUP($J569,'Project Reference'!$S$2:$T$41,2),"Enter Project Number")</f>
        <v>Enter Project Number</v>
      </c>
      <c r="L569" s="41"/>
      <c r="M569" s="41"/>
      <c r="N569" s="15">
        <f t="shared" si="9"/>
        <v>0</v>
      </c>
      <c r="O569" s="19"/>
      <c r="P569" s="42" t="str">
        <f>IFERROR(VLOOKUP($J569,'Project Reference'!$B$2:$C$41,2)," ")</f>
        <v xml:space="preserve"> </v>
      </c>
      <c r="Q569" s="42" t="str">
        <f>IFERROR(VLOOKUP($J569,'Project Reference'!$B$2:$D$41,3)," ")</f>
        <v xml:space="preserve"> </v>
      </c>
      <c r="R569" s="42" t="str">
        <f>IFERROR(VLOOKUP($J569,'Project Reference'!$B$2:$E$41,4)," ")</f>
        <v xml:space="preserve"> </v>
      </c>
      <c r="S569" s="42" t="str">
        <f>IFERROR(VLOOKUP($J569,'Project Reference'!$B$2:$F$41,5,FALSE)," ")</f>
        <v xml:space="preserve"> </v>
      </c>
      <c r="T569" s="42" t="str">
        <f>IFERROR(VLOOKUP($J569,'Project Reference'!$B$2:$G$41,6,FALSE)," ")</f>
        <v xml:space="preserve"> </v>
      </c>
      <c r="U569" s="42" t="str">
        <f>IFERROR(VLOOKUP($J569,'Project Reference'!$B$2:$H$41,7,FALSE)," ")</f>
        <v xml:space="preserve"> </v>
      </c>
      <c r="V569" s="42" t="str">
        <f>IFERROR(VLOOKUP($J569,'Project Reference'!$B$2:$I$41,8,FALSE)," ")</f>
        <v xml:space="preserve"> </v>
      </c>
      <c r="W569" s="42" t="str">
        <f>IFERROR(VLOOKUP($J569,'Project Reference'!$B$2:$J$41,9,FALSE)," ")</f>
        <v xml:space="preserve"> </v>
      </c>
      <c r="X569" s="42" t="str">
        <f>IFERROR(VLOOKUP($J569,'Project Reference'!$B$2:$K$41,10)," ")</f>
        <v xml:space="preserve"> </v>
      </c>
      <c r="Y569" s="42" t="str">
        <f>IFERROR(VLOOKUP($J569,'Project Reference'!$B$2:$L$41,11)," ")</f>
        <v xml:space="preserve"> </v>
      </c>
      <c r="Z569" s="42" t="str">
        <f>IFERROR(VLOOKUP($J569,'Project Reference'!$B$2:$M$41,12)," ")</f>
        <v xml:space="preserve"> </v>
      </c>
      <c r="AA569" s="42" t="str">
        <f>IFERROR(VLOOKUP($J569,'Project Reference'!$B$2:$N$41,13)," ")</f>
        <v xml:space="preserve"> </v>
      </c>
    </row>
    <row r="570" spans="1:27" x14ac:dyDescent="0.45">
      <c r="A570" s="43"/>
      <c r="B570" s="205"/>
      <c r="C570"/>
      <c r="D570" s="72"/>
      <c r="E570" s="72"/>
      <c r="F570" s="72"/>
      <c r="G570" s="72"/>
      <c r="H570" s="17"/>
      <c r="I570" s="41" t="str" cm="1">
        <f t="array" ref="I570">IFERROR(_xlfn.IFS(H570="Hard (Cash)","N/A",H570="Soft (In-Kind)", "Enter Source"),"Select Type")</f>
        <v>Select Type</v>
      </c>
      <c r="J570" s="124"/>
      <c r="K570" s="41" t="str">
        <f>IFERROR(VLOOKUP($J570,'Project Reference'!$S$2:$T$41,2),"Enter Project Number")</f>
        <v>Enter Project Number</v>
      </c>
      <c r="L570" s="41"/>
      <c r="M570" s="41"/>
      <c r="N570" s="15">
        <f t="shared" si="9"/>
        <v>0</v>
      </c>
      <c r="O570" s="19"/>
      <c r="P570" s="42" t="str">
        <f>IFERROR(VLOOKUP($J570,'Project Reference'!$B$2:$C$41,2)," ")</f>
        <v xml:space="preserve"> </v>
      </c>
      <c r="Q570" s="42" t="str">
        <f>IFERROR(VLOOKUP($J570,'Project Reference'!$B$2:$D$41,3)," ")</f>
        <v xml:space="preserve"> </v>
      </c>
      <c r="R570" s="42" t="str">
        <f>IFERROR(VLOOKUP($J570,'Project Reference'!$B$2:$E$41,4)," ")</f>
        <v xml:space="preserve"> </v>
      </c>
      <c r="S570" s="42" t="str">
        <f>IFERROR(VLOOKUP($J570,'Project Reference'!$B$2:$F$41,5,FALSE)," ")</f>
        <v xml:space="preserve"> </v>
      </c>
      <c r="T570" s="42" t="str">
        <f>IFERROR(VLOOKUP($J570,'Project Reference'!$B$2:$G$41,6,FALSE)," ")</f>
        <v xml:space="preserve"> </v>
      </c>
      <c r="U570" s="42" t="str">
        <f>IFERROR(VLOOKUP($J570,'Project Reference'!$B$2:$H$41,7,FALSE)," ")</f>
        <v xml:space="preserve"> </v>
      </c>
      <c r="V570" s="42" t="str">
        <f>IFERROR(VLOOKUP($J570,'Project Reference'!$B$2:$I$41,8,FALSE)," ")</f>
        <v xml:space="preserve"> </v>
      </c>
      <c r="W570" s="42" t="str">
        <f>IFERROR(VLOOKUP($J570,'Project Reference'!$B$2:$J$41,9,FALSE)," ")</f>
        <v xml:space="preserve"> </v>
      </c>
      <c r="X570" s="42" t="str">
        <f>IFERROR(VLOOKUP($J570,'Project Reference'!$B$2:$K$41,10)," ")</f>
        <v xml:space="preserve"> </v>
      </c>
      <c r="Y570" s="42" t="str">
        <f>IFERROR(VLOOKUP($J570,'Project Reference'!$B$2:$L$41,11)," ")</f>
        <v xml:space="preserve"> </v>
      </c>
      <c r="Z570" s="42" t="str">
        <f>IFERROR(VLOOKUP($J570,'Project Reference'!$B$2:$M$41,12)," ")</f>
        <v xml:space="preserve"> </v>
      </c>
      <c r="AA570" s="42" t="str">
        <f>IFERROR(VLOOKUP($J570,'Project Reference'!$B$2:$N$41,13)," ")</f>
        <v xml:space="preserve"> </v>
      </c>
    </row>
    <row r="571" spans="1:27" x14ac:dyDescent="0.45">
      <c r="A571" s="43"/>
      <c r="B571" s="205"/>
      <c r="C571"/>
      <c r="D571" s="72"/>
      <c r="E571" s="72"/>
      <c r="F571" s="72"/>
      <c r="G571" s="72"/>
      <c r="H571" s="17"/>
      <c r="I571" s="41" t="str" cm="1">
        <f t="array" ref="I571">IFERROR(_xlfn.IFS(H571="Hard (Cash)","N/A",H571="Soft (In-Kind)", "Enter Source"),"Select Type")</f>
        <v>Select Type</v>
      </c>
      <c r="J571" s="124"/>
      <c r="K571" s="41" t="str">
        <f>IFERROR(VLOOKUP($J571,'Project Reference'!$S$2:$T$41,2),"Enter Project Number")</f>
        <v>Enter Project Number</v>
      </c>
      <c r="L571" s="41"/>
      <c r="M571" s="41"/>
      <c r="N571" s="15">
        <f t="shared" si="9"/>
        <v>0</v>
      </c>
      <c r="O571" s="19"/>
      <c r="P571" s="42" t="str">
        <f>IFERROR(VLOOKUP($J571,'Project Reference'!$B$2:$C$41,2)," ")</f>
        <v xml:space="preserve"> </v>
      </c>
      <c r="Q571" s="42" t="str">
        <f>IFERROR(VLOOKUP($J571,'Project Reference'!$B$2:$D$41,3)," ")</f>
        <v xml:space="preserve"> </v>
      </c>
      <c r="R571" s="42" t="str">
        <f>IFERROR(VLOOKUP($J571,'Project Reference'!$B$2:$E$41,4)," ")</f>
        <v xml:space="preserve"> </v>
      </c>
      <c r="S571" s="42" t="str">
        <f>IFERROR(VLOOKUP($J571,'Project Reference'!$B$2:$F$41,5,FALSE)," ")</f>
        <v xml:space="preserve"> </v>
      </c>
      <c r="T571" s="42" t="str">
        <f>IFERROR(VLOOKUP($J571,'Project Reference'!$B$2:$G$41,6,FALSE)," ")</f>
        <v xml:space="preserve"> </v>
      </c>
      <c r="U571" s="42" t="str">
        <f>IFERROR(VLOOKUP($J571,'Project Reference'!$B$2:$H$41,7,FALSE)," ")</f>
        <v xml:space="preserve"> </v>
      </c>
      <c r="V571" s="42" t="str">
        <f>IFERROR(VLOOKUP($J571,'Project Reference'!$B$2:$I$41,8,FALSE)," ")</f>
        <v xml:space="preserve"> </v>
      </c>
      <c r="W571" s="42" t="str">
        <f>IFERROR(VLOOKUP($J571,'Project Reference'!$B$2:$J$41,9,FALSE)," ")</f>
        <v xml:space="preserve"> </v>
      </c>
      <c r="X571" s="42" t="str">
        <f>IFERROR(VLOOKUP($J571,'Project Reference'!$B$2:$K$41,10)," ")</f>
        <v xml:space="preserve"> </v>
      </c>
      <c r="Y571" s="42" t="str">
        <f>IFERROR(VLOOKUP($J571,'Project Reference'!$B$2:$L$41,11)," ")</f>
        <v xml:space="preserve"> </v>
      </c>
      <c r="Z571" s="42" t="str">
        <f>IFERROR(VLOOKUP($J571,'Project Reference'!$B$2:$M$41,12)," ")</f>
        <v xml:space="preserve"> </v>
      </c>
      <c r="AA571" s="42" t="str">
        <f>IFERROR(VLOOKUP($J571,'Project Reference'!$B$2:$N$41,13)," ")</f>
        <v xml:space="preserve"> </v>
      </c>
    </row>
    <row r="572" spans="1:27" x14ac:dyDescent="0.45">
      <c r="A572" s="43"/>
      <c r="B572" s="205"/>
      <c r="C572"/>
      <c r="D572" s="72"/>
      <c r="E572" s="72"/>
      <c r="F572" s="72"/>
      <c r="G572" s="72"/>
      <c r="H572" s="17"/>
      <c r="I572" s="41" t="str" cm="1">
        <f t="array" ref="I572">IFERROR(_xlfn.IFS(H572="Hard (Cash)","N/A",H572="Soft (In-Kind)", "Enter Source"),"Select Type")</f>
        <v>Select Type</v>
      </c>
      <c r="J572" s="124"/>
      <c r="K572" s="41" t="str">
        <f>IFERROR(VLOOKUP($J572,'Project Reference'!$S$2:$T$41,2),"Enter Project Number")</f>
        <v>Enter Project Number</v>
      </c>
      <c r="L572" s="41"/>
      <c r="M572" s="41"/>
      <c r="N572" s="15">
        <f t="shared" si="9"/>
        <v>0</v>
      </c>
      <c r="O572" s="19"/>
      <c r="P572" s="42" t="str">
        <f>IFERROR(VLOOKUP($J572,'Project Reference'!$B$2:$C$41,2)," ")</f>
        <v xml:space="preserve"> </v>
      </c>
      <c r="Q572" s="42" t="str">
        <f>IFERROR(VLOOKUP($J572,'Project Reference'!$B$2:$D$41,3)," ")</f>
        <v xml:space="preserve"> </v>
      </c>
      <c r="R572" s="42" t="str">
        <f>IFERROR(VLOOKUP($J572,'Project Reference'!$B$2:$E$41,4)," ")</f>
        <v xml:space="preserve"> </v>
      </c>
      <c r="S572" s="42" t="str">
        <f>IFERROR(VLOOKUP($J572,'Project Reference'!$B$2:$F$41,5,FALSE)," ")</f>
        <v xml:space="preserve"> </v>
      </c>
      <c r="T572" s="42" t="str">
        <f>IFERROR(VLOOKUP($J572,'Project Reference'!$B$2:$G$41,6,FALSE)," ")</f>
        <v xml:space="preserve"> </v>
      </c>
      <c r="U572" s="42" t="str">
        <f>IFERROR(VLOOKUP($J572,'Project Reference'!$B$2:$H$41,7,FALSE)," ")</f>
        <v xml:space="preserve"> </v>
      </c>
      <c r="V572" s="42" t="str">
        <f>IFERROR(VLOOKUP($J572,'Project Reference'!$B$2:$I$41,8,FALSE)," ")</f>
        <v xml:space="preserve"> </v>
      </c>
      <c r="W572" s="42" t="str">
        <f>IFERROR(VLOOKUP($J572,'Project Reference'!$B$2:$J$41,9,FALSE)," ")</f>
        <v xml:space="preserve"> </v>
      </c>
      <c r="X572" s="42" t="str">
        <f>IFERROR(VLOOKUP($J572,'Project Reference'!$B$2:$K$41,10)," ")</f>
        <v xml:space="preserve"> </v>
      </c>
      <c r="Y572" s="42" t="str">
        <f>IFERROR(VLOOKUP($J572,'Project Reference'!$B$2:$L$41,11)," ")</f>
        <v xml:space="preserve"> </v>
      </c>
      <c r="Z572" s="42" t="str">
        <f>IFERROR(VLOOKUP($J572,'Project Reference'!$B$2:$M$41,12)," ")</f>
        <v xml:space="preserve"> </v>
      </c>
      <c r="AA572" s="42" t="str">
        <f>IFERROR(VLOOKUP($J572,'Project Reference'!$B$2:$N$41,13)," ")</f>
        <v xml:space="preserve"> </v>
      </c>
    </row>
    <row r="573" spans="1:27" x14ac:dyDescent="0.45">
      <c r="A573" s="43"/>
      <c r="B573" s="205"/>
      <c r="C573"/>
      <c r="D573" s="72"/>
      <c r="E573" s="72"/>
      <c r="F573" s="72"/>
      <c r="G573" s="72"/>
      <c r="H573" s="17"/>
      <c r="I573" s="41" t="str" cm="1">
        <f t="array" ref="I573">IFERROR(_xlfn.IFS(H573="Hard (Cash)","N/A",H573="Soft (In-Kind)", "Enter Source"),"Select Type")</f>
        <v>Select Type</v>
      </c>
      <c r="J573" s="124"/>
      <c r="K573" s="41" t="str">
        <f>IFERROR(VLOOKUP($J573,'Project Reference'!$S$2:$T$41,2),"Enter Project Number")</f>
        <v>Enter Project Number</v>
      </c>
      <c r="L573" s="41"/>
      <c r="M573" s="41"/>
      <c r="N573" s="15">
        <f t="shared" si="9"/>
        <v>0</v>
      </c>
      <c r="O573" s="19"/>
      <c r="P573" s="42" t="str">
        <f>IFERROR(VLOOKUP($J573,'Project Reference'!$B$2:$C$41,2)," ")</f>
        <v xml:space="preserve"> </v>
      </c>
      <c r="Q573" s="42" t="str">
        <f>IFERROR(VLOOKUP($J573,'Project Reference'!$B$2:$D$41,3)," ")</f>
        <v xml:space="preserve"> </v>
      </c>
      <c r="R573" s="42" t="str">
        <f>IFERROR(VLOOKUP($J573,'Project Reference'!$B$2:$E$41,4)," ")</f>
        <v xml:space="preserve"> </v>
      </c>
      <c r="S573" s="42" t="str">
        <f>IFERROR(VLOOKUP($J573,'Project Reference'!$B$2:$F$41,5,FALSE)," ")</f>
        <v xml:space="preserve"> </v>
      </c>
      <c r="T573" s="42" t="str">
        <f>IFERROR(VLOOKUP($J573,'Project Reference'!$B$2:$G$41,6,FALSE)," ")</f>
        <v xml:space="preserve"> </v>
      </c>
      <c r="U573" s="42" t="str">
        <f>IFERROR(VLOOKUP($J573,'Project Reference'!$B$2:$H$41,7,FALSE)," ")</f>
        <v xml:space="preserve"> </v>
      </c>
      <c r="V573" s="42" t="str">
        <f>IFERROR(VLOOKUP($J573,'Project Reference'!$B$2:$I$41,8,FALSE)," ")</f>
        <v xml:space="preserve"> </v>
      </c>
      <c r="W573" s="42" t="str">
        <f>IFERROR(VLOOKUP($J573,'Project Reference'!$B$2:$J$41,9,FALSE)," ")</f>
        <v xml:space="preserve"> </v>
      </c>
      <c r="X573" s="42" t="str">
        <f>IFERROR(VLOOKUP($J573,'Project Reference'!$B$2:$K$41,10)," ")</f>
        <v xml:space="preserve"> </v>
      </c>
      <c r="Y573" s="42" t="str">
        <f>IFERROR(VLOOKUP($J573,'Project Reference'!$B$2:$L$41,11)," ")</f>
        <v xml:space="preserve"> </v>
      </c>
      <c r="Z573" s="42" t="str">
        <f>IFERROR(VLOOKUP($J573,'Project Reference'!$B$2:$M$41,12)," ")</f>
        <v xml:space="preserve"> </v>
      </c>
      <c r="AA573" s="42" t="str">
        <f>IFERROR(VLOOKUP($J573,'Project Reference'!$B$2:$N$41,13)," ")</f>
        <v xml:space="preserve"> </v>
      </c>
    </row>
    <row r="574" spans="1:27" x14ac:dyDescent="0.45">
      <c r="A574" s="43"/>
      <c r="B574" s="205"/>
      <c r="C574"/>
      <c r="D574" s="72"/>
      <c r="E574" s="72"/>
      <c r="F574" s="72"/>
      <c r="G574" s="72"/>
      <c r="H574" s="17"/>
      <c r="I574" s="41" t="str" cm="1">
        <f t="array" ref="I574">IFERROR(_xlfn.IFS(H574="Hard (Cash)","N/A",H574="Soft (In-Kind)", "Enter Source"),"Select Type")</f>
        <v>Select Type</v>
      </c>
      <c r="J574" s="124"/>
      <c r="K574" s="41" t="str">
        <f>IFERROR(VLOOKUP($J574,'Project Reference'!$S$2:$T$41,2),"Enter Project Number")</f>
        <v>Enter Project Number</v>
      </c>
      <c r="L574" s="41"/>
      <c r="M574" s="41"/>
      <c r="N574" s="15">
        <f t="shared" si="9"/>
        <v>0</v>
      </c>
      <c r="O574" s="19"/>
      <c r="P574" s="42" t="str">
        <f>IFERROR(VLOOKUP($J574,'Project Reference'!$B$2:$C$41,2)," ")</f>
        <v xml:space="preserve"> </v>
      </c>
      <c r="Q574" s="42" t="str">
        <f>IFERROR(VLOOKUP($J574,'Project Reference'!$B$2:$D$41,3)," ")</f>
        <v xml:space="preserve"> </v>
      </c>
      <c r="R574" s="42" t="str">
        <f>IFERROR(VLOOKUP($J574,'Project Reference'!$B$2:$E$41,4)," ")</f>
        <v xml:space="preserve"> </v>
      </c>
      <c r="S574" s="42" t="str">
        <f>IFERROR(VLOOKUP($J574,'Project Reference'!$B$2:$F$41,5,FALSE)," ")</f>
        <v xml:space="preserve"> </v>
      </c>
      <c r="T574" s="42" t="str">
        <f>IFERROR(VLOOKUP($J574,'Project Reference'!$B$2:$G$41,6,FALSE)," ")</f>
        <v xml:space="preserve"> </v>
      </c>
      <c r="U574" s="42" t="str">
        <f>IFERROR(VLOOKUP($J574,'Project Reference'!$B$2:$H$41,7,FALSE)," ")</f>
        <v xml:space="preserve"> </v>
      </c>
      <c r="V574" s="42" t="str">
        <f>IFERROR(VLOOKUP($J574,'Project Reference'!$B$2:$I$41,8,FALSE)," ")</f>
        <v xml:space="preserve"> </v>
      </c>
      <c r="W574" s="42" t="str">
        <f>IFERROR(VLOOKUP($J574,'Project Reference'!$B$2:$J$41,9,FALSE)," ")</f>
        <v xml:space="preserve"> </v>
      </c>
      <c r="X574" s="42" t="str">
        <f>IFERROR(VLOOKUP($J574,'Project Reference'!$B$2:$K$41,10)," ")</f>
        <v xml:space="preserve"> </v>
      </c>
      <c r="Y574" s="42" t="str">
        <f>IFERROR(VLOOKUP($J574,'Project Reference'!$B$2:$L$41,11)," ")</f>
        <v xml:space="preserve"> </v>
      </c>
      <c r="Z574" s="42" t="str">
        <f>IFERROR(VLOOKUP($J574,'Project Reference'!$B$2:$M$41,12)," ")</f>
        <v xml:space="preserve"> </v>
      </c>
      <c r="AA574" s="42" t="str">
        <f>IFERROR(VLOOKUP($J574,'Project Reference'!$B$2:$N$41,13)," ")</f>
        <v xml:space="preserve"> </v>
      </c>
    </row>
    <row r="575" spans="1:27" x14ac:dyDescent="0.45">
      <c r="A575" s="43"/>
      <c r="B575" s="205"/>
      <c r="C575"/>
      <c r="D575" s="72"/>
      <c r="E575" s="72"/>
      <c r="F575" s="72"/>
      <c r="G575" s="72"/>
      <c r="H575" s="17"/>
      <c r="I575" s="41" t="str" cm="1">
        <f t="array" ref="I575">IFERROR(_xlfn.IFS(H575="Hard (Cash)","N/A",H575="Soft (In-Kind)", "Enter Source"),"Select Type")</f>
        <v>Select Type</v>
      </c>
      <c r="J575" s="124"/>
      <c r="K575" s="41" t="str">
        <f>IFERROR(VLOOKUP($J575,'Project Reference'!$S$2:$T$41,2),"Enter Project Number")</f>
        <v>Enter Project Number</v>
      </c>
      <c r="L575" s="41"/>
      <c r="M575" s="41"/>
      <c r="N575" s="15">
        <f t="shared" si="9"/>
        <v>0</v>
      </c>
      <c r="O575" s="19"/>
      <c r="P575" s="42" t="str">
        <f>IFERROR(VLOOKUP($J575,'Project Reference'!$B$2:$C$41,2)," ")</f>
        <v xml:space="preserve"> </v>
      </c>
      <c r="Q575" s="42" t="str">
        <f>IFERROR(VLOOKUP($J575,'Project Reference'!$B$2:$D$41,3)," ")</f>
        <v xml:space="preserve"> </v>
      </c>
      <c r="R575" s="42" t="str">
        <f>IFERROR(VLOOKUP($J575,'Project Reference'!$B$2:$E$41,4)," ")</f>
        <v xml:space="preserve"> </v>
      </c>
      <c r="S575" s="42" t="str">
        <f>IFERROR(VLOOKUP($J575,'Project Reference'!$B$2:$F$41,5,FALSE)," ")</f>
        <v xml:space="preserve"> </v>
      </c>
      <c r="T575" s="42" t="str">
        <f>IFERROR(VLOOKUP($J575,'Project Reference'!$B$2:$G$41,6,FALSE)," ")</f>
        <v xml:space="preserve"> </v>
      </c>
      <c r="U575" s="42" t="str">
        <f>IFERROR(VLOOKUP($J575,'Project Reference'!$B$2:$H$41,7,FALSE)," ")</f>
        <v xml:space="preserve"> </v>
      </c>
      <c r="V575" s="42" t="str">
        <f>IFERROR(VLOOKUP($J575,'Project Reference'!$B$2:$I$41,8,FALSE)," ")</f>
        <v xml:space="preserve"> </v>
      </c>
      <c r="W575" s="42" t="str">
        <f>IFERROR(VLOOKUP($J575,'Project Reference'!$B$2:$J$41,9,FALSE)," ")</f>
        <v xml:space="preserve"> </v>
      </c>
      <c r="X575" s="42" t="str">
        <f>IFERROR(VLOOKUP($J575,'Project Reference'!$B$2:$K$41,10)," ")</f>
        <v xml:space="preserve"> </v>
      </c>
      <c r="Y575" s="42" t="str">
        <f>IFERROR(VLOOKUP($J575,'Project Reference'!$B$2:$L$41,11)," ")</f>
        <v xml:space="preserve"> </v>
      </c>
      <c r="Z575" s="42" t="str">
        <f>IFERROR(VLOOKUP($J575,'Project Reference'!$B$2:$M$41,12)," ")</f>
        <v xml:space="preserve"> </v>
      </c>
      <c r="AA575" s="42" t="str">
        <f>IFERROR(VLOOKUP($J575,'Project Reference'!$B$2:$N$41,13)," ")</f>
        <v xml:space="preserve"> </v>
      </c>
    </row>
    <row r="576" spans="1:27" x14ac:dyDescent="0.45">
      <c r="A576" s="43"/>
      <c r="B576" s="205"/>
      <c r="C576"/>
      <c r="D576" s="72"/>
      <c r="E576" s="72"/>
      <c r="F576" s="72"/>
      <c r="G576" s="72"/>
      <c r="H576" s="17"/>
      <c r="I576" s="41" t="str" cm="1">
        <f t="array" ref="I576">IFERROR(_xlfn.IFS(H576="Hard (Cash)","N/A",H576="Soft (In-Kind)", "Enter Source"),"Select Type")</f>
        <v>Select Type</v>
      </c>
      <c r="J576" s="124"/>
      <c r="K576" s="41" t="str">
        <f>IFERROR(VLOOKUP($J576,'Project Reference'!$S$2:$T$41,2),"Enter Project Number")</f>
        <v>Enter Project Number</v>
      </c>
      <c r="L576" s="41"/>
      <c r="M576" s="41"/>
      <c r="N576" s="15">
        <f t="shared" si="9"/>
        <v>0</v>
      </c>
      <c r="O576" s="19"/>
      <c r="P576" s="42" t="str">
        <f>IFERROR(VLOOKUP($J576,'Project Reference'!$B$2:$C$41,2)," ")</f>
        <v xml:space="preserve"> </v>
      </c>
      <c r="Q576" s="42" t="str">
        <f>IFERROR(VLOOKUP($J576,'Project Reference'!$B$2:$D$41,3)," ")</f>
        <v xml:space="preserve"> </v>
      </c>
      <c r="R576" s="42" t="str">
        <f>IFERROR(VLOOKUP($J576,'Project Reference'!$B$2:$E$41,4)," ")</f>
        <v xml:space="preserve"> </v>
      </c>
      <c r="S576" s="42" t="str">
        <f>IFERROR(VLOOKUP($J576,'Project Reference'!$B$2:$F$41,5,FALSE)," ")</f>
        <v xml:space="preserve"> </v>
      </c>
      <c r="T576" s="42" t="str">
        <f>IFERROR(VLOOKUP($J576,'Project Reference'!$B$2:$G$41,6,FALSE)," ")</f>
        <v xml:space="preserve"> </v>
      </c>
      <c r="U576" s="42" t="str">
        <f>IFERROR(VLOOKUP($J576,'Project Reference'!$B$2:$H$41,7,FALSE)," ")</f>
        <v xml:space="preserve"> </v>
      </c>
      <c r="V576" s="42" t="str">
        <f>IFERROR(VLOOKUP($J576,'Project Reference'!$B$2:$I$41,8,FALSE)," ")</f>
        <v xml:space="preserve"> </v>
      </c>
      <c r="W576" s="42" t="str">
        <f>IFERROR(VLOOKUP($J576,'Project Reference'!$B$2:$J$41,9,FALSE)," ")</f>
        <v xml:space="preserve"> </v>
      </c>
      <c r="X576" s="42" t="str">
        <f>IFERROR(VLOOKUP($J576,'Project Reference'!$B$2:$K$41,10)," ")</f>
        <v xml:space="preserve"> </v>
      </c>
      <c r="Y576" s="42" t="str">
        <f>IFERROR(VLOOKUP($J576,'Project Reference'!$B$2:$L$41,11)," ")</f>
        <v xml:space="preserve"> </v>
      </c>
      <c r="Z576" s="42" t="str">
        <f>IFERROR(VLOOKUP($J576,'Project Reference'!$B$2:$M$41,12)," ")</f>
        <v xml:space="preserve"> </v>
      </c>
      <c r="AA576" s="42" t="str">
        <f>IFERROR(VLOOKUP($J576,'Project Reference'!$B$2:$N$41,13)," ")</f>
        <v xml:space="preserve"> </v>
      </c>
    </row>
    <row r="577" spans="1:27" x14ac:dyDescent="0.45">
      <c r="A577" s="43"/>
      <c r="B577" s="205"/>
      <c r="C577"/>
      <c r="D577" s="72"/>
      <c r="E577" s="72"/>
      <c r="F577" s="72"/>
      <c r="G577" s="72"/>
      <c r="H577" s="17"/>
      <c r="I577" s="41" t="str" cm="1">
        <f t="array" ref="I577">IFERROR(_xlfn.IFS(H577="Hard (Cash)","N/A",H577="Soft (In-Kind)", "Enter Source"),"Select Type")</f>
        <v>Select Type</v>
      </c>
      <c r="J577" s="124"/>
      <c r="K577" s="41" t="str">
        <f>IFERROR(VLOOKUP($J577,'Project Reference'!$S$2:$T$41,2),"Enter Project Number")</f>
        <v>Enter Project Number</v>
      </c>
      <c r="L577" s="41"/>
      <c r="M577" s="41"/>
      <c r="N577" s="15">
        <f t="shared" si="9"/>
        <v>0</v>
      </c>
      <c r="O577" s="19"/>
      <c r="P577" s="42" t="str">
        <f>IFERROR(VLOOKUP($J577,'Project Reference'!$B$2:$C$41,2)," ")</f>
        <v xml:space="preserve"> </v>
      </c>
      <c r="Q577" s="42" t="str">
        <f>IFERROR(VLOOKUP($J577,'Project Reference'!$B$2:$D$41,3)," ")</f>
        <v xml:space="preserve"> </v>
      </c>
      <c r="R577" s="42" t="str">
        <f>IFERROR(VLOOKUP($J577,'Project Reference'!$B$2:$E$41,4)," ")</f>
        <v xml:space="preserve"> </v>
      </c>
      <c r="S577" s="42" t="str">
        <f>IFERROR(VLOOKUP($J577,'Project Reference'!$B$2:$F$41,5,FALSE)," ")</f>
        <v xml:space="preserve"> </v>
      </c>
      <c r="T577" s="42" t="str">
        <f>IFERROR(VLOOKUP($J577,'Project Reference'!$B$2:$G$41,6,FALSE)," ")</f>
        <v xml:space="preserve"> </v>
      </c>
      <c r="U577" s="42" t="str">
        <f>IFERROR(VLOOKUP($J577,'Project Reference'!$B$2:$H$41,7,FALSE)," ")</f>
        <v xml:space="preserve"> </v>
      </c>
      <c r="V577" s="42" t="str">
        <f>IFERROR(VLOOKUP($J577,'Project Reference'!$B$2:$I$41,8,FALSE)," ")</f>
        <v xml:space="preserve"> </v>
      </c>
      <c r="W577" s="42" t="str">
        <f>IFERROR(VLOOKUP($J577,'Project Reference'!$B$2:$J$41,9,FALSE)," ")</f>
        <v xml:space="preserve"> </v>
      </c>
      <c r="X577" s="42" t="str">
        <f>IFERROR(VLOOKUP($J577,'Project Reference'!$B$2:$K$41,10)," ")</f>
        <v xml:space="preserve"> </v>
      </c>
      <c r="Y577" s="42" t="str">
        <f>IFERROR(VLOOKUP($J577,'Project Reference'!$B$2:$L$41,11)," ")</f>
        <v xml:space="preserve"> </v>
      </c>
      <c r="Z577" s="42" t="str">
        <f>IFERROR(VLOOKUP($J577,'Project Reference'!$B$2:$M$41,12)," ")</f>
        <v xml:space="preserve"> </v>
      </c>
      <c r="AA577" s="42" t="str">
        <f>IFERROR(VLOOKUP($J577,'Project Reference'!$B$2:$N$41,13)," ")</f>
        <v xml:space="preserve"> </v>
      </c>
    </row>
    <row r="578" spans="1:27" x14ac:dyDescent="0.45">
      <c r="A578" s="43"/>
      <c r="B578" s="205"/>
      <c r="C578"/>
      <c r="D578" s="72"/>
      <c r="E578" s="72"/>
      <c r="F578" s="72"/>
      <c r="G578" s="72"/>
      <c r="H578" s="17"/>
      <c r="I578" s="41" t="str" cm="1">
        <f t="array" ref="I578">IFERROR(_xlfn.IFS(H578="Hard (Cash)","N/A",H578="Soft (In-Kind)", "Enter Source"),"Select Type")</f>
        <v>Select Type</v>
      </c>
      <c r="J578" s="124"/>
      <c r="K578" s="41" t="str">
        <f>IFERROR(VLOOKUP($J578,'Project Reference'!$S$2:$T$41,2),"Enter Project Number")</f>
        <v>Enter Project Number</v>
      </c>
      <c r="L578" s="41"/>
      <c r="M578" s="41"/>
      <c r="N578" s="15">
        <f t="shared" si="9"/>
        <v>0</v>
      </c>
      <c r="O578" s="19"/>
      <c r="P578" s="42" t="str">
        <f>IFERROR(VLOOKUP($J578,'Project Reference'!$B$2:$C$41,2)," ")</f>
        <v xml:space="preserve"> </v>
      </c>
      <c r="Q578" s="42" t="str">
        <f>IFERROR(VLOOKUP($J578,'Project Reference'!$B$2:$D$41,3)," ")</f>
        <v xml:space="preserve"> </v>
      </c>
      <c r="R578" s="42" t="str">
        <f>IFERROR(VLOOKUP($J578,'Project Reference'!$B$2:$E$41,4)," ")</f>
        <v xml:space="preserve"> </v>
      </c>
      <c r="S578" s="42" t="str">
        <f>IFERROR(VLOOKUP($J578,'Project Reference'!$B$2:$F$41,5,FALSE)," ")</f>
        <v xml:space="preserve"> </v>
      </c>
      <c r="T578" s="42" t="str">
        <f>IFERROR(VLOOKUP($J578,'Project Reference'!$B$2:$G$41,6,FALSE)," ")</f>
        <v xml:space="preserve"> </v>
      </c>
      <c r="U578" s="42" t="str">
        <f>IFERROR(VLOOKUP($J578,'Project Reference'!$B$2:$H$41,7,FALSE)," ")</f>
        <v xml:space="preserve"> </v>
      </c>
      <c r="V578" s="42" t="str">
        <f>IFERROR(VLOOKUP($J578,'Project Reference'!$B$2:$I$41,8,FALSE)," ")</f>
        <v xml:space="preserve"> </v>
      </c>
      <c r="W578" s="42" t="str">
        <f>IFERROR(VLOOKUP($J578,'Project Reference'!$B$2:$J$41,9,FALSE)," ")</f>
        <v xml:space="preserve"> </v>
      </c>
      <c r="X578" s="42" t="str">
        <f>IFERROR(VLOOKUP($J578,'Project Reference'!$B$2:$K$41,10)," ")</f>
        <v xml:space="preserve"> </v>
      </c>
      <c r="Y578" s="42" t="str">
        <f>IFERROR(VLOOKUP($J578,'Project Reference'!$B$2:$L$41,11)," ")</f>
        <v xml:space="preserve"> </v>
      </c>
      <c r="Z578" s="42" t="str">
        <f>IFERROR(VLOOKUP($J578,'Project Reference'!$B$2:$M$41,12)," ")</f>
        <v xml:space="preserve"> </v>
      </c>
      <c r="AA578" s="42" t="str">
        <f>IFERROR(VLOOKUP($J578,'Project Reference'!$B$2:$N$41,13)," ")</f>
        <v xml:space="preserve"> </v>
      </c>
    </row>
    <row r="579" spans="1:27" x14ac:dyDescent="0.45">
      <c r="A579" s="43"/>
      <c r="B579" s="205"/>
      <c r="C579"/>
      <c r="D579" s="72"/>
      <c r="E579" s="72"/>
      <c r="F579" s="72"/>
      <c r="G579" s="72"/>
      <c r="H579" s="17"/>
      <c r="I579" s="41" t="str" cm="1">
        <f t="array" ref="I579">IFERROR(_xlfn.IFS(H579="Hard (Cash)","N/A",H579="Soft (In-Kind)", "Enter Source"),"Select Type")</f>
        <v>Select Type</v>
      </c>
      <c r="J579" s="124"/>
      <c r="K579" s="41" t="str">
        <f>IFERROR(VLOOKUP($J579,'Project Reference'!$S$2:$T$41,2),"Enter Project Number")</f>
        <v>Enter Project Number</v>
      </c>
      <c r="L579" s="41"/>
      <c r="M579" s="41"/>
      <c r="N579" s="15">
        <f t="shared" si="9"/>
        <v>0</v>
      </c>
      <c r="O579" s="19"/>
      <c r="P579" s="42" t="str">
        <f>IFERROR(VLOOKUP($J579,'Project Reference'!$B$2:$C$41,2)," ")</f>
        <v xml:space="preserve"> </v>
      </c>
      <c r="Q579" s="42" t="str">
        <f>IFERROR(VLOOKUP($J579,'Project Reference'!$B$2:$D$41,3)," ")</f>
        <v xml:space="preserve"> </v>
      </c>
      <c r="R579" s="42" t="str">
        <f>IFERROR(VLOOKUP($J579,'Project Reference'!$B$2:$E$41,4)," ")</f>
        <v xml:space="preserve"> </v>
      </c>
      <c r="S579" s="42" t="str">
        <f>IFERROR(VLOOKUP($J579,'Project Reference'!$B$2:$F$41,5,FALSE)," ")</f>
        <v xml:space="preserve"> </v>
      </c>
      <c r="T579" s="42" t="str">
        <f>IFERROR(VLOOKUP($J579,'Project Reference'!$B$2:$G$41,6,FALSE)," ")</f>
        <v xml:space="preserve"> </v>
      </c>
      <c r="U579" s="42" t="str">
        <f>IFERROR(VLOOKUP($J579,'Project Reference'!$B$2:$H$41,7,FALSE)," ")</f>
        <v xml:space="preserve"> </v>
      </c>
      <c r="V579" s="42" t="str">
        <f>IFERROR(VLOOKUP($J579,'Project Reference'!$B$2:$I$41,8,FALSE)," ")</f>
        <v xml:space="preserve"> </v>
      </c>
      <c r="W579" s="42" t="str">
        <f>IFERROR(VLOOKUP($J579,'Project Reference'!$B$2:$J$41,9,FALSE)," ")</f>
        <v xml:space="preserve"> </v>
      </c>
      <c r="X579" s="42" t="str">
        <f>IFERROR(VLOOKUP($J579,'Project Reference'!$B$2:$K$41,10)," ")</f>
        <v xml:space="preserve"> </v>
      </c>
      <c r="Y579" s="42" t="str">
        <f>IFERROR(VLOOKUP($J579,'Project Reference'!$B$2:$L$41,11)," ")</f>
        <v xml:space="preserve"> </v>
      </c>
      <c r="Z579" s="42" t="str">
        <f>IFERROR(VLOOKUP($J579,'Project Reference'!$B$2:$M$41,12)," ")</f>
        <v xml:space="preserve"> </v>
      </c>
      <c r="AA579" s="42" t="str">
        <f>IFERROR(VLOOKUP($J579,'Project Reference'!$B$2:$N$41,13)," ")</f>
        <v xml:space="preserve"> </v>
      </c>
    </row>
    <row r="580" spans="1:27" x14ac:dyDescent="0.45">
      <c r="A580" s="43"/>
      <c r="B580" s="205"/>
      <c r="C580"/>
      <c r="D580" s="72"/>
      <c r="E580" s="72"/>
      <c r="F580" s="72"/>
      <c r="G580" s="72"/>
      <c r="H580" s="17"/>
      <c r="I580" s="41" t="str" cm="1">
        <f t="array" ref="I580">IFERROR(_xlfn.IFS(H580="Hard (Cash)","N/A",H580="Soft (In-Kind)", "Enter Source"),"Select Type")</f>
        <v>Select Type</v>
      </c>
      <c r="J580" s="124"/>
      <c r="K580" s="41" t="str">
        <f>IFERROR(VLOOKUP($J580,'Project Reference'!$S$2:$T$41,2),"Enter Project Number")</f>
        <v>Enter Project Number</v>
      </c>
      <c r="L580" s="41"/>
      <c r="M580" s="41"/>
      <c r="N580" s="15">
        <f t="shared" si="9"/>
        <v>0</v>
      </c>
      <c r="O580" s="19"/>
      <c r="P580" s="42" t="str">
        <f>IFERROR(VLOOKUP($J580,'Project Reference'!$B$2:$C$41,2)," ")</f>
        <v xml:space="preserve"> </v>
      </c>
      <c r="Q580" s="42" t="str">
        <f>IFERROR(VLOOKUP($J580,'Project Reference'!$B$2:$D$41,3)," ")</f>
        <v xml:space="preserve"> </v>
      </c>
      <c r="R580" s="42" t="str">
        <f>IFERROR(VLOOKUP($J580,'Project Reference'!$B$2:$E$41,4)," ")</f>
        <v xml:space="preserve"> </v>
      </c>
      <c r="S580" s="42" t="str">
        <f>IFERROR(VLOOKUP($J580,'Project Reference'!$B$2:$F$41,5,FALSE)," ")</f>
        <v xml:space="preserve"> </v>
      </c>
      <c r="T580" s="42" t="str">
        <f>IFERROR(VLOOKUP($J580,'Project Reference'!$B$2:$G$41,6,FALSE)," ")</f>
        <v xml:space="preserve"> </v>
      </c>
      <c r="U580" s="42" t="str">
        <f>IFERROR(VLOOKUP($J580,'Project Reference'!$B$2:$H$41,7,FALSE)," ")</f>
        <v xml:space="preserve"> </v>
      </c>
      <c r="V580" s="42" t="str">
        <f>IFERROR(VLOOKUP($J580,'Project Reference'!$B$2:$I$41,8,FALSE)," ")</f>
        <v xml:space="preserve"> </v>
      </c>
      <c r="W580" s="42" t="str">
        <f>IFERROR(VLOOKUP($J580,'Project Reference'!$B$2:$J$41,9,FALSE)," ")</f>
        <v xml:space="preserve"> </v>
      </c>
      <c r="X580" s="42" t="str">
        <f>IFERROR(VLOOKUP($J580,'Project Reference'!$B$2:$K$41,10)," ")</f>
        <v xml:space="preserve"> </v>
      </c>
      <c r="Y580" s="42" t="str">
        <f>IFERROR(VLOOKUP($J580,'Project Reference'!$B$2:$L$41,11)," ")</f>
        <v xml:space="preserve"> </v>
      </c>
      <c r="Z580" s="42" t="str">
        <f>IFERROR(VLOOKUP($J580,'Project Reference'!$B$2:$M$41,12)," ")</f>
        <v xml:space="preserve"> </v>
      </c>
      <c r="AA580" s="42" t="str">
        <f>IFERROR(VLOOKUP($J580,'Project Reference'!$B$2:$N$41,13)," ")</f>
        <v xml:space="preserve"> </v>
      </c>
    </row>
    <row r="581" spans="1:27" x14ac:dyDescent="0.45">
      <c r="A581" s="43"/>
      <c r="B581" s="205"/>
      <c r="C581"/>
      <c r="D581" s="72"/>
      <c r="E581" s="72"/>
      <c r="F581" s="72"/>
      <c r="G581" s="72"/>
      <c r="H581" s="17"/>
      <c r="I581" s="41" t="str" cm="1">
        <f t="array" ref="I581">IFERROR(_xlfn.IFS(H581="Hard (Cash)","N/A",H581="Soft (In-Kind)", "Enter Source"),"Select Type")</f>
        <v>Select Type</v>
      </c>
      <c r="J581" s="124"/>
      <c r="K581" s="41" t="str">
        <f>IFERROR(VLOOKUP($J581,'Project Reference'!$S$2:$T$41,2),"Enter Project Number")</f>
        <v>Enter Project Number</v>
      </c>
      <c r="L581" s="41"/>
      <c r="M581" s="41"/>
      <c r="N581" s="15">
        <f t="shared" si="9"/>
        <v>0</v>
      </c>
      <c r="O581" s="19"/>
      <c r="P581" s="42" t="str">
        <f>IFERROR(VLOOKUP($J581,'Project Reference'!$B$2:$C$41,2)," ")</f>
        <v xml:space="preserve"> </v>
      </c>
      <c r="Q581" s="42" t="str">
        <f>IFERROR(VLOOKUP($J581,'Project Reference'!$B$2:$D$41,3)," ")</f>
        <v xml:space="preserve"> </v>
      </c>
      <c r="R581" s="42" t="str">
        <f>IFERROR(VLOOKUP($J581,'Project Reference'!$B$2:$E$41,4)," ")</f>
        <v xml:space="preserve"> </v>
      </c>
      <c r="S581" s="42" t="str">
        <f>IFERROR(VLOOKUP($J581,'Project Reference'!$B$2:$F$41,5,FALSE)," ")</f>
        <v xml:space="preserve"> </v>
      </c>
      <c r="T581" s="42" t="str">
        <f>IFERROR(VLOOKUP($J581,'Project Reference'!$B$2:$G$41,6,FALSE)," ")</f>
        <v xml:space="preserve"> </v>
      </c>
      <c r="U581" s="42" t="str">
        <f>IFERROR(VLOOKUP($J581,'Project Reference'!$B$2:$H$41,7,FALSE)," ")</f>
        <v xml:space="preserve"> </v>
      </c>
      <c r="V581" s="42" t="str">
        <f>IFERROR(VLOOKUP($J581,'Project Reference'!$B$2:$I$41,8,FALSE)," ")</f>
        <v xml:space="preserve"> </v>
      </c>
      <c r="W581" s="42" t="str">
        <f>IFERROR(VLOOKUP($J581,'Project Reference'!$B$2:$J$41,9,FALSE)," ")</f>
        <v xml:space="preserve"> </v>
      </c>
      <c r="X581" s="42" t="str">
        <f>IFERROR(VLOOKUP($J581,'Project Reference'!$B$2:$K$41,10)," ")</f>
        <v xml:space="preserve"> </v>
      </c>
      <c r="Y581" s="42" t="str">
        <f>IFERROR(VLOOKUP($J581,'Project Reference'!$B$2:$L$41,11)," ")</f>
        <v xml:space="preserve"> </v>
      </c>
      <c r="Z581" s="42" t="str">
        <f>IFERROR(VLOOKUP($J581,'Project Reference'!$B$2:$M$41,12)," ")</f>
        <v xml:space="preserve"> </v>
      </c>
      <c r="AA581" s="42" t="str">
        <f>IFERROR(VLOOKUP($J581,'Project Reference'!$B$2:$N$41,13)," ")</f>
        <v xml:space="preserve"> </v>
      </c>
    </row>
    <row r="582" spans="1:27" x14ac:dyDescent="0.45">
      <c r="A582" s="43"/>
      <c r="B582" s="205"/>
      <c r="C582"/>
      <c r="D582" s="72"/>
      <c r="E582" s="72"/>
      <c r="F582" s="72"/>
      <c r="G582" s="72"/>
      <c r="H582" s="17"/>
      <c r="I582" s="41" t="str" cm="1">
        <f t="array" ref="I582">IFERROR(_xlfn.IFS(H582="Hard (Cash)","N/A",H582="Soft (In-Kind)", "Enter Source"),"Select Type")</f>
        <v>Select Type</v>
      </c>
      <c r="J582" s="124"/>
      <c r="K582" s="41" t="str">
        <f>IFERROR(VLOOKUP($J582,'Project Reference'!$S$2:$T$41,2),"Enter Project Number")</f>
        <v>Enter Project Number</v>
      </c>
      <c r="L582" s="41"/>
      <c r="M582" s="41"/>
      <c r="N582" s="15">
        <f t="shared" si="9"/>
        <v>0</v>
      </c>
      <c r="O582" s="19"/>
      <c r="P582" s="42" t="str">
        <f>IFERROR(VLOOKUP($J582,'Project Reference'!$B$2:$C$41,2)," ")</f>
        <v xml:space="preserve"> </v>
      </c>
      <c r="Q582" s="42" t="str">
        <f>IFERROR(VLOOKUP($J582,'Project Reference'!$B$2:$D$41,3)," ")</f>
        <v xml:space="preserve"> </v>
      </c>
      <c r="R582" s="42" t="str">
        <f>IFERROR(VLOOKUP($J582,'Project Reference'!$B$2:$E$41,4)," ")</f>
        <v xml:space="preserve"> </v>
      </c>
      <c r="S582" s="42" t="str">
        <f>IFERROR(VLOOKUP($J582,'Project Reference'!$B$2:$F$41,5,FALSE)," ")</f>
        <v xml:space="preserve"> </v>
      </c>
      <c r="T582" s="42" t="str">
        <f>IFERROR(VLOOKUP($J582,'Project Reference'!$B$2:$G$41,6,FALSE)," ")</f>
        <v xml:space="preserve"> </v>
      </c>
      <c r="U582" s="42" t="str">
        <f>IFERROR(VLOOKUP($J582,'Project Reference'!$B$2:$H$41,7,FALSE)," ")</f>
        <v xml:space="preserve"> </v>
      </c>
      <c r="V582" s="42" t="str">
        <f>IFERROR(VLOOKUP($J582,'Project Reference'!$B$2:$I$41,8,FALSE)," ")</f>
        <v xml:space="preserve"> </v>
      </c>
      <c r="W582" s="42" t="str">
        <f>IFERROR(VLOOKUP($J582,'Project Reference'!$B$2:$J$41,9,FALSE)," ")</f>
        <v xml:space="preserve"> </v>
      </c>
      <c r="X582" s="42" t="str">
        <f>IFERROR(VLOOKUP($J582,'Project Reference'!$B$2:$K$41,10)," ")</f>
        <v xml:space="preserve"> </v>
      </c>
      <c r="Y582" s="42" t="str">
        <f>IFERROR(VLOOKUP($J582,'Project Reference'!$B$2:$L$41,11)," ")</f>
        <v xml:space="preserve"> </v>
      </c>
      <c r="Z582" s="42" t="str">
        <f>IFERROR(VLOOKUP($J582,'Project Reference'!$B$2:$M$41,12)," ")</f>
        <v xml:space="preserve"> </v>
      </c>
      <c r="AA582" s="42" t="str">
        <f>IFERROR(VLOOKUP($J582,'Project Reference'!$B$2:$N$41,13)," ")</f>
        <v xml:space="preserve"> </v>
      </c>
    </row>
    <row r="583" spans="1:27" x14ac:dyDescent="0.45">
      <c r="A583" s="43"/>
      <c r="B583" s="205"/>
      <c r="C583"/>
      <c r="D583" s="72"/>
      <c r="E583" s="72"/>
      <c r="F583" s="72"/>
      <c r="G583" s="72"/>
      <c r="H583" s="17"/>
      <c r="I583" s="41" t="str" cm="1">
        <f t="array" ref="I583">IFERROR(_xlfn.IFS(H583="Hard (Cash)","N/A",H583="Soft (In-Kind)", "Enter Source"),"Select Type")</f>
        <v>Select Type</v>
      </c>
      <c r="J583" s="124"/>
      <c r="K583" s="41" t="str">
        <f>IFERROR(VLOOKUP($J583,'Project Reference'!$S$2:$T$41,2),"Enter Project Number")</f>
        <v>Enter Project Number</v>
      </c>
      <c r="L583" s="41"/>
      <c r="M583" s="41"/>
      <c r="N583" s="15">
        <f t="shared" si="9"/>
        <v>0</v>
      </c>
      <c r="O583" s="19"/>
      <c r="P583" s="42" t="str">
        <f>IFERROR(VLOOKUP($J583,'Project Reference'!$B$2:$C$41,2)," ")</f>
        <v xml:space="preserve"> </v>
      </c>
      <c r="Q583" s="42" t="str">
        <f>IFERROR(VLOOKUP($J583,'Project Reference'!$B$2:$D$41,3)," ")</f>
        <v xml:space="preserve"> </v>
      </c>
      <c r="R583" s="42" t="str">
        <f>IFERROR(VLOOKUP($J583,'Project Reference'!$B$2:$E$41,4)," ")</f>
        <v xml:space="preserve"> </v>
      </c>
      <c r="S583" s="42" t="str">
        <f>IFERROR(VLOOKUP($J583,'Project Reference'!$B$2:$F$41,5,FALSE)," ")</f>
        <v xml:space="preserve"> </v>
      </c>
      <c r="T583" s="42" t="str">
        <f>IFERROR(VLOOKUP($J583,'Project Reference'!$B$2:$G$41,6,FALSE)," ")</f>
        <v xml:space="preserve"> </v>
      </c>
      <c r="U583" s="42" t="str">
        <f>IFERROR(VLOOKUP($J583,'Project Reference'!$B$2:$H$41,7,FALSE)," ")</f>
        <v xml:space="preserve"> </v>
      </c>
      <c r="V583" s="42" t="str">
        <f>IFERROR(VLOOKUP($J583,'Project Reference'!$B$2:$I$41,8,FALSE)," ")</f>
        <v xml:space="preserve"> </v>
      </c>
      <c r="W583" s="42" t="str">
        <f>IFERROR(VLOOKUP($J583,'Project Reference'!$B$2:$J$41,9,FALSE)," ")</f>
        <v xml:space="preserve"> </v>
      </c>
      <c r="X583" s="42" t="str">
        <f>IFERROR(VLOOKUP($J583,'Project Reference'!$B$2:$K$41,10)," ")</f>
        <v xml:space="preserve"> </v>
      </c>
      <c r="Y583" s="42" t="str">
        <f>IFERROR(VLOOKUP($J583,'Project Reference'!$B$2:$L$41,11)," ")</f>
        <v xml:space="preserve"> </v>
      </c>
      <c r="Z583" s="42" t="str">
        <f>IFERROR(VLOOKUP($J583,'Project Reference'!$B$2:$M$41,12)," ")</f>
        <v xml:space="preserve"> </v>
      </c>
      <c r="AA583" s="42" t="str">
        <f>IFERROR(VLOOKUP($J583,'Project Reference'!$B$2:$N$41,13)," ")</f>
        <v xml:space="preserve"> </v>
      </c>
    </row>
    <row r="584" spans="1:27" x14ac:dyDescent="0.45">
      <c r="A584" s="43"/>
      <c r="B584" s="205"/>
      <c r="C584"/>
      <c r="D584" s="72"/>
      <c r="E584" s="72"/>
      <c r="F584" s="72"/>
      <c r="G584" s="72"/>
      <c r="H584" s="17"/>
      <c r="I584" s="41" t="str" cm="1">
        <f t="array" ref="I584">IFERROR(_xlfn.IFS(H584="Hard (Cash)","N/A",H584="Soft (In-Kind)", "Enter Source"),"Select Type")</f>
        <v>Select Type</v>
      </c>
      <c r="J584" s="124"/>
      <c r="K584" s="41" t="str">
        <f>IFERROR(VLOOKUP($J584,'Project Reference'!$S$2:$T$41,2),"Enter Project Number")</f>
        <v>Enter Project Number</v>
      </c>
      <c r="L584" s="41"/>
      <c r="M584" s="41"/>
      <c r="N584" s="15">
        <f t="shared" si="9"/>
        <v>0</v>
      </c>
      <c r="O584" s="19"/>
      <c r="P584" s="42" t="str">
        <f>IFERROR(VLOOKUP($J584,'Project Reference'!$B$2:$C$41,2)," ")</f>
        <v xml:space="preserve"> </v>
      </c>
      <c r="Q584" s="42" t="str">
        <f>IFERROR(VLOOKUP($J584,'Project Reference'!$B$2:$D$41,3)," ")</f>
        <v xml:space="preserve"> </v>
      </c>
      <c r="R584" s="42" t="str">
        <f>IFERROR(VLOOKUP($J584,'Project Reference'!$B$2:$E$41,4)," ")</f>
        <v xml:space="preserve"> </v>
      </c>
      <c r="S584" s="42" t="str">
        <f>IFERROR(VLOOKUP($J584,'Project Reference'!$B$2:$F$41,5,FALSE)," ")</f>
        <v xml:space="preserve"> </v>
      </c>
      <c r="T584" s="42" t="str">
        <f>IFERROR(VLOOKUP($J584,'Project Reference'!$B$2:$G$41,6,FALSE)," ")</f>
        <v xml:space="preserve"> </v>
      </c>
      <c r="U584" s="42" t="str">
        <f>IFERROR(VLOOKUP($J584,'Project Reference'!$B$2:$H$41,7,FALSE)," ")</f>
        <v xml:space="preserve"> </v>
      </c>
      <c r="V584" s="42" t="str">
        <f>IFERROR(VLOOKUP($J584,'Project Reference'!$B$2:$I$41,8,FALSE)," ")</f>
        <v xml:space="preserve"> </v>
      </c>
      <c r="W584" s="42" t="str">
        <f>IFERROR(VLOOKUP($J584,'Project Reference'!$B$2:$J$41,9,FALSE)," ")</f>
        <v xml:space="preserve"> </v>
      </c>
      <c r="X584" s="42" t="str">
        <f>IFERROR(VLOOKUP($J584,'Project Reference'!$B$2:$K$41,10)," ")</f>
        <v xml:space="preserve"> </v>
      </c>
      <c r="Y584" s="42" t="str">
        <f>IFERROR(VLOOKUP($J584,'Project Reference'!$B$2:$L$41,11)," ")</f>
        <v xml:space="preserve"> </v>
      </c>
      <c r="Z584" s="42" t="str">
        <f>IFERROR(VLOOKUP($J584,'Project Reference'!$B$2:$M$41,12)," ")</f>
        <v xml:space="preserve"> </v>
      </c>
      <c r="AA584" s="42" t="str">
        <f>IFERROR(VLOOKUP($J584,'Project Reference'!$B$2:$N$41,13)," ")</f>
        <v xml:space="preserve"> </v>
      </c>
    </row>
    <row r="585" spans="1:27" x14ac:dyDescent="0.45">
      <c r="A585" s="43"/>
      <c r="B585" s="205"/>
      <c r="C585"/>
      <c r="D585" s="72"/>
      <c r="E585" s="72"/>
      <c r="F585" s="72"/>
      <c r="G585" s="72"/>
      <c r="H585" s="17"/>
      <c r="I585" s="41" t="str" cm="1">
        <f t="array" ref="I585">IFERROR(_xlfn.IFS(H585="Hard (Cash)","N/A",H585="Soft (In-Kind)", "Enter Source"),"Select Type")</f>
        <v>Select Type</v>
      </c>
      <c r="J585" s="124"/>
      <c r="K585" s="41" t="str">
        <f>IFERROR(VLOOKUP($J585,'Project Reference'!$S$2:$T$41,2),"Enter Project Number")</f>
        <v>Enter Project Number</v>
      </c>
      <c r="L585" s="41"/>
      <c r="M585" s="41"/>
      <c r="N585" s="15">
        <f t="shared" si="9"/>
        <v>0</v>
      </c>
      <c r="O585" s="19"/>
      <c r="P585" s="42" t="str">
        <f>IFERROR(VLOOKUP($J585,'Project Reference'!$B$2:$C$41,2)," ")</f>
        <v xml:space="preserve"> </v>
      </c>
      <c r="Q585" s="42" t="str">
        <f>IFERROR(VLOOKUP($J585,'Project Reference'!$B$2:$D$41,3)," ")</f>
        <v xml:space="preserve"> </v>
      </c>
      <c r="R585" s="42" t="str">
        <f>IFERROR(VLOOKUP($J585,'Project Reference'!$B$2:$E$41,4)," ")</f>
        <v xml:space="preserve"> </v>
      </c>
      <c r="S585" s="42" t="str">
        <f>IFERROR(VLOOKUP($J585,'Project Reference'!$B$2:$F$41,5,FALSE)," ")</f>
        <v xml:space="preserve"> </v>
      </c>
      <c r="T585" s="42" t="str">
        <f>IFERROR(VLOOKUP($J585,'Project Reference'!$B$2:$G$41,6,FALSE)," ")</f>
        <v xml:space="preserve"> </v>
      </c>
      <c r="U585" s="42" t="str">
        <f>IFERROR(VLOOKUP($J585,'Project Reference'!$B$2:$H$41,7,FALSE)," ")</f>
        <v xml:space="preserve"> </v>
      </c>
      <c r="V585" s="42" t="str">
        <f>IFERROR(VLOOKUP($J585,'Project Reference'!$B$2:$I$41,8,FALSE)," ")</f>
        <v xml:space="preserve"> </v>
      </c>
      <c r="W585" s="42" t="str">
        <f>IFERROR(VLOOKUP($J585,'Project Reference'!$B$2:$J$41,9,FALSE)," ")</f>
        <v xml:space="preserve"> </v>
      </c>
      <c r="X585" s="42" t="str">
        <f>IFERROR(VLOOKUP($J585,'Project Reference'!$B$2:$K$41,10)," ")</f>
        <v xml:space="preserve"> </v>
      </c>
      <c r="Y585" s="42" t="str">
        <f>IFERROR(VLOOKUP($J585,'Project Reference'!$B$2:$L$41,11)," ")</f>
        <v xml:space="preserve"> </v>
      </c>
      <c r="Z585" s="42" t="str">
        <f>IFERROR(VLOOKUP($J585,'Project Reference'!$B$2:$M$41,12)," ")</f>
        <v xml:space="preserve"> </v>
      </c>
      <c r="AA585" s="42" t="str">
        <f>IFERROR(VLOOKUP($J585,'Project Reference'!$B$2:$N$41,13)," ")</f>
        <v xml:space="preserve"> </v>
      </c>
    </row>
    <row r="586" spans="1:27" x14ac:dyDescent="0.45">
      <c r="A586" s="43"/>
      <c r="B586" s="205"/>
      <c r="C586"/>
      <c r="D586" s="72"/>
      <c r="E586" s="72"/>
      <c r="F586" s="72"/>
      <c r="G586" s="72"/>
      <c r="H586" s="17"/>
      <c r="I586" s="41" t="str" cm="1">
        <f t="array" ref="I586">IFERROR(_xlfn.IFS(H586="Hard (Cash)","N/A",H586="Soft (In-Kind)", "Enter Source"),"Select Type")</f>
        <v>Select Type</v>
      </c>
      <c r="J586" s="124"/>
      <c r="K586" s="41" t="str">
        <f>IFERROR(VLOOKUP($J586,'Project Reference'!$S$2:$T$41,2),"Enter Project Number")</f>
        <v>Enter Project Number</v>
      </c>
      <c r="L586" s="41"/>
      <c r="M586" s="41"/>
      <c r="N586" s="15">
        <f t="shared" si="9"/>
        <v>0</v>
      </c>
      <c r="O586" s="19"/>
      <c r="P586" s="42" t="str">
        <f>IFERROR(VLOOKUP($J586,'Project Reference'!$B$2:$C$41,2)," ")</f>
        <v xml:space="preserve"> </v>
      </c>
      <c r="Q586" s="42" t="str">
        <f>IFERROR(VLOOKUP($J586,'Project Reference'!$B$2:$D$41,3)," ")</f>
        <v xml:space="preserve"> </v>
      </c>
      <c r="R586" s="42" t="str">
        <f>IFERROR(VLOOKUP($J586,'Project Reference'!$B$2:$E$41,4)," ")</f>
        <v xml:space="preserve"> </v>
      </c>
      <c r="S586" s="42" t="str">
        <f>IFERROR(VLOOKUP($J586,'Project Reference'!$B$2:$F$41,5,FALSE)," ")</f>
        <v xml:space="preserve"> </v>
      </c>
      <c r="T586" s="42" t="str">
        <f>IFERROR(VLOOKUP($J586,'Project Reference'!$B$2:$G$41,6,FALSE)," ")</f>
        <v xml:space="preserve"> </v>
      </c>
      <c r="U586" s="42" t="str">
        <f>IFERROR(VLOOKUP($J586,'Project Reference'!$B$2:$H$41,7,FALSE)," ")</f>
        <v xml:space="preserve"> </v>
      </c>
      <c r="V586" s="42" t="str">
        <f>IFERROR(VLOOKUP($J586,'Project Reference'!$B$2:$I$41,8,FALSE)," ")</f>
        <v xml:space="preserve"> </v>
      </c>
      <c r="W586" s="42" t="str">
        <f>IFERROR(VLOOKUP($J586,'Project Reference'!$B$2:$J$41,9,FALSE)," ")</f>
        <v xml:space="preserve"> </v>
      </c>
      <c r="X586" s="42" t="str">
        <f>IFERROR(VLOOKUP($J586,'Project Reference'!$B$2:$K$41,10)," ")</f>
        <v xml:space="preserve"> </v>
      </c>
      <c r="Y586" s="42" t="str">
        <f>IFERROR(VLOOKUP($J586,'Project Reference'!$B$2:$L$41,11)," ")</f>
        <v xml:space="preserve"> </v>
      </c>
      <c r="Z586" s="42" t="str">
        <f>IFERROR(VLOOKUP($J586,'Project Reference'!$B$2:$M$41,12)," ")</f>
        <v xml:space="preserve"> </v>
      </c>
      <c r="AA586" s="42" t="str">
        <f>IFERROR(VLOOKUP($J586,'Project Reference'!$B$2:$N$41,13)," ")</f>
        <v xml:space="preserve"> </v>
      </c>
    </row>
    <row r="587" spans="1:27" x14ac:dyDescent="0.45">
      <c r="A587" s="43"/>
      <c r="B587" s="205"/>
      <c r="C587"/>
      <c r="D587" s="72"/>
      <c r="E587" s="72"/>
      <c r="F587" s="72"/>
      <c r="G587" s="72"/>
      <c r="H587" s="17"/>
      <c r="I587" s="41" t="str" cm="1">
        <f t="array" ref="I587">IFERROR(_xlfn.IFS(H587="Hard (Cash)","N/A",H587="Soft (In-Kind)", "Enter Source"),"Select Type")</f>
        <v>Select Type</v>
      </c>
      <c r="J587" s="124"/>
      <c r="K587" s="41" t="str">
        <f>IFERROR(VLOOKUP($J587,'Project Reference'!$S$2:$T$41,2),"Enter Project Number")</f>
        <v>Enter Project Number</v>
      </c>
      <c r="L587" s="41"/>
      <c r="M587" s="41"/>
      <c r="N587" s="15">
        <f t="shared" si="9"/>
        <v>0</v>
      </c>
      <c r="O587" s="19"/>
      <c r="P587" s="42" t="str">
        <f>IFERROR(VLOOKUP($J587,'Project Reference'!$B$2:$C$41,2)," ")</f>
        <v xml:space="preserve"> </v>
      </c>
      <c r="Q587" s="42" t="str">
        <f>IFERROR(VLOOKUP($J587,'Project Reference'!$B$2:$D$41,3)," ")</f>
        <v xml:space="preserve"> </v>
      </c>
      <c r="R587" s="42" t="str">
        <f>IFERROR(VLOOKUP($J587,'Project Reference'!$B$2:$E$41,4)," ")</f>
        <v xml:space="preserve"> </v>
      </c>
      <c r="S587" s="42" t="str">
        <f>IFERROR(VLOOKUP($J587,'Project Reference'!$B$2:$F$41,5,FALSE)," ")</f>
        <v xml:space="preserve"> </v>
      </c>
      <c r="T587" s="42" t="str">
        <f>IFERROR(VLOOKUP($J587,'Project Reference'!$B$2:$G$41,6,FALSE)," ")</f>
        <v xml:space="preserve"> </v>
      </c>
      <c r="U587" s="42" t="str">
        <f>IFERROR(VLOOKUP($J587,'Project Reference'!$B$2:$H$41,7,FALSE)," ")</f>
        <v xml:space="preserve"> </v>
      </c>
      <c r="V587" s="42" t="str">
        <f>IFERROR(VLOOKUP($J587,'Project Reference'!$B$2:$I$41,8,FALSE)," ")</f>
        <v xml:space="preserve"> </v>
      </c>
      <c r="W587" s="42" t="str">
        <f>IFERROR(VLOOKUP($J587,'Project Reference'!$B$2:$J$41,9,FALSE)," ")</f>
        <v xml:space="preserve"> </v>
      </c>
      <c r="X587" s="42" t="str">
        <f>IFERROR(VLOOKUP($J587,'Project Reference'!$B$2:$K$41,10)," ")</f>
        <v xml:space="preserve"> </v>
      </c>
      <c r="Y587" s="42" t="str">
        <f>IFERROR(VLOOKUP($J587,'Project Reference'!$B$2:$L$41,11)," ")</f>
        <v xml:space="preserve"> </v>
      </c>
      <c r="Z587" s="42" t="str">
        <f>IFERROR(VLOOKUP($J587,'Project Reference'!$B$2:$M$41,12)," ")</f>
        <v xml:space="preserve"> </v>
      </c>
      <c r="AA587" s="42" t="str">
        <f>IFERROR(VLOOKUP($J587,'Project Reference'!$B$2:$N$41,13)," ")</f>
        <v xml:space="preserve"> </v>
      </c>
    </row>
    <row r="588" spans="1:27" x14ac:dyDescent="0.45">
      <c r="A588" s="43"/>
      <c r="B588" s="205"/>
      <c r="C588"/>
      <c r="D588" s="72"/>
      <c r="E588" s="72"/>
      <c r="F588" s="72"/>
      <c r="G588" s="72"/>
      <c r="H588" s="17"/>
      <c r="I588" s="41" t="str" cm="1">
        <f t="array" ref="I588">IFERROR(_xlfn.IFS(H588="Hard (Cash)","N/A",H588="Soft (In-Kind)", "Enter Source"),"Select Type")</f>
        <v>Select Type</v>
      </c>
      <c r="J588" s="124"/>
      <c r="K588" s="41" t="str">
        <f>IFERROR(VLOOKUP($J588,'Project Reference'!$S$2:$T$41,2),"Enter Project Number")</f>
        <v>Enter Project Number</v>
      </c>
      <c r="L588" s="41"/>
      <c r="M588" s="41"/>
      <c r="N588" s="15">
        <f t="shared" si="9"/>
        <v>0</v>
      </c>
      <c r="O588" s="19"/>
      <c r="P588" s="42" t="str">
        <f>IFERROR(VLOOKUP($J588,'Project Reference'!$B$2:$C$41,2)," ")</f>
        <v xml:space="preserve"> </v>
      </c>
      <c r="Q588" s="42" t="str">
        <f>IFERROR(VLOOKUP($J588,'Project Reference'!$B$2:$D$41,3)," ")</f>
        <v xml:space="preserve"> </v>
      </c>
      <c r="R588" s="42" t="str">
        <f>IFERROR(VLOOKUP($J588,'Project Reference'!$B$2:$E$41,4)," ")</f>
        <v xml:space="preserve"> </v>
      </c>
      <c r="S588" s="42" t="str">
        <f>IFERROR(VLOOKUP($J588,'Project Reference'!$B$2:$F$41,5,FALSE)," ")</f>
        <v xml:space="preserve"> </v>
      </c>
      <c r="T588" s="42" t="str">
        <f>IFERROR(VLOOKUP($J588,'Project Reference'!$B$2:$G$41,6,FALSE)," ")</f>
        <v xml:space="preserve"> </v>
      </c>
      <c r="U588" s="42" t="str">
        <f>IFERROR(VLOOKUP($J588,'Project Reference'!$B$2:$H$41,7,FALSE)," ")</f>
        <v xml:space="preserve"> </v>
      </c>
      <c r="V588" s="42" t="str">
        <f>IFERROR(VLOOKUP($J588,'Project Reference'!$B$2:$I$41,8,FALSE)," ")</f>
        <v xml:space="preserve"> </v>
      </c>
      <c r="W588" s="42" t="str">
        <f>IFERROR(VLOOKUP($J588,'Project Reference'!$B$2:$J$41,9,FALSE)," ")</f>
        <v xml:space="preserve"> </v>
      </c>
      <c r="X588" s="42" t="str">
        <f>IFERROR(VLOOKUP($J588,'Project Reference'!$B$2:$K$41,10)," ")</f>
        <v xml:space="preserve"> </v>
      </c>
      <c r="Y588" s="42" t="str">
        <f>IFERROR(VLOOKUP($J588,'Project Reference'!$B$2:$L$41,11)," ")</f>
        <v xml:space="preserve"> </v>
      </c>
      <c r="Z588" s="42" t="str">
        <f>IFERROR(VLOOKUP($J588,'Project Reference'!$B$2:$M$41,12)," ")</f>
        <v xml:space="preserve"> </v>
      </c>
      <c r="AA588" s="42" t="str">
        <f>IFERROR(VLOOKUP($J588,'Project Reference'!$B$2:$N$41,13)," ")</f>
        <v xml:space="preserve"> </v>
      </c>
    </row>
    <row r="589" spans="1:27" x14ac:dyDescent="0.45">
      <c r="A589" s="43"/>
      <c r="B589" s="205"/>
      <c r="C589"/>
      <c r="D589" s="72"/>
      <c r="E589" s="72"/>
      <c r="F589" s="72"/>
      <c r="G589" s="72"/>
      <c r="H589" s="17"/>
      <c r="I589" s="41" t="str" cm="1">
        <f t="array" ref="I589">IFERROR(_xlfn.IFS(H589="Hard (Cash)","N/A",H589="Soft (In-Kind)", "Enter Source"),"Select Type")</f>
        <v>Select Type</v>
      </c>
      <c r="J589" s="124"/>
      <c r="K589" s="41" t="str">
        <f>IFERROR(VLOOKUP($J589,'Project Reference'!$S$2:$T$41,2),"Enter Project Number")</f>
        <v>Enter Project Number</v>
      </c>
      <c r="L589" s="41"/>
      <c r="M589" s="41"/>
      <c r="N589" s="15">
        <f t="shared" si="9"/>
        <v>0</v>
      </c>
      <c r="O589" s="19"/>
      <c r="P589" s="42" t="str">
        <f>IFERROR(VLOOKUP($J589,'Project Reference'!$B$2:$C$41,2)," ")</f>
        <v xml:space="preserve"> </v>
      </c>
      <c r="Q589" s="42" t="str">
        <f>IFERROR(VLOOKUP($J589,'Project Reference'!$B$2:$D$41,3)," ")</f>
        <v xml:space="preserve"> </v>
      </c>
      <c r="R589" s="42" t="str">
        <f>IFERROR(VLOOKUP($J589,'Project Reference'!$B$2:$E$41,4)," ")</f>
        <v xml:space="preserve"> </v>
      </c>
      <c r="S589" s="42" t="str">
        <f>IFERROR(VLOOKUP($J589,'Project Reference'!$B$2:$F$41,5,FALSE)," ")</f>
        <v xml:space="preserve"> </v>
      </c>
      <c r="T589" s="42" t="str">
        <f>IFERROR(VLOOKUP($J589,'Project Reference'!$B$2:$G$41,6,FALSE)," ")</f>
        <v xml:space="preserve"> </v>
      </c>
      <c r="U589" s="42" t="str">
        <f>IFERROR(VLOOKUP($J589,'Project Reference'!$B$2:$H$41,7,FALSE)," ")</f>
        <v xml:space="preserve"> </v>
      </c>
      <c r="V589" s="42" t="str">
        <f>IFERROR(VLOOKUP($J589,'Project Reference'!$B$2:$I$41,8,FALSE)," ")</f>
        <v xml:space="preserve"> </v>
      </c>
      <c r="W589" s="42" t="str">
        <f>IFERROR(VLOOKUP($J589,'Project Reference'!$B$2:$J$41,9,FALSE)," ")</f>
        <v xml:space="preserve"> </v>
      </c>
      <c r="X589" s="42" t="str">
        <f>IFERROR(VLOOKUP($J589,'Project Reference'!$B$2:$K$41,10)," ")</f>
        <v xml:space="preserve"> </v>
      </c>
      <c r="Y589" s="42" t="str">
        <f>IFERROR(VLOOKUP($J589,'Project Reference'!$B$2:$L$41,11)," ")</f>
        <v xml:space="preserve"> </v>
      </c>
      <c r="Z589" s="42" t="str">
        <f>IFERROR(VLOOKUP($J589,'Project Reference'!$B$2:$M$41,12)," ")</f>
        <v xml:space="preserve"> </v>
      </c>
      <c r="AA589" s="42" t="str">
        <f>IFERROR(VLOOKUP($J589,'Project Reference'!$B$2:$N$41,13)," ")</f>
        <v xml:space="preserve"> </v>
      </c>
    </row>
    <row r="590" spans="1:27" x14ac:dyDescent="0.45">
      <c r="A590" s="43"/>
      <c r="B590" s="205"/>
      <c r="C590"/>
      <c r="D590" s="72"/>
      <c r="E590" s="72"/>
      <c r="F590" s="72"/>
      <c r="G590" s="72"/>
      <c r="H590" s="17"/>
      <c r="I590" s="41" t="str" cm="1">
        <f t="array" ref="I590">IFERROR(_xlfn.IFS(H590="Hard (Cash)","N/A",H590="Soft (In-Kind)", "Enter Source"),"Select Type")</f>
        <v>Select Type</v>
      </c>
      <c r="J590" s="124"/>
      <c r="K590" s="41" t="str">
        <f>IFERROR(VLOOKUP($J590,'Project Reference'!$S$2:$T$41,2),"Enter Project Number")</f>
        <v>Enter Project Number</v>
      </c>
      <c r="L590" s="41"/>
      <c r="M590" s="41"/>
      <c r="N590" s="15">
        <f t="shared" si="9"/>
        <v>0</v>
      </c>
      <c r="O590" s="19"/>
      <c r="P590" s="42" t="str">
        <f>IFERROR(VLOOKUP($J590,'Project Reference'!$B$2:$C$41,2)," ")</f>
        <v xml:space="preserve"> </v>
      </c>
      <c r="Q590" s="42" t="str">
        <f>IFERROR(VLOOKUP($J590,'Project Reference'!$B$2:$D$41,3)," ")</f>
        <v xml:space="preserve"> </v>
      </c>
      <c r="R590" s="42" t="str">
        <f>IFERROR(VLOOKUP($J590,'Project Reference'!$B$2:$E$41,4)," ")</f>
        <v xml:space="preserve"> </v>
      </c>
      <c r="S590" s="42" t="str">
        <f>IFERROR(VLOOKUP($J590,'Project Reference'!$B$2:$F$41,5,FALSE)," ")</f>
        <v xml:space="preserve"> </v>
      </c>
      <c r="T590" s="42" t="str">
        <f>IFERROR(VLOOKUP($J590,'Project Reference'!$B$2:$G$41,6,FALSE)," ")</f>
        <v xml:space="preserve"> </v>
      </c>
      <c r="U590" s="42" t="str">
        <f>IFERROR(VLOOKUP($J590,'Project Reference'!$B$2:$H$41,7,FALSE)," ")</f>
        <v xml:space="preserve"> </v>
      </c>
      <c r="V590" s="42" t="str">
        <f>IFERROR(VLOOKUP($J590,'Project Reference'!$B$2:$I$41,8,FALSE)," ")</f>
        <v xml:space="preserve"> </v>
      </c>
      <c r="W590" s="42" t="str">
        <f>IFERROR(VLOOKUP($J590,'Project Reference'!$B$2:$J$41,9,FALSE)," ")</f>
        <v xml:space="preserve"> </v>
      </c>
      <c r="X590" s="42" t="str">
        <f>IFERROR(VLOOKUP($J590,'Project Reference'!$B$2:$K$41,10)," ")</f>
        <v xml:space="preserve"> </v>
      </c>
      <c r="Y590" s="42" t="str">
        <f>IFERROR(VLOOKUP($J590,'Project Reference'!$B$2:$L$41,11)," ")</f>
        <v xml:space="preserve"> </v>
      </c>
      <c r="Z590" s="42" t="str">
        <f>IFERROR(VLOOKUP($J590,'Project Reference'!$B$2:$M$41,12)," ")</f>
        <v xml:space="preserve"> </v>
      </c>
      <c r="AA590" s="42" t="str">
        <f>IFERROR(VLOOKUP($J590,'Project Reference'!$B$2:$N$41,13)," ")</f>
        <v xml:space="preserve"> </v>
      </c>
    </row>
    <row r="591" spans="1:27" x14ac:dyDescent="0.45">
      <c r="A591" s="43"/>
      <c r="B591" s="205"/>
      <c r="C591"/>
      <c r="D591" s="72"/>
      <c r="E591" s="72"/>
      <c r="F591" s="72"/>
      <c r="G591" s="72"/>
      <c r="H591" s="17"/>
      <c r="I591" s="41" t="str" cm="1">
        <f t="array" ref="I591">IFERROR(_xlfn.IFS(H591="Hard (Cash)","N/A",H591="Soft (In-Kind)", "Enter Source"),"Select Type")</f>
        <v>Select Type</v>
      </c>
      <c r="J591" s="124"/>
      <c r="K591" s="41" t="str">
        <f>IFERROR(VLOOKUP($J591,'Project Reference'!$S$2:$T$41,2),"Enter Project Number")</f>
        <v>Enter Project Number</v>
      </c>
      <c r="L591" s="41"/>
      <c r="M591" s="41"/>
      <c r="N591" s="15">
        <f t="shared" si="9"/>
        <v>0</v>
      </c>
      <c r="O591" s="19"/>
      <c r="P591" s="42" t="str">
        <f>IFERROR(VLOOKUP($J591,'Project Reference'!$B$2:$C$41,2)," ")</f>
        <v xml:space="preserve"> </v>
      </c>
      <c r="Q591" s="42" t="str">
        <f>IFERROR(VLOOKUP($J591,'Project Reference'!$B$2:$D$41,3)," ")</f>
        <v xml:space="preserve"> </v>
      </c>
      <c r="R591" s="42" t="str">
        <f>IFERROR(VLOOKUP($J591,'Project Reference'!$B$2:$E$41,4)," ")</f>
        <v xml:space="preserve"> </v>
      </c>
      <c r="S591" s="42" t="str">
        <f>IFERROR(VLOOKUP($J591,'Project Reference'!$B$2:$F$41,5,FALSE)," ")</f>
        <v xml:space="preserve"> </v>
      </c>
      <c r="T591" s="42" t="str">
        <f>IFERROR(VLOOKUP($J591,'Project Reference'!$B$2:$G$41,6,FALSE)," ")</f>
        <v xml:space="preserve"> </v>
      </c>
      <c r="U591" s="42" t="str">
        <f>IFERROR(VLOOKUP($J591,'Project Reference'!$B$2:$H$41,7,FALSE)," ")</f>
        <v xml:space="preserve"> </v>
      </c>
      <c r="V591" s="42" t="str">
        <f>IFERROR(VLOOKUP($J591,'Project Reference'!$B$2:$I$41,8,FALSE)," ")</f>
        <v xml:space="preserve"> </v>
      </c>
      <c r="W591" s="42" t="str">
        <f>IFERROR(VLOOKUP($J591,'Project Reference'!$B$2:$J$41,9,FALSE)," ")</f>
        <v xml:space="preserve"> </v>
      </c>
      <c r="X591" s="42" t="str">
        <f>IFERROR(VLOOKUP($J591,'Project Reference'!$B$2:$K$41,10)," ")</f>
        <v xml:space="preserve"> </v>
      </c>
      <c r="Y591" s="42" t="str">
        <f>IFERROR(VLOOKUP($J591,'Project Reference'!$B$2:$L$41,11)," ")</f>
        <v xml:space="preserve"> </v>
      </c>
      <c r="Z591" s="42" t="str">
        <f>IFERROR(VLOOKUP($J591,'Project Reference'!$B$2:$M$41,12)," ")</f>
        <v xml:space="preserve"> </v>
      </c>
      <c r="AA591" s="42" t="str">
        <f>IFERROR(VLOOKUP($J591,'Project Reference'!$B$2:$N$41,13)," ")</f>
        <v xml:space="preserve"> </v>
      </c>
    </row>
    <row r="592" spans="1:27" x14ac:dyDescent="0.45">
      <c r="A592" s="43"/>
      <c r="B592" s="205"/>
      <c r="C592"/>
      <c r="D592" s="72"/>
      <c r="E592" s="72"/>
      <c r="F592" s="72"/>
      <c r="G592" s="72"/>
      <c r="H592" s="17"/>
      <c r="I592" s="41" t="str" cm="1">
        <f t="array" ref="I592">IFERROR(_xlfn.IFS(H592="Hard (Cash)","N/A",H592="Soft (In-Kind)", "Enter Source"),"Select Type")</f>
        <v>Select Type</v>
      </c>
      <c r="J592" s="124"/>
      <c r="K592" s="41" t="str">
        <f>IFERROR(VLOOKUP($J592,'Project Reference'!$S$2:$T$41,2),"Enter Project Number")</f>
        <v>Enter Project Number</v>
      </c>
      <c r="L592" s="41"/>
      <c r="M592" s="41"/>
      <c r="N592" s="15">
        <f t="shared" si="9"/>
        <v>0</v>
      </c>
      <c r="O592" s="19"/>
      <c r="P592" s="42" t="str">
        <f>IFERROR(VLOOKUP($J592,'Project Reference'!$B$2:$C$41,2)," ")</f>
        <v xml:space="preserve"> </v>
      </c>
      <c r="Q592" s="42" t="str">
        <f>IFERROR(VLOOKUP($J592,'Project Reference'!$B$2:$D$41,3)," ")</f>
        <v xml:space="preserve"> </v>
      </c>
      <c r="R592" s="42" t="str">
        <f>IFERROR(VLOOKUP($J592,'Project Reference'!$B$2:$E$41,4)," ")</f>
        <v xml:space="preserve"> </v>
      </c>
      <c r="S592" s="42" t="str">
        <f>IFERROR(VLOOKUP($J592,'Project Reference'!$B$2:$F$41,5,FALSE)," ")</f>
        <v xml:space="preserve"> </v>
      </c>
      <c r="T592" s="42" t="str">
        <f>IFERROR(VLOOKUP($J592,'Project Reference'!$B$2:$G$41,6,FALSE)," ")</f>
        <v xml:space="preserve"> </v>
      </c>
      <c r="U592" s="42" t="str">
        <f>IFERROR(VLOOKUP($J592,'Project Reference'!$B$2:$H$41,7,FALSE)," ")</f>
        <v xml:space="preserve"> </v>
      </c>
      <c r="V592" s="42" t="str">
        <f>IFERROR(VLOOKUP($J592,'Project Reference'!$B$2:$I$41,8,FALSE)," ")</f>
        <v xml:space="preserve"> </v>
      </c>
      <c r="W592" s="42" t="str">
        <f>IFERROR(VLOOKUP($J592,'Project Reference'!$B$2:$J$41,9,FALSE)," ")</f>
        <v xml:space="preserve"> </v>
      </c>
      <c r="X592" s="42" t="str">
        <f>IFERROR(VLOOKUP($J592,'Project Reference'!$B$2:$K$41,10)," ")</f>
        <v xml:space="preserve"> </v>
      </c>
      <c r="Y592" s="42" t="str">
        <f>IFERROR(VLOOKUP($J592,'Project Reference'!$B$2:$L$41,11)," ")</f>
        <v xml:space="preserve"> </v>
      </c>
      <c r="Z592" s="42" t="str">
        <f>IFERROR(VLOOKUP($J592,'Project Reference'!$B$2:$M$41,12)," ")</f>
        <v xml:space="preserve"> </v>
      </c>
      <c r="AA592" s="42" t="str">
        <f>IFERROR(VLOOKUP($J592,'Project Reference'!$B$2:$N$41,13)," ")</f>
        <v xml:space="preserve"> </v>
      </c>
    </row>
    <row r="593" spans="1:27" x14ac:dyDescent="0.45">
      <c r="A593" s="43"/>
      <c r="B593" s="205"/>
      <c r="C593"/>
      <c r="D593" s="72"/>
      <c r="E593" s="72"/>
      <c r="F593" s="72"/>
      <c r="G593" s="72"/>
      <c r="H593" s="17"/>
      <c r="I593" s="41" t="str" cm="1">
        <f t="array" ref="I593">IFERROR(_xlfn.IFS(H593="Hard (Cash)","N/A",H593="Soft (In-Kind)", "Enter Source"),"Select Type")</f>
        <v>Select Type</v>
      </c>
      <c r="J593" s="124"/>
      <c r="K593" s="41" t="str">
        <f>IFERROR(VLOOKUP($J593,'Project Reference'!$S$2:$T$41,2),"Enter Project Number")</f>
        <v>Enter Project Number</v>
      </c>
      <c r="L593" s="41"/>
      <c r="M593" s="41"/>
      <c r="N593" s="15">
        <f t="shared" si="9"/>
        <v>0</v>
      </c>
      <c r="O593" s="19"/>
      <c r="P593" s="42" t="str">
        <f>IFERROR(VLOOKUP($J593,'Project Reference'!$B$2:$C$41,2)," ")</f>
        <v xml:space="preserve"> </v>
      </c>
      <c r="Q593" s="42" t="str">
        <f>IFERROR(VLOOKUP($J593,'Project Reference'!$B$2:$D$41,3)," ")</f>
        <v xml:space="preserve"> </v>
      </c>
      <c r="R593" s="42" t="str">
        <f>IFERROR(VLOOKUP($J593,'Project Reference'!$B$2:$E$41,4)," ")</f>
        <v xml:space="preserve"> </v>
      </c>
      <c r="S593" s="42" t="str">
        <f>IFERROR(VLOOKUP($J593,'Project Reference'!$B$2:$F$41,5,FALSE)," ")</f>
        <v xml:space="preserve"> </v>
      </c>
      <c r="T593" s="42" t="str">
        <f>IFERROR(VLOOKUP($J593,'Project Reference'!$B$2:$G$41,6,FALSE)," ")</f>
        <v xml:space="preserve"> </v>
      </c>
      <c r="U593" s="42" t="str">
        <f>IFERROR(VLOOKUP($J593,'Project Reference'!$B$2:$H$41,7,FALSE)," ")</f>
        <v xml:space="preserve"> </v>
      </c>
      <c r="V593" s="42" t="str">
        <f>IFERROR(VLOOKUP($J593,'Project Reference'!$B$2:$I$41,8,FALSE)," ")</f>
        <v xml:space="preserve"> </v>
      </c>
      <c r="W593" s="42" t="str">
        <f>IFERROR(VLOOKUP($J593,'Project Reference'!$B$2:$J$41,9,FALSE)," ")</f>
        <v xml:space="preserve"> </v>
      </c>
      <c r="X593" s="42" t="str">
        <f>IFERROR(VLOOKUP($J593,'Project Reference'!$B$2:$K$41,10)," ")</f>
        <v xml:space="preserve"> </v>
      </c>
      <c r="Y593" s="42" t="str">
        <f>IFERROR(VLOOKUP($J593,'Project Reference'!$B$2:$L$41,11)," ")</f>
        <v xml:space="preserve"> </v>
      </c>
      <c r="Z593" s="42" t="str">
        <f>IFERROR(VLOOKUP($J593,'Project Reference'!$B$2:$M$41,12)," ")</f>
        <v xml:space="preserve"> </v>
      </c>
      <c r="AA593" s="42" t="str">
        <f>IFERROR(VLOOKUP($J593,'Project Reference'!$B$2:$N$41,13)," ")</f>
        <v xml:space="preserve"> </v>
      </c>
    </row>
    <row r="594" spans="1:27" x14ac:dyDescent="0.45">
      <c r="A594" s="43"/>
      <c r="B594" s="205"/>
      <c r="C594"/>
      <c r="D594" s="72"/>
      <c r="E594" s="72"/>
      <c r="F594" s="72"/>
      <c r="G594" s="72"/>
      <c r="H594" s="17"/>
      <c r="I594" s="41" t="str" cm="1">
        <f t="array" ref="I594">IFERROR(_xlfn.IFS(H594="Hard (Cash)","N/A",H594="Soft (In-Kind)", "Enter Source"),"Select Type")</f>
        <v>Select Type</v>
      </c>
      <c r="J594" s="124"/>
      <c r="K594" s="41" t="str">
        <f>IFERROR(VLOOKUP($J594,'Project Reference'!$S$2:$T$41,2),"Enter Project Number")</f>
        <v>Enter Project Number</v>
      </c>
      <c r="L594" s="41"/>
      <c r="M594" s="41"/>
      <c r="N594" s="15">
        <f t="shared" si="9"/>
        <v>0</v>
      </c>
      <c r="O594" s="19"/>
      <c r="P594" s="42" t="str">
        <f>IFERROR(VLOOKUP($J594,'Project Reference'!$B$2:$C$41,2)," ")</f>
        <v xml:space="preserve"> </v>
      </c>
      <c r="Q594" s="42" t="str">
        <f>IFERROR(VLOOKUP($J594,'Project Reference'!$B$2:$D$41,3)," ")</f>
        <v xml:space="preserve"> </v>
      </c>
      <c r="R594" s="42" t="str">
        <f>IFERROR(VLOOKUP($J594,'Project Reference'!$B$2:$E$41,4)," ")</f>
        <v xml:space="preserve"> </v>
      </c>
      <c r="S594" s="42" t="str">
        <f>IFERROR(VLOOKUP($J594,'Project Reference'!$B$2:$F$41,5,FALSE)," ")</f>
        <v xml:space="preserve"> </v>
      </c>
      <c r="T594" s="42" t="str">
        <f>IFERROR(VLOOKUP($J594,'Project Reference'!$B$2:$G$41,6,FALSE)," ")</f>
        <v xml:space="preserve"> </v>
      </c>
      <c r="U594" s="42" t="str">
        <f>IFERROR(VLOOKUP($J594,'Project Reference'!$B$2:$H$41,7,FALSE)," ")</f>
        <v xml:space="preserve"> </v>
      </c>
      <c r="V594" s="42" t="str">
        <f>IFERROR(VLOOKUP($J594,'Project Reference'!$B$2:$I$41,8,FALSE)," ")</f>
        <v xml:space="preserve"> </v>
      </c>
      <c r="W594" s="42" t="str">
        <f>IFERROR(VLOOKUP($J594,'Project Reference'!$B$2:$J$41,9,FALSE)," ")</f>
        <v xml:space="preserve"> </v>
      </c>
      <c r="X594" s="42" t="str">
        <f>IFERROR(VLOOKUP($J594,'Project Reference'!$B$2:$K$41,10)," ")</f>
        <v xml:space="preserve"> </v>
      </c>
      <c r="Y594" s="42" t="str">
        <f>IFERROR(VLOOKUP($J594,'Project Reference'!$B$2:$L$41,11)," ")</f>
        <v xml:space="preserve"> </v>
      </c>
      <c r="Z594" s="42" t="str">
        <f>IFERROR(VLOOKUP($J594,'Project Reference'!$B$2:$M$41,12)," ")</f>
        <v xml:space="preserve"> </v>
      </c>
      <c r="AA594" s="42" t="str">
        <f>IFERROR(VLOOKUP($J594,'Project Reference'!$B$2:$N$41,13)," ")</f>
        <v xml:space="preserve"> </v>
      </c>
    </row>
    <row r="595" spans="1:27" x14ac:dyDescent="0.45">
      <c r="A595" s="43"/>
      <c r="B595" s="205"/>
      <c r="C595"/>
      <c r="D595" s="72"/>
      <c r="E595" s="72"/>
      <c r="F595" s="72"/>
      <c r="G595" s="72"/>
      <c r="H595" s="17"/>
      <c r="I595" s="41" t="str" cm="1">
        <f t="array" ref="I595">IFERROR(_xlfn.IFS(H595="Hard (Cash)","N/A",H595="Soft (In-Kind)", "Enter Source"),"Select Type")</f>
        <v>Select Type</v>
      </c>
      <c r="J595" s="124"/>
      <c r="K595" s="41" t="str">
        <f>IFERROR(VLOOKUP($J595,'Project Reference'!$S$2:$T$41,2),"Enter Project Number")</f>
        <v>Enter Project Number</v>
      </c>
      <c r="L595" s="41"/>
      <c r="M595" s="41"/>
      <c r="N595" s="15">
        <f t="shared" si="9"/>
        <v>0</v>
      </c>
      <c r="O595" s="19"/>
      <c r="P595" s="42" t="str">
        <f>IFERROR(VLOOKUP($J595,'Project Reference'!$B$2:$C$41,2)," ")</f>
        <v xml:space="preserve"> </v>
      </c>
      <c r="Q595" s="42" t="str">
        <f>IFERROR(VLOOKUP($J595,'Project Reference'!$B$2:$D$41,3)," ")</f>
        <v xml:space="preserve"> </v>
      </c>
      <c r="R595" s="42" t="str">
        <f>IFERROR(VLOOKUP($J595,'Project Reference'!$B$2:$E$41,4)," ")</f>
        <v xml:space="preserve"> </v>
      </c>
      <c r="S595" s="42" t="str">
        <f>IFERROR(VLOOKUP($J595,'Project Reference'!$B$2:$F$41,5,FALSE)," ")</f>
        <v xml:space="preserve"> </v>
      </c>
      <c r="T595" s="42" t="str">
        <f>IFERROR(VLOOKUP($J595,'Project Reference'!$B$2:$G$41,6,FALSE)," ")</f>
        <v xml:space="preserve"> </v>
      </c>
      <c r="U595" s="42" t="str">
        <f>IFERROR(VLOOKUP($J595,'Project Reference'!$B$2:$H$41,7,FALSE)," ")</f>
        <v xml:space="preserve"> </v>
      </c>
      <c r="V595" s="42" t="str">
        <f>IFERROR(VLOOKUP($J595,'Project Reference'!$B$2:$I$41,8,FALSE)," ")</f>
        <v xml:space="preserve"> </v>
      </c>
      <c r="W595" s="42" t="str">
        <f>IFERROR(VLOOKUP($J595,'Project Reference'!$B$2:$J$41,9,FALSE)," ")</f>
        <v xml:space="preserve"> </v>
      </c>
      <c r="X595" s="42" t="str">
        <f>IFERROR(VLOOKUP($J595,'Project Reference'!$B$2:$K$41,10)," ")</f>
        <v xml:space="preserve"> </v>
      </c>
      <c r="Y595" s="42" t="str">
        <f>IFERROR(VLOOKUP($J595,'Project Reference'!$B$2:$L$41,11)," ")</f>
        <v xml:space="preserve"> </v>
      </c>
      <c r="Z595" s="42" t="str">
        <f>IFERROR(VLOOKUP($J595,'Project Reference'!$B$2:$M$41,12)," ")</f>
        <v xml:space="preserve"> </v>
      </c>
      <c r="AA595" s="42" t="str">
        <f>IFERROR(VLOOKUP($J595,'Project Reference'!$B$2:$N$41,13)," ")</f>
        <v xml:space="preserve"> </v>
      </c>
    </row>
    <row r="596" spans="1:27" x14ac:dyDescent="0.45">
      <c r="A596" s="43"/>
      <c r="B596" s="205"/>
      <c r="C596"/>
      <c r="D596" s="72"/>
      <c r="E596" s="72"/>
      <c r="F596" s="72"/>
      <c r="G596" s="72"/>
      <c r="H596" s="17"/>
      <c r="I596" s="41" t="str" cm="1">
        <f t="array" ref="I596">IFERROR(_xlfn.IFS(H596="Hard (Cash)","N/A",H596="Soft (In-Kind)", "Enter Source"),"Select Type")</f>
        <v>Select Type</v>
      </c>
      <c r="J596" s="124"/>
      <c r="K596" s="41" t="str">
        <f>IFERROR(VLOOKUP($J596,'Project Reference'!$S$2:$T$41,2),"Enter Project Number")</f>
        <v>Enter Project Number</v>
      </c>
      <c r="L596" s="41"/>
      <c r="M596" s="41"/>
      <c r="N596" s="15">
        <f t="shared" si="9"/>
        <v>0</v>
      </c>
      <c r="O596" s="19"/>
      <c r="P596" s="42" t="str">
        <f>IFERROR(VLOOKUP($J596,'Project Reference'!$B$2:$C$41,2)," ")</f>
        <v xml:space="preserve"> </v>
      </c>
      <c r="Q596" s="42" t="str">
        <f>IFERROR(VLOOKUP($J596,'Project Reference'!$B$2:$D$41,3)," ")</f>
        <v xml:space="preserve"> </v>
      </c>
      <c r="R596" s="42" t="str">
        <f>IFERROR(VLOOKUP($J596,'Project Reference'!$B$2:$E$41,4)," ")</f>
        <v xml:space="preserve"> </v>
      </c>
      <c r="S596" s="42" t="str">
        <f>IFERROR(VLOOKUP($J596,'Project Reference'!$B$2:$F$41,5,FALSE)," ")</f>
        <v xml:space="preserve"> </v>
      </c>
      <c r="T596" s="42" t="str">
        <f>IFERROR(VLOOKUP($J596,'Project Reference'!$B$2:$G$41,6,FALSE)," ")</f>
        <v xml:space="preserve"> </v>
      </c>
      <c r="U596" s="42" t="str">
        <f>IFERROR(VLOOKUP($J596,'Project Reference'!$B$2:$H$41,7,FALSE)," ")</f>
        <v xml:space="preserve"> </v>
      </c>
      <c r="V596" s="42" t="str">
        <f>IFERROR(VLOOKUP($J596,'Project Reference'!$B$2:$I$41,8,FALSE)," ")</f>
        <v xml:space="preserve"> </v>
      </c>
      <c r="W596" s="42" t="str">
        <f>IFERROR(VLOOKUP($J596,'Project Reference'!$B$2:$J$41,9,FALSE)," ")</f>
        <v xml:space="preserve"> </v>
      </c>
      <c r="X596" s="42" t="str">
        <f>IFERROR(VLOOKUP($J596,'Project Reference'!$B$2:$K$41,10)," ")</f>
        <v xml:space="preserve"> </v>
      </c>
      <c r="Y596" s="42" t="str">
        <f>IFERROR(VLOOKUP($J596,'Project Reference'!$B$2:$L$41,11)," ")</f>
        <v xml:space="preserve"> </v>
      </c>
      <c r="Z596" s="42" t="str">
        <f>IFERROR(VLOOKUP($J596,'Project Reference'!$B$2:$M$41,12)," ")</f>
        <v xml:space="preserve"> </v>
      </c>
      <c r="AA596" s="42" t="str">
        <f>IFERROR(VLOOKUP($J596,'Project Reference'!$B$2:$N$41,13)," ")</f>
        <v xml:space="preserve"> </v>
      </c>
    </row>
    <row r="597" spans="1:27" x14ac:dyDescent="0.45">
      <c r="A597" s="43"/>
      <c r="B597" s="205"/>
      <c r="C597"/>
      <c r="D597" s="72"/>
      <c r="E597" s="72"/>
      <c r="F597" s="72"/>
      <c r="G597" s="72"/>
      <c r="H597" s="17"/>
      <c r="I597" s="41" t="str" cm="1">
        <f t="array" ref="I597">IFERROR(_xlfn.IFS(H597="Hard (Cash)","N/A",H597="Soft (In-Kind)", "Enter Source"),"Select Type")</f>
        <v>Select Type</v>
      </c>
      <c r="J597" s="124"/>
      <c r="K597" s="41" t="str">
        <f>IFERROR(VLOOKUP($J597,'Project Reference'!$S$2:$T$41,2),"Enter Project Number")</f>
        <v>Enter Project Number</v>
      </c>
      <c r="L597" s="41"/>
      <c r="M597" s="41"/>
      <c r="N597" s="15">
        <f t="shared" si="9"/>
        <v>0</v>
      </c>
      <c r="O597" s="19"/>
      <c r="P597" s="42" t="str">
        <f>IFERROR(VLOOKUP($J597,'Project Reference'!$B$2:$C$41,2)," ")</f>
        <v xml:space="preserve"> </v>
      </c>
      <c r="Q597" s="42" t="str">
        <f>IFERROR(VLOOKUP($J597,'Project Reference'!$B$2:$D$41,3)," ")</f>
        <v xml:space="preserve"> </v>
      </c>
      <c r="R597" s="42" t="str">
        <f>IFERROR(VLOOKUP($J597,'Project Reference'!$B$2:$E$41,4)," ")</f>
        <v xml:space="preserve"> </v>
      </c>
      <c r="S597" s="42" t="str">
        <f>IFERROR(VLOOKUP($J597,'Project Reference'!$B$2:$F$41,5,FALSE)," ")</f>
        <v xml:space="preserve"> </v>
      </c>
      <c r="T597" s="42" t="str">
        <f>IFERROR(VLOOKUP($J597,'Project Reference'!$B$2:$G$41,6,FALSE)," ")</f>
        <v xml:space="preserve"> </v>
      </c>
      <c r="U597" s="42" t="str">
        <f>IFERROR(VLOOKUP($J597,'Project Reference'!$B$2:$H$41,7,FALSE)," ")</f>
        <v xml:space="preserve"> </v>
      </c>
      <c r="V597" s="42" t="str">
        <f>IFERROR(VLOOKUP($J597,'Project Reference'!$B$2:$I$41,8,FALSE)," ")</f>
        <v xml:space="preserve"> </v>
      </c>
      <c r="W597" s="42" t="str">
        <f>IFERROR(VLOOKUP($J597,'Project Reference'!$B$2:$J$41,9,FALSE)," ")</f>
        <v xml:space="preserve"> </v>
      </c>
      <c r="X597" s="42" t="str">
        <f>IFERROR(VLOOKUP($J597,'Project Reference'!$B$2:$K$41,10)," ")</f>
        <v xml:space="preserve"> </v>
      </c>
      <c r="Y597" s="42" t="str">
        <f>IFERROR(VLOOKUP($J597,'Project Reference'!$B$2:$L$41,11)," ")</f>
        <v xml:space="preserve"> </v>
      </c>
      <c r="Z597" s="42" t="str">
        <f>IFERROR(VLOOKUP($J597,'Project Reference'!$B$2:$M$41,12)," ")</f>
        <v xml:space="preserve"> </v>
      </c>
      <c r="AA597" s="42" t="str">
        <f>IFERROR(VLOOKUP($J597,'Project Reference'!$B$2:$N$41,13)," ")</f>
        <v xml:space="preserve"> </v>
      </c>
    </row>
    <row r="598" spans="1:27" x14ac:dyDescent="0.45">
      <c r="A598" s="43"/>
      <c r="B598" s="205"/>
      <c r="C598"/>
      <c r="D598" s="72"/>
      <c r="E598" s="72"/>
      <c r="F598" s="72"/>
      <c r="G598" s="72"/>
      <c r="H598" s="17"/>
      <c r="I598" s="41" t="str" cm="1">
        <f t="array" ref="I598">IFERROR(_xlfn.IFS(H598="Hard (Cash)","N/A",H598="Soft (In-Kind)", "Enter Source"),"Select Type")</f>
        <v>Select Type</v>
      </c>
      <c r="J598" s="124"/>
      <c r="K598" s="41" t="str">
        <f>IFERROR(VLOOKUP($J598,'Project Reference'!$S$2:$T$41,2),"Enter Project Number")</f>
        <v>Enter Project Number</v>
      </c>
      <c r="L598" s="41"/>
      <c r="M598" s="41"/>
      <c r="N598" s="15">
        <f t="shared" si="9"/>
        <v>0</v>
      </c>
      <c r="O598" s="19"/>
      <c r="P598" s="42" t="str">
        <f>IFERROR(VLOOKUP($J598,'Project Reference'!$B$2:$C$41,2)," ")</f>
        <v xml:space="preserve"> </v>
      </c>
      <c r="Q598" s="42" t="str">
        <f>IFERROR(VLOOKUP($J598,'Project Reference'!$B$2:$D$41,3)," ")</f>
        <v xml:space="preserve"> </v>
      </c>
      <c r="R598" s="42" t="str">
        <f>IFERROR(VLOOKUP($J598,'Project Reference'!$B$2:$E$41,4)," ")</f>
        <v xml:space="preserve"> </v>
      </c>
      <c r="S598" s="42" t="str">
        <f>IFERROR(VLOOKUP($J598,'Project Reference'!$B$2:$F$41,5,FALSE)," ")</f>
        <v xml:space="preserve"> </v>
      </c>
      <c r="T598" s="42" t="str">
        <f>IFERROR(VLOOKUP($J598,'Project Reference'!$B$2:$G$41,6,FALSE)," ")</f>
        <v xml:space="preserve"> </v>
      </c>
      <c r="U598" s="42" t="str">
        <f>IFERROR(VLOOKUP($J598,'Project Reference'!$B$2:$H$41,7,FALSE)," ")</f>
        <v xml:space="preserve"> </v>
      </c>
      <c r="V598" s="42" t="str">
        <f>IFERROR(VLOOKUP($J598,'Project Reference'!$B$2:$I$41,8,FALSE)," ")</f>
        <v xml:space="preserve"> </v>
      </c>
      <c r="W598" s="42" t="str">
        <f>IFERROR(VLOOKUP($J598,'Project Reference'!$B$2:$J$41,9,FALSE)," ")</f>
        <v xml:space="preserve"> </v>
      </c>
      <c r="X598" s="42" t="str">
        <f>IFERROR(VLOOKUP($J598,'Project Reference'!$B$2:$K$41,10)," ")</f>
        <v xml:space="preserve"> </v>
      </c>
      <c r="Y598" s="42" t="str">
        <f>IFERROR(VLOOKUP($J598,'Project Reference'!$B$2:$L$41,11)," ")</f>
        <v xml:space="preserve"> </v>
      </c>
      <c r="Z598" s="42" t="str">
        <f>IFERROR(VLOOKUP($J598,'Project Reference'!$B$2:$M$41,12)," ")</f>
        <v xml:space="preserve"> </v>
      </c>
      <c r="AA598" s="42" t="str">
        <f>IFERROR(VLOOKUP($J598,'Project Reference'!$B$2:$N$41,13)," ")</f>
        <v xml:space="preserve"> </v>
      </c>
    </row>
    <row r="599" spans="1:27" x14ac:dyDescent="0.45">
      <c r="A599" s="43"/>
      <c r="B599" s="205"/>
      <c r="C599"/>
      <c r="D599" s="72"/>
      <c r="E599" s="72"/>
      <c r="F599" s="72"/>
      <c r="G599" s="72"/>
      <c r="H599" s="17"/>
      <c r="I599" s="41" t="str" cm="1">
        <f t="array" ref="I599">IFERROR(_xlfn.IFS(H599="Hard (Cash)","N/A",H599="Soft (In-Kind)", "Enter Source"),"Select Type")</f>
        <v>Select Type</v>
      </c>
      <c r="J599" s="124"/>
      <c r="K599" s="41" t="str">
        <f>IFERROR(VLOOKUP($J599,'Project Reference'!$S$2:$T$41,2),"Enter Project Number")</f>
        <v>Enter Project Number</v>
      </c>
      <c r="L599" s="41"/>
      <c r="M599" s="41"/>
      <c r="N599" s="15">
        <f t="shared" si="9"/>
        <v>0</v>
      </c>
      <c r="O599" s="19"/>
      <c r="P599" s="42" t="str">
        <f>IFERROR(VLOOKUP($J599,'Project Reference'!$B$2:$C$41,2)," ")</f>
        <v xml:space="preserve"> </v>
      </c>
      <c r="Q599" s="42" t="str">
        <f>IFERROR(VLOOKUP($J599,'Project Reference'!$B$2:$D$41,3)," ")</f>
        <v xml:space="preserve"> </v>
      </c>
      <c r="R599" s="42" t="str">
        <f>IFERROR(VLOOKUP($J599,'Project Reference'!$B$2:$E$41,4)," ")</f>
        <v xml:space="preserve"> </v>
      </c>
      <c r="S599" s="42" t="str">
        <f>IFERROR(VLOOKUP($J599,'Project Reference'!$B$2:$F$41,5,FALSE)," ")</f>
        <v xml:space="preserve"> </v>
      </c>
      <c r="T599" s="42" t="str">
        <f>IFERROR(VLOOKUP($J599,'Project Reference'!$B$2:$G$41,6,FALSE)," ")</f>
        <v xml:space="preserve"> </v>
      </c>
      <c r="U599" s="42" t="str">
        <f>IFERROR(VLOOKUP($J599,'Project Reference'!$B$2:$H$41,7,FALSE)," ")</f>
        <v xml:space="preserve"> </v>
      </c>
      <c r="V599" s="42" t="str">
        <f>IFERROR(VLOOKUP($J599,'Project Reference'!$B$2:$I$41,8,FALSE)," ")</f>
        <v xml:space="preserve"> </v>
      </c>
      <c r="W599" s="42" t="str">
        <f>IFERROR(VLOOKUP($J599,'Project Reference'!$B$2:$J$41,9,FALSE)," ")</f>
        <v xml:space="preserve"> </v>
      </c>
      <c r="X599" s="42" t="str">
        <f>IFERROR(VLOOKUP($J599,'Project Reference'!$B$2:$K$41,10)," ")</f>
        <v xml:space="preserve"> </v>
      </c>
      <c r="Y599" s="42" t="str">
        <f>IFERROR(VLOOKUP($J599,'Project Reference'!$B$2:$L$41,11)," ")</f>
        <v xml:space="preserve"> </v>
      </c>
      <c r="Z599" s="42" t="str">
        <f>IFERROR(VLOOKUP($J599,'Project Reference'!$B$2:$M$41,12)," ")</f>
        <v xml:space="preserve"> </v>
      </c>
      <c r="AA599" s="42" t="str">
        <f>IFERROR(VLOOKUP($J599,'Project Reference'!$B$2:$N$41,13)," ")</f>
        <v xml:space="preserve"> </v>
      </c>
    </row>
    <row r="600" spans="1:27" x14ac:dyDescent="0.45">
      <c r="A600" s="43"/>
      <c r="B600" s="205"/>
      <c r="C600"/>
      <c r="D600" s="72"/>
      <c r="E600" s="72"/>
      <c r="F600" s="72"/>
      <c r="G600" s="72"/>
      <c r="H600" s="17"/>
      <c r="I600" s="41" t="str" cm="1">
        <f t="array" ref="I600">IFERROR(_xlfn.IFS(H600="Hard (Cash)","N/A",H600="Soft (In-Kind)", "Enter Source"),"Select Type")</f>
        <v>Select Type</v>
      </c>
      <c r="J600" s="124"/>
      <c r="K600" s="41" t="str">
        <f>IFERROR(VLOOKUP($J600,'Project Reference'!$S$2:$T$41,2),"Enter Project Number")</f>
        <v>Enter Project Number</v>
      </c>
      <c r="L600" s="41"/>
      <c r="M600" s="41"/>
      <c r="N600" s="15">
        <f t="shared" si="9"/>
        <v>0</v>
      </c>
      <c r="O600" s="19"/>
      <c r="P600" s="42" t="str">
        <f>IFERROR(VLOOKUP($J600,'Project Reference'!$B$2:$C$41,2)," ")</f>
        <v xml:space="preserve"> </v>
      </c>
      <c r="Q600" s="42" t="str">
        <f>IFERROR(VLOOKUP($J600,'Project Reference'!$B$2:$D$41,3)," ")</f>
        <v xml:space="preserve"> </v>
      </c>
      <c r="R600" s="42" t="str">
        <f>IFERROR(VLOOKUP($J600,'Project Reference'!$B$2:$E$41,4)," ")</f>
        <v xml:space="preserve"> </v>
      </c>
      <c r="S600" s="42" t="str">
        <f>IFERROR(VLOOKUP($J600,'Project Reference'!$B$2:$F$41,5,FALSE)," ")</f>
        <v xml:space="preserve"> </v>
      </c>
      <c r="T600" s="42" t="str">
        <f>IFERROR(VLOOKUP($J600,'Project Reference'!$B$2:$G$41,6,FALSE)," ")</f>
        <v xml:space="preserve"> </v>
      </c>
      <c r="U600" s="42" t="str">
        <f>IFERROR(VLOOKUP($J600,'Project Reference'!$B$2:$H$41,7,FALSE)," ")</f>
        <v xml:space="preserve"> </v>
      </c>
      <c r="V600" s="42" t="str">
        <f>IFERROR(VLOOKUP($J600,'Project Reference'!$B$2:$I$41,8,FALSE)," ")</f>
        <v xml:space="preserve"> </v>
      </c>
      <c r="W600" s="42" t="str">
        <f>IFERROR(VLOOKUP($J600,'Project Reference'!$B$2:$J$41,9,FALSE)," ")</f>
        <v xml:space="preserve"> </v>
      </c>
      <c r="X600" s="42" t="str">
        <f>IFERROR(VLOOKUP($J600,'Project Reference'!$B$2:$K$41,10)," ")</f>
        <v xml:space="preserve"> </v>
      </c>
      <c r="Y600" s="42" t="str">
        <f>IFERROR(VLOOKUP($J600,'Project Reference'!$B$2:$L$41,11)," ")</f>
        <v xml:space="preserve"> </v>
      </c>
      <c r="Z600" s="42" t="str">
        <f>IFERROR(VLOOKUP($J600,'Project Reference'!$B$2:$M$41,12)," ")</f>
        <v xml:space="preserve"> </v>
      </c>
      <c r="AA600" s="42" t="str">
        <f>IFERROR(VLOOKUP($J600,'Project Reference'!$B$2:$N$41,13)," ")</f>
        <v xml:space="preserve"> </v>
      </c>
    </row>
    <row r="601" spans="1:27" x14ac:dyDescent="0.45">
      <c r="A601" s="43"/>
      <c r="B601" s="205"/>
      <c r="C601"/>
      <c r="D601" s="72"/>
      <c r="E601" s="72"/>
      <c r="F601" s="72"/>
      <c r="G601" s="72"/>
      <c r="H601" s="17"/>
      <c r="I601" s="41" t="str" cm="1">
        <f t="array" ref="I601">IFERROR(_xlfn.IFS(H601="Hard (Cash)","N/A",H601="Soft (In-Kind)", "Enter Source"),"Select Type")</f>
        <v>Select Type</v>
      </c>
      <c r="J601" s="124"/>
      <c r="K601" s="41" t="str">
        <f>IFERROR(VLOOKUP($J601,'Project Reference'!$S$2:$T$41,2),"Enter Project Number")</f>
        <v>Enter Project Number</v>
      </c>
      <c r="L601" s="41"/>
      <c r="M601" s="41"/>
      <c r="N601" s="15">
        <f t="shared" si="9"/>
        <v>0</v>
      </c>
      <c r="O601" s="19"/>
      <c r="P601" s="42" t="str">
        <f>IFERROR(VLOOKUP($J601,'Project Reference'!$B$2:$C$41,2)," ")</f>
        <v xml:space="preserve"> </v>
      </c>
      <c r="Q601" s="42" t="str">
        <f>IFERROR(VLOOKUP($J601,'Project Reference'!$B$2:$D$41,3)," ")</f>
        <v xml:space="preserve"> </v>
      </c>
      <c r="R601" s="42" t="str">
        <f>IFERROR(VLOOKUP($J601,'Project Reference'!$B$2:$E$41,4)," ")</f>
        <v xml:space="preserve"> </v>
      </c>
      <c r="S601" s="42" t="str">
        <f>IFERROR(VLOOKUP($J601,'Project Reference'!$B$2:$F$41,5,FALSE)," ")</f>
        <v xml:space="preserve"> </v>
      </c>
      <c r="T601" s="42" t="str">
        <f>IFERROR(VLOOKUP($J601,'Project Reference'!$B$2:$G$41,6,FALSE)," ")</f>
        <v xml:space="preserve"> </v>
      </c>
      <c r="U601" s="42" t="str">
        <f>IFERROR(VLOOKUP($J601,'Project Reference'!$B$2:$H$41,7,FALSE)," ")</f>
        <v xml:space="preserve"> </v>
      </c>
      <c r="V601" s="42" t="str">
        <f>IFERROR(VLOOKUP($J601,'Project Reference'!$B$2:$I$41,8,FALSE)," ")</f>
        <v xml:space="preserve"> </v>
      </c>
      <c r="W601" s="42" t="str">
        <f>IFERROR(VLOOKUP($J601,'Project Reference'!$B$2:$J$41,9,FALSE)," ")</f>
        <v xml:space="preserve"> </v>
      </c>
      <c r="X601" s="42" t="str">
        <f>IFERROR(VLOOKUP($J601,'Project Reference'!$B$2:$K$41,10)," ")</f>
        <v xml:space="preserve"> </v>
      </c>
      <c r="Y601" s="42" t="str">
        <f>IFERROR(VLOOKUP($J601,'Project Reference'!$B$2:$L$41,11)," ")</f>
        <v xml:space="preserve"> </v>
      </c>
      <c r="Z601" s="42" t="str">
        <f>IFERROR(VLOOKUP($J601,'Project Reference'!$B$2:$M$41,12)," ")</f>
        <v xml:space="preserve"> </v>
      </c>
      <c r="AA601" s="42" t="str">
        <f>IFERROR(VLOOKUP($J601,'Project Reference'!$B$2:$N$41,13)," ")</f>
        <v xml:space="preserve"> </v>
      </c>
    </row>
    <row r="602" spans="1:27" x14ac:dyDescent="0.45">
      <c r="A602" s="43"/>
      <c r="B602" s="205"/>
      <c r="C602"/>
      <c r="D602" s="72"/>
      <c r="E602" s="72"/>
      <c r="F602" s="72"/>
      <c r="G602" s="72"/>
      <c r="H602" s="17"/>
      <c r="I602" s="41" t="str" cm="1">
        <f t="array" ref="I602">IFERROR(_xlfn.IFS(H602="Hard (Cash)","N/A",H602="Soft (In-Kind)", "Enter Source"),"Select Type")</f>
        <v>Select Type</v>
      </c>
      <c r="J602" s="124"/>
      <c r="K602" s="41" t="str">
        <f>IFERROR(VLOOKUP($J602,'Project Reference'!$S$2:$T$41,2),"Enter Project Number")</f>
        <v>Enter Project Number</v>
      </c>
      <c r="L602" s="41"/>
      <c r="M602" s="41"/>
      <c r="N602" s="15">
        <f t="shared" si="9"/>
        <v>0</v>
      </c>
      <c r="O602" s="19"/>
      <c r="P602" s="42" t="str">
        <f>IFERROR(VLOOKUP($J602,'Project Reference'!$B$2:$C$41,2)," ")</f>
        <v xml:space="preserve"> </v>
      </c>
      <c r="Q602" s="42" t="str">
        <f>IFERROR(VLOOKUP($J602,'Project Reference'!$B$2:$D$41,3)," ")</f>
        <v xml:space="preserve"> </v>
      </c>
      <c r="R602" s="42" t="str">
        <f>IFERROR(VLOOKUP($J602,'Project Reference'!$B$2:$E$41,4)," ")</f>
        <v xml:space="preserve"> </v>
      </c>
      <c r="S602" s="42" t="str">
        <f>IFERROR(VLOOKUP($J602,'Project Reference'!$B$2:$F$41,5,FALSE)," ")</f>
        <v xml:space="preserve"> </v>
      </c>
      <c r="T602" s="42" t="str">
        <f>IFERROR(VLOOKUP($J602,'Project Reference'!$B$2:$G$41,6,FALSE)," ")</f>
        <v xml:space="preserve"> </v>
      </c>
      <c r="U602" s="42" t="str">
        <f>IFERROR(VLOOKUP($J602,'Project Reference'!$B$2:$H$41,7,FALSE)," ")</f>
        <v xml:space="preserve"> </v>
      </c>
      <c r="V602" s="42" t="str">
        <f>IFERROR(VLOOKUP($J602,'Project Reference'!$B$2:$I$41,8,FALSE)," ")</f>
        <v xml:space="preserve"> </v>
      </c>
      <c r="W602" s="42" t="str">
        <f>IFERROR(VLOOKUP($J602,'Project Reference'!$B$2:$J$41,9,FALSE)," ")</f>
        <v xml:space="preserve"> </v>
      </c>
      <c r="X602" s="42" t="str">
        <f>IFERROR(VLOOKUP($J602,'Project Reference'!$B$2:$K$41,10)," ")</f>
        <v xml:space="preserve"> </v>
      </c>
      <c r="Y602" s="42" t="str">
        <f>IFERROR(VLOOKUP($J602,'Project Reference'!$B$2:$L$41,11)," ")</f>
        <v xml:space="preserve"> </v>
      </c>
      <c r="Z602" s="42" t="str">
        <f>IFERROR(VLOOKUP($J602,'Project Reference'!$B$2:$M$41,12)," ")</f>
        <v xml:space="preserve"> </v>
      </c>
      <c r="AA602" s="42" t="str">
        <f>IFERROR(VLOOKUP($J602,'Project Reference'!$B$2:$N$41,13)," ")</f>
        <v xml:space="preserve"> </v>
      </c>
    </row>
    <row r="603" spans="1:27" x14ac:dyDescent="0.45">
      <c r="A603" s="43"/>
      <c r="B603" s="205"/>
      <c r="C603"/>
      <c r="D603" s="72"/>
      <c r="E603" s="72"/>
      <c r="F603" s="72"/>
      <c r="G603" s="72"/>
      <c r="H603" s="17"/>
      <c r="I603" s="41" t="str" cm="1">
        <f t="array" ref="I603">IFERROR(_xlfn.IFS(H603="Hard (Cash)","N/A",H603="Soft (In-Kind)", "Enter Source"),"Select Type")</f>
        <v>Select Type</v>
      </c>
      <c r="J603" s="124"/>
      <c r="K603" s="41" t="str">
        <f>IFERROR(VLOOKUP($J603,'Project Reference'!$S$2:$T$41,2),"Enter Project Number")</f>
        <v>Enter Project Number</v>
      </c>
      <c r="L603" s="41"/>
      <c r="M603" s="41"/>
      <c r="N603" s="15">
        <f t="shared" si="9"/>
        <v>0</v>
      </c>
      <c r="O603" s="19"/>
      <c r="P603" s="42" t="str">
        <f>IFERROR(VLOOKUP($J603,'Project Reference'!$B$2:$C$41,2)," ")</f>
        <v xml:space="preserve"> </v>
      </c>
      <c r="Q603" s="42" t="str">
        <f>IFERROR(VLOOKUP($J603,'Project Reference'!$B$2:$D$41,3)," ")</f>
        <v xml:space="preserve"> </v>
      </c>
      <c r="R603" s="42" t="str">
        <f>IFERROR(VLOOKUP($J603,'Project Reference'!$B$2:$E$41,4)," ")</f>
        <v xml:space="preserve"> </v>
      </c>
      <c r="S603" s="42" t="str">
        <f>IFERROR(VLOOKUP($J603,'Project Reference'!$B$2:$F$41,5,FALSE)," ")</f>
        <v xml:space="preserve"> </v>
      </c>
      <c r="T603" s="42" t="str">
        <f>IFERROR(VLOOKUP($J603,'Project Reference'!$B$2:$G$41,6,FALSE)," ")</f>
        <v xml:space="preserve"> </v>
      </c>
      <c r="U603" s="42" t="str">
        <f>IFERROR(VLOOKUP($J603,'Project Reference'!$B$2:$H$41,7,FALSE)," ")</f>
        <v xml:space="preserve"> </v>
      </c>
      <c r="V603" s="42" t="str">
        <f>IFERROR(VLOOKUP($J603,'Project Reference'!$B$2:$I$41,8,FALSE)," ")</f>
        <v xml:space="preserve"> </v>
      </c>
      <c r="W603" s="42" t="str">
        <f>IFERROR(VLOOKUP($J603,'Project Reference'!$B$2:$J$41,9,FALSE)," ")</f>
        <v xml:space="preserve"> </v>
      </c>
      <c r="X603" s="42" t="str">
        <f>IFERROR(VLOOKUP($J603,'Project Reference'!$B$2:$K$41,10)," ")</f>
        <v xml:space="preserve"> </v>
      </c>
      <c r="Y603" s="42" t="str">
        <f>IFERROR(VLOOKUP($J603,'Project Reference'!$B$2:$L$41,11)," ")</f>
        <v xml:space="preserve"> </v>
      </c>
      <c r="Z603" s="42" t="str">
        <f>IFERROR(VLOOKUP($J603,'Project Reference'!$B$2:$M$41,12)," ")</f>
        <v xml:space="preserve"> </v>
      </c>
      <c r="AA603" s="42" t="str">
        <f>IFERROR(VLOOKUP($J603,'Project Reference'!$B$2:$N$41,13)," ")</f>
        <v xml:space="preserve"> </v>
      </c>
    </row>
    <row r="604" spans="1:27" x14ac:dyDescent="0.45">
      <c r="A604" s="43"/>
      <c r="B604" s="205"/>
      <c r="C604"/>
      <c r="D604" s="72"/>
      <c r="E604" s="72"/>
      <c r="F604" s="72"/>
      <c r="G604" s="72"/>
      <c r="H604" s="17"/>
      <c r="I604" s="41" t="str" cm="1">
        <f t="array" ref="I604">IFERROR(_xlfn.IFS(H604="Hard (Cash)","N/A",H604="Soft (In-Kind)", "Enter Source"),"Select Type")</f>
        <v>Select Type</v>
      </c>
      <c r="J604" s="124"/>
      <c r="K604" s="41" t="str">
        <f>IFERROR(VLOOKUP($J604,'Project Reference'!$S$2:$T$41,2),"Enter Project Number")</f>
        <v>Enter Project Number</v>
      </c>
      <c r="L604" s="41"/>
      <c r="M604" s="41"/>
      <c r="N604" s="15">
        <f t="shared" si="9"/>
        <v>0</v>
      </c>
      <c r="O604" s="19"/>
      <c r="P604" s="42" t="str">
        <f>IFERROR(VLOOKUP($J604,'Project Reference'!$B$2:$C$41,2)," ")</f>
        <v xml:space="preserve"> </v>
      </c>
      <c r="Q604" s="42" t="str">
        <f>IFERROR(VLOOKUP($J604,'Project Reference'!$B$2:$D$41,3)," ")</f>
        <v xml:space="preserve"> </v>
      </c>
      <c r="R604" s="42" t="str">
        <f>IFERROR(VLOOKUP($J604,'Project Reference'!$B$2:$E$41,4)," ")</f>
        <v xml:space="preserve"> </v>
      </c>
      <c r="S604" s="42" t="str">
        <f>IFERROR(VLOOKUP($J604,'Project Reference'!$B$2:$F$41,5,FALSE)," ")</f>
        <v xml:space="preserve"> </v>
      </c>
      <c r="T604" s="42" t="str">
        <f>IFERROR(VLOOKUP($J604,'Project Reference'!$B$2:$G$41,6,FALSE)," ")</f>
        <v xml:space="preserve"> </v>
      </c>
      <c r="U604" s="42" t="str">
        <f>IFERROR(VLOOKUP($J604,'Project Reference'!$B$2:$H$41,7,FALSE)," ")</f>
        <v xml:space="preserve"> </v>
      </c>
      <c r="V604" s="42" t="str">
        <f>IFERROR(VLOOKUP($J604,'Project Reference'!$B$2:$I$41,8,FALSE)," ")</f>
        <v xml:space="preserve"> </v>
      </c>
      <c r="W604" s="42" t="str">
        <f>IFERROR(VLOOKUP($J604,'Project Reference'!$B$2:$J$41,9,FALSE)," ")</f>
        <v xml:space="preserve"> </v>
      </c>
      <c r="X604" s="42" t="str">
        <f>IFERROR(VLOOKUP($J604,'Project Reference'!$B$2:$K$41,10)," ")</f>
        <v xml:space="preserve"> </v>
      </c>
      <c r="Y604" s="42" t="str">
        <f>IFERROR(VLOOKUP($J604,'Project Reference'!$B$2:$L$41,11)," ")</f>
        <v xml:space="preserve"> </v>
      </c>
      <c r="Z604" s="42" t="str">
        <f>IFERROR(VLOOKUP($J604,'Project Reference'!$B$2:$M$41,12)," ")</f>
        <v xml:space="preserve"> </v>
      </c>
      <c r="AA604" s="42" t="str">
        <f>IFERROR(VLOOKUP($J604,'Project Reference'!$B$2:$N$41,13)," ")</f>
        <v xml:space="preserve"> </v>
      </c>
    </row>
    <row r="605" spans="1:27" x14ac:dyDescent="0.45">
      <c r="A605" s="43"/>
      <c r="B605" s="205"/>
      <c r="C605"/>
      <c r="D605" s="72"/>
      <c r="E605" s="72"/>
      <c r="F605" s="72"/>
      <c r="G605" s="72"/>
      <c r="H605" s="17"/>
      <c r="I605" s="41" t="str" cm="1">
        <f t="array" ref="I605">IFERROR(_xlfn.IFS(H605="Hard (Cash)","N/A",H605="Soft (In-Kind)", "Enter Source"),"Select Type")</f>
        <v>Select Type</v>
      </c>
      <c r="J605" s="124"/>
      <c r="K605" s="41" t="str">
        <f>IFERROR(VLOOKUP($J605,'Project Reference'!$S$2:$T$41,2),"Enter Project Number")</f>
        <v>Enter Project Number</v>
      </c>
      <c r="L605" s="41"/>
      <c r="M605" s="41"/>
      <c r="N605" s="15">
        <f t="shared" si="9"/>
        <v>0</v>
      </c>
      <c r="O605" s="19"/>
      <c r="P605" s="42" t="str">
        <f>IFERROR(VLOOKUP($J605,'Project Reference'!$B$2:$C$41,2)," ")</f>
        <v xml:space="preserve"> </v>
      </c>
      <c r="Q605" s="42" t="str">
        <f>IFERROR(VLOOKUP($J605,'Project Reference'!$B$2:$D$41,3)," ")</f>
        <v xml:space="preserve"> </v>
      </c>
      <c r="R605" s="42" t="str">
        <f>IFERROR(VLOOKUP($J605,'Project Reference'!$B$2:$E$41,4)," ")</f>
        <v xml:space="preserve"> </v>
      </c>
      <c r="S605" s="42" t="str">
        <f>IFERROR(VLOOKUP($J605,'Project Reference'!$B$2:$F$41,5,FALSE)," ")</f>
        <v xml:space="preserve"> </v>
      </c>
      <c r="T605" s="42" t="str">
        <f>IFERROR(VLOOKUP($J605,'Project Reference'!$B$2:$G$41,6,FALSE)," ")</f>
        <v xml:space="preserve"> </v>
      </c>
      <c r="U605" s="42" t="str">
        <f>IFERROR(VLOOKUP($J605,'Project Reference'!$B$2:$H$41,7,FALSE)," ")</f>
        <v xml:space="preserve"> </v>
      </c>
      <c r="V605" s="42" t="str">
        <f>IFERROR(VLOOKUP($J605,'Project Reference'!$B$2:$I$41,8,FALSE)," ")</f>
        <v xml:space="preserve"> </v>
      </c>
      <c r="W605" s="42" t="str">
        <f>IFERROR(VLOOKUP($J605,'Project Reference'!$B$2:$J$41,9,FALSE)," ")</f>
        <v xml:space="preserve"> </v>
      </c>
      <c r="X605" s="42" t="str">
        <f>IFERROR(VLOOKUP($J605,'Project Reference'!$B$2:$K$41,10)," ")</f>
        <v xml:space="preserve"> </v>
      </c>
      <c r="Y605" s="42" t="str">
        <f>IFERROR(VLOOKUP($J605,'Project Reference'!$B$2:$L$41,11)," ")</f>
        <v xml:space="preserve"> </v>
      </c>
      <c r="Z605" s="42" t="str">
        <f>IFERROR(VLOOKUP($J605,'Project Reference'!$B$2:$M$41,12)," ")</f>
        <v xml:space="preserve"> </v>
      </c>
      <c r="AA605" s="42" t="str">
        <f>IFERROR(VLOOKUP($J605,'Project Reference'!$B$2:$N$41,13)," ")</f>
        <v xml:space="preserve"> </v>
      </c>
    </row>
    <row r="606" spans="1:27" x14ac:dyDescent="0.45">
      <c r="A606" s="43"/>
      <c r="B606" s="205"/>
      <c r="C606"/>
      <c r="D606" s="72"/>
      <c r="E606" s="72"/>
      <c r="F606" s="72"/>
      <c r="G606" s="72"/>
      <c r="H606" s="17"/>
      <c r="I606" s="41" t="str" cm="1">
        <f t="array" ref="I606">IFERROR(_xlfn.IFS(H606="Hard (Cash)","N/A",H606="Soft (In-Kind)", "Enter Source"),"Select Type")</f>
        <v>Select Type</v>
      </c>
      <c r="J606" s="124"/>
      <c r="K606" s="41" t="str">
        <f>IFERROR(VLOOKUP($J606,'Project Reference'!$S$2:$T$41,2),"Enter Project Number")</f>
        <v>Enter Project Number</v>
      </c>
      <c r="L606" s="41"/>
      <c r="M606" s="41"/>
      <c r="N606" s="15">
        <f t="shared" si="9"/>
        <v>0</v>
      </c>
      <c r="O606" s="19"/>
      <c r="P606" s="42" t="str">
        <f>IFERROR(VLOOKUP($J606,'Project Reference'!$B$2:$C$41,2)," ")</f>
        <v xml:space="preserve"> </v>
      </c>
      <c r="Q606" s="42" t="str">
        <f>IFERROR(VLOOKUP($J606,'Project Reference'!$B$2:$D$41,3)," ")</f>
        <v xml:space="preserve"> </v>
      </c>
      <c r="R606" s="42" t="str">
        <f>IFERROR(VLOOKUP($J606,'Project Reference'!$B$2:$E$41,4)," ")</f>
        <v xml:space="preserve"> </v>
      </c>
      <c r="S606" s="42" t="str">
        <f>IFERROR(VLOOKUP($J606,'Project Reference'!$B$2:$F$41,5,FALSE)," ")</f>
        <v xml:space="preserve"> </v>
      </c>
      <c r="T606" s="42" t="str">
        <f>IFERROR(VLOOKUP($J606,'Project Reference'!$B$2:$G$41,6,FALSE)," ")</f>
        <v xml:space="preserve"> </v>
      </c>
      <c r="U606" s="42" t="str">
        <f>IFERROR(VLOOKUP($J606,'Project Reference'!$B$2:$H$41,7,FALSE)," ")</f>
        <v xml:space="preserve"> </v>
      </c>
      <c r="V606" s="42" t="str">
        <f>IFERROR(VLOOKUP($J606,'Project Reference'!$B$2:$I$41,8,FALSE)," ")</f>
        <v xml:space="preserve"> </v>
      </c>
      <c r="W606" s="42" t="str">
        <f>IFERROR(VLOOKUP($J606,'Project Reference'!$B$2:$J$41,9,FALSE)," ")</f>
        <v xml:space="preserve"> </v>
      </c>
      <c r="X606" s="42" t="str">
        <f>IFERROR(VLOOKUP($J606,'Project Reference'!$B$2:$K$41,10)," ")</f>
        <v xml:space="preserve"> </v>
      </c>
      <c r="Y606" s="42" t="str">
        <f>IFERROR(VLOOKUP($J606,'Project Reference'!$B$2:$L$41,11)," ")</f>
        <v xml:space="preserve"> </v>
      </c>
      <c r="Z606" s="42" t="str">
        <f>IFERROR(VLOOKUP($J606,'Project Reference'!$B$2:$M$41,12)," ")</f>
        <v xml:space="preserve"> </v>
      </c>
      <c r="AA606" s="42" t="str">
        <f>IFERROR(VLOOKUP($J606,'Project Reference'!$B$2:$N$41,13)," ")</f>
        <v xml:space="preserve"> </v>
      </c>
    </row>
    <row r="607" spans="1:27" x14ac:dyDescent="0.45">
      <c r="A607" s="43"/>
      <c r="B607" s="205"/>
      <c r="C607"/>
      <c r="D607" s="72"/>
      <c r="E607" s="72"/>
      <c r="F607" s="72"/>
      <c r="G607" s="72"/>
      <c r="H607" s="17"/>
      <c r="I607" s="41" t="str" cm="1">
        <f t="array" ref="I607">IFERROR(_xlfn.IFS(H607="Hard (Cash)","N/A",H607="Soft (In-Kind)", "Enter Source"),"Select Type")</f>
        <v>Select Type</v>
      </c>
      <c r="J607" s="124"/>
      <c r="K607" s="41" t="str">
        <f>IFERROR(VLOOKUP($J607,'Project Reference'!$S$2:$T$41,2),"Enter Project Number")</f>
        <v>Enter Project Number</v>
      </c>
      <c r="L607" s="41"/>
      <c r="M607" s="41"/>
      <c r="N607" s="15">
        <f t="shared" si="9"/>
        <v>0</v>
      </c>
      <c r="O607" s="19"/>
      <c r="P607" s="42" t="str">
        <f>IFERROR(VLOOKUP($J607,'Project Reference'!$B$2:$C$41,2)," ")</f>
        <v xml:space="preserve"> </v>
      </c>
      <c r="Q607" s="42" t="str">
        <f>IFERROR(VLOOKUP($J607,'Project Reference'!$B$2:$D$41,3)," ")</f>
        <v xml:space="preserve"> </v>
      </c>
      <c r="R607" s="42" t="str">
        <f>IFERROR(VLOOKUP($J607,'Project Reference'!$B$2:$E$41,4)," ")</f>
        <v xml:space="preserve"> </v>
      </c>
      <c r="S607" s="42" t="str">
        <f>IFERROR(VLOOKUP($J607,'Project Reference'!$B$2:$F$41,5,FALSE)," ")</f>
        <v xml:space="preserve"> </v>
      </c>
      <c r="T607" s="42" t="str">
        <f>IFERROR(VLOOKUP($J607,'Project Reference'!$B$2:$G$41,6,FALSE)," ")</f>
        <v xml:space="preserve"> </v>
      </c>
      <c r="U607" s="42" t="str">
        <f>IFERROR(VLOOKUP($J607,'Project Reference'!$B$2:$H$41,7,FALSE)," ")</f>
        <v xml:space="preserve"> </v>
      </c>
      <c r="V607" s="42" t="str">
        <f>IFERROR(VLOOKUP($J607,'Project Reference'!$B$2:$I$41,8,FALSE)," ")</f>
        <v xml:space="preserve"> </v>
      </c>
      <c r="W607" s="42" t="str">
        <f>IFERROR(VLOOKUP($J607,'Project Reference'!$B$2:$J$41,9,FALSE)," ")</f>
        <v xml:space="preserve"> </v>
      </c>
      <c r="X607" s="42" t="str">
        <f>IFERROR(VLOOKUP($J607,'Project Reference'!$B$2:$K$41,10)," ")</f>
        <v xml:space="preserve"> </v>
      </c>
      <c r="Y607" s="42" t="str">
        <f>IFERROR(VLOOKUP($J607,'Project Reference'!$B$2:$L$41,11)," ")</f>
        <v xml:space="preserve"> </v>
      </c>
      <c r="Z607" s="42" t="str">
        <f>IFERROR(VLOOKUP($J607,'Project Reference'!$B$2:$M$41,12)," ")</f>
        <v xml:space="preserve"> </v>
      </c>
      <c r="AA607" s="42" t="str">
        <f>IFERROR(VLOOKUP($J607,'Project Reference'!$B$2:$N$41,13)," ")</f>
        <v xml:space="preserve"> </v>
      </c>
    </row>
    <row r="608" spans="1:27" x14ac:dyDescent="0.45">
      <c r="A608" s="43"/>
      <c r="B608" s="205"/>
      <c r="C608"/>
      <c r="D608" s="72"/>
      <c r="E608" s="72"/>
      <c r="F608" s="72"/>
      <c r="G608" s="72"/>
      <c r="H608" s="17"/>
      <c r="I608" s="41" t="str" cm="1">
        <f t="array" ref="I608">IFERROR(_xlfn.IFS(H608="Hard (Cash)","N/A",H608="Soft (In-Kind)", "Enter Source"),"Select Type")</f>
        <v>Select Type</v>
      </c>
      <c r="J608" s="124"/>
      <c r="K608" s="41" t="str">
        <f>IFERROR(VLOOKUP($J608,'Project Reference'!$S$2:$T$41,2),"Enter Project Number")</f>
        <v>Enter Project Number</v>
      </c>
      <c r="L608" s="41"/>
      <c r="M608" s="41"/>
      <c r="N608" s="15">
        <f t="shared" si="9"/>
        <v>0</v>
      </c>
      <c r="O608" s="19"/>
      <c r="P608" s="42" t="str">
        <f>IFERROR(VLOOKUP($J608,'Project Reference'!$B$2:$C$41,2)," ")</f>
        <v xml:space="preserve"> </v>
      </c>
      <c r="Q608" s="42" t="str">
        <f>IFERROR(VLOOKUP($J608,'Project Reference'!$B$2:$D$41,3)," ")</f>
        <v xml:space="preserve"> </v>
      </c>
      <c r="R608" s="42" t="str">
        <f>IFERROR(VLOOKUP($J608,'Project Reference'!$B$2:$E$41,4)," ")</f>
        <v xml:space="preserve"> </v>
      </c>
      <c r="S608" s="42" t="str">
        <f>IFERROR(VLOOKUP($J608,'Project Reference'!$B$2:$F$41,5,FALSE)," ")</f>
        <v xml:space="preserve"> </v>
      </c>
      <c r="T608" s="42" t="str">
        <f>IFERROR(VLOOKUP($J608,'Project Reference'!$B$2:$G$41,6,FALSE)," ")</f>
        <v xml:space="preserve"> </v>
      </c>
      <c r="U608" s="42" t="str">
        <f>IFERROR(VLOOKUP($J608,'Project Reference'!$B$2:$H$41,7,FALSE)," ")</f>
        <v xml:space="preserve"> </v>
      </c>
      <c r="V608" s="42" t="str">
        <f>IFERROR(VLOOKUP($J608,'Project Reference'!$B$2:$I$41,8,FALSE)," ")</f>
        <v xml:space="preserve"> </v>
      </c>
      <c r="W608" s="42" t="str">
        <f>IFERROR(VLOOKUP($J608,'Project Reference'!$B$2:$J$41,9,FALSE)," ")</f>
        <v xml:space="preserve"> </v>
      </c>
      <c r="X608" s="42" t="str">
        <f>IFERROR(VLOOKUP($J608,'Project Reference'!$B$2:$K$41,10)," ")</f>
        <v xml:space="preserve"> </v>
      </c>
      <c r="Y608" s="42" t="str">
        <f>IFERROR(VLOOKUP($J608,'Project Reference'!$B$2:$L$41,11)," ")</f>
        <v xml:space="preserve"> </v>
      </c>
      <c r="Z608" s="42" t="str">
        <f>IFERROR(VLOOKUP($J608,'Project Reference'!$B$2:$M$41,12)," ")</f>
        <v xml:space="preserve"> </v>
      </c>
      <c r="AA608" s="42" t="str">
        <f>IFERROR(VLOOKUP($J608,'Project Reference'!$B$2:$N$41,13)," ")</f>
        <v xml:space="preserve"> </v>
      </c>
    </row>
    <row r="609" spans="1:27" x14ac:dyDescent="0.45">
      <c r="A609" s="43"/>
      <c r="B609" s="205"/>
      <c r="C609"/>
      <c r="D609" s="72"/>
      <c r="E609" s="72"/>
      <c r="F609" s="72"/>
      <c r="G609" s="72"/>
      <c r="H609" s="17"/>
      <c r="I609" s="41" t="str" cm="1">
        <f t="array" ref="I609">IFERROR(_xlfn.IFS(H609="Hard (Cash)","N/A",H609="Soft (In-Kind)", "Enter Source"),"Select Type")</f>
        <v>Select Type</v>
      </c>
      <c r="J609" s="124"/>
      <c r="K609" s="41" t="str">
        <f>IFERROR(VLOOKUP($J609,'Project Reference'!$S$2:$T$41,2),"Enter Project Number")</f>
        <v>Enter Project Number</v>
      </c>
      <c r="L609" s="41"/>
      <c r="M609" s="41"/>
      <c r="N609" s="15">
        <f t="shared" si="9"/>
        <v>0</v>
      </c>
      <c r="O609" s="19"/>
      <c r="P609" s="42" t="str">
        <f>IFERROR(VLOOKUP($J609,'Project Reference'!$B$2:$C$41,2)," ")</f>
        <v xml:space="preserve"> </v>
      </c>
      <c r="Q609" s="42" t="str">
        <f>IFERROR(VLOOKUP($J609,'Project Reference'!$B$2:$D$41,3)," ")</f>
        <v xml:space="preserve"> </v>
      </c>
      <c r="R609" s="42" t="str">
        <f>IFERROR(VLOOKUP($J609,'Project Reference'!$B$2:$E$41,4)," ")</f>
        <v xml:space="preserve"> </v>
      </c>
      <c r="S609" s="42" t="str">
        <f>IFERROR(VLOOKUP($J609,'Project Reference'!$B$2:$F$41,5,FALSE)," ")</f>
        <v xml:space="preserve"> </v>
      </c>
      <c r="T609" s="42" t="str">
        <f>IFERROR(VLOOKUP($J609,'Project Reference'!$B$2:$G$41,6,FALSE)," ")</f>
        <v xml:space="preserve"> </v>
      </c>
      <c r="U609" s="42" t="str">
        <f>IFERROR(VLOOKUP($J609,'Project Reference'!$B$2:$H$41,7,FALSE)," ")</f>
        <v xml:space="preserve"> </v>
      </c>
      <c r="V609" s="42" t="str">
        <f>IFERROR(VLOOKUP($J609,'Project Reference'!$B$2:$I$41,8,FALSE)," ")</f>
        <v xml:space="preserve"> </v>
      </c>
      <c r="W609" s="42" t="str">
        <f>IFERROR(VLOOKUP($J609,'Project Reference'!$B$2:$J$41,9,FALSE)," ")</f>
        <v xml:space="preserve"> </v>
      </c>
      <c r="X609" s="42" t="str">
        <f>IFERROR(VLOOKUP($J609,'Project Reference'!$B$2:$K$41,10)," ")</f>
        <v xml:space="preserve"> </v>
      </c>
      <c r="Y609" s="42" t="str">
        <f>IFERROR(VLOOKUP($J609,'Project Reference'!$B$2:$L$41,11)," ")</f>
        <v xml:space="preserve"> </v>
      </c>
      <c r="Z609" s="42" t="str">
        <f>IFERROR(VLOOKUP($J609,'Project Reference'!$B$2:$M$41,12)," ")</f>
        <v xml:space="preserve"> </v>
      </c>
      <c r="AA609" s="42" t="str">
        <f>IFERROR(VLOOKUP($J609,'Project Reference'!$B$2:$N$41,13)," ")</f>
        <v xml:space="preserve"> </v>
      </c>
    </row>
    <row r="610" spans="1:27" x14ac:dyDescent="0.45">
      <c r="A610" s="43"/>
      <c r="B610" s="205"/>
      <c r="C610"/>
      <c r="D610" s="72"/>
      <c r="E610" s="72"/>
      <c r="F610" s="72"/>
      <c r="G610" s="72"/>
      <c r="H610" s="17"/>
      <c r="I610" s="41" t="str" cm="1">
        <f t="array" ref="I610">IFERROR(_xlfn.IFS(H610="Hard (Cash)","N/A",H610="Soft (In-Kind)", "Enter Source"),"Select Type")</f>
        <v>Select Type</v>
      </c>
      <c r="J610" s="124"/>
      <c r="K610" s="41" t="str">
        <f>IFERROR(VLOOKUP($J610,'Project Reference'!$S$2:$T$41,2),"Enter Project Number")</f>
        <v>Enter Project Number</v>
      </c>
      <c r="L610" s="41"/>
      <c r="M610" s="41"/>
      <c r="N610" s="15">
        <f t="shared" si="9"/>
        <v>0</v>
      </c>
      <c r="O610" s="19"/>
      <c r="P610" s="42" t="str">
        <f>IFERROR(VLOOKUP($J610,'Project Reference'!$B$2:$C$41,2)," ")</f>
        <v xml:space="preserve"> </v>
      </c>
      <c r="Q610" s="42" t="str">
        <f>IFERROR(VLOOKUP($J610,'Project Reference'!$B$2:$D$41,3)," ")</f>
        <v xml:space="preserve"> </v>
      </c>
      <c r="R610" s="42" t="str">
        <f>IFERROR(VLOOKUP($J610,'Project Reference'!$B$2:$E$41,4)," ")</f>
        <v xml:space="preserve"> </v>
      </c>
      <c r="S610" s="42" t="str">
        <f>IFERROR(VLOOKUP($J610,'Project Reference'!$B$2:$F$41,5,FALSE)," ")</f>
        <v xml:space="preserve"> </v>
      </c>
      <c r="T610" s="42" t="str">
        <f>IFERROR(VLOOKUP($J610,'Project Reference'!$B$2:$G$41,6,FALSE)," ")</f>
        <v xml:space="preserve"> </v>
      </c>
      <c r="U610" s="42" t="str">
        <f>IFERROR(VLOOKUP($J610,'Project Reference'!$B$2:$H$41,7,FALSE)," ")</f>
        <v xml:space="preserve"> </v>
      </c>
      <c r="V610" s="42" t="str">
        <f>IFERROR(VLOOKUP($J610,'Project Reference'!$B$2:$I$41,8,FALSE)," ")</f>
        <v xml:space="preserve"> </v>
      </c>
      <c r="W610" s="42" t="str">
        <f>IFERROR(VLOOKUP($J610,'Project Reference'!$B$2:$J$41,9,FALSE)," ")</f>
        <v xml:space="preserve"> </v>
      </c>
      <c r="X610" s="42" t="str">
        <f>IFERROR(VLOOKUP($J610,'Project Reference'!$B$2:$K$41,10)," ")</f>
        <v xml:space="preserve"> </v>
      </c>
      <c r="Y610" s="42" t="str">
        <f>IFERROR(VLOOKUP($J610,'Project Reference'!$B$2:$L$41,11)," ")</f>
        <v xml:space="preserve"> </v>
      </c>
      <c r="Z610" s="42" t="str">
        <f>IFERROR(VLOOKUP($J610,'Project Reference'!$B$2:$M$41,12)," ")</f>
        <v xml:space="preserve"> </v>
      </c>
      <c r="AA610" s="42" t="str">
        <f>IFERROR(VLOOKUP($J610,'Project Reference'!$B$2:$N$41,13)," ")</f>
        <v xml:space="preserve"> </v>
      </c>
    </row>
    <row r="611" spans="1:27" x14ac:dyDescent="0.45">
      <c r="A611" s="43"/>
      <c r="B611" s="205"/>
      <c r="C611"/>
      <c r="D611" s="72"/>
      <c r="E611" s="72"/>
      <c r="F611" s="72"/>
      <c r="G611" s="72"/>
      <c r="H611" s="17"/>
      <c r="I611" s="41" t="str" cm="1">
        <f t="array" ref="I611">IFERROR(_xlfn.IFS(H611="Hard (Cash)","N/A",H611="Soft (In-Kind)", "Enter Source"),"Select Type")</f>
        <v>Select Type</v>
      </c>
      <c r="J611" s="124"/>
      <c r="K611" s="41" t="str">
        <f>IFERROR(VLOOKUP($J611,'Project Reference'!$S$2:$T$41,2),"Enter Project Number")</f>
        <v>Enter Project Number</v>
      </c>
      <c r="L611" s="41"/>
      <c r="M611" s="41"/>
      <c r="N611" s="15">
        <f t="shared" si="9"/>
        <v>0</v>
      </c>
      <c r="O611" s="19"/>
      <c r="P611" s="42" t="str">
        <f>IFERROR(VLOOKUP($J611,'Project Reference'!$B$2:$C$41,2)," ")</f>
        <v xml:space="preserve"> </v>
      </c>
      <c r="Q611" s="42" t="str">
        <f>IFERROR(VLOOKUP($J611,'Project Reference'!$B$2:$D$41,3)," ")</f>
        <v xml:space="preserve"> </v>
      </c>
      <c r="R611" s="42" t="str">
        <f>IFERROR(VLOOKUP($J611,'Project Reference'!$B$2:$E$41,4)," ")</f>
        <v xml:space="preserve"> </v>
      </c>
      <c r="S611" s="42" t="str">
        <f>IFERROR(VLOOKUP($J611,'Project Reference'!$B$2:$F$41,5,FALSE)," ")</f>
        <v xml:space="preserve"> </v>
      </c>
      <c r="T611" s="42" t="str">
        <f>IFERROR(VLOOKUP($J611,'Project Reference'!$B$2:$G$41,6,FALSE)," ")</f>
        <v xml:space="preserve"> </v>
      </c>
      <c r="U611" s="42" t="str">
        <f>IFERROR(VLOOKUP($J611,'Project Reference'!$B$2:$H$41,7,FALSE)," ")</f>
        <v xml:space="preserve"> </v>
      </c>
      <c r="V611" s="42" t="str">
        <f>IFERROR(VLOOKUP($J611,'Project Reference'!$B$2:$I$41,8,FALSE)," ")</f>
        <v xml:space="preserve"> </v>
      </c>
      <c r="W611" s="42" t="str">
        <f>IFERROR(VLOOKUP($J611,'Project Reference'!$B$2:$J$41,9,FALSE)," ")</f>
        <v xml:space="preserve"> </v>
      </c>
      <c r="X611" s="42" t="str">
        <f>IFERROR(VLOOKUP($J611,'Project Reference'!$B$2:$K$41,10)," ")</f>
        <v xml:space="preserve"> </v>
      </c>
      <c r="Y611" s="42" t="str">
        <f>IFERROR(VLOOKUP($J611,'Project Reference'!$B$2:$L$41,11)," ")</f>
        <v xml:space="preserve"> </v>
      </c>
      <c r="Z611" s="42" t="str">
        <f>IFERROR(VLOOKUP($J611,'Project Reference'!$B$2:$M$41,12)," ")</f>
        <v xml:space="preserve"> </v>
      </c>
      <c r="AA611" s="42" t="str">
        <f>IFERROR(VLOOKUP($J611,'Project Reference'!$B$2:$N$41,13)," ")</f>
        <v xml:space="preserve"> </v>
      </c>
    </row>
    <row r="612" spans="1:27" x14ac:dyDescent="0.45">
      <c r="A612" s="43"/>
      <c r="B612" s="205"/>
      <c r="C612"/>
      <c r="D612" s="72"/>
      <c r="E612" s="72"/>
      <c r="F612" s="72"/>
      <c r="G612" s="72"/>
      <c r="H612" s="17"/>
      <c r="I612" s="41" t="str" cm="1">
        <f t="array" ref="I612">IFERROR(_xlfn.IFS(H612="Hard (Cash)","N/A",H612="Soft (In-Kind)", "Enter Source"),"Select Type")</f>
        <v>Select Type</v>
      </c>
      <c r="J612" s="124"/>
      <c r="K612" s="41" t="str">
        <f>IFERROR(VLOOKUP($J612,'Project Reference'!$S$2:$T$41,2),"Enter Project Number")</f>
        <v>Enter Project Number</v>
      </c>
      <c r="L612" s="41"/>
      <c r="M612" s="41"/>
      <c r="N612" s="15">
        <f t="shared" si="9"/>
        <v>0</v>
      </c>
      <c r="O612" s="19"/>
      <c r="P612" s="42" t="str">
        <f>IFERROR(VLOOKUP($J612,'Project Reference'!$B$2:$C$41,2)," ")</f>
        <v xml:space="preserve"> </v>
      </c>
      <c r="Q612" s="42" t="str">
        <f>IFERROR(VLOOKUP($J612,'Project Reference'!$B$2:$D$41,3)," ")</f>
        <v xml:space="preserve"> </v>
      </c>
      <c r="R612" s="42" t="str">
        <f>IFERROR(VLOOKUP($J612,'Project Reference'!$B$2:$E$41,4)," ")</f>
        <v xml:space="preserve"> </v>
      </c>
      <c r="S612" s="42" t="str">
        <f>IFERROR(VLOOKUP($J612,'Project Reference'!$B$2:$F$41,5,FALSE)," ")</f>
        <v xml:space="preserve"> </v>
      </c>
      <c r="T612" s="42" t="str">
        <f>IFERROR(VLOOKUP($J612,'Project Reference'!$B$2:$G$41,6,FALSE)," ")</f>
        <v xml:space="preserve"> </v>
      </c>
      <c r="U612" s="42" t="str">
        <f>IFERROR(VLOOKUP($J612,'Project Reference'!$B$2:$H$41,7,FALSE)," ")</f>
        <v xml:space="preserve"> </v>
      </c>
      <c r="V612" s="42" t="str">
        <f>IFERROR(VLOOKUP($J612,'Project Reference'!$B$2:$I$41,8,FALSE)," ")</f>
        <v xml:space="preserve"> </v>
      </c>
      <c r="W612" s="42" t="str">
        <f>IFERROR(VLOOKUP($J612,'Project Reference'!$B$2:$J$41,9,FALSE)," ")</f>
        <v xml:space="preserve"> </v>
      </c>
      <c r="X612" s="42" t="str">
        <f>IFERROR(VLOOKUP($J612,'Project Reference'!$B$2:$K$41,10)," ")</f>
        <v xml:space="preserve"> </v>
      </c>
      <c r="Y612" s="42" t="str">
        <f>IFERROR(VLOOKUP($J612,'Project Reference'!$B$2:$L$41,11)," ")</f>
        <v xml:space="preserve"> </v>
      </c>
      <c r="Z612" s="42" t="str">
        <f>IFERROR(VLOOKUP($J612,'Project Reference'!$B$2:$M$41,12)," ")</f>
        <v xml:space="preserve"> </v>
      </c>
      <c r="AA612" s="42" t="str">
        <f>IFERROR(VLOOKUP($J612,'Project Reference'!$B$2:$N$41,13)," ")</f>
        <v xml:space="preserve"> </v>
      </c>
    </row>
    <row r="613" spans="1:27" x14ac:dyDescent="0.45">
      <c r="A613" s="43"/>
      <c r="B613" s="205"/>
      <c r="C613"/>
      <c r="D613" s="72"/>
      <c r="E613" s="72"/>
      <c r="F613" s="72"/>
      <c r="G613" s="72"/>
      <c r="H613" s="17"/>
      <c r="I613" s="41" t="str" cm="1">
        <f t="array" ref="I613">IFERROR(_xlfn.IFS(H613="Hard (Cash)","N/A",H613="Soft (In-Kind)", "Enter Source"),"Select Type")</f>
        <v>Select Type</v>
      </c>
      <c r="J613" s="124"/>
      <c r="K613" s="41" t="str">
        <f>IFERROR(VLOOKUP($J613,'Project Reference'!$S$2:$T$41,2),"Enter Project Number")</f>
        <v>Enter Project Number</v>
      </c>
      <c r="L613" s="41"/>
      <c r="M613" s="41"/>
      <c r="N613" s="15">
        <f t="shared" si="9"/>
        <v>0</v>
      </c>
      <c r="O613" s="19"/>
      <c r="P613" s="42" t="str">
        <f>IFERROR(VLOOKUP($J613,'Project Reference'!$B$2:$C$41,2)," ")</f>
        <v xml:space="preserve"> </v>
      </c>
      <c r="Q613" s="42" t="str">
        <f>IFERROR(VLOOKUP($J613,'Project Reference'!$B$2:$D$41,3)," ")</f>
        <v xml:space="preserve"> </v>
      </c>
      <c r="R613" s="42" t="str">
        <f>IFERROR(VLOOKUP($J613,'Project Reference'!$B$2:$E$41,4)," ")</f>
        <v xml:space="preserve"> </v>
      </c>
      <c r="S613" s="42" t="str">
        <f>IFERROR(VLOOKUP($J613,'Project Reference'!$B$2:$F$41,5,FALSE)," ")</f>
        <v xml:space="preserve"> </v>
      </c>
      <c r="T613" s="42" t="str">
        <f>IFERROR(VLOOKUP($J613,'Project Reference'!$B$2:$G$41,6,FALSE)," ")</f>
        <v xml:space="preserve"> </v>
      </c>
      <c r="U613" s="42" t="str">
        <f>IFERROR(VLOOKUP($J613,'Project Reference'!$B$2:$H$41,7,FALSE)," ")</f>
        <v xml:space="preserve"> </v>
      </c>
      <c r="V613" s="42" t="str">
        <f>IFERROR(VLOOKUP($J613,'Project Reference'!$B$2:$I$41,8,FALSE)," ")</f>
        <v xml:space="preserve"> </v>
      </c>
      <c r="W613" s="42" t="str">
        <f>IFERROR(VLOOKUP($J613,'Project Reference'!$B$2:$J$41,9,FALSE)," ")</f>
        <v xml:space="preserve"> </v>
      </c>
      <c r="X613" s="42" t="str">
        <f>IFERROR(VLOOKUP($J613,'Project Reference'!$B$2:$K$41,10)," ")</f>
        <v xml:space="preserve"> </v>
      </c>
      <c r="Y613" s="42" t="str">
        <f>IFERROR(VLOOKUP($J613,'Project Reference'!$B$2:$L$41,11)," ")</f>
        <v xml:space="preserve"> </v>
      </c>
      <c r="Z613" s="42" t="str">
        <f>IFERROR(VLOOKUP($J613,'Project Reference'!$B$2:$M$41,12)," ")</f>
        <v xml:space="preserve"> </v>
      </c>
      <c r="AA613" s="42" t="str">
        <f>IFERROR(VLOOKUP($J613,'Project Reference'!$B$2:$N$41,13)," ")</f>
        <v xml:space="preserve"> </v>
      </c>
    </row>
    <row r="614" spans="1:27" x14ac:dyDescent="0.45">
      <c r="A614" s="43"/>
      <c r="B614" s="205"/>
      <c r="C614"/>
      <c r="D614" s="72"/>
      <c r="E614" s="72"/>
      <c r="F614" s="72"/>
      <c r="G614" s="72"/>
      <c r="H614" s="17"/>
      <c r="I614" s="41" t="str" cm="1">
        <f t="array" ref="I614">IFERROR(_xlfn.IFS(H614="Hard (Cash)","N/A",H614="Soft (In-Kind)", "Enter Source"),"Select Type")</f>
        <v>Select Type</v>
      </c>
      <c r="J614" s="124"/>
      <c r="K614" s="41" t="str">
        <f>IFERROR(VLOOKUP($J614,'Project Reference'!$S$2:$T$41,2),"Enter Project Number")</f>
        <v>Enter Project Number</v>
      </c>
      <c r="L614" s="41"/>
      <c r="M614" s="41"/>
      <c r="N614" s="15">
        <f t="shared" si="9"/>
        <v>0</v>
      </c>
      <c r="O614" s="19"/>
      <c r="P614" s="42" t="str">
        <f>IFERROR(VLOOKUP($J614,'Project Reference'!$B$2:$C$41,2)," ")</f>
        <v xml:space="preserve"> </v>
      </c>
      <c r="Q614" s="42" t="str">
        <f>IFERROR(VLOOKUP($J614,'Project Reference'!$B$2:$D$41,3)," ")</f>
        <v xml:space="preserve"> </v>
      </c>
      <c r="R614" s="42" t="str">
        <f>IFERROR(VLOOKUP($J614,'Project Reference'!$B$2:$E$41,4)," ")</f>
        <v xml:space="preserve"> </v>
      </c>
      <c r="S614" s="42" t="str">
        <f>IFERROR(VLOOKUP($J614,'Project Reference'!$B$2:$F$41,5,FALSE)," ")</f>
        <v xml:space="preserve"> </v>
      </c>
      <c r="T614" s="42" t="str">
        <f>IFERROR(VLOOKUP($J614,'Project Reference'!$B$2:$G$41,6,FALSE)," ")</f>
        <v xml:space="preserve"> </v>
      </c>
      <c r="U614" s="42" t="str">
        <f>IFERROR(VLOOKUP($J614,'Project Reference'!$B$2:$H$41,7,FALSE)," ")</f>
        <v xml:space="preserve"> </v>
      </c>
      <c r="V614" s="42" t="str">
        <f>IFERROR(VLOOKUP($J614,'Project Reference'!$B$2:$I$41,8,FALSE)," ")</f>
        <v xml:space="preserve"> </v>
      </c>
      <c r="W614" s="42" t="str">
        <f>IFERROR(VLOOKUP($J614,'Project Reference'!$B$2:$J$41,9,FALSE)," ")</f>
        <v xml:space="preserve"> </v>
      </c>
      <c r="X614" s="42" t="str">
        <f>IFERROR(VLOOKUP($J614,'Project Reference'!$B$2:$K$41,10)," ")</f>
        <v xml:space="preserve"> </v>
      </c>
      <c r="Y614" s="42" t="str">
        <f>IFERROR(VLOOKUP($J614,'Project Reference'!$B$2:$L$41,11)," ")</f>
        <v xml:space="preserve"> </v>
      </c>
      <c r="Z614" s="42" t="str">
        <f>IFERROR(VLOOKUP($J614,'Project Reference'!$B$2:$M$41,12)," ")</f>
        <v xml:space="preserve"> </v>
      </c>
      <c r="AA614" s="42" t="str">
        <f>IFERROR(VLOOKUP($J614,'Project Reference'!$B$2:$N$41,13)," ")</f>
        <v xml:space="preserve"> </v>
      </c>
    </row>
    <row r="615" spans="1:27" x14ac:dyDescent="0.45">
      <c r="A615" s="43"/>
      <c r="B615" s="205"/>
      <c r="C615"/>
      <c r="D615" s="72"/>
      <c r="E615" s="72"/>
      <c r="F615" s="72"/>
      <c r="G615" s="72"/>
      <c r="H615" s="17"/>
      <c r="I615" s="41" t="str" cm="1">
        <f t="array" ref="I615">IFERROR(_xlfn.IFS(H615="Hard (Cash)","N/A",H615="Soft (In-Kind)", "Enter Source"),"Select Type")</f>
        <v>Select Type</v>
      </c>
      <c r="J615" s="124"/>
      <c r="K615" s="41" t="str">
        <f>IFERROR(VLOOKUP($J615,'Project Reference'!$S$2:$T$41,2),"Enter Project Number")</f>
        <v>Enter Project Number</v>
      </c>
      <c r="L615" s="41"/>
      <c r="M615" s="41"/>
      <c r="N615" s="15">
        <f t="shared" si="9"/>
        <v>0</v>
      </c>
      <c r="O615" s="19"/>
      <c r="P615" s="42" t="str">
        <f>IFERROR(VLOOKUP($J615,'Project Reference'!$B$2:$C$41,2)," ")</f>
        <v xml:space="preserve"> </v>
      </c>
      <c r="Q615" s="42" t="str">
        <f>IFERROR(VLOOKUP($J615,'Project Reference'!$B$2:$D$41,3)," ")</f>
        <v xml:space="preserve"> </v>
      </c>
      <c r="R615" s="42" t="str">
        <f>IFERROR(VLOOKUP($J615,'Project Reference'!$B$2:$E$41,4)," ")</f>
        <v xml:space="preserve"> </v>
      </c>
      <c r="S615" s="42" t="str">
        <f>IFERROR(VLOOKUP($J615,'Project Reference'!$B$2:$F$41,5,FALSE)," ")</f>
        <v xml:space="preserve"> </v>
      </c>
      <c r="T615" s="42" t="str">
        <f>IFERROR(VLOOKUP($J615,'Project Reference'!$B$2:$G$41,6,FALSE)," ")</f>
        <v xml:space="preserve"> </v>
      </c>
      <c r="U615" s="42" t="str">
        <f>IFERROR(VLOOKUP($J615,'Project Reference'!$B$2:$H$41,7,FALSE)," ")</f>
        <v xml:space="preserve"> </v>
      </c>
      <c r="V615" s="42" t="str">
        <f>IFERROR(VLOOKUP($J615,'Project Reference'!$B$2:$I$41,8,FALSE)," ")</f>
        <v xml:space="preserve"> </v>
      </c>
      <c r="W615" s="42" t="str">
        <f>IFERROR(VLOOKUP($J615,'Project Reference'!$B$2:$J$41,9,FALSE)," ")</f>
        <v xml:space="preserve"> </v>
      </c>
      <c r="X615" s="42" t="str">
        <f>IFERROR(VLOOKUP($J615,'Project Reference'!$B$2:$K$41,10)," ")</f>
        <v xml:space="preserve"> </v>
      </c>
      <c r="Y615" s="42" t="str">
        <f>IFERROR(VLOOKUP($J615,'Project Reference'!$B$2:$L$41,11)," ")</f>
        <v xml:space="preserve"> </v>
      </c>
      <c r="Z615" s="42" t="str">
        <f>IFERROR(VLOOKUP($J615,'Project Reference'!$B$2:$M$41,12)," ")</f>
        <v xml:space="preserve"> </v>
      </c>
      <c r="AA615" s="42" t="str">
        <f>IFERROR(VLOOKUP($J615,'Project Reference'!$B$2:$N$41,13)," ")</f>
        <v xml:space="preserve"> </v>
      </c>
    </row>
    <row r="616" spans="1:27" x14ac:dyDescent="0.45">
      <c r="A616" s="43"/>
      <c r="B616" s="205"/>
      <c r="C616"/>
      <c r="D616" s="72"/>
      <c r="E616" s="72"/>
      <c r="F616" s="72"/>
      <c r="G616" s="72"/>
      <c r="H616" s="17"/>
      <c r="I616" s="41" t="str" cm="1">
        <f t="array" ref="I616">IFERROR(_xlfn.IFS(H616="Hard (Cash)","N/A",H616="Soft (In-Kind)", "Enter Source"),"Select Type")</f>
        <v>Select Type</v>
      </c>
      <c r="J616" s="124"/>
      <c r="K616" s="41" t="str">
        <f>IFERROR(VLOOKUP($J616,'Project Reference'!$S$2:$T$41,2),"Enter Project Number")</f>
        <v>Enter Project Number</v>
      </c>
      <c r="L616" s="41"/>
      <c r="M616" s="41"/>
      <c r="N616" s="15">
        <f t="shared" si="9"/>
        <v>0</v>
      </c>
      <c r="O616" s="19"/>
      <c r="P616" s="42" t="str">
        <f>IFERROR(VLOOKUP($J616,'Project Reference'!$B$2:$C$41,2)," ")</f>
        <v xml:space="preserve"> </v>
      </c>
      <c r="Q616" s="42" t="str">
        <f>IFERROR(VLOOKUP($J616,'Project Reference'!$B$2:$D$41,3)," ")</f>
        <v xml:space="preserve"> </v>
      </c>
      <c r="R616" s="42" t="str">
        <f>IFERROR(VLOOKUP($J616,'Project Reference'!$B$2:$E$41,4)," ")</f>
        <v xml:space="preserve"> </v>
      </c>
      <c r="S616" s="42" t="str">
        <f>IFERROR(VLOOKUP($J616,'Project Reference'!$B$2:$F$41,5,FALSE)," ")</f>
        <v xml:space="preserve"> </v>
      </c>
      <c r="T616" s="42" t="str">
        <f>IFERROR(VLOOKUP($J616,'Project Reference'!$B$2:$G$41,6,FALSE)," ")</f>
        <v xml:space="preserve"> </v>
      </c>
      <c r="U616" s="42" t="str">
        <f>IFERROR(VLOOKUP($J616,'Project Reference'!$B$2:$H$41,7,FALSE)," ")</f>
        <v xml:space="preserve"> </v>
      </c>
      <c r="V616" s="42" t="str">
        <f>IFERROR(VLOOKUP($J616,'Project Reference'!$B$2:$I$41,8,FALSE)," ")</f>
        <v xml:space="preserve"> </v>
      </c>
      <c r="W616" s="42" t="str">
        <f>IFERROR(VLOOKUP($J616,'Project Reference'!$B$2:$J$41,9,FALSE)," ")</f>
        <v xml:space="preserve"> </v>
      </c>
      <c r="X616" s="42" t="str">
        <f>IFERROR(VLOOKUP($J616,'Project Reference'!$B$2:$K$41,10)," ")</f>
        <v xml:space="preserve"> </v>
      </c>
      <c r="Y616" s="42" t="str">
        <f>IFERROR(VLOOKUP($J616,'Project Reference'!$B$2:$L$41,11)," ")</f>
        <v xml:space="preserve"> </v>
      </c>
      <c r="Z616" s="42" t="str">
        <f>IFERROR(VLOOKUP($J616,'Project Reference'!$B$2:$M$41,12)," ")</f>
        <v xml:space="preserve"> </v>
      </c>
      <c r="AA616" s="42" t="str">
        <f>IFERROR(VLOOKUP($J616,'Project Reference'!$B$2:$N$41,13)," ")</f>
        <v xml:space="preserve"> </v>
      </c>
    </row>
    <row r="617" spans="1:27" x14ac:dyDescent="0.45">
      <c r="A617" s="43"/>
      <c r="B617" s="205"/>
      <c r="C617"/>
      <c r="D617" s="72"/>
      <c r="E617" s="72"/>
      <c r="F617" s="72"/>
      <c r="G617" s="72"/>
      <c r="H617" s="17"/>
      <c r="I617" s="41" t="str" cm="1">
        <f t="array" ref="I617">IFERROR(_xlfn.IFS(H617="Hard (Cash)","N/A",H617="Soft (In-Kind)", "Enter Source"),"Select Type")</f>
        <v>Select Type</v>
      </c>
      <c r="J617" s="124"/>
      <c r="K617" s="41" t="str">
        <f>IFERROR(VLOOKUP($J617,'Project Reference'!$S$2:$T$41,2),"Enter Project Number")</f>
        <v>Enter Project Number</v>
      </c>
      <c r="L617" s="41"/>
      <c r="M617" s="41"/>
      <c r="N617" s="15">
        <f t="shared" si="9"/>
        <v>0</v>
      </c>
      <c r="O617" s="19"/>
      <c r="P617" s="42" t="str">
        <f>IFERROR(VLOOKUP($J617,'Project Reference'!$B$2:$C$41,2)," ")</f>
        <v xml:space="preserve"> </v>
      </c>
      <c r="Q617" s="42" t="str">
        <f>IFERROR(VLOOKUP($J617,'Project Reference'!$B$2:$D$41,3)," ")</f>
        <v xml:space="preserve"> </v>
      </c>
      <c r="R617" s="42" t="str">
        <f>IFERROR(VLOOKUP($J617,'Project Reference'!$B$2:$E$41,4)," ")</f>
        <v xml:space="preserve"> </v>
      </c>
      <c r="S617" s="42" t="str">
        <f>IFERROR(VLOOKUP($J617,'Project Reference'!$B$2:$F$41,5,FALSE)," ")</f>
        <v xml:space="preserve"> </v>
      </c>
      <c r="T617" s="42" t="str">
        <f>IFERROR(VLOOKUP($J617,'Project Reference'!$B$2:$G$41,6,FALSE)," ")</f>
        <v xml:space="preserve"> </v>
      </c>
      <c r="U617" s="42" t="str">
        <f>IFERROR(VLOOKUP($J617,'Project Reference'!$B$2:$H$41,7,FALSE)," ")</f>
        <v xml:space="preserve"> </v>
      </c>
      <c r="V617" s="42" t="str">
        <f>IFERROR(VLOOKUP($J617,'Project Reference'!$B$2:$I$41,8,FALSE)," ")</f>
        <v xml:space="preserve"> </v>
      </c>
      <c r="W617" s="42" t="str">
        <f>IFERROR(VLOOKUP($J617,'Project Reference'!$B$2:$J$41,9,FALSE)," ")</f>
        <v xml:space="preserve"> </v>
      </c>
      <c r="X617" s="42" t="str">
        <f>IFERROR(VLOOKUP($J617,'Project Reference'!$B$2:$K$41,10)," ")</f>
        <v xml:space="preserve"> </v>
      </c>
      <c r="Y617" s="42" t="str">
        <f>IFERROR(VLOOKUP($J617,'Project Reference'!$B$2:$L$41,11)," ")</f>
        <v xml:space="preserve"> </v>
      </c>
      <c r="Z617" s="42" t="str">
        <f>IFERROR(VLOOKUP($J617,'Project Reference'!$B$2:$M$41,12)," ")</f>
        <v xml:space="preserve"> </v>
      </c>
      <c r="AA617" s="42" t="str">
        <f>IFERROR(VLOOKUP($J617,'Project Reference'!$B$2:$N$41,13)," ")</f>
        <v xml:space="preserve"> </v>
      </c>
    </row>
    <row r="618" spans="1:27" x14ac:dyDescent="0.45">
      <c r="A618" s="43"/>
      <c r="B618" s="205"/>
      <c r="C618"/>
      <c r="D618" s="72"/>
      <c r="E618" s="72"/>
      <c r="F618" s="72"/>
      <c r="G618" s="72"/>
      <c r="H618" s="17"/>
      <c r="I618" s="41" t="str" cm="1">
        <f t="array" ref="I618">IFERROR(_xlfn.IFS(H618="Hard (Cash)","N/A",H618="Soft (In-Kind)", "Enter Source"),"Select Type")</f>
        <v>Select Type</v>
      </c>
      <c r="J618" s="124"/>
      <c r="K618" s="41" t="str">
        <f>IFERROR(VLOOKUP($J618,'Project Reference'!$S$2:$T$41,2),"Enter Project Number")</f>
        <v>Enter Project Number</v>
      </c>
      <c r="L618" s="41"/>
      <c r="M618" s="41"/>
      <c r="N618" s="15">
        <f t="shared" si="9"/>
        <v>0</v>
      </c>
      <c r="O618" s="19"/>
      <c r="P618" s="42" t="str">
        <f>IFERROR(VLOOKUP($J618,'Project Reference'!$B$2:$C$41,2)," ")</f>
        <v xml:space="preserve"> </v>
      </c>
      <c r="Q618" s="42" t="str">
        <f>IFERROR(VLOOKUP($J618,'Project Reference'!$B$2:$D$41,3)," ")</f>
        <v xml:space="preserve"> </v>
      </c>
      <c r="R618" s="42" t="str">
        <f>IFERROR(VLOOKUP($J618,'Project Reference'!$B$2:$E$41,4)," ")</f>
        <v xml:space="preserve"> </v>
      </c>
      <c r="S618" s="42" t="str">
        <f>IFERROR(VLOOKUP($J618,'Project Reference'!$B$2:$F$41,5,FALSE)," ")</f>
        <v xml:space="preserve"> </v>
      </c>
      <c r="T618" s="42" t="str">
        <f>IFERROR(VLOOKUP($J618,'Project Reference'!$B$2:$G$41,6,FALSE)," ")</f>
        <v xml:space="preserve"> </v>
      </c>
      <c r="U618" s="42" t="str">
        <f>IFERROR(VLOOKUP($J618,'Project Reference'!$B$2:$H$41,7,FALSE)," ")</f>
        <v xml:space="preserve"> </v>
      </c>
      <c r="V618" s="42" t="str">
        <f>IFERROR(VLOOKUP($J618,'Project Reference'!$B$2:$I$41,8,FALSE)," ")</f>
        <v xml:space="preserve"> </v>
      </c>
      <c r="W618" s="42" t="str">
        <f>IFERROR(VLOOKUP($J618,'Project Reference'!$B$2:$J$41,9,FALSE)," ")</f>
        <v xml:space="preserve"> </v>
      </c>
      <c r="X618" s="42" t="str">
        <f>IFERROR(VLOOKUP($J618,'Project Reference'!$B$2:$K$41,10)," ")</f>
        <v xml:space="preserve"> </v>
      </c>
      <c r="Y618" s="42" t="str">
        <f>IFERROR(VLOOKUP($J618,'Project Reference'!$B$2:$L$41,11)," ")</f>
        <v xml:space="preserve"> </v>
      </c>
      <c r="Z618" s="42" t="str">
        <f>IFERROR(VLOOKUP($J618,'Project Reference'!$B$2:$M$41,12)," ")</f>
        <v xml:space="preserve"> </v>
      </c>
      <c r="AA618" s="42" t="str">
        <f>IFERROR(VLOOKUP($J618,'Project Reference'!$B$2:$N$41,13)," ")</f>
        <v xml:space="preserve"> </v>
      </c>
    </row>
    <row r="619" spans="1:27" x14ac:dyDescent="0.45">
      <c r="A619" s="43"/>
      <c r="B619" s="205"/>
      <c r="C619"/>
      <c r="D619" s="72"/>
      <c r="E619" s="72"/>
      <c r="F619" s="72"/>
      <c r="G619" s="72"/>
      <c r="H619" s="17"/>
      <c r="I619" s="41" t="str" cm="1">
        <f t="array" ref="I619">IFERROR(_xlfn.IFS(H619="Hard (Cash)","N/A",H619="Soft (In-Kind)", "Enter Source"),"Select Type")</f>
        <v>Select Type</v>
      </c>
      <c r="J619" s="124"/>
      <c r="K619" s="41" t="str">
        <f>IFERROR(VLOOKUP($J619,'Project Reference'!$S$2:$T$41,2),"Enter Project Number")</f>
        <v>Enter Project Number</v>
      </c>
      <c r="L619" s="41"/>
      <c r="M619" s="41"/>
      <c r="N619" s="15">
        <f t="shared" si="9"/>
        <v>0</v>
      </c>
      <c r="O619" s="19"/>
      <c r="P619" s="42" t="str">
        <f>IFERROR(VLOOKUP($J619,'Project Reference'!$B$2:$C$41,2)," ")</f>
        <v xml:space="preserve"> </v>
      </c>
      <c r="Q619" s="42" t="str">
        <f>IFERROR(VLOOKUP($J619,'Project Reference'!$B$2:$D$41,3)," ")</f>
        <v xml:space="preserve"> </v>
      </c>
      <c r="R619" s="42" t="str">
        <f>IFERROR(VLOOKUP($J619,'Project Reference'!$B$2:$E$41,4)," ")</f>
        <v xml:space="preserve"> </v>
      </c>
      <c r="S619" s="42" t="str">
        <f>IFERROR(VLOOKUP($J619,'Project Reference'!$B$2:$F$41,5,FALSE)," ")</f>
        <v xml:space="preserve"> </v>
      </c>
      <c r="T619" s="42" t="str">
        <f>IFERROR(VLOOKUP($J619,'Project Reference'!$B$2:$G$41,6,FALSE)," ")</f>
        <v xml:space="preserve"> </v>
      </c>
      <c r="U619" s="42" t="str">
        <f>IFERROR(VLOOKUP($J619,'Project Reference'!$B$2:$H$41,7,FALSE)," ")</f>
        <v xml:space="preserve"> </v>
      </c>
      <c r="V619" s="42" t="str">
        <f>IFERROR(VLOOKUP($J619,'Project Reference'!$B$2:$I$41,8,FALSE)," ")</f>
        <v xml:space="preserve"> </v>
      </c>
      <c r="W619" s="42" t="str">
        <f>IFERROR(VLOOKUP($J619,'Project Reference'!$B$2:$J$41,9,FALSE)," ")</f>
        <v xml:space="preserve"> </v>
      </c>
      <c r="X619" s="42" t="str">
        <f>IFERROR(VLOOKUP($J619,'Project Reference'!$B$2:$K$41,10)," ")</f>
        <v xml:space="preserve"> </v>
      </c>
      <c r="Y619" s="42" t="str">
        <f>IFERROR(VLOOKUP($J619,'Project Reference'!$B$2:$L$41,11)," ")</f>
        <v xml:space="preserve"> </v>
      </c>
      <c r="Z619" s="42" t="str">
        <f>IFERROR(VLOOKUP($J619,'Project Reference'!$B$2:$M$41,12)," ")</f>
        <v xml:space="preserve"> </v>
      </c>
      <c r="AA619" s="42" t="str">
        <f>IFERROR(VLOOKUP($J619,'Project Reference'!$B$2:$N$41,13)," ")</f>
        <v xml:space="preserve"> </v>
      </c>
    </row>
    <row r="620" spans="1:27" x14ac:dyDescent="0.45">
      <c r="A620" s="43"/>
      <c r="B620" s="205"/>
      <c r="C620"/>
      <c r="D620" s="72"/>
      <c r="E620" s="72"/>
      <c r="F620" s="72"/>
      <c r="G620" s="72"/>
      <c r="H620" s="17"/>
      <c r="I620" s="41" t="str" cm="1">
        <f t="array" ref="I620">IFERROR(_xlfn.IFS(H620="Hard (Cash)","N/A",H620="Soft (In-Kind)", "Enter Source"),"Select Type")</f>
        <v>Select Type</v>
      </c>
      <c r="J620" s="124"/>
      <c r="K620" s="41" t="str">
        <f>IFERROR(VLOOKUP($J620,'Project Reference'!$S$2:$T$41,2),"Enter Project Number")</f>
        <v>Enter Project Number</v>
      </c>
      <c r="L620" s="41"/>
      <c r="M620" s="41"/>
      <c r="N620" s="15">
        <f t="shared" si="9"/>
        <v>0</v>
      </c>
      <c r="O620" s="19"/>
      <c r="P620" s="42" t="str">
        <f>IFERROR(VLOOKUP($J620,'Project Reference'!$B$2:$C$41,2)," ")</f>
        <v xml:space="preserve"> </v>
      </c>
      <c r="Q620" s="42" t="str">
        <f>IFERROR(VLOOKUP($J620,'Project Reference'!$B$2:$D$41,3)," ")</f>
        <v xml:space="preserve"> </v>
      </c>
      <c r="R620" s="42" t="str">
        <f>IFERROR(VLOOKUP($J620,'Project Reference'!$B$2:$E$41,4)," ")</f>
        <v xml:space="preserve"> </v>
      </c>
      <c r="S620" s="42" t="str">
        <f>IFERROR(VLOOKUP($J620,'Project Reference'!$B$2:$F$41,5,FALSE)," ")</f>
        <v xml:space="preserve"> </v>
      </c>
      <c r="T620" s="42" t="str">
        <f>IFERROR(VLOOKUP($J620,'Project Reference'!$B$2:$G$41,6,FALSE)," ")</f>
        <v xml:space="preserve"> </v>
      </c>
      <c r="U620" s="42" t="str">
        <f>IFERROR(VLOOKUP($J620,'Project Reference'!$B$2:$H$41,7,FALSE)," ")</f>
        <v xml:space="preserve"> </v>
      </c>
      <c r="V620" s="42" t="str">
        <f>IFERROR(VLOOKUP($J620,'Project Reference'!$B$2:$I$41,8,FALSE)," ")</f>
        <v xml:space="preserve"> </v>
      </c>
      <c r="W620" s="42" t="str">
        <f>IFERROR(VLOOKUP($J620,'Project Reference'!$B$2:$J$41,9,FALSE)," ")</f>
        <v xml:space="preserve"> </v>
      </c>
      <c r="X620" s="42" t="str">
        <f>IFERROR(VLOOKUP($J620,'Project Reference'!$B$2:$K$41,10)," ")</f>
        <v xml:space="preserve"> </v>
      </c>
      <c r="Y620" s="42" t="str">
        <f>IFERROR(VLOOKUP($J620,'Project Reference'!$B$2:$L$41,11)," ")</f>
        <v xml:space="preserve"> </v>
      </c>
      <c r="Z620" s="42" t="str">
        <f>IFERROR(VLOOKUP($J620,'Project Reference'!$B$2:$M$41,12)," ")</f>
        <v xml:space="preserve"> </v>
      </c>
      <c r="AA620" s="42" t="str">
        <f>IFERROR(VLOOKUP($J620,'Project Reference'!$B$2:$N$41,13)," ")</f>
        <v xml:space="preserve"> </v>
      </c>
    </row>
    <row r="621" spans="1:27" x14ac:dyDescent="0.45">
      <c r="A621" s="43"/>
      <c r="B621" s="205"/>
      <c r="C621"/>
      <c r="D621" s="72"/>
      <c r="E621" s="72"/>
      <c r="F621" s="72"/>
      <c r="G621" s="72"/>
      <c r="H621" s="17"/>
      <c r="I621" s="41" t="str" cm="1">
        <f t="array" ref="I621">IFERROR(_xlfn.IFS(H621="Hard (Cash)","N/A",H621="Soft (In-Kind)", "Enter Source"),"Select Type")</f>
        <v>Select Type</v>
      </c>
      <c r="J621" s="124"/>
      <c r="K621" s="41" t="str">
        <f>IFERROR(VLOOKUP($J621,'Project Reference'!$S$2:$T$41,2),"Enter Project Number")</f>
        <v>Enter Project Number</v>
      </c>
      <c r="L621" s="41"/>
      <c r="M621" s="41"/>
      <c r="N621" s="15">
        <f t="shared" si="9"/>
        <v>0</v>
      </c>
      <c r="O621" s="19"/>
      <c r="P621" s="42" t="str">
        <f>IFERROR(VLOOKUP($J621,'Project Reference'!$B$2:$C$41,2)," ")</f>
        <v xml:space="preserve"> </v>
      </c>
      <c r="Q621" s="42" t="str">
        <f>IFERROR(VLOOKUP($J621,'Project Reference'!$B$2:$D$41,3)," ")</f>
        <v xml:space="preserve"> </v>
      </c>
      <c r="R621" s="42" t="str">
        <f>IFERROR(VLOOKUP($J621,'Project Reference'!$B$2:$E$41,4)," ")</f>
        <v xml:space="preserve"> </v>
      </c>
      <c r="S621" s="42" t="str">
        <f>IFERROR(VLOOKUP($J621,'Project Reference'!$B$2:$F$41,5,FALSE)," ")</f>
        <v xml:space="preserve"> </v>
      </c>
      <c r="T621" s="42" t="str">
        <f>IFERROR(VLOOKUP($J621,'Project Reference'!$B$2:$G$41,6,FALSE)," ")</f>
        <v xml:space="preserve"> </v>
      </c>
      <c r="U621" s="42" t="str">
        <f>IFERROR(VLOOKUP($J621,'Project Reference'!$B$2:$H$41,7,FALSE)," ")</f>
        <v xml:space="preserve"> </v>
      </c>
      <c r="V621" s="42" t="str">
        <f>IFERROR(VLOOKUP($J621,'Project Reference'!$B$2:$I$41,8,FALSE)," ")</f>
        <v xml:space="preserve"> </v>
      </c>
      <c r="W621" s="42" t="str">
        <f>IFERROR(VLOOKUP($J621,'Project Reference'!$B$2:$J$41,9,FALSE)," ")</f>
        <v xml:space="preserve"> </v>
      </c>
      <c r="X621" s="42" t="str">
        <f>IFERROR(VLOOKUP($J621,'Project Reference'!$B$2:$K$41,10)," ")</f>
        <v xml:space="preserve"> </v>
      </c>
      <c r="Y621" s="42" t="str">
        <f>IFERROR(VLOOKUP($J621,'Project Reference'!$B$2:$L$41,11)," ")</f>
        <v xml:space="preserve"> </v>
      </c>
      <c r="Z621" s="42" t="str">
        <f>IFERROR(VLOOKUP($J621,'Project Reference'!$B$2:$M$41,12)," ")</f>
        <v xml:space="preserve"> </v>
      </c>
      <c r="AA621" s="42" t="str">
        <f>IFERROR(VLOOKUP($J621,'Project Reference'!$B$2:$N$41,13)," ")</f>
        <v xml:space="preserve"> </v>
      </c>
    </row>
    <row r="622" spans="1:27" x14ac:dyDescent="0.45">
      <c r="A622" s="43"/>
      <c r="B622" s="205"/>
      <c r="C622"/>
      <c r="D622" s="72"/>
      <c r="E622" s="72"/>
      <c r="F622" s="72"/>
      <c r="G622" s="72"/>
      <c r="H622" s="17"/>
      <c r="I622" s="41" t="str" cm="1">
        <f t="array" ref="I622">IFERROR(_xlfn.IFS(H622="Hard (Cash)","N/A",H622="Soft (In-Kind)", "Enter Source"),"Select Type")</f>
        <v>Select Type</v>
      </c>
      <c r="J622" s="124"/>
      <c r="K622" s="41" t="str">
        <f>IFERROR(VLOOKUP($J622,'Project Reference'!$S$2:$T$41,2),"Enter Project Number")</f>
        <v>Enter Project Number</v>
      </c>
      <c r="L622" s="41"/>
      <c r="M622" s="41"/>
      <c r="N622" s="15">
        <f t="shared" si="9"/>
        <v>0</v>
      </c>
      <c r="O622" s="19"/>
      <c r="P622" s="42" t="str">
        <f>IFERROR(VLOOKUP($J622,'Project Reference'!$B$2:$C$41,2)," ")</f>
        <v xml:space="preserve"> </v>
      </c>
      <c r="Q622" s="42" t="str">
        <f>IFERROR(VLOOKUP($J622,'Project Reference'!$B$2:$D$41,3)," ")</f>
        <v xml:space="preserve"> </v>
      </c>
      <c r="R622" s="42" t="str">
        <f>IFERROR(VLOOKUP($J622,'Project Reference'!$B$2:$E$41,4)," ")</f>
        <v xml:space="preserve"> </v>
      </c>
      <c r="S622" s="42" t="str">
        <f>IFERROR(VLOOKUP($J622,'Project Reference'!$B$2:$F$41,5,FALSE)," ")</f>
        <v xml:space="preserve"> </v>
      </c>
      <c r="T622" s="42" t="str">
        <f>IFERROR(VLOOKUP($J622,'Project Reference'!$B$2:$G$41,6,FALSE)," ")</f>
        <v xml:space="preserve"> </v>
      </c>
      <c r="U622" s="42" t="str">
        <f>IFERROR(VLOOKUP($J622,'Project Reference'!$B$2:$H$41,7,FALSE)," ")</f>
        <v xml:space="preserve"> </v>
      </c>
      <c r="V622" s="42" t="str">
        <f>IFERROR(VLOOKUP($J622,'Project Reference'!$B$2:$I$41,8,FALSE)," ")</f>
        <v xml:space="preserve"> </v>
      </c>
      <c r="W622" s="42" t="str">
        <f>IFERROR(VLOOKUP($J622,'Project Reference'!$B$2:$J$41,9,FALSE)," ")</f>
        <v xml:space="preserve"> </v>
      </c>
      <c r="X622" s="42" t="str">
        <f>IFERROR(VLOOKUP($J622,'Project Reference'!$B$2:$K$41,10)," ")</f>
        <v xml:space="preserve"> </v>
      </c>
      <c r="Y622" s="42" t="str">
        <f>IFERROR(VLOOKUP($J622,'Project Reference'!$B$2:$L$41,11)," ")</f>
        <v xml:space="preserve"> </v>
      </c>
      <c r="Z622" s="42" t="str">
        <f>IFERROR(VLOOKUP($J622,'Project Reference'!$B$2:$M$41,12)," ")</f>
        <v xml:space="preserve"> </v>
      </c>
      <c r="AA622" s="42" t="str">
        <f>IFERROR(VLOOKUP($J622,'Project Reference'!$B$2:$N$41,13)," ")</f>
        <v xml:space="preserve"> </v>
      </c>
    </row>
    <row r="623" spans="1:27" x14ac:dyDescent="0.45">
      <c r="A623" s="43"/>
      <c r="B623" s="205"/>
      <c r="C623"/>
      <c r="D623" s="72"/>
      <c r="E623" s="72"/>
      <c r="F623" s="72"/>
      <c r="G623" s="72"/>
      <c r="H623" s="17"/>
      <c r="I623" s="41" t="str" cm="1">
        <f t="array" ref="I623">IFERROR(_xlfn.IFS(H623="Hard (Cash)","N/A",H623="Soft (In-Kind)", "Enter Source"),"Select Type")</f>
        <v>Select Type</v>
      </c>
      <c r="J623" s="124"/>
      <c r="K623" s="41" t="str">
        <f>IFERROR(VLOOKUP($J623,'Project Reference'!$S$2:$T$41,2),"Enter Project Number")</f>
        <v>Enter Project Number</v>
      </c>
      <c r="L623" s="41"/>
      <c r="M623" s="41"/>
      <c r="N623" s="15">
        <f t="shared" si="9"/>
        <v>0</v>
      </c>
      <c r="O623" s="19"/>
      <c r="P623" s="42" t="str">
        <f>IFERROR(VLOOKUP($J623,'Project Reference'!$B$2:$C$41,2)," ")</f>
        <v xml:space="preserve"> </v>
      </c>
      <c r="Q623" s="42" t="str">
        <f>IFERROR(VLOOKUP($J623,'Project Reference'!$B$2:$D$41,3)," ")</f>
        <v xml:space="preserve"> </v>
      </c>
      <c r="R623" s="42" t="str">
        <f>IFERROR(VLOOKUP($J623,'Project Reference'!$B$2:$E$41,4)," ")</f>
        <v xml:space="preserve"> </v>
      </c>
      <c r="S623" s="42" t="str">
        <f>IFERROR(VLOOKUP($J623,'Project Reference'!$B$2:$F$41,5,FALSE)," ")</f>
        <v xml:space="preserve"> </v>
      </c>
      <c r="T623" s="42" t="str">
        <f>IFERROR(VLOOKUP($J623,'Project Reference'!$B$2:$G$41,6,FALSE)," ")</f>
        <v xml:space="preserve"> </v>
      </c>
      <c r="U623" s="42" t="str">
        <f>IFERROR(VLOOKUP($J623,'Project Reference'!$B$2:$H$41,7,FALSE)," ")</f>
        <v xml:space="preserve"> </v>
      </c>
      <c r="V623" s="42" t="str">
        <f>IFERROR(VLOOKUP($J623,'Project Reference'!$B$2:$I$41,8,FALSE)," ")</f>
        <v xml:space="preserve"> </v>
      </c>
      <c r="W623" s="42" t="str">
        <f>IFERROR(VLOOKUP($J623,'Project Reference'!$B$2:$J$41,9,FALSE)," ")</f>
        <v xml:space="preserve"> </v>
      </c>
      <c r="X623" s="42" t="str">
        <f>IFERROR(VLOOKUP($J623,'Project Reference'!$B$2:$K$41,10)," ")</f>
        <v xml:space="preserve"> </v>
      </c>
      <c r="Y623" s="42" t="str">
        <f>IFERROR(VLOOKUP($J623,'Project Reference'!$B$2:$L$41,11)," ")</f>
        <v xml:space="preserve"> </v>
      </c>
      <c r="Z623" s="42" t="str">
        <f>IFERROR(VLOOKUP($J623,'Project Reference'!$B$2:$M$41,12)," ")</f>
        <v xml:space="preserve"> </v>
      </c>
      <c r="AA623" s="42" t="str">
        <f>IFERROR(VLOOKUP($J623,'Project Reference'!$B$2:$N$41,13)," ")</f>
        <v xml:space="preserve"> </v>
      </c>
    </row>
    <row r="624" spans="1:27" x14ac:dyDescent="0.45">
      <c r="A624" s="43"/>
      <c r="B624" s="205"/>
      <c r="C624"/>
      <c r="D624" s="72"/>
      <c r="E624" s="72"/>
      <c r="F624" s="72"/>
      <c r="G624" s="72"/>
      <c r="H624" s="17"/>
      <c r="I624" s="41" t="str" cm="1">
        <f t="array" ref="I624">IFERROR(_xlfn.IFS(H624="Hard (Cash)","N/A",H624="Soft (In-Kind)", "Enter Source"),"Select Type")</f>
        <v>Select Type</v>
      </c>
      <c r="J624" s="124"/>
      <c r="K624" s="41" t="str">
        <f>IFERROR(VLOOKUP($J624,'Project Reference'!$S$2:$T$41,2),"Enter Project Number")</f>
        <v>Enter Project Number</v>
      </c>
      <c r="L624" s="41"/>
      <c r="M624" s="41"/>
      <c r="N624" s="15">
        <f t="shared" si="9"/>
        <v>0</v>
      </c>
      <c r="O624" s="19"/>
      <c r="P624" s="42" t="str">
        <f>IFERROR(VLOOKUP($J624,'Project Reference'!$B$2:$C$41,2)," ")</f>
        <v xml:space="preserve"> </v>
      </c>
      <c r="Q624" s="42" t="str">
        <f>IFERROR(VLOOKUP($J624,'Project Reference'!$B$2:$D$41,3)," ")</f>
        <v xml:space="preserve"> </v>
      </c>
      <c r="R624" s="42" t="str">
        <f>IFERROR(VLOOKUP($J624,'Project Reference'!$B$2:$E$41,4)," ")</f>
        <v xml:space="preserve"> </v>
      </c>
      <c r="S624" s="42" t="str">
        <f>IFERROR(VLOOKUP($J624,'Project Reference'!$B$2:$F$41,5,FALSE)," ")</f>
        <v xml:space="preserve"> </v>
      </c>
      <c r="T624" s="42" t="str">
        <f>IFERROR(VLOOKUP($J624,'Project Reference'!$B$2:$G$41,6,FALSE)," ")</f>
        <v xml:space="preserve"> </v>
      </c>
      <c r="U624" s="42" t="str">
        <f>IFERROR(VLOOKUP($J624,'Project Reference'!$B$2:$H$41,7,FALSE)," ")</f>
        <v xml:space="preserve"> </v>
      </c>
      <c r="V624" s="42" t="str">
        <f>IFERROR(VLOOKUP($J624,'Project Reference'!$B$2:$I$41,8,FALSE)," ")</f>
        <v xml:space="preserve"> </v>
      </c>
      <c r="W624" s="42" t="str">
        <f>IFERROR(VLOOKUP($J624,'Project Reference'!$B$2:$J$41,9,FALSE)," ")</f>
        <v xml:space="preserve"> </v>
      </c>
      <c r="X624" s="42" t="str">
        <f>IFERROR(VLOOKUP($J624,'Project Reference'!$B$2:$K$41,10)," ")</f>
        <v xml:space="preserve"> </v>
      </c>
      <c r="Y624" s="42" t="str">
        <f>IFERROR(VLOOKUP($J624,'Project Reference'!$B$2:$L$41,11)," ")</f>
        <v xml:space="preserve"> </v>
      </c>
      <c r="Z624" s="42" t="str">
        <f>IFERROR(VLOOKUP($J624,'Project Reference'!$B$2:$M$41,12)," ")</f>
        <v xml:space="preserve"> </v>
      </c>
      <c r="AA624" s="42" t="str">
        <f>IFERROR(VLOOKUP($J624,'Project Reference'!$B$2:$N$41,13)," ")</f>
        <v xml:space="preserve"> </v>
      </c>
    </row>
    <row r="625" spans="1:27" x14ac:dyDescent="0.45">
      <c r="A625" s="43"/>
      <c r="B625" s="205"/>
      <c r="C625"/>
      <c r="D625" s="72"/>
      <c r="E625" s="72"/>
      <c r="F625" s="72"/>
      <c r="G625" s="72"/>
      <c r="H625" s="17"/>
      <c r="I625" s="41" t="str" cm="1">
        <f t="array" ref="I625">IFERROR(_xlfn.IFS(H625="Hard (Cash)","N/A",H625="Soft (In-Kind)", "Enter Source"),"Select Type")</f>
        <v>Select Type</v>
      </c>
      <c r="J625" s="124"/>
      <c r="K625" s="41" t="str">
        <f>IFERROR(VLOOKUP($J625,'Project Reference'!$S$2:$T$41,2),"Enter Project Number")</f>
        <v>Enter Project Number</v>
      </c>
      <c r="L625" s="41"/>
      <c r="M625" s="41"/>
      <c r="N625" s="15">
        <f t="shared" ref="N625:N688" si="10">SUM(D625:G625)</f>
        <v>0</v>
      </c>
      <c r="O625" s="19"/>
      <c r="P625" s="42" t="str">
        <f>IFERROR(VLOOKUP($J625,'Project Reference'!$B$2:$C$41,2)," ")</f>
        <v xml:space="preserve"> </v>
      </c>
      <c r="Q625" s="42" t="str">
        <f>IFERROR(VLOOKUP($J625,'Project Reference'!$B$2:$D$41,3)," ")</f>
        <v xml:space="preserve"> </v>
      </c>
      <c r="R625" s="42" t="str">
        <f>IFERROR(VLOOKUP($J625,'Project Reference'!$B$2:$E$41,4)," ")</f>
        <v xml:space="preserve"> </v>
      </c>
      <c r="S625" s="42" t="str">
        <f>IFERROR(VLOOKUP($J625,'Project Reference'!$B$2:$F$41,5,FALSE)," ")</f>
        <v xml:space="preserve"> </v>
      </c>
      <c r="T625" s="42" t="str">
        <f>IFERROR(VLOOKUP($J625,'Project Reference'!$B$2:$G$41,6,FALSE)," ")</f>
        <v xml:space="preserve"> </v>
      </c>
      <c r="U625" s="42" t="str">
        <f>IFERROR(VLOOKUP($J625,'Project Reference'!$B$2:$H$41,7,FALSE)," ")</f>
        <v xml:space="preserve"> </v>
      </c>
      <c r="V625" s="42" t="str">
        <f>IFERROR(VLOOKUP($J625,'Project Reference'!$B$2:$I$41,8,FALSE)," ")</f>
        <v xml:space="preserve"> </v>
      </c>
      <c r="W625" s="42" t="str">
        <f>IFERROR(VLOOKUP($J625,'Project Reference'!$B$2:$J$41,9,FALSE)," ")</f>
        <v xml:space="preserve"> </v>
      </c>
      <c r="X625" s="42" t="str">
        <f>IFERROR(VLOOKUP($J625,'Project Reference'!$B$2:$K$41,10)," ")</f>
        <v xml:space="preserve"> </v>
      </c>
      <c r="Y625" s="42" t="str">
        <f>IFERROR(VLOOKUP($J625,'Project Reference'!$B$2:$L$41,11)," ")</f>
        <v xml:space="preserve"> </v>
      </c>
      <c r="Z625" s="42" t="str">
        <f>IFERROR(VLOOKUP($J625,'Project Reference'!$B$2:$M$41,12)," ")</f>
        <v xml:space="preserve"> </v>
      </c>
      <c r="AA625" s="42" t="str">
        <f>IFERROR(VLOOKUP($J625,'Project Reference'!$B$2:$N$41,13)," ")</f>
        <v xml:space="preserve"> </v>
      </c>
    </row>
    <row r="626" spans="1:27" x14ac:dyDescent="0.45">
      <c r="A626" s="43"/>
      <c r="B626" s="205"/>
      <c r="C626"/>
      <c r="D626" s="72"/>
      <c r="E626" s="72"/>
      <c r="F626" s="72"/>
      <c r="G626" s="72"/>
      <c r="H626" s="17"/>
      <c r="I626" s="41" t="str" cm="1">
        <f t="array" ref="I626">IFERROR(_xlfn.IFS(H626="Hard (Cash)","N/A",H626="Soft (In-Kind)", "Enter Source"),"Select Type")</f>
        <v>Select Type</v>
      </c>
      <c r="J626" s="124"/>
      <c r="K626" s="41" t="str">
        <f>IFERROR(VLOOKUP($J626,'Project Reference'!$S$2:$T$41,2),"Enter Project Number")</f>
        <v>Enter Project Number</v>
      </c>
      <c r="L626" s="41"/>
      <c r="M626" s="41"/>
      <c r="N626" s="15">
        <f t="shared" si="10"/>
        <v>0</v>
      </c>
      <c r="O626" s="19"/>
      <c r="P626" s="42" t="str">
        <f>IFERROR(VLOOKUP($J626,'Project Reference'!$B$2:$C$41,2)," ")</f>
        <v xml:space="preserve"> </v>
      </c>
      <c r="Q626" s="42" t="str">
        <f>IFERROR(VLOOKUP($J626,'Project Reference'!$B$2:$D$41,3)," ")</f>
        <v xml:space="preserve"> </v>
      </c>
      <c r="R626" s="42" t="str">
        <f>IFERROR(VLOOKUP($J626,'Project Reference'!$B$2:$E$41,4)," ")</f>
        <v xml:space="preserve"> </v>
      </c>
      <c r="S626" s="42" t="str">
        <f>IFERROR(VLOOKUP($J626,'Project Reference'!$B$2:$F$41,5,FALSE)," ")</f>
        <v xml:space="preserve"> </v>
      </c>
      <c r="T626" s="42" t="str">
        <f>IFERROR(VLOOKUP($J626,'Project Reference'!$B$2:$G$41,6,FALSE)," ")</f>
        <v xml:space="preserve"> </v>
      </c>
      <c r="U626" s="42" t="str">
        <f>IFERROR(VLOOKUP($J626,'Project Reference'!$B$2:$H$41,7,FALSE)," ")</f>
        <v xml:space="preserve"> </v>
      </c>
      <c r="V626" s="42" t="str">
        <f>IFERROR(VLOOKUP($J626,'Project Reference'!$B$2:$I$41,8,FALSE)," ")</f>
        <v xml:space="preserve"> </v>
      </c>
      <c r="W626" s="42" t="str">
        <f>IFERROR(VLOOKUP($J626,'Project Reference'!$B$2:$J$41,9,FALSE)," ")</f>
        <v xml:space="preserve"> </v>
      </c>
      <c r="X626" s="42" t="str">
        <f>IFERROR(VLOOKUP($J626,'Project Reference'!$B$2:$K$41,10)," ")</f>
        <v xml:space="preserve"> </v>
      </c>
      <c r="Y626" s="42" t="str">
        <f>IFERROR(VLOOKUP($J626,'Project Reference'!$B$2:$L$41,11)," ")</f>
        <v xml:space="preserve"> </v>
      </c>
      <c r="Z626" s="42" t="str">
        <f>IFERROR(VLOOKUP($J626,'Project Reference'!$B$2:$M$41,12)," ")</f>
        <v xml:space="preserve"> </v>
      </c>
      <c r="AA626" s="42" t="str">
        <f>IFERROR(VLOOKUP($J626,'Project Reference'!$B$2:$N$41,13)," ")</f>
        <v xml:space="preserve"> </v>
      </c>
    </row>
    <row r="627" spans="1:27" x14ac:dyDescent="0.45">
      <c r="A627" s="43"/>
      <c r="B627" s="205"/>
      <c r="C627"/>
      <c r="D627" s="72"/>
      <c r="E627" s="72"/>
      <c r="F627" s="72"/>
      <c r="G627" s="72"/>
      <c r="H627" s="17"/>
      <c r="I627" s="41" t="str" cm="1">
        <f t="array" ref="I627">IFERROR(_xlfn.IFS(H627="Hard (Cash)","N/A",H627="Soft (In-Kind)", "Enter Source"),"Select Type")</f>
        <v>Select Type</v>
      </c>
      <c r="J627" s="124"/>
      <c r="K627" s="41" t="str">
        <f>IFERROR(VLOOKUP($J627,'Project Reference'!$S$2:$T$41,2),"Enter Project Number")</f>
        <v>Enter Project Number</v>
      </c>
      <c r="L627" s="41"/>
      <c r="M627" s="41"/>
      <c r="N627" s="15">
        <f t="shared" si="10"/>
        <v>0</v>
      </c>
      <c r="O627" s="19"/>
      <c r="P627" s="42" t="str">
        <f>IFERROR(VLOOKUP($J627,'Project Reference'!$B$2:$C$41,2)," ")</f>
        <v xml:space="preserve"> </v>
      </c>
      <c r="Q627" s="42" t="str">
        <f>IFERROR(VLOOKUP($J627,'Project Reference'!$B$2:$D$41,3)," ")</f>
        <v xml:space="preserve"> </v>
      </c>
      <c r="R627" s="42" t="str">
        <f>IFERROR(VLOOKUP($J627,'Project Reference'!$B$2:$E$41,4)," ")</f>
        <v xml:space="preserve"> </v>
      </c>
      <c r="S627" s="42" t="str">
        <f>IFERROR(VLOOKUP($J627,'Project Reference'!$B$2:$F$41,5,FALSE)," ")</f>
        <v xml:space="preserve"> </v>
      </c>
      <c r="T627" s="42" t="str">
        <f>IFERROR(VLOOKUP($J627,'Project Reference'!$B$2:$G$41,6,FALSE)," ")</f>
        <v xml:space="preserve"> </v>
      </c>
      <c r="U627" s="42" t="str">
        <f>IFERROR(VLOOKUP($J627,'Project Reference'!$B$2:$H$41,7,FALSE)," ")</f>
        <v xml:space="preserve"> </v>
      </c>
      <c r="V627" s="42" t="str">
        <f>IFERROR(VLOOKUP($J627,'Project Reference'!$B$2:$I$41,8,FALSE)," ")</f>
        <v xml:space="preserve"> </v>
      </c>
      <c r="W627" s="42" t="str">
        <f>IFERROR(VLOOKUP($J627,'Project Reference'!$B$2:$J$41,9,FALSE)," ")</f>
        <v xml:space="preserve"> </v>
      </c>
      <c r="X627" s="42" t="str">
        <f>IFERROR(VLOOKUP($J627,'Project Reference'!$B$2:$K$41,10)," ")</f>
        <v xml:space="preserve"> </v>
      </c>
      <c r="Y627" s="42" t="str">
        <f>IFERROR(VLOOKUP($J627,'Project Reference'!$B$2:$L$41,11)," ")</f>
        <v xml:space="preserve"> </v>
      </c>
      <c r="Z627" s="42" t="str">
        <f>IFERROR(VLOOKUP($J627,'Project Reference'!$B$2:$M$41,12)," ")</f>
        <v xml:space="preserve"> </v>
      </c>
      <c r="AA627" s="42" t="str">
        <f>IFERROR(VLOOKUP($J627,'Project Reference'!$B$2:$N$41,13)," ")</f>
        <v xml:space="preserve"> </v>
      </c>
    </row>
    <row r="628" spans="1:27" x14ac:dyDescent="0.45">
      <c r="A628" s="43"/>
      <c r="B628" s="205"/>
      <c r="C628"/>
      <c r="D628" s="72"/>
      <c r="E628" s="72"/>
      <c r="F628" s="72"/>
      <c r="G628" s="72"/>
      <c r="H628" s="17"/>
      <c r="I628" s="41" t="str" cm="1">
        <f t="array" ref="I628">IFERROR(_xlfn.IFS(H628="Hard (Cash)","N/A",H628="Soft (In-Kind)", "Enter Source"),"Select Type")</f>
        <v>Select Type</v>
      </c>
      <c r="J628" s="124"/>
      <c r="K628" s="41" t="str">
        <f>IFERROR(VLOOKUP($J628,'Project Reference'!$S$2:$T$41,2),"Enter Project Number")</f>
        <v>Enter Project Number</v>
      </c>
      <c r="L628" s="41"/>
      <c r="M628" s="41"/>
      <c r="N628" s="15">
        <f t="shared" si="10"/>
        <v>0</v>
      </c>
      <c r="O628" s="19"/>
      <c r="P628" s="42" t="str">
        <f>IFERROR(VLOOKUP($J628,'Project Reference'!$B$2:$C$41,2)," ")</f>
        <v xml:space="preserve"> </v>
      </c>
      <c r="Q628" s="42" t="str">
        <f>IFERROR(VLOOKUP($J628,'Project Reference'!$B$2:$D$41,3)," ")</f>
        <v xml:space="preserve"> </v>
      </c>
      <c r="R628" s="42" t="str">
        <f>IFERROR(VLOOKUP($J628,'Project Reference'!$B$2:$E$41,4)," ")</f>
        <v xml:space="preserve"> </v>
      </c>
      <c r="S628" s="42" t="str">
        <f>IFERROR(VLOOKUP($J628,'Project Reference'!$B$2:$F$41,5,FALSE)," ")</f>
        <v xml:space="preserve"> </v>
      </c>
      <c r="T628" s="42" t="str">
        <f>IFERROR(VLOOKUP($J628,'Project Reference'!$B$2:$G$41,6,FALSE)," ")</f>
        <v xml:space="preserve"> </v>
      </c>
      <c r="U628" s="42" t="str">
        <f>IFERROR(VLOOKUP($J628,'Project Reference'!$B$2:$H$41,7,FALSE)," ")</f>
        <v xml:space="preserve"> </v>
      </c>
      <c r="V628" s="42" t="str">
        <f>IFERROR(VLOOKUP($J628,'Project Reference'!$B$2:$I$41,8,FALSE)," ")</f>
        <v xml:space="preserve"> </v>
      </c>
      <c r="W628" s="42" t="str">
        <f>IFERROR(VLOOKUP($J628,'Project Reference'!$B$2:$J$41,9,FALSE)," ")</f>
        <v xml:space="preserve"> </v>
      </c>
      <c r="X628" s="42" t="str">
        <f>IFERROR(VLOOKUP($J628,'Project Reference'!$B$2:$K$41,10)," ")</f>
        <v xml:space="preserve"> </v>
      </c>
      <c r="Y628" s="42" t="str">
        <f>IFERROR(VLOOKUP($J628,'Project Reference'!$B$2:$L$41,11)," ")</f>
        <v xml:space="preserve"> </v>
      </c>
      <c r="Z628" s="42" t="str">
        <f>IFERROR(VLOOKUP($J628,'Project Reference'!$B$2:$M$41,12)," ")</f>
        <v xml:space="preserve"> </v>
      </c>
      <c r="AA628" s="42" t="str">
        <f>IFERROR(VLOOKUP($J628,'Project Reference'!$B$2:$N$41,13)," ")</f>
        <v xml:space="preserve"> </v>
      </c>
    </row>
    <row r="629" spans="1:27" x14ac:dyDescent="0.45">
      <c r="A629" s="43"/>
      <c r="B629" s="205"/>
      <c r="C629"/>
      <c r="D629" s="72"/>
      <c r="E629" s="72"/>
      <c r="F629" s="72"/>
      <c r="G629" s="72"/>
      <c r="H629" s="17"/>
      <c r="I629" s="41" t="str" cm="1">
        <f t="array" ref="I629">IFERROR(_xlfn.IFS(H629="Hard (Cash)","N/A",H629="Soft (In-Kind)", "Enter Source"),"Select Type")</f>
        <v>Select Type</v>
      </c>
      <c r="J629" s="124"/>
      <c r="K629" s="41" t="str">
        <f>IFERROR(VLOOKUP($J629,'Project Reference'!$S$2:$T$41,2),"Enter Project Number")</f>
        <v>Enter Project Number</v>
      </c>
      <c r="L629" s="41"/>
      <c r="M629" s="41"/>
      <c r="N629" s="15">
        <f t="shared" si="10"/>
        <v>0</v>
      </c>
      <c r="O629" s="19"/>
      <c r="P629" s="42" t="str">
        <f>IFERROR(VLOOKUP($J629,'Project Reference'!$B$2:$C$41,2)," ")</f>
        <v xml:space="preserve"> </v>
      </c>
      <c r="Q629" s="42" t="str">
        <f>IFERROR(VLOOKUP($J629,'Project Reference'!$B$2:$D$41,3)," ")</f>
        <v xml:space="preserve"> </v>
      </c>
      <c r="R629" s="42" t="str">
        <f>IFERROR(VLOOKUP($J629,'Project Reference'!$B$2:$E$41,4)," ")</f>
        <v xml:space="preserve"> </v>
      </c>
      <c r="S629" s="42" t="str">
        <f>IFERROR(VLOOKUP($J629,'Project Reference'!$B$2:$F$41,5,FALSE)," ")</f>
        <v xml:space="preserve"> </v>
      </c>
      <c r="T629" s="42" t="str">
        <f>IFERROR(VLOOKUP($J629,'Project Reference'!$B$2:$G$41,6,FALSE)," ")</f>
        <v xml:space="preserve"> </v>
      </c>
      <c r="U629" s="42" t="str">
        <f>IFERROR(VLOOKUP($J629,'Project Reference'!$B$2:$H$41,7,FALSE)," ")</f>
        <v xml:space="preserve"> </v>
      </c>
      <c r="V629" s="42" t="str">
        <f>IFERROR(VLOOKUP($J629,'Project Reference'!$B$2:$I$41,8,FALSE)," ")</f>
        <v xml:space="preserve"> </v>
      </c>
      <c r="W629" s="42" t="str">
        <f>IFERROR(VLOOKUP($J629,'Project Reference'!$B$2:$J$41,9,FALSE)," ")</f>
        <v xml:space="preserve"> </v>
      </c>
      <c r="X629" s="42" t="str">
        <f>IFERROR(VLOOKUP($J629,'Project Reference'!$B$2:$K$41,10)," ")</f>
        <v xml:space="preserve"> </v>
      </c>
      <c r="Y629" s="42" t="str">
        <f>IFERROR(VLOOKUP($J629,'Project Reference'!$B$2:$L$41,11)," ")</f>
        <v xml:space="preserve"> </v>
      </c>
      <c r="Z629" s="42" t="str">
        <f>IFERROR(VLOOKUP($J629,'Project Reference'!$B$2:$M$41,12)," ")</f>
        <v xml:space="preserve"> </v>
      </c>
      <c r="AA629" s="42" t="str">
        <f>IFERROR(VLOOKUP($J629,'Project Reference'!$B$2:$N$41,13)," ")</f>
        <v xml:space="preserve"> </v>
      </c>
    </row>
    <row r="630" spans="1:27" x14ac:dyDescent="0.45">
      <c r="A630" s="43"/>
      <c r="B630" s="205"/>
      <c r="C630"/>
      <c r="D630" s="72"/>
      <c r="E630" s="72"/>
      <c r="F630" s="72"/>
      <c r="G630" s="72"/>
      <c r="H630" s="17"/>
      <c r="I630" s="41" t="str" cm="1">
        <f t="array" ref="I630">IFERROR(_xlfn.IFS(H630="Hard (Cash)","N/A",H630="Soft (In-Kind)", "Enter Source"),"Select Type")</f>
        <v>Select Type</v>
      </c>
      <c r="J630" s="124"/>
      <c r="K630" s="41" t="str">
        <f>IFERROR(VLOOKUP($J630,'Project Reference'!$S$2:$T$41,2),"Enter Project Number")</f>
        <v>Enter Project Number</v>
      </c>
      <c r="L630" s="41"/>
      <c r="M630" s="41"/>
      <c r="N630" s="15">
        <f t="shared" si="10"/>
        <v>0</v>
      </c>
      <c r="O630" s="19"/>
      <c r="P630" s="42" t="str">
        <f>IFERROR(VLOOKUP($J630,'Project Reference'!$B$2:$C$41,2)," ")</f>
        <v xml:space="preserve"> </v>
      </c>
      <c r="Q630" s="42" t="str">
        <f>IFERROR(VLOOKUP($J630,'Project Reference'!$B$2:$D$41,3)," ")</f>
        <v xml:space="preserve"> </v>
      </c>
      <c r="R630" s="42" t="str">
        <f>IFERROR(VLOOKUP($J630,'Project Reference'!$B$2:$E$41,4)," ")</f>
        <v xml:space="preserve"> </v>
      </c>
      <c r="S630" s="42" t="str">
        <f>IFERROR(VLOOKUP($J630,'Project Reference'!$B$2:$F$41,5,FALSE)," ")</f>
        <v xml:space="preserve"> </v>
      </c>
      <c r="T630" s="42" t="str">
        <f>IFERROR(VLOOKUP($J630,'Project Reference'!$B$2:$G$41,6,FALSE)," ")</f>
        <v xml:space="preserve"> </v>
      </c>
      <c r="U630" s="42" t="str">
        <f>IFERROR(VLOOKUP($J630,'Project Reference'!$B$2:$H$41,7,FALSE)," ")</f>
        <v xml:space="preserve"> </v>
      </c>
      <c r="V630" s="42" t="str">
        <f>IFERROR(VLOOKUP($J630,'Project Reference'!$B$2:$I$41,8,FALSE)," ")</f>
        <v xml:space="preserve"> </v>
      </c>
      <c r="W630" s="42" t="str">
        <f>IFERROR(VLOOKUP($J630,'Project Reference'!$B$2:$J$41,9,FALSE)," ")</f>
        <v xml:space="preserve"> </v>
      </c>
      <c r="X630" s="42" t="str">
        <f>IFERROR(VLOOKUP($J630,'Project Reference'!$B$2:$K$41,10)," ")</f>
        <v xml:space="preserve"> </v>
      </c>
      <c r="Y630" s="42" t="str">
        <f>IFERROR(VLOOKUP($J630,'Project Reference'!$B$2:$L$41,11)," ")</f>
        <v xml:space="preserve"> </v>
      </c>
      <c r="Z630" s="42" t="str">
        <f>IFERROR(VLOOKUP($J630,'Project Reference'!$B$2:$M$41,12)," ")</f>
        <v xml:space="preserve"> </v>
      </c>
      <c r="AA630" s="42" t="str">
        <f>IFERROR(VLOOKUP($J630,'Project Reference'!$B$2:$N$41,13)," ")</f>
        <v xml:space="preserve"> </v>
      </c>
    </row>
    <row r="631" spans="1:27" x14ac:dyDescent="0.45">
      <c r="A631" s="43"/>
      <c r="B631" s="205"/>
      <c r="C631"/>
      <c r="D631" s="72"/>
      <c r="E631" s="72"/>
      <c r="F631" s="72"/>
      <c r="G631" s="72"/>
      <c r="H631" s="17"/>
      <c r="I631" s="41" t="str" cm="1">
        <f t="array" ref="I631">IFERROR(_xlfn.IFS(H631="Hard (Cash)","N/A",H631="Soft (In-Kind)", "Enter Source"),"Select Type")</f>
        <v>Select Type</v>
      </c>
      <c r="J631" s="124"/>
      <c r="K631" s="41" t="str">
        <f>IFERROR(VLOOKUP($J631,'Project Reference'!$S$2:$T$41,2),"Enter Project Number")</f>
        <v>Enter Project Number</v>
      </c>
      <c r="L631" s="41"/>
      <c r="M631" s="41"/>
      <c r="N631" s="15">
        <f t="shared" si="10"/>
        <v>0</v>
      </c>
      <c r="O631" s="19"/>
      <c r="P631" s="42" t="str">
        <f>IFERROR(VLOOKUP($J631,'Project Reference'!$B$2:$C$41,2)," ")</f>
        <v xml:space="preserve"> </v>
      </c>
      <c r="Q631" s="42" t="str">
        <f>IFERROR(VLOOKUP($J631,'Project Reference'!$B$2:$D$41,3)," ")</f>
        <v xml:space="preserve"> </v>
      </c>
      <c r="R631" s="42" t="str">
        <f>IFERROR(VLOOKUP($J631,'Project Reference'!$B$2:$E$41,4)," ")</f>
        <v xml:space="preserve"> </v>
      </c>
      <c r="S631" s="42" t="str">
        <f>IFERROR(VLOOKUP($J631,'Project Reference'!$B$2:$F$41,5,FALSE)," ")</f>
        <v xml:space="preserve"> </v>
      </c>
      <c r="T631" s="42" t="str">
        <f>IFERROR(VLOOKUP($J631,'Project Reference'!$B$2:$G$41,6,FALSE)," ")</f>
        <v xml:space="preserve"> </v>
      </c>
      <c r="U631" s="42" t="str">
        <f>IFERROR(VLOOKUP($J631,'Project Reference'!$B$2:$H$41,7,FALSE)," ")</f>
        <v xml:space="preserve"> </v>
      </c>
      <c r="V631" s="42" t="str">
        <f>IFERROR(VLOOKUP($J631,'Project Reference'!$B$2:$I$41,8,FALSE)," ")</f>
        <v xml:space="preserve"> </v>
      </c>
      <c r="W631" s="42" t="str">
        <f>IFERROR(VLOOKUP($J631,'Project Reference'!$B$2:$J$41,9,FALSE)," ")</f>
        <v xml:space="preserve"> </v>
      </c>
      <c r="X631" s="42" t="str">
        <f>IFERROR(VLOOKUP($J631,'Project Reference'!$B$2:$K$41,10)," ")</f>
        <v xml:space="preserve"> </v>
      </c>
      <c r="Y631" s="42" t="str">
        <f>IFERROR(VLOOKUP($J631,'Project Reference'!$B$2:$L$41,11)," ")</f>
        <v xml:space="preserve"> </v>
      </c>
      <c r="Z631" s="42" t="str">
        <f>IFERROR(VLOOKUP($J631,'Project Reference'!$B$2:$M$41,12)," ")</f>
        <v xml:space="preserve"> </v>
      </c>
      <c r="AA631" s="42" t="str">
        <f>IFERROR(VLOOKUP($J631,'Project Reference'!$B$2:$N$41,13)," ")</f>
        <v xml:space="preserve"> </v>
      </c>
    </row>
    <row r="632" spans="1:27" x14ac:dyDescent="0.45">
      <c r="A632" s="43"/>
      <c r="B632" s="205"/>
      <c r="C632"/>
      <c r="D632" s="72"/>
      <c r="E632" s="72"/>
      <c r="F632" s="72"/>
      <c r="G632" s="72"/>
      <c r="H632" s="17"/>
      <c r="I632" s="41" t="str" cm="1">
        <f t="array" ref="I632">IFERROR(_xlfn.IFS(H632="Hard (Cash)","N/A",H632="Soft (In-Kind)", "Enter Source"),"Select Type")</f>
        <v>Select Type</v>
      </c>
      <c r="J632" s="124"/>
      <c r="K632" s="41" t="str">
        <f>IFERROR(VLOOKUP($J632,'Project Reference'!$S$2:$T$41,2),"Enter Project Number")</f>
        <v>Enter Project Number</v>
      </c>
      <c r="L632" s="41"/>
      <c r="M632" s="41"/>
      <c r="N632" s="15">
        <f t="shared" si="10"/>
        <v>0</v>
      </c>
      <c r="O632" s="19"/>
      <c r="P632" s="42" t="str">
        <f>IFERROR(VLOOKUP($J632,'Project Reference'!$B$2:$C$41,2)," ")</f>
        <v xml:space="preserve"> </v>
      </c>
      <c r="Q632" s="42" t="str">
        <f>IFERROR(VLOOKUP($J632,'Project Reference'!$B$2:$D$41,3)," ")</f>
        <v xml:space="preserve"> </v>
      </c>
      <c r="R632" s="42" t="str">
        <f>IFERROR(VLOOKUP($J632,'Project Reference'!$B$2:$E$41,4)," ")</f>
        <v xml:space="preserve"> </v>
      </c>
      <c r="S632" s="42" t="str">
        <f>IFERROR(VLOOKUP($J632,'Project Reference'!$B$2:$F$41,5,FALSE)," ")</f>
        <v xml:space="preserve"> </v>
      </c>
      <c r="T632" s="42" t="str">
        <f>IFERROR(VLOOKUP($J632,'Project Reference'!$B$2:$G$41,6,FALSE)," ")</f>
        <v xml:space="preserve"> </v>
      </c>
      <c r="U632" s="42" t="str">
        <f>IFERROR(VLOOKUP($J632,'Project Reference'!$B$2:$H$41,7,FALSE)," ")</f>
        <v xml:space="preserve"> </v>
      </c>
      <c r="V632" s="42" t="str">
        <f>IFERROR(VLOOKUP($J632,'Project Reference'!$B$2:$I$41,8,FALSE)," ")</f>
        <v xml:space="preserve"> </v>
      </c>
      <c r="W632" s="42" t="str">
        <f>IFERROR(VLOOKUP($J632,'Project Reference'!$B$2:$J$41,9,FALSE)," ")</f>
        <v xml:space="preserve"> </v>
      </c>
      <c r="X632" s="42" t="str">
        <f>IFERROR(VLOOKUP($J632,'Project Reference'!$B$2:$K$41,10)," ")</f>
        <v xml:space="preserve"> </v>
      </c>
      <c r="Y632" s="42" t="str">
        <f>IFERROR(VLOOKUP($J632,'Project Reference'!$B$2:$L$41,11)," ")</f>
        <v xml:space="preserve"> </v>
      </c>
      <c r="Z632" s="42" t="str">
        <f>IFERROR(VLOOKUP($J632,'Project Reference'!$B$2:$M$41,12)," ")</f>
        <v xml:space="preserve"> </v>
      </c>
      <c r="AA632" s="42" t="str">
        <f>IFERROR(VLOOKUP($J632,'Project Reference'!$B$2:$N$41,13)," ")</f>
        <v xml:space="preserve"> </v>
      </c>
    </row>
    <row r="633" spans="1:27" x14ac:dyDescent="0.45">
      <c r="A633" s="43"/>
      <c r="B633" s="205"/>
      <c r="C633"/>
      <c r="D633" s="72"/>
      <c r="E633" s="72"/>
      <c r="F633" s="72"/>
      <c r="G633" s="72"/>
      <c r="H633" s="17"/>
      <c r="I633" s="41" t="str" cm="1">
        <f t="array" ref="I633">IFERROR(_xlfn.IFS(H633="Hard (Cash)","N/A",H633="Soft (In-Kind)", "Enter Source"),"Select Type")</f>
        <v>Select Type</v>
      </c>
      <c r="J633" s="124"/>
      <c r="K633" s="41" t="str">
        <f>IFERROR(VLOOKUP($J633,'Project Reference'!$S$2:$T$41,2),"Enter Project Number")</f>
        <v>Enter Project Number</v>
      </c>
      <c r="L633" s="41"/>
      <c r="M633" s="41"/>
      <c r="N633" s="15">
        <f t="shared" si="10"/>
        <v>0</v>
      </c>
      <c r="O633" s="19"/>
      <c r="P633" s="42" t="str">
        <f>IFERROR(VLOOKUP($J633,'Project Reference'!$B$2:$C$41,2)," ")</f>
        <v xml:space="preserve"> </v>
      </c>
      <c r="Q633" s="42" t="str">
        <f>IFERROR(VLOOKUP($J633,'Project Reference'!$B$2:$D$41,3)," ")</f>
        <v xml:space="preserve"> </v>
      </c>
      <c r="R633" s="42" t="str">
        <f>IFERROR(VLOOKUP($J633,'Project Reference'!$B$2:$E$41,4)," ")</f>
        <v xml:space="preserve"> </v>
      </c>
      <c r="S633" s="42" t="str">
        <f>IFERROR(VLOOKUP($J633,'Project Reference'!$B$2:$F$41,5,FALSE)," ")</f>
        <v xml:space="preserve"> </v>
      </c>
      <c r="T633" s="42" t="str">
        <f>IFERROR(VLOOKUP($J633,'Project Reference'!$B$2:$G$41,6,FALSE)," ")</f>
        <v xml:space="preserve"> </v>
      </c>
      <c r="U633" s="42" t="str">
        <f>IFERROR(VLOOKUP($J633,'Project Reference'!$B$2:$H$41,7,FALSE)," ")</f>
        <v xml:space="preserve"> </v>
      </c>
      <c r="V633" s="42" t="str">
        <f>IFERROR(VLOOKUP($J633,'Project Reference'!$B$2:$I$41,8,FALSE)," ")</f>
        <v xml:space="preserve"> </v>
      </c>
      <c r="W633" s="42" t="str">
        <f>IFERROR(VLOOKUP($J633,'Project Reference'!$B$2:$J$41,9,FALSE)," ")</f>
        <v xml:space="preserve"> </v>
      </c>
      <c r="X633" s="42" t="str">
        <f>IFERROR(VLOOKUP($J633,'Project Reference'!$B$2:$K$41,10)," ")</f>
        <v xml:space="preserve"> </v>
      </c>
      <c r="Y633" s="42" t="str">
        <f>IFERROR(VLOOKUP($J633,'Project Reference'!$B$2:$L$41,11)," ")</f>
        <v xml:space="preserve"> </v>
      </c>
      <c r="Z633" s="42" t="str">
        <f>IFERROR(VLOOKUP($J633,'Project Reference'!$B$2:$M$41,12)," ")</f>
        <v xml:space="preserve"> </v>
      </c>
      <c r="AA633" s="42" t="str">
        <f>IFERROR(VLOOKUP($J633,'Project Reference'!$B$2:$N$41,13)," ")</f>
        <v xml:space="preserve"> </v>
      </c>
    </row>
    <row r="634" spans="1:27" x14ac:dyDescent="0.45">
      <c r="A634" s="43"/>
      <c r="B634" s="205"/>
      <c r="C634"/>
      <c r="D634" s="72"/>
      <c r="E634" s="72"/>
      <c r="F634" s="72"/>
      <c r="G634" s="72"/>
      <c r="H634" s="17"/>
      <c r="I634" s="41" t="str" cm="1">
        <f t="array" ref="I634">IFERROR(_xlfn.IFS(H634="Hard (Cash)","N/A",H634="Soft (In-Kind)", "Enter Source"),"Select Type")</f>
        <v>Select Type</v>
      </c>
      <c r="J634" s="124"/>
      <c r="K634" s="41" t="str">
        <f>IFERROR(VLOOKUP($J634,'Project Reference'!$S$2:$T$41,2),"Enter Project Number")</f>
        <v>Enter Project Number</v>
      </c>
      <c r="L634" s="41"/>
      <c r="M634" s="41"/>
      <c r="N634" s="15">
        <f t="shared" si="10"/>
        <v>0</v>
      </c>
      <c r="O634" s="19"/>
      <c r="P634" s="42" t="str">
        <f>IFERROR(VLOOKUP($J634,'Project Reference'!$B$2:$C$41,2)," ")</f>
        <v xml:space="preserve"> </v>
      </c>
      <c r="Q634" s="42" t="str">
        <f>IFERROR(VLOOKUP($J634,'Project Reference'!$B$2:$D$41,3)," ")</f>
        <v xml:space="preserve"> </v>
      </c>
      <c r="R634" s="42" t="str">
        <f>IFERROR(VLOOKUP($J634,'Project Reference'!$B$2:$E$41,4)," ")</f>
        <v xml:space="preserve"> </v>
      </c>
      <c r="S634" s="42" t="str">
        <f>IFERROR(VLOOKUP($J634,'Project Reference'!$B$2:$F$41,5,FALSE)," ")</f>
        <v xml:space="preserve"> </v>
      </c>
      <c r="T634" s="42" t="str">
        <f>IFERROR(VLOOKUP($J634,'Project Reference'!$B$2:$G$41,6,FALSE)," ")</f>
        <v xml:space="preserve"> </v>
      </c>
      <c r="U634" s="42" t="str">
        <f>IFERROR(VLOOKUP($J634,'Project Reference'!$B$2:$H$41,7,FALSE)," ")</f>
        <v xml:space="preserve"> </v>
      </c>
      <c r="V634" s="42" t="str">
        <f>IFERROR(VLOOKUP($J634,'Project Reference'!$B$2:$I$41,8,FALSE)," ")</f>
        <v xml:space="preserve"> </v>
      </c>
      <c r="W634" s="42" t="str">
        <f>IFERROR(VLOOKUP($J634,'Project Reference'!$B$2:$J$41,9,FALSE)," ")</f>
        <v xml:space="preserve"> </v>
      </c>
      <c r="X634" s="42" t="str">
        <f>IFERROR(VLOOKUP($J634,'Project Reference'!$B$2:$K$41,10)," ")</f>
        <v xml:space="preserve"> </v>
      </c>
      <c r="Y634" s="42" t="str">
        <f>IFERROR(VLOOKUP($J634,'Project Reference'!$B$2:$L$41,11)," ")</f>
        <v xml:space="preserve"> </v>
      </c>
      <c r="Z634" s="42" t="str">
        <f>IFERROR(VLOOKUP($J634,'Project Reference'!$B$2:$M$41,12)," ")</f>
        <v xml:space="preserve"> </v>
      </c>
      <c r="AA634" s="42" t="str">
        <f>IFERROR(VLOOKUP($J634,'Project Reference'!$B$2:$N$41,13)," ")</f>
        <v xml:space="preserve"> </v>
      </c>
    </row>
    <row r="635" spans="1:27" x14ac:dyDescent="0.45">
      <c r="A635" s="43"/>
      <c r="B635" s="205"/>
      <c r="C635"/>
      <c r="D635" s="72"/>
      <c r="E635" s="72"/>
      <c r="F635" s="72"/>
      <c r="G635" s="72"/>
      <c r="H635" s="17"/>
      <c r="I635" s="41" t="str" cm="1">
        <f t="array" ref="I635">IFERROR(_xlfn.IFS(H635="Hard (Cash)","N/A",H635="Soft (In-Kind)", "Enter Source"),"Select Type")</f>
        <v>Select Type</v>
      </c>
      <c r="J635" s="124"/>
      <c r="K635" s="41" t="str">
        <f>IFERROR(VLOOKUP($J635,'Project Reference'!$S$2:$T$41,2),"Enter Project Number")</f>
        <v>Enter Project Number</v>
      </c>
      <c r="L635" s="41"/>
      <c r="M635" s="41"/>
      <c r="N635" s="15">
        <f t="shared" si="10"/>
        <v>0</v>
      </c>
      <c r="O635" s="19"/>
      <c r="P635" s="42" t="str">
        <f>IFERROR(VLOOKUP($J635,'Project Reference'!$B$2:$C$41,2)," ")</f>
        <v xml:space="preserve"> </v>
      </c>
      <c r="Q635" s="42" t="str">
        <f>IFERROR(VLOOKUP($J635,'Project Reference'!$B$2:$D$41,3)," ")</f>
        <v xml:space="preserve"> </v>
      </c>
      <c r="R635" s="42" t="str">
        <f>IFERROR(VLOOKUP($J635,'Project Reference'!$B$2:$E$41,4)," ")</f>
        <v xml:space="preserve"> </v>
      </c>
      <c r="S635" s="42" t="str">
        <f>IFERROR(VLOOKUP($J635,'Project Reference'!$B$2:$F$41,5,FALSE)," ")</f>
        <v xml:space="preserve"> </v>
      </c>
      <c r="T635" s="42" t="str">
        <f>IFERROR(VLOOKUP($J635,'Project Reference'!$B$2:$G$41,6,FALSE)," ")</f>
        <v xml:space="preserve"> </v>
      </c>
      <c r="U635" s="42" t="str">
        <f>IFERROR(VLOOKUP($J635,'Project Reference'!$B$2:$H$41,7,FALSE)," ")</f>
        <v xml:space="preserve"> </v>
      </c>
      <c r="V635" s="42" t="str">
        <f>IFERROR(VLOOKUP($J635,'Project Reference'!$B$2:$I$41,8,FALSE)," ")</f>
        <v xml:space="preserve"> </v>
      </c>
      <c r="W635" s="42" t="str">
        <f>IFERROR(VLOOKUP($J635,'Project Reference'!$B$2:$J$41,9,FALSE)," ")</f>
        <v xml:space="preserve"> </v>
      </c>
      <c r="X635" s="42" t="str">
        <f>IFERROR(VLOOKUP($J635,'Project Reference'!$B$2:$K$41,10)," ")</f>
        <v xml:space="preserve"> </v>
      </c>
      <c r="Y635" s="42" t="str">
        <f>IFERROR(VLOOKUP($J635,'Project Reference'!$B$2:$L$41,11)," ")</f>
        <v xml:space="preserve"> </v>
      </c>
      <c r="Z635" s="42" t="str">
        <f>IFERROR(VLOOKUP($J635,'Project Reference'!$B$2:$M$41,12)," ")</f>
        <v xml:space="preserve"> </v>
      </c>
      <c r="AA635" s="42" t="str">
        <f>IFERROR(VLOOKUP($J635,'Project Reference'!$B$2:$N$41,13)," ")</f>
        <v xml:space="preserve"> </v>
      </c>
    </row>
    <row r="636" spans="1:27" x14ac:dyDescent="0.45">
      <c r="A636" s="43"/>
      <c r="B636" s="205"/>
      <c r="C636"/>
      <c r="D636" s="72"/>
      <c r="E636" s="72"/>
      <c r="F636" s="72"/>
      <c r="G636" s="72"/>
      <c r="H636" s="17"/>
      <c r="I636" s="41" t="str" cm="1">
        <f t="array" ref="I636">IFERROR(_xlfn.IFS(H636="Hard (Cash)","N/A",H636="Soft (In-Kind)", "Enter Source"),"Select Type")</f>
        <v>Select Type</v>
      </c>
      <c r="J636" s="124"/>
      <c r="K636" s="41" t="str">
        <f>IFERROR(VLOOKUP($J636,'Project Reference'!$S$2:$T$41,2),"Enter Project Number")</f>
        <v>Enter Project Number</v>
      </c>
      <c r="L636" s="41"/>
      <c r="M636" s="41"/>
      <c r="N636" s="15">
        <f t="shared" si="10"/>
        <v>0</v>
      </c>
      <c r="O636" s="19"/>
      <c r="P636" s="42" t="str">
        <f>IFERROR(VLOOKUP($J636,'Project Reference'!$B$2:$C$41,2)," ")</f>
        <v xml:space="preserve"> </v>
      </c>
      <c r="Q636" s="42" t="str">
        <f>IFERROR(VLOOKUP($J636,'Project Reference'!$B$2:$D$41,3)," ")</f>
        <v xml:space="preserve"> </v>
      </c>
      <c r="R636" s="42" t="str">
        <f>IFERROR(VLOOKUP($J636,'Project Reference'!$B$2:$E$41,4)," ")</f>
        <v xml:space="preserve"> </v>
      </c>
      <c r="S636" s="42" t="str">
        <f>IFERROR(VLOOKUP($J636,'Project Reference'!$B$2:$F$41,5,FALSE)," ")</f>
        <v xml:space="preserve"> </v>
      </c>
      <c r="T636" s="42" t="str">
        <f>IFERROR(VLOOKUP($J636,'Project Reference'!$B$2:$G$41,6,FALSE)," ")</f>
        <v xml:space="preserve"> </v>
      </c>
      <c r="U636" s="42" t="str">
        <f>IFERROR(VLOOKUP($J636,'Project Reference'!$B$2:$H$41,7,FALSE)," ")</f>
        <v xml:space="preserve"> </v>
      </c>
      <c r="V636" s="42" t="str">
        <f>IFERROR(VLOOKUP($J636,'Project Reference'!$B$2:$I$41,8,FALSE)," ")</f>
        <v xml:space="preserve"> </v>
      </c>
      <c r="W636" s="42" t="str">
        <f>IFERROR(VLOOKUP($J636,'Project Reference'!$B$2:$J$41,9,FALSE)," ")</f>
        <v xml:space="preserve"> </v>
      </c>
      <c r="X636" s="42" t="str">
        <f>IFERROR(VLOOKUP($J636,'Project Reference'!$B$2:$K$41,10)," ")</f>
        <v xml:space="preserve"> </v>
      </c>
      <c r="Y636" s="42" t="str">
        <f>IFERROR(VLOOKUP($J636,'Project Reference'!$B$2:$L$41,11)," ")</f>
        <v xml:space="preserve"> </v>
      </c>
      <c r="Z636" s="42" t="str">
        <f>IFERROR(VLOOKUP($J636,'Project Reference'!$B$2:$M$41,12)," ")</f>
        <v xml:space="preserve"> </v>
      </c>
      <c r="AA636" s="42" t="str">
        <f>IFERROR(VLOOKUP($J636,'Project Reference'!$B$2:$N$41,13)," ")</f>
        <v xml:space="preserve"> </v>
      </c>
    </row>
    <row r="637" spans="1:27" x14ac:dyDescent="0.45">
      <c r="A637" s="43"/>
      <c r="B637" s="205"/>
      <c r="C637"/>
      <c r="D637" s="72"/>
      <c r="E637" s="72"/>
      <c r="F637" s="72"/>
      <c r="G637" s="72"/>
      <c r="H637" s="17"/>
      <c r="I637" s="41" t="str" cm="1">
        <f t="array" ref="I637">IFERROR(_xlfn.IFS(H637="Hard (Cash)","N/A",H637="Soft (In-Kind)", "Enter Source"),"Select Type")</f>
        <v>Select Type</v>
      </c>
      <c r="J637" s="124"/>
      <c r="K637" s="41" t="str">
        <f>IFERROR(VLOOKUP($J637,'Project Reference'!$S$2:$T$41,2),"Enter Project Number")</f>
        <v>Enter Project Number</v>
      </c>
      <c r="L637" s="41"/>
      <c r="M637" s="41"/>
      <c r="N637" s="15">
        <f t="shared" si="10"/>
        <v>0</v>
      </c>
      <c r="O637" s="19"/>
      <c r="P637" s="42" t="str">
        <f>IFERROR(VLOOKUP($J637,'Project Reference'!$B$2:$C$41,2)," ")</f>
        <v xml:space="preserve"> </v>
      </c>
      <c r="Q637" s="42" t="str">
        <f>IFERROR(VLOOKUP($J637,'Project Reference'!$B$2:$D$41,3)," ")</f>
        <v xml:space="preserve"> </v>
      </c>
      <c r="R637" s="42" t="str">
        <f>IFERROR(VLOOKUP($J637,'Project Reference'!$B$2:$E$41,4)," ")</f>
        <v xml:space="preserve"> </v>
      </c>
      <c r="S637" s="42" t="str">
        <f>IFERROR(VLOOKUP($J637,'Project Reference'!$B$2:$F$41,5,FALSE)," ")</f>
        <v xml:space="preserve"> </v>
      </c>
      <c r="T637" s="42" t="str">
        <f>IFERROR(VLOOKUP($J637,'Project Reference'!$B$2:$G$41,6,FALSE)," ")</f>
        <v xml:space="preserve"> </v>
      </c>
      <c r="U637" s="42" t="str">
        <f>IFERROR(VLOOKUP($J637,'Project Reference'!$B$2:$H$41,7,FALSE)," ")</f>
        <v xml:space="preserve"> </v>
      </c>
      <c r="V637" s="42" t="str">
        <f>IFERROR(VLOOKUP($J637,'Project Reference'!$B$2:$I$41,8,FALSE)," ")</f>
        <v xml:space="preserve"> </v>
      </c>
      <c r="W637" s="42" t="str">
        <f>IFERROR(VLOOKUP($J637,'Project Reference'!$B$2:$J$41,9,FALSE)," ")</f>
        <v xml:space="preserve"> </v>
      </c>
      <c r="X637" s="42" t="str">
        <f>IFERROR(VLOOKUP($J637,'Project Reference'!$B$2:$K$41,10)," ")</f>
        <v xml:space="preserve"> </v>
      </c>
      <c r="Y637" s="42" t="str">
        <f>IFERROR(VLOOKUP($J637,'Project Reference'!$B$2:$L$41,11)," ")</f>
        <v xml:space="preserve"> </v>
      </c>
      <c r="Z637" s="42" t="str">
        <f>IFERROR(VLOOKUP($J637,'Project Reference'!$B$2:$M$41,12)," ")</f>
        <v xml:space="preserve"> </v>
      </c>
      <c r="AA637" s="42" t="str">
        <f>IFERROR(VLOOKUP($J637,'Project Reference'!$B$2:$N$41,13)," ")</f>
        <v xml:space="preserve"> </v>
      </c>
    </row>
    <row r="638" spans="1:27" x14ac:dyDescent="0.45">
      <c r="A638" s="43"/>
      <c r="B638" s="205"/>
      <c r="C638"/>
      <c r="D638" s="72"/>
      <c r="E638" s="72"/>
      <c r="F638" s="72"/>
      <c r="G638" s="72"/>
      <c r="H638" s="17"/>
      <c r="I638" s="41" t="str" cm="1">
        <f t="array" ref="I638">IFERROR(_xlfn.IFS(H638="Hard (Cash)","N/A",H638="Soft (In-Kind)", "Enter Source"),"Select Type")</f>
        <v>Select Type</v>
      </c>
      <c r="J638" s="124"/>
      <c r="K638" s="41" t="str">
        <f>IFERROR(VLOOKUP($J638,'Project Reference'!$S$2:$T$41,2),"Enter Project Number")</f>
        <v>Enter Project Number</v>
      </c>
      <c r="L638" s="41"/>
      <c r="M638" s="41"/>
      <c r="N638" s="15">
        <f t="shared" si="10"/>
        <v>0</v>
      </c>
      <c r="O638" s="19"/>
      <c r="P638" s="42" t="str">
        <f>IFERROR(VLOOKUP($J638,'Project Reference'!$B$2:$C$41,2)," ")</f>
        <v xml:space="preserve"> </v>
      </c>
      <c r="Q638" s="42" t="str">
        <f>IFERROR(VLOOKUP($J638,'Project Reference'!$B$2:$D$41,3)," ")</f>
        <v xml:space="preserve"> </v>
      </c>
      <c r="R638" s="42" t="str">
        <f>IFERROR(VLOOKUP($J638,'Project Reference'!$B$2:$E$41,4)," ")</f>
        <v xml:space="preserve"> </v>
      </c>
      <c r="S638" s="42" t="str">
        <f>IFERROR(VLOOKUP($J638,'Project Reference'!$B$2:$F$41,5,FALSE)," ")</f>
        <v xml:space="preserve"> </v>
      </c>
      <c r="T638" s="42" t="str">
        <f>IFERROR(VLOOKUP($J638,'Project Reference'!$B$2:$G$41,6,FALSE)," ")</f>
        <v xml:space="preserve"> </v>
      </c>
      <c r="U638" s="42" t="str">
        <f>IFERROR(VLOOKUP($J638,'Project Reference'!$B$2:$H$41,7,FALSE)," ")</f>
        <v xml:space="preserve"> </v>
      </c>
      <c r="V638" s="42" t="str">
        <f>IFERROR(VLOOKUP($J638,'Project Reference'!$B$2:$I$41,8,FALSE)," ")</f>
        <v xml:space="preserve"> </v>
      </c>
      <c r="W638" s="42" t="str">
        <f>IFERROR(VLOOKUP($J638,'Project Reference'!$B$2:$J$41,9,FALSE)," ")</f>
        <v xml:space="preserve"> </v>
      </c>
      <c r="X638" s="42" t="str">
        <f>IFERROR(VLOOKUP($J638,'Project Reference'!$B$2:$K$41,10)," ")</f>
        <v xml:space="preserve"> </v>
      </c>
      <c r="Y638" s="42" t="str">
        <f>IFERROR(VLOOKUP($J638,'Project Reference'!$B$2:$L$41,11)," ")</f>
        <v xml:space="preserve"> </v>
      </c>
      <c r="Z638" s="42" t="str">
        <f>IFERROR(VLOOKUP($J638,'Project Reference'!$B$2:$M$41,12)," ")</f>
        <v xml:space="preserve"> </v>
      </c>
      <c r="AA638" s="42" t="str">
        <f>IFERROR(VLOOKUP($J638,'Project Reference'!$B$2:$N$41,13)," ")</f>
        <v xml:space="preserve"> </v>
      </c>
    </row>
    <row r="639" spans="1:27" x14ac:dyDescent="0.45">
      <c r="A639" s="43"/>
      <c r="B639" s="205"/>
      <c r="C639"/>
      <c r="D639" s="72"/>
      <c r="E639" s="72"/>
      <c r="F639" s="72"/>
      <c r="G639" s="72"/>
      <c r="H639" s="17"/>
      <c r="I639" s="41" t="str" cm="1">
        <f t="array" ref="I639">IFERROR(_xlfn.IFS(H639="Hard (Cash)","N/A",H639="Soft (In-Kind)", "Enter Source"),"Select Type")</f>
        <v>Select Type</v>
      </c>
      <c r="J639" s="124"/>
      <c r="K639" s="41" t="str">
        <f>IFERROR(VLOOKUP($J639,'Project Reference'!$S$2:$T$41,2),"Enter Project Number")</f>
        <v>Enter Project Number</v>
      </c>
      <c r="L639" s="41"/>
      <c r="M639" s="41"/>
      <c r="N639" s="15">
        <f t="shared" si="10"/>
        <v>0</v>
      </c>
      <c r="O639" s="19"/>
      <c r="P639" s="42" t="str">
        <f>IFERROR(VLOOKUP($J639,'Project Reference'!$B$2:$C$41,2)," ")</f>
        <v xml:space="preserve"> </v>
      </c>
      <c r="Q639" s="42" t="str">
        <f>IFERROR(VLOOKUP($J639,'Project Reference'!$B$2:$D$41,3)," ")</f>
        <v xml:space="preserve"> </v>
      </c>
      <c r="R639" s="42" t="str">
        <f>IFERROR(VLOOKUP($J639,'Project Reference'!$B$2:$E$41,4)," ")</f>
        <v xml:space="preserve"> </v>
      </c>
      <c r="S639" s="42" t="str">
        <f>IFERROR(VLOOKUP($J639,'Project Reference'!$B$2:$F$41,5,FALSE)," ")</f>
        <v xml:space="preserve"> </v>
      </c>
      <c r="T639" s="42" t="str">
        <f>IFERROR(VLOOKUP($J639,'Project Reference'!$B$2:$G$41,6,FALSE)," ")</f>
        <v xml:space="preserve"> </v>
      </c>
      <c r="U639" s="42" t="str">
        <f>IFERROR(VLOOKUP($J639,'Project Reference'!$B$2:$H$41,7,FALSE)," ")</f>
        <v xml:space="preserve"> </v>
      </c>
      <c r="V639" s="42" t="str">
        <f>IFERROR(VLOOKUP($J639,'Project Reference'!$B$2:$I$41,8,FALSE)," ")</f>
        <v xml:space="preserve"> </v>
      </c>
      <c r="W639" s="42" t="str">
        <f>IFERROR(VLOOKUP($J639,'Project Reference'!$B$2:$J$41,9,FALSE)," ")</f>
        <v xml:space="preserve"> </v>
      </c>
      <c r="X639" s="42" t="str">
        <f>IFERROR(VLOOKUP($J639,'Project Reference'!$B$2:$K$41,10)," ")</f>
        <v xml:space="preserve"> </v>
      </c>
      <c r="Y639" s="42" t="str">
        <f>IFERROR(VLOOKUP($J639,'Project Reference'!$B$2:$L$41,11)," ")</f>
        <v xml:space="preserve"> </v>
      </c>
      <c r="Z639" s="42" t="str">
        <f>IFERROR(VLOOKUP($J639,'Project Reference'!$B$2:$M$41,12)," ")</f>
        <v xml:space="preserve"> </v>
      </c>
      <c r="AA639" s="42" t="str">
        <f>IFERROR(VLOOKUP($J639,'Project Reference'!$B$2:$N$41,13)," ")</f>
        <v xml:space="preserve"> </v>
      </c>
    </row>
    <row r="640" spans="1:27" x14ac:dyDescent="0.45">
      <c r="A640" s="43"/>
      <c r="B640" s="205"/>
      <c r="C640"/>
      <c r="D640" s="72"/>
      <c r="E640" s="72"/>
      <c r="F640" s="72"/>
      <c r="G640" s="72"/>
      <c r="H640" s="17"/>
      <c r="I640" s="41" t="str" cm="1">
        <f t="array" ref="I640">IFERROR(_xlfn.IFS(H640="Hard (Cash)","N/A",H640="Soft (In-Kind)", "Enter Source"),"Select Type")</f>
        <v>Select Type</v>
      </c>
      <c r="J640" s="124"/>
      <c r="K640" s="41" t="str">
        <f>IFERROR(VLOOKUP($J640,'Project Reference'!$S$2:$T$41,2),"Enter Project Number")</f>
        <v>Enter Project Number</v>
      </c>
      <c r="L640" s="41"/>
      <c r="M640" s="41"/>
      <c r="N640" s="15">
        <f t="shared" si="10"/>
        <v>0</v>
      </c>
      <c r="O640" s="19"/>
      <c r="P640" s="42" t="str">
        <f>IFERROR(VLOOKUP($J640,'Project Reference'!$B$2:$C$41,2)," ")</f>
        <v xml:space="preserve"> </v>
      </c>
      <c r="Q640" s="42" t="str">
        <f>IFERROR(VLOOKUP($J640,'Project Reference'!$B$2:$D$41,3)," ")</f>
        <v xml:space="preserve"> </v>
      </c>
      <c r="R640" s="42" t="str">
        <f>IFERROR(VLOOKUP($J640,'Project Reference'!$B$2:$E$41,4)," ")</f>
        <v xml:space="preserve"> </v>
      </c>
      <c r="S640" s="42" t="str">
        <f>IFERROR(VLOOKUP($J640,'Project Reference'!$B$2:$F$41,5,FALSE)," ")</f>
        <v xml:space="preserve"> </v>
      </c>
      <c r="T640" s="42" t="str">
        <f>IFERROR(VLOOKUP($J640,'Project Reference'!$B$2:$G$41,6,FALSE)," ")</f>
        <v xml:space="preserve"> </v>
      </c>
      <c r="U640" s="42" t="str">
        <f>IFERROR(VLOOKUP($J640,'Project Reference'!$B$2:$H$41,7,FALSE)," ")</f>
        <v xml:space="preserve"> </v>
      </c>
      <c r="V640" s="42" t="str">
        <f>IFERROR(VLOOKUP($J640,'Project Reference'!$B$2:$I$41,8,FALSE)," ")</f>
        <v xml:space="preserve"> </v>
      </c>
      <c r="W640" s="42" t="str">
        <f>IFERROR(VLOOKUP($J640,'Project Reference'!$B$2:$J$41,9,FALSE)," ")</f>
        <v xml:space="preserve"> </v>
      </c>
      <c r="X640" s="42" t="str">
        <f>IFERROR(VLOOKUP($J640,'Project Reference'!$B$2:$K$41,10)," ")</f>
        <v xml:space="preserve"> </v>
      </c>
      <c r="Y640" s="42" t="str">
        <f>IFERROR(VLOOKUP($J640,'Project Reference'!$B$2:$L$41,11)," ")</f>
        <v xml:space="preserve"> </v>
      </c>
      <c r="Z640" s="42" t="str">
        <f>IFERROR(VLOOKUP($J640,'Project Reference'!$B$2:$M$41,12)," ")</f>
        <v xml:space="preserve"> </v>
      </c>
      <c r="AA640" s="42" t="str">
        <f>IFERROR(VLOOKUP($J640,'Project Reference'!$B$2:$N$41,13)," ")</f>
        <v xml:space="preserve"> </v>
      </c>
    </row>
    <row r="641" spans="1:27" x14ac:dyDescent="0.45">
      <c r="A641" s="43"/>
      <c r="B641" s="205"/>
      <c r="C641"/>
      <c r="D641" s="72"/>
      <c r="E641" s="72"/>
      <c r="F641" s="72"/>
      <c r="G641" s="72"/>
      <c r="H641" s="17"/>
      <c r="I641" s="41" t="str" cm="1">
        <f t="array" ref="I641">IFERROR(_xlfn.IFS(H641="Hard (Cash)","N/A",H641="Soft (In-Kind)", "Enter Source"),"Select Type")</f>
        <v>Select Type</v>
      </c>
      <c r="J641" s="124"/>
      <c r="K641" s="41" t="str">
        <f>IFERROR(VLOOKUP($J641,'Project Reference'!$S$2:$T$41,2),"Enter Project Number")</f>
        <v>Enter Project Number</v>
      </c>
      <c r="L641" s="41"/>
      <c r="M641" s="41"/>
      <c r="N641" s="15">
        <f t="shared" si="10"/>
        <v>0</v>
      </c>
      <c r="O641" s="19"/>
      <c r="P641" s="42" t="str">
        <f>IFERROR(VLOOKUP($J641,'Project Reference'!$B$2:$C$41,2)," ")</f>
        <v xml:space="preserve"> </v>
      </c>
      <c r="Q641" s="42" t="str">
        <f>IFERROR(VLOOKUP($J641,'Project Reference'!$B$2:$D$41,3)," ")</f>
        <v xml:space="preserve"> </v>
      </c>
      <c r="R641" s="42" t="str">
        <f>IFERROR(VLOOKUP($J641,'Project Reference'!$B$2:$E$41,4)," ")</f>
        <v xml:space="preserve"> </v>
      </c>
      <c r="S641" s="42" t="str">
        <f>IFERROR(VLOOKUP($J641,'Project Reference'!$B$2:$F$41,5,FALSE)," ")</f>
        <v xml:space="preserve"> </v>
      </c>
      <c r="T641" s="42" t="str">
        <f>IFERROR(VLOOKUP($J641,'Project Reference'!$B$2:$G$41,6,FALSE)," ")</f>
        <v xml:space="preserve"> </v>
      </c>
      <c r="U641" s="42" t="str">
        <f>IFERROR(VLOOKUP($J641,'Project Reference'!$B$2:$H$41,7,FALSE)," ")</f>
        <v xml:space="preserve"> </v>
      </c>
      <c r="V641" s="42" t="str">
        <f>IFERROR(VLOOKUP($J641,'Project Reference'!$B$2:$I$41,8,FALSE)," ")</f>
        <v xml:space="preserve"> </v>
      </c>
      <c r="W641" s="42" t="str">
        <f>IFERROR(VLOOKUP($J641,'Project Reference'!$B$2:$J$41,9,FALSE)," ")</f>
        <v xml:space="preserve"> </v>
      </c>
      <c r="X641" s="42" t="str">
        <f>IFERROR(VLOOKUP($J641,'Project Reference'!$B$2:$K$41,10)," ")</f>
        <v xml:space="preserve"> </v>
      </c>
      <c r="Y641" s="42" t="str">
        <f>IFERROR(VLOOKUP($J641,'Project Reference'!$B$2:$L$41,11)," ")</f>
        <v xml:space="preserve"> </v>
      </c>
      <c r="Z641" s="42" t="str">
        <f>IFERROR(VLOOKUP($J641,'Project Reference'!$B$2:$M$41,12)," ")</f>
        <v xml:space="preserve"> </v>
      </c>
      <c r="AA641" s="42" t="str">
        <f>IFERROR(VLOOKUP($J641,'Project Reference'!$B$2:$N$41,13)," ")</f>
        <v xml:space="preserve"> </v>
      </c>
    </row>
    <row r="642" spans="1:27" x14ac:dyDescent="0.45">
      <c r="A642" s="43"/>
      <c r="B642" s="205"/>
      <c r="C642"/>
      <c r="D642" s="72"/>
      <c r="E642" s="72"/>
      <c r="F642" s="72"/>
      <c r="G642" s="72"/>
      <c r="H642" s="17"/>
      <c r="I642" s="41" t="str" cm="1">
        <f t="array" ref="I642">IFERROR(_xlfn.IFS(H642="Hard (Cash)","N/A",H642="Soft (In-Kind)", "Enter Source"),"Select Type")</f>
        <v>Select Type</v>
      </c>
      <c r="J642" s="124"/>
      <c r="K642" s="41" t="str">
        <f>IFERROR(VLOOKUP($J642,'Project Reference'!$S$2:$T$41,2),"Enter Project Number")</f>
        <v>Enter Project Number</v>
      </c>
      <c r="L642" s="41"/>
      <c r="M642" s="41"/>
      <c r="N642" s="15">
        <f t="shared" si="10"/>
        <v>0</v>
      </c>
      <c r="O642" s="19"/>
      <c r="P642" s="42" t="str">
        <f>IFERROR(VLOOKUP($J642,'Project Reference'!$B$2:$C$41,2)," ")</f>
        <v xml:space="preserve"> </v>
      </c>
      <c r="Q642" s="42" t="str">
        <f>IFERROR(VLOOKUP($J642,'Project Reference'!$B$2:$D$41,3)," ")</f>
        <v xml:space="preserve"> </v>
      </c>
      <c r="R642" s="42" t="str">
        <f>IFERROR(VLOOKUP($J642,'Project Reference'!$B$2:$E$41,4)," ")</f>
        <v xml:space="preserve"> </v>
      </c>
      <c r="S642" s="42" t="str">
        <f>IFERROR(VLOOKUP($J642,'Project Reference'!$B$2:$F$41,5,FALSE)," ")</f>
        <v xml:space="preserve"> </v>
      </c>
      <c r="T642" s="42" t="str">
        <f>IFERROR(VLOOKUP($J642,'Project Reference'!$B$2:$G$41,6,FALSE)," ")</f>
        <v xml:space="preserve"> </v>
      </c>
      <c r="U642" s="42" t="str">
        <f>IFERROR(VLOOKUP($J642,'Project Reference'!$B$2:$H$41,7,FALSE)," ")</f>
        <v xml:space="preserve"> </v>
      </c>
      <c r="V642" s="42" t="str">
        <f>IFERROR(VLOOKUP($J642,'Project Reference'!$B$2:$I$41,8,FALSE)," ")</f>
        <v xml:space="preserve"> </v>
      </c>
      <c r="W642" s="42" t="str">
        <f>IFERROR(VLOOKUP($J642,'Project Reference'!$B$2:$J$41,9,FALSE)," ")</f>
        <v xml:space="preserve"> </v>
      </c>
      <c r="X642" s="42" t="str">
        <f>IFERROR(VLOOKUP($J642,'Project Reference'!$B$2:$K$41,10)," ")</f>
        <v xml:space="preserve"> </v>
      </c>
      <c r="Y642" s="42" t="str">
        <f>IFERROR(VLOOKUP($J642,'Project Reference'!$B$2:$L$41,11)," ")</f>
        <v xml:space="preserve"> </v>
      </c>
      <c r="Z642" s="42" t="str">
        <f>IFERROR(VLOOKUP($J642,'Project Reference'!$B$2:$M$41,12)," ")</f>
        <v xml:space="preserve"> </v>
      </c>
      <c r="AA642" s="42" t="str">
        <f>IFERROR(VLOOKUP($J642,'Project Reference'!$B$2:$N$41,13)," ")</f>
        <v xml:space="preserve"> </v>
      </c>
    </row>
    <row r="643" spans="1:27" x14ac:dyDescent="0.45">
      <c r="A643" s="43"/>
      <c r="B643" s="205"/>
      <c r="C643"/>
      <c r="D643" s="72"/>
      <c r="E643" s="72"/>
      <c r="F643" s="72"/>
      <c r="G643" s="72"/>
      <c r="H643" s="17"/>
      <c r="I643" s="41" t="str" cm="1">
        <f t="array" ref="I643">IFERROR(_xlfn.IFS(H643="Hard (Cash)","N/A",H643="Soft (In-Kind)", "Enter Source"),"Select Type")</f>
        <v>Select Type</v>
      </c>
      <c r="J643" s="124"/>
      <c r="K643" s="41" t="str">
        <f>IFERROR(VLOOKUP($J643,'Project Reference'!$S$2:$T$41,2),"Enter Project Number")</f>
        <v>Enter Project Number</v>
      </c>
      <c r="L643" s="41"/>
      <c r="M643" s="41"/>
      <c r="N643" s="15">
        <f t="shared" si="10"/>
        <v>0</v>
      </c>
      <c r="O643" s="19"/>
      <c r="P643" s="42" t="str">
        <f>IFERROR(VLOOKUP($J643,'Project Reference'!$B$2:$C$41,2)," ")</f>
        <v xml:space="preserve"> </v>
      </c>
      <c r="Q643" s="42" t="str">
        <f>IFERROR(VLOOKUP($J643,'Project Reference'!$B$2:$D$41,3)," ")</f>
        <v xml:space="preserve"> </v>
      </c>
      <c r="R643" s="42" t="str">
        <f>IFERROR(VLOOKUP($J643,'Project Reference'!$B$2:$E$41,4)," ")</f>
        <v xml:space="preserve"> </v>
      </c>
      <c r="S643" s="42" t="str">
        <f>IFERROR(VLOOKUP($J643,'Project Reference'!$B$2:$F$41,5,FALSE)," ")</f>
        <v xml:space="preserve"> </v>
      </c>
      <c r="T643" s="42" t="str">
        <f>IFERROR(VLOOKUP($J643,'Project Reference'!$B$2:$G$41,6,FALSE)," ")</f>
        <v xml:space="preserve"> </v>
      </c>
      <c r="U643" s="42" t="str">
        <f>IFERROR(VLOOKUP($J643,'Project Reference'!$B$2:$H$41,7,FALSE)," ")</f>
        <v xml:space="preserve"> </v>
      </c>
      <c r="V643" s="42" t="str">
        <f>IFERROR(VLOOKUP($J643,'Project Reference'!$B$2:$I$41,8,FALSE)," ")</f>
        <v xml:space="preserve"> </v>
      </c>
      <c r="W643" s="42" t="str">
        <f>IFERROR(VLOOKUP($J643,'Project Reference'!$B$2:$J$41,9,FALSE)," ")</f>
        <v xml:space="preserve"> </v>
      </c>
      <c r="X643" s="42" t="str">
        <f>IFERROR(VLOOKUP($J643,'Project Reference'!$B$2:$K$41,10)," ")</f>
        <v xml:space="preserve"> </v>
      </c>
      <c r="Y643" s="42" t="str">
        <f>IFERROR(VLOOKUP($J643,'Project Reference'!$B$2:$L$41,11)," ")</f>
        <v xml:space="preserve"> </v>
      </c>
      <c r="Z643" s="42" t="str">
        <f>IFERROR(VLOOKUP($J643,'Project Reference'!$B$2:$M$41,12)," ")</f>
        <v xml:space="preserve"> </v>
      </c>
      <c r="AA643" s="42" t="str">
        <f>IFERROR(VLOOKUP($J643,'Project Reference'!$B$2:$N$41,13)," ")</f>
        <v xml:space="preserve"> </v>
      </c>
    </row>
    <row r="644" spans="1:27" x14ac:dyDescent="0.45">
      <c r="A644" s="43"/>
      <c r="B644" s="205"/>
      <c r="C644"/>
      <c r="D644" s="72"/>
      <c r="E644" s="72"/>
      <c r="F644" s="72"/>
      <c r="G644" s="72"/>
      <c r="H644" s="17"/>
      <c r="I644" s="41" t="str" cm="1">
        <f t="array" ref="I644">IFERROR(_xlfn.IFS(H644="Hard (Cash)","N/A",H644="Soft (In-Kind)", "Enter Source"),"Select Type")</f>
        <v>Select Type</v>
      </c>
      <c r="J644" s="124"/>
      <c r="K644" s="41" t="str">
        <f>IFERROR(VLOOKUP($J644,'Project Reference'!$S$2:$T$41,2),"Enter Project Number")</f>
        <v>Enter Project Number</v>
      </c>
      <c r="L644" s="41"/>
      <c r="M644" s="41"/>
      <c r="N644" s="15">
        <f t="shared" si="10"/>
        <v>0</v>
      </c>
      <c r="O644" s="19"/>
      <c r="P644" s="42" t="str">
        <f>IFERROR(VLOOKUP($J644,'Project Reference'!$B$2:$C$41,2)," ")</f>
        <v xml:space="preserve"> </v>
      </c>
      <c r="Q644" s="42" t="str">
        <f>IFERROR(VLOOKUP($J644,'Project Reference'!$B$2:$D$41,3)," ")</f>
        <v xml:space="preserve"> </v>
      </c>
      <c r="R644" s="42" t="str">
        <f>IFERROR(VLOOKUP($J644,'Project Reference'!$B$2:$E$41,4)," ")</f>
        <v xml:space="preserve"> </v>
      </c>
      <c r="S644" s="42" t="str">
        <f>IFERROR(VLOOKUP($J644,'Project Reference'!$B$2:$F$41,5,FALSE)," ")</f>
        <v xml:space="preserve"> </v>
      </c>
      <c r="T644" s="42" t="str">
        <f>IFERROR(VLOOKUP($J644,'Project Reference'!$B$2:$G$41,6,FALSE)," ")</f>
        <v xml:space="preserve"> </v>
      </c>
      <c r="U644" s="42" t="str">
        <f>IFERROR(VLOOKUP($J644,'Project Reference'!$B$2:$H$41,7,FALSE)," ")</f>
        <v xml:space="preserve"> </v>
      </c>
      <c r="V644" s="42" t="str">
        <f>IFERROR(VLOOKUP($J644,'Project Reference'!$B$2:$I$41,8,FALSE)," ")</f>
        <v xml:space="preserve"> </v>
      </c>
      <c r="W644" s="42" t="str">
        <f>IFERROR(VLOOKUP($J644,'Project Reference'!$B$2:$J$41,9,FALSE)," ")</f>
        <v xml:space="preserve"> </v>
      </c>
      <c r="X644" s="42" t="str">
        <f>IFERROR(VLOOKUP($J644,'Project Reference'!$B$2:$K$41,10)," ")</f>
        <v xml:space="preserve"> </v>
      </c>
      <c r="Y644" s="42" t="str">
        <f>IFERROR(VLOOKUP($J644,'Project Reference'!$B$2:$L$41,11)," ")</f>
        <v xml:space="preserve"> </v>
      </c>
      <c r="Z644" s="42" t="str">
        <f>IFERROR(VLOOKUP($J644,'Project Reference'!$B$2:$M$41,12)," ")</f>
        <v xml:space="preserve"> </v>
      </c>
      <c r="AA644" s="42" t="str">
        <f>IFERROR(VLOOKUP($J644,'Project Reference'!$B$2:$N$41,13)," ")</f>
        <v xml:space="preserve"> </v>
      </c>
    </row>
    <row r="645" spans="1:27" x14ac:dyDescent="0.45">
      <c r="A645" s="43"/>
      <c r="B645" s="205"/>
      <c r="C645"/>
      <c r="D645" s="72"/>
      <c r="E645" s="72"/>
      <c r="F645" s="72"/>
      <c r="G645" s="72"/>
      <c r="H645" s="17"/>
      <c r="I645" s="41" t="str" cm="1">
        <f t="array" ref="I645">IFERROR(_xlfn.IFS(H645="Hard (Cash)","N/A",H645="Soft (In-Kind)", "Enter Source"),"Select Type")</f>
        <v>Select Type</v>
      </c>
      <c r="J645" s="124"/>
      <c r="K645" s="41" t="str">
        <f>IFERROR(VLOOKUP($J645,'Project Reference'!$S$2:$T$41,2),"Enter Project Number")</f>
        <v>Enter Project Number</v>
      </c>
      <c r="L645" s="41"/>
      <c r="M645" s="41"/>
      <c r="N645" s="15">
        <f t="shared" si="10"/>
        <v>0</v>
      </c>
      <c r="O645" s="19"/>
      <c r="P645" s="42" t="str">
        <f>IFERROR(VLOOKUP($J645,'Project Reference'!$B$2:$C$41,2)," ")</f>
        <v xml:space="preserve"> </v>
      </c>
      <c r="Q645" s="42" t="str">
        <f>IFERROR(VLOOKUP($J645,'Project Reference'!$B$2:$D$41,3)," ")</f>
        <v xml:space="preserve"> </v>
      </c>
      <c r="R645" s="42" t="str">
        <f>IFERROR(VLOOKUP($J645,'Project Reference'!$B$2:$E$41,4)," ")</f>
        <v xml:space="preserve"> </v>
      </c>
      <c r="S645" s="42" t="str">
        <f>IFERROR(VLOOKUP($J645,'Project Reference'!$B$2:$F$41,5,FALSE)," ")</f>
        <v xml:space="preserve"> </v>
      </c>
      <c r="T645" s="42" t="str">
        <f>IFERROR(VLOOKUP($J645,'Project Reference'!$B$2:$G$41,6,FALSE)," ")</f>
        <v xml:space="preserve"> </v>
      </c>
      <c r="U645" s="42" t="str">
        <f>IFERROR(VLOOKUP($J645,'Project Reference'!$B$2:$H$41,7,FALSE)," ")</f>
        <v xml:space="preserve"> </v>
      </c>
      <c r="V645" s="42" t="str">
        <f>IFERROR(VLOOKUP($J645,'Project Reference'!$B$2:$I$41,8,FALSE)," ")</f>
        <v xml:space="preserve"> </v>
      </c>
      <c r="W645" s="42" t="str">
        <f>IFERROR(VLOOKUP($J645,'Project Reference'!$B$2:$J$41,9,FALSE)," ")</f>
        <v xml:space="preserve"> </v>
      </c>
      <c r="X645" s="42" t="str">
        <f>IFERROR(VLOOKUP($J645,'Project Reference'!$B$2:$K$41,10)," ")</f>
        <v xml:space="preserve"> </v>
      </c>
      <c r="Y645" s="42" t="str">
        <f>IFERROR(VLOOKUP($J645,'Project Reference'!$B$2:$L$41,11)," ")</f>
        <v xml:space="preserve"> </v>
      </c>
      <c r="Z645" s="42" t="str">
        <f>IFERROR(VLOOKUP($J645,'Project Reference'!$B$2:$M$41,12)," ")</f>
        <v xml:space="preserve"> </v>
      </c>
      <c r="AA645" s="42" t="str">
        <f>IFERROR(VLOOKUP($J645,'Project Reference'!$B$2:$N$41,13)," ")</f>
        <v xml:space="preserve"> </v>
      </c>
    </row>
    <row r="646" spans="1:27" x14ac:dyDescent="0.45">
      <c r="A646" s="43"/>
      <c r="B646" s="205"/>
      <c r="C646"/>
      <c r="D646" s="72"/>
      <c r="E646" s="72"/>
      <c r="F646" s="72"/>
      <c r="G646" s="72"/>
      <c r="H646" s="17"/>
      <c r="I646" s="41" t="str" cm="1">
        <f t="array" ref="I646">IFERROR(_xlfn.IFS(H646="Hard (Cash)","N/A",H646="Soft (In-Kind)", "Enter Source"),"Select Type")</f>
        <v>Select Type</v>
      </c>
      <c r="J646" s="124"/>
      <c r="K646" s="41" t="str">
        <f>IFERROR(VLOOKUP($J646,'Project Reference'!$S$2:$T$41,2),"Enter Project Number")</f>
        <v>Enter Project Number</v>
      </c>
      <c r="L646" s="41"/>
      <c r="M646" s="41"/>
      <c r="N646" s="15">
        <f t="shared" si="10"/>
        <v>0</v>
      </c>
      <c r="O646" s="19"/>
      <c r="P646" s="42" t="str">
        <f>IFERROR(VLOOKUP($J646,'Project Reference'!$B$2:$C$41,2)," ")</f>
        <v xml:space="preserve"> </v>
      </c>
      <c r="Q646" s="42" t="str">
        <f>IFERROR(VLOOKUP($J646,'Project Reference'!$B$2:$D$41,3)," ")</f>
        <v xml:space="preserve"> </v>
      </c>
      <c r="R646" s="42" t="str">
        <f>IFERROR(VLOOKUP($J646,'Project Reference'!$B$2:$E$41,4)," ")</f>
        <v xml:space="preserve"> </v>
      </c>
      <c r="S646" s="42" t="str">
        <f>IFERROR(VLOOKUP($J646,'Project Reference'!$B$2:$F$41,5,FALSE)," ")</f>
        <v xml:space="preserve"> </v>
      </c>
      <c r="T646" s="42" t="str">
        <f>IFERROR(VLOOKUP($J646,'Project Reference'!$B$2:$G$41,6,FALSE)," ")</f>
        <v xml:space="preserve"> </v>
      </c>
      <c r="U646" s="42" t="str">
        <f>IFERROR(VLOOKUP($J646,'Project Reference'!$B$2:$H$41,7,FALSE)," ")</f>
        <v xml:space="preserve"> </v>
      </c>
      <c r="V646" s="42" t="str">
        <f>IFERROR(VLOOKUP($J646,'Project Reference'!$B$2:$I$41,8,FALSE)," ")</f>
        <v xml:space="preserve"> </v>
      </c>
      <c r="W646" s="42" t="str">
        <f>IFERROR(VLOOKUP($J646,'Project Reference'!$B$2:$J$41,9,FALSE)," ")</f>
        <v xml:space="preserve"> </v>
      </c>
      <c r="X646" s="42" t="str">
        <f>IFERROR(VLOOKUP($J646,'Project Reference'!$B$2:$K$41,10)," ")</f>
        <v xml:space="preserve"> </v>
      </c>
      <c r="Y646" s="42" t="str">
        <f>IFERROR(VLOOKUP($J646,'Project Reference'!$B$2:$L$41,11)," ")</f>
        <v xml:space="preserve"> </v>
      </c>
      <c r="Z646" s="42" t="str">
        <f>IFERROR(VLOOKUP($J646,'Project Reference'!$B$2:$M$41,12)," ")</f>
        <v xml:space="preserve"> </v>
      </c>
      <c r="AA646" s="42" t="str">
        <f>IFERROR(VLOOKUP($J646,'Project Reference'!$B$2:$N$41,13)," ")</f>
        <v xml:space="preserve"> </v>
      </c>
    </row>
    <row r="647" spans="1:27" x14ac:dyDescent="0.45">
      <c r="A647" s="43"/>
      <c r="B647" s="205"/>
      <c r="C647"/>
      <c r="D647" s="72"/>
      <c r="E647" s="72"/>
      <c r="F647" s="72"/>
      <c r="G647" s="72"/>
      <c r="H647" s="17"/>
      <c r="I647" s="41" t="str" cm="1">
        <f t="array" ref="I647">IFERROR(_xlfn.IFS(H647="Hard (Cash)","N/A",H647="Soft (In-Kind)", "Enter Source"),"Select Type")</f>
        <v>Select Type</v>
      </c>
      <c r="J647" s="124"/>
      <c r="K647" s="41" t="str">
        <f>IFERROR(VLOOKUP($J647,'Project Reference'!$S$2:$T$41,2),"Enter Project Number")</f>
        <v>Enter Project Number</v>
      </c>
      <c r="L647" s="41"/>
      <c r="M647" s="41"/>
      <c r="N647" s="15">
        <f t="shared" si="10"/>
        <v>0</v>
      </c>
      <c r="O647" s="19"/>
      <c r="P647" s="42" t="str">
        <f>IFERROR(VLOOKUP($J647,'Project Reference'!$B$2:$C$41,2)," ")</f>
        <v xml:space="preserve"> </v>
      </c>
      <c r="Q647" s="42" t="str">
        <f>IFERROR(VLOOKUP($J647,'Project Reference'!$B$2:$D$41,3)," ")</f>
        <v xml:space="preserve"> </v>
      </c>
      <c r="R647" s="42" t="str">
        <f>IFERROR(VLOOKUP($J647,'Project Reference'!$B$2:$E$41,4)," ")</f>
        <v xml:space="preserve"> </v>
      </c>
      <c r="S647" s="42" t="str">
        <f>IFERROR(VLOOKUP($J647,'Project Reference'!$B$2:$F$41,5,FALSE)," ")</f>
        <v xml:space="preserve"> </v>
      </c>
      <c r="T647" s="42" t="str">
        <f>IFERROR(VLOOKUP($J647,'Project Reference'!$B$2:$G$41,6,FALSE)," ")</f>
        <v xml:space="preserve"> </v>
      </c>
      <c r="U647" s="42" t="str">
        <f>IFERROR(VLOOKUP($J647,'Project Reference'!$B$2:$H$41,7,FALSE)," ")</f>
        <v xml:space="preserve"> </v>
      </c>
      <c r="V647" s="42" t="str">
        <f>IFERROR(VLOOKUP($J647,'Project Reference'!$B$2:$I$41,8,FALSE)," ")</f>
        <v xml:space="preserve"> </v>
      </c>
      <c r="W647" s="42" t="str">
        <f>IFERROR(VLOOKUP($J647,'Project Reference'!$B$2:$J$41,9,FALSE)," ")</f>
        <v xml:space="preserve"> </v>
      </c>
      <c r="X647" s="42" t="str">
        <f>IFERROR(VLOOKUP($J647,'Project Reference'!$B$2:$K$41,10)," ")</f>
        <v xml:space="preserve"> </v>
      </c>
      <c r="Y647" s="42" t="str">
        <f>IFERROR(VLOOKUP($J647,'Project Reference'!$B$2:$L$41,11)," ")</f>
        <v xml:space="preserve"> </v>
      </c>
      <c r="Z647" s="42" t="str">
        <f>IFERROR(VLOOKUP($J647,'Project Reference'!$B$2:$M$41,12)," ")</f>
        <v xml:space="preserve"> </v>
      </c>
      <c r="AA647" s="42" t="str">
        <f>IFERROR(VLOOKUP($J647,'Project Reference'!$B$2:$N$41,13)," ")</f>
        <v xml:space="preserve"> </v>
      </c>
    </row>
    <row r="648" spans="1:27" x14ac:dyDescent="0.45">
      <c r="A648" s="43"/>
      <c r="B648" s="205"/>
      <c r="C648"/>
      <c r="D648" s="72"/>
      <c r="E648" s="72"/>
      <c r="F648" s="72"/>
      <c r="G648" s="72"/>
      <c r="H648" s="17"/>
      <c r="I648" s="41" t="str" cm="1">
        <f t="array" ref="I648">IFERROR(_xlfn.IFS(H648="Hard (Cash)","N/A",H648="Soft (In-Kind)", "Enter Source"),"Select Type")</f>
        <v>Select Type</v>
      </c>
      <c r="J648" s="124"/>
      <c r="K648" s="41" t="str">
        <f>IFERROR(VLOOKUP($J648,'Project Reference'!$S$2:$T$41,2),"Enter Project Number")</f>
        <v>Enter Project Number</v>
      </c>
      <c r="L648" s="41"/>
      <c r="M648" s="41"/>
      <c r="N648" s="15">
        <f t="shared" si="10"/>
        <v>0</v>
      </c>
      <c r="O648" s="19"/>
      <c r="P648" s="42" t="str">
        <f>IFERROR(VLOOKUP($J648,'Project Reference'!$B$2:$C$41,2)," ")</f>
        <v xml:space="preserve"> </v>
      </c>
      <c r="Q648" s="42" t="str">
        <f>IFERROR(VLOOKUP($J648,'Project Reference'!$B$2:$D$41,3)," ")</f>
        <v xml:space="preserve"> </v>
      </c>
      <c r="R648" s="42" t="str">
        <f>IFERROR(VLOOKUP($J648,'Project Reference'!$B$2:$E$41,4)," ")</f>
        <v xml:space="preserve"> </v>
      </c>
      <c r="S648" s="42" t="str">
        <f>IFERROR(VLOOKUP($J648,'Project Reference'!$B$2:$F$41,5,FALSE)," ")</f>
        <v xml:space="preserve"> </v>
      </c>
      <c r="T648" s="42" t="str">
        <f>IFERROR(VLOOKUP($J648,'Project Reference'!$B$2:$G$41,6,FALSE)," ")</f>
        <v xml:space="preserve"> </v>
      </c>
      <c r="U648" s="42" t="str">
        <f>IFERROR(VLOOKUP($J648,'Project Reference'!$B$2:$H$41,7,FALSE)," ")</f>
        <v xml:space="preserve"> </v>
      </c>
      <c r="V648" s="42" t="str">
        <f>IFERROR(VLOOKUP($J648,'Project Reference'!$B$2:$I$41,8,FALSE)," ")</f>
        <v xml:space="preserve"> </v>
      </c>
      <c r="W648" s="42" t="str">
        <f>IFERROR(VLOOKUP($J648,'Project Reference'!$B$2:$J$41,9,FALSE)," ")</f>
        <v xml:space="preserve"> </v>
      </c>
      <c r="X648" s="42" t="str">
        <f>IFERROR(VLOOKUP($J648,'Project Reference'!$B$2:$K$41,10)," ")</f>
        <v xml:space="preserve"> </v>
      </c>
      <c r="Y648" s="42" t="str">
        <f>IFERROR(VLOOKUP($J648,'Project Reference'!$B$2:$L$41,11)," ")</f>
        <v xml:space="preserve"> </v>
      </c>
      <c r="Z648" s="42" t="str">
        <f>IFERROR(VLOOKUP($J648,'Project Reference'!$B$2:$M$41,12)," ")</f>
        <v xml:space="preserve"> </v>
      </c>
      <c r="AA648" s="42" t="str">
        <f>IFERROR(VLOOKUP($J648,'Project Reference'!$B$2:$N$41,13)," ")</f>
        <v xml:space="preserve"> </v>
      </c>
    </row>
    <row r="649" spans="1:27" x14ac:dyDescent="0.45">
      <c r="A649" s="43"/>
      <c r="B649" s="205"/>
      <c r="C649"/>
      <c r="D649" s="72"/>
      <c r="E649" s="72"/>
      <c r="F649" s="72"/>
      <c r="G649" s="72"/>
      <c r="H649" s="17"/>
      <c r="I649" s="41" t="str" cm="1">
        <f t="array" ref="I649">IFERROR(_xlfn.IFS(H649="Hard (Cash)","N/A",H649="Soft (In-Kind)", "Enter Source"),"Select Type")</f>
        <v>Select Type</v>
      </c>
      <c r="J649" s="124"/>
      <c r="K649" s="41" t="str">
        <f>IFERROR(VLOOKUP($J649,'Project Reference'!$S$2:$T$41,2),"Enter Project Number")</f>
        <v>Enter Project Number</v>
      </c>
      <c r="L649" s="41"/>
      <c r="M649" s="41"/>
      <c r="N649" s="15">
        <f t="shared" si="10"/>
        <v>0</v>
      </c>
      <c r="O649" s="19"/>
      <c r="P649" s="42" t="str">
        <f>IFERROR(VLOOKUP($J649,'Project Reference'!$B$2:$C$41,2)," ")</f>
        <v xml:space="preserve"> </v>
      </c>
      <c r="Q649" s="42" t="str">
        <f>IFERROR(VLOOKUP($J649,'Project Reference'!$B$2:$D$41,3)," ")</f>
        <v xml:space="preserve"> </v>
      </c>
      <c r="R649" s="42" t="str">
        <f>IFERROR(VLOOKUP($J649,'Project Reference'!$B$2:$E$41,4)," ")</f>
        <v xml:space="preserve"> </v>
      </c>
      <c r="S649" s="42" t="str">
        <f>IFERROR(VLOOKUP($J649,'Project Reference'!$B$2:$F$41,5,FALSE)," ")</f>
        <v xml:space="preserve"> </v>
      </c>
      <c r="T649" s="42" t="str">
        <f>IFERROR(VLOOKUP($J649,'Project Reference'!$B$2:$G$41,6,FALSE)," ")</f>
        <v xml:space="preserve"> </v>
      </c>
      <c r="U649" s="42" t="str">
        <f>IFERROR(VLOOKUP($J649,'Project Reference'!$B$2:$H$41,7,FALSE)," ")</f>
        <v xml:space="preserve"> </v>
      </c>
      <c r="V649" s="42" t="str">
        <f>IFERROR(VLOOKUP($J649,'Project Reference'!$B$2:$I$41,8,FALSE)," ")</f>
        <v xml:space="preserve"> </v>
      </c>
      <c r="W649" s="42" t="str">
        <f>IFERROR(VLOOKUP($J649,'Project Reference'!$B$2:$J$41,9,FALSE)," ")</f>
        <v xml:space="preserve"> </v>
      </c>
      <c r="X649" s="42" t="str">
        <f>IFERROR(VLOOKUP($J649,'Project Reference'!$B$2:$K$41,10)," ")</f>
        <v xml:space="preserve"> </v>
      </c>
      <c r="Y649" s="42" t="str">
        <f>IFERROR(VLOOKUP($J649,'Project Reference'!$B$2:$L$41,11)," ")</f>
        <v xml:space="preserve"> </v>
      </c>
      <c r="Z649" s="42" t="str">
        <f>IFERROR(VLOOKUP($J649,'Project Reference'!$B$2:$M$41,12)," ")</f>
        <v xml:space="preserve"> </v>
      </c>
      <c r="AA649" s="42" t="str">
        <f>IFERROR(VLOOKUP($J649,'Project Reference'!$B$2:$N$41,13)," ")</f>
        <v xml:space="preserve"> </v>
      </c>
    </row>
    <row r="650" spans="1:27" x14ac:dyDescent="0.45">
      <c r="A650" s="43"/>
      <c r="B650" s="205"/>
      <c r="C650"/>
      <c r="D650" s="72"/>
      <c r="E650" s="72"/>
      <c r="F650" s="72"/>
      <c r="G650" s="72"/>
      <c r="H650" s="17"/>
      <c r="I650" s="41" t="str" cm="1">
        <f t="array" ref="I650">IFERROR(_xlfn.IFS(H650="Hard (Cash)","N/A",H650="Soft (In-Kind)", "Enter Source"),"Select Type")</f>
        <v>Select Type</v>
      </c>
      <c r="J650" s="124"/>
      <c r="K650" s="41" t="str">
        <f>IFERROR(VLOOKUP($J650,'Project Reference'!$S$2:$T$41,2),"Enter Project Number")</f>
        <v>Enter Project Number</v>
      </c>
      <c r="L650" s="41"/>
      <c r="M650" s="41"/>
      <c r="N650" s="15">
        <f t="shared" si="10"/>
        <v>0</v>
      </c>
      <c r="O650" s="19"/>
      <c r="P650" s="42" t="str">
        <f>IFERROR(VLOOKUP($J650,'Project Reference'!$B$2:$C$41,2)," ")</f>
        <v xml:space="preserve"> </v>
      </c>
      <c r="Q650" s="42" t="str">
        <f>IFERROR(VLOOKUP($J650,'Project Reference'!$B$2:$D$41,3)," ")</f>
        <v xml:space="preserve"> </v>
      </c>
      <c r="R650" s="42" t="str">
        <f>IFERROR(VLOOKUP($J650,'Project Reference'!$B$2:$E$41,4)," ")</f>
        <v xml:space="preserve"> </v>
      </c>
      <c r="S650" s="42" t="str">
        <f>IFERROR(VLOOKUP($J650,'Project Reference'!$B$2:$F$41,5,FALSE)," ")</f>
        <v xml:space="preserve"> </v>
      </c>
      <c r="T650" s="42" t="str">
        <f>IFERROR(VLOOKUP($J650,'Project Reference'!$B$2:$G$41,6,FALSE)," ")</f>
        <v xml:space="preserve"> </v>
      </c>
      <c r="U650" s="42" t="str">
        <f>IFERROR(VLOOKUP($J650,'Project Reference'!$B$2:$H$41,7,FALSE)," ")</f>
        <v xml:space="preserve"> </v>
      </c>
      <c r="V650" s="42" t="str">
        <f>IFERROR(VLOOKUP($J650,'Project Reference'!$B$2:$I$41,8,FALSE)," ")</f>
        <v xml:space="preserve"> </v>
      </c>
      <c r="W650" s="42" t="str">
        <f>IFERROR(VLOOKUP($J650,'Project Reference'!$B$2:$J$41,9,FALSE)," ")</f>
        <v xml:space="preserve"> </v>
      </c>
      <c r="X650" s="42" t="str">
        <f>IFERROR(VLOOKUP($J650,'Project Reference'!$B$2:$K$41,10)," ")</f>
        <v xml:space="preserve"> </v>
      </c>
      <c r="Y650" s="42" t="str">
        <f>IFERROR(VLOOKUP($J650,'Project Reference'!$B$2:$L$41,11)," ")</f>
        <v xml:space="preserve"> </v>
      </c>
      <c r="Z650" s="42" t="str">
        <f>IFERROR(VLOOKUP($J650,'Project Reference'!$B$2:$M$41,12)," ")</f>
        <v xml:space="preserve"> </v>
      </c>
      <c r="AA650" s="42" t="str">
        <f>IFERROR(VLOOKUP($J650,'Project Reference'!$B$2:$N$41,13)," ")</f>
        <v xml:space="preserve"> </v>
      </c>
    </row>
    <row r="651" spans="1:27" x14ac:dyDescent="0.45">
      <c r="A651" s="43"/>
      <c r="B651" s="205"/>
      <c r="C651"/>
      <c r="D651" s="72"/>
      <c r="E651" s="72"/>
      <c r="F651" s="72"/>
      <c r="G651" s="72"/>
      <c r="H651" s="17"/>
      <c r="I651" s="41" t="str" cm="1">
        <f t="array" ref="I651">IFERROR(_xlfn.IFS(H651="Hard (Cash)","N/A",H651="Soft (In-Kind)", "Enter Source"),"Select Type")</f>
        <v>Select Type</v>
      </c>
      <c r="J651" s="124"/>
      <c r="K651" s="41" t="str">
        <f>IFERROR(VLOOKUP($J651,'Project Reference'!$S$2:$T$41,2),"Enter Project Number")</f>
        <v>Enter Project Number</v>
      </c>
      <c r="L651" s="41"/>
      <c r="M651" s="41"/>
      <c r="N651" s="15">
        <f t="shared" si="10"/>
        <v>0</v>
      </c>
      <c r="O651" s="19"/>
      <c r="P651" s="42" t="str">
        <f>IFERROR(VLOOKUP($J651,'Project Reference'!$B$2:$C$41,2)," ")</f>
        <v xml:space="preserve"> </v>
      </c>
      <c r="Q651" s="42" t="str">
        <f>IFERROR(VLOOKUP($J651,'Project Reference'!$B$2:$D$41,3)," ")</f>
        <v xml:space="preserve"> </v>
      </c>
      <c r="R651" s="42" t="str">
        <f>IFERROR(VLOOKUP($J651,'Project Reference'!$B$2:$E$41,4)," ")</f>
        <v xml:space="preserve"> </v>
      </c>
      <c r="S651" s="42" t="str">
        <f>IFERROR(VLOOKUP($J651,'Project Reference'!$B$2:$F$41,5,FALSE)," ")</f>
        <v xml:space="preserve"> </v>
      </c>
      <c r="T651" s="42" t="str">
        <f>IFERROR(VLOOKUP($J651,'Project Reference'!$B$2:$G$41,6,FALSE)," ")</f>
        <v xml:space="preserve"> </v>
      </c>
      <c r="U651" s="42" t="str">
        <f>IFERROR(VLOOKUP($J651,'Project Reference'!$B$2:$H$41,7,FALSE)," ")</f>
        <v xml:space="preserve"> </v>
      </c>
      <c r="V651" s="42" t="str">
        <f>IFERROR(VLOOKUP($J651,'Project Reference'!$B$2:$I$41,8,FALSE)," ")</f>
        <v xml:space="preserve"> </v>
      </c>
      <c r="W651" s="42" t="str">
        <f>IFERROR(VLOOKUP($J651,'Project Reference'!$B$2:$J$41,9,FALSE)," ")</f>
        <v xml:space="preserve"> </v>
      </c>
      <c r="X651" s="42" t="str">
        <f>IFERROR(VLOOKUP($J651,'Project Reference'!$B$2:$K$41,10)," ")</f>
        <v xml:space="preserve"> </v>
      </c>
      <c r="Y651" s="42" t="str">
        <f>IFERROR(VLOOKUP($J651,'Project Reference'!$B$2:$L$41,11)," ")</f>
        <v xml:space="preserve"> </v>
      </c>
      <c r="Z651" s="42" t="str">
        <f>IFERROR(VLOOKUP($J651,'Project Reference'!$B$2:$M$41,12)," ")</f>
        <v xml:space="preserve"> </v>
      </c>
      <c r="AA651" s="42" t="str">
        <f>IFERROR(VLOOKUP($J651,'Project Reference'!$B$2:$N$41,13)," ")</f>
        <v xml:space="preserve"> </v>
      </c>
    </row>
    <row r="652" spans="1:27" x14ac:dyDescent="0.45">
      <c r="A652" s="43"/>
      <c r="B652" s="205"/>
      <c r="C652"/>
      <c r="D652" s="72"/>
      <c r="E652" s="72"/>
      <c r="F652" s="72"/>
      <c r="G652" s="72"/>
      <c r="H652" s="17"/>
      <c r="I652" s="41" t="str" cm="1">
        <f t="array" ref="I652">IFERROR(_xlfn.IFS(H652="Hard (Cash)","N/A",H652="Soft (In-Kind)", "Enter Source"),"Select Type")</f>
        <v>Select Type</v>
      </c>
      <c r="J652" s="124"/>
      <c r="K652" s="41" t="str">
        <f>IFERROR(VLOOKUP($J652,'Project Reference'!$S$2:$T$41,2),"Enter Project Number")</f>
        <v>Enter Project Number</v>
      </c>
      <c r="L652" s="41"/>
      <c r="M652" s="41"/>
      <c r="N652" s="15">
        <f t="shared" si="10"/>
        <v>0</v>
      </c>
      <c r="O652" s="19"/>
      <c r="P652" s="42" t="str">
        <f>IFERROR(VLOOKUP($J652,'Project Reference'!$B$2:$C$41,2)," ")</f>
        <v xml:space="preserve"> </v>
      </c>
      <c r="Q652" s="42" t="str">
        <f>IFERROR(VLOOKUP($J652,'Project Reference'!$B$2:$D$41,3)," ")</f>
        <v xml:space="preserve"> </v>
      </c>
      <c r="R652" s="42" t="str">
        <f>IFERROR(VLOOKUP($J652,'Project Reference'!$B$2:$E$41,4)," ")</f>
        <v xml:space="preserve"> </v>
      </c>
      <c r="S652" s="42" t="str">
        <f>IFERROR(VLOOKUP($J652,'Project Reference'!$B$2:$F$41,5,FALSE)," ")</f>
        <v xml:space="preserve"> </v>
      </c>
      <c r="T652" s="42" t="str">
        <f>IFERROR(VLOOKUP($J652,'Project Reference'!$B$2:$G$41,6,FALSE)," ")</f>
        <v xml:space="preserve"> </v>
      </c>
      <c r="U652" s="42" t="str">
        <f>IFERROR(VLOOKUP($J652,'Project Reference'!$B$2:$H$41,7,FALSE)," ")</f>
        <v xml:space="preserve"> </v>
      </c>
      <c r="V652" s="42" t="str">
        <f>IFERROR(VLOOKUP($J652,'Project Reference'!$B$2:$I$41,8,FALSE)," ")</f>
        <v xml:space="preserve"> </v>
      </c>
      <c r="W652" s="42" t="str">
        <f>IFERROR(VLOOKUP($J652,'Project Reference'!$B$2:$J$41,9,FALSE)," ")</f>
        <v xml:space="preserve"> </v>
      </c>
      <c r="X652" s="42" t="str">
        <f>IFERROR(VLOOKUP($J652,'Project Reference'!$B$2:$K$41,10)," ")</f>
        <v xml:space="preserve"> </v>
      </c>
      <c r="Y652" s="42" t="str">
        <f>IFERROR(VLOOKUP($J652,'Project Reference'!$B$2:$L$41,11)," ")</f>
        <v xml:space="preserve"> </v>
      </c>
      <c r="Z652" s="42" t="str">
        <f>IFERROR(VLOOKUP($J652,'Project Reference'!$B$2:$M$41,12)," ")</f>
        <v xml:space="preserve"> </v>
      </c>
      <c r="AA652" s="42" t="str">
        <f>IFERROR(VLOOKUP($J652,'Project Reference'!$B$2:$N$41,13)," ")</f>
        <v xml:space="preserve"> </v>
      </c>
    </row>
    <row r="653" spans="1:27" x14ac:dyDescent="0.45">
      <c r="A653" s="43"/>
      <c r="B653" s="205"/>
      <c r="C653"/>
      <c r="D653" s="72"/>
      <c r="E653" s="72"/>
      <c r="F653" s="72"/>
      <c r="G653" s="72"/>
      <c r="H653" s="17"/>
      <c r="I653" s="41" t="str" cm="1">
        <f t="array" ref="I653">IFERROR(_xlfn.IFS(H653="Hard (Cash)","N/A",H653="Soft (In-Kind)", "Enter Source"),"Select Type")</f>
        <v>Select Type</v>
      </c>
      <c r="J653" s="124"/>
      <c r="K653" s="41" t="str">
        <f>IFERROR(VLOOKUP($J653,'Project Reference'!$S$2:$T$41,2),"Enter Project Number")</f>
        <v>Enter Project Number</v>
      </c>
      <c r="L653" s="41"/>
      <c r="M653" s="41"/>
      <c r="N653" s="15">
        <f t="shared" si="10"/>
        <v>0</v>
      </c>
      <c r="O653" s="19"/>
      <c r="P653" s="42" t="str">
        <f>IFERROR(VLOOKUP($J653,'Project Reference'!$B$2:$C$41,2)," ")</f>
        <v xml:space="preserve"> </v>
      </c>
      <c r="Q653" s="42" t="str">
        <f>IFERROR(VLOOKUP($J653,'Project Reference'!$B$2:$D$41,3)," ")</f>
        <v xml:space="preserve"> </v>
      </c>
      <c r="R653" s="42" t="str">
        <f>IFERROR(VLOOKUP($J653,'Project Reference'!$B$2:$E$41,4)," ")</f>
        <v xml:space="preserve"> </v>
      </c>
      <c r="S653" s="42" t="str">
        <f>IFERROR(VLOOKUP($J653,'Project Reference'!$B$2:$F$41,5,FALSE)," ")</f>
        <v xml:space="preserve"> </v>
      </c>
      <c r="T653" s="42" t="str">
        <f>IFERROR(VLOOKUP($J653,'Project Reference'!$B$2:$G$41,6,FALSE)," ")</f>
        <v xml:space="preserve"> </v>
      </c>
      <c r="U653" s="42" t="str">
        <f>IFERROR(VLOOKUP($J653,'Project Reference'!$B$2:$H$41,7,FALSE)," ")</f>
        <v xml:space="preserve"> </v>
      </c>
      <c r="V653" s="42" t="str">
        <f>IFERROR(VLOOKUP($J653,'Project Reference'!$B$2:$I$41,8,FALSE)," ")</f>
        <v xml:space="preserve"> </v>
      </c>
      <c r="W653" s="42" t="str">
        <f>IFERROR(VLOOKUP($J653,'Project Reference'!$B$2:$J$41,9,FALSE)," ")</f>
        <v xml:space="preserve"> </v>
      </c>
      <c r="X653" s="42" t="str">
        <f>IFERROR(VLOOKUP($J653,'Project Reference'!$B$2:$K$41,10)," ")</f>
        <v xml:space="preserve"> </v>
      </c>
      <c r="Y653" s="42" t="str">
        <f>IFERROR(VLOOKUP($J653,'Project Reference'!$B$2:$L$41,11)," ")</f>
        <v xml:space="preserve"> </v>
      </c>
      <c r="Z653" s="42" t="str">
        <f>IFERROR(VLOOKUP($J653,'Project Reference'!$B$2:$M$41,12)," ")</f>
        <v xml:space="preserve"> </v>
      </c>
      <c r="AA653" s="42" t="str">
        <f>IFERROR(VLOOKUP($J653,'Project Reference'!$B$2:$N$41,13)," ")</f>
        <v xml:space="preserve"> </v>
      </c>
    </row>
    <row r="654" spans="1:27" x14ac:dyDescent="0.45">
      <c r="A654" s="43"/>
      <c r="B654" s="205"/>
      <c r="C654"/>
      <c r="D654" s="72"/>
      <c r="E654" s="72"/>
      <c r="F654" s="72"/>
      <c r="G654" s="72"/>
      <c r="H654" s="17"/>
      <c r="I654" s="41" t="str" cm="1">
        <f t="array" ref="I654">IFERROR(_xlfn.IFS(H654="Hard (Cash)","N/A",H654="Soft (In-Kind)", "Enter Source"),"Select Type")</f>
        <v>Select Type</v>
      </c>
      <c r="J654" s="124"/>
      <c r="K654" s="41" t="str">
        <f>IFERROR(VLOOKUP($J654,'Project Reference'!$S$2:$T$41,2),"Enter Project Number")</f>
        <v>Enter Project Number</v>
      </c>
      <c r="L654" s="41"/>
      <c r="M654" s="41"/>
      <c r="N654" s="15">
        <f t="shared" si="10"/>
        <v>0</v>
      </c>
      <c r="O654" s="19"/>
      <c r="P654" s="42" t="str">
        <f>IFERROR(VLOOKUP($J654,'Project Reference'!$B$2:$C$41,2)," ")</f>
        <v xml:space="preserve"> </v>
      </c>
      <c r="Q654" s="42" t="str">
        <f>IFERROR(VLOOKUP($J654,'Project Reference'!$B$2:$D$41,3)," ")</f>
        <v xml:space="preserve"> </v>
      </c>
      <c r="R654" s="42" t="str">
        <f>IFERROR(VLOOKUP($J654,'Project Reference'!$B$2:$E$41,4)," ")</f>
        <v xml:space="preserve"> </v>
      </c>
      <c r="S654" s="42" t="str">
        <f>IFERROR(VLOOKUP($J654,'Project Reference'!$B$2:$F$41,5,FALSE)," ")</f>
        <v xml:space="preserve"> </v>
      </c>
      <c r="T654" s="42" t="str">
        <f>IFERROR(VLOOKUP($J654,'Project Reference'!$B$2:$G$41,6,FALSE)," ")</f>
        <v xml:space="preserve"> </v>
      </c>
      <c r="U654" s="42" t="str">
        <f>IFERROR(VLOOKUP($J654,'Project Reference'!$B$2:$H$41,7,FALSE)," ")</f>
        <v xml:space="preserve"> </v>
      </c>
      <c r="V654" s="42" t="str">
        <f>IFERROR(VLOOKUP($J654,'Project Reference'!$B$2:$I$41,8,FALSE)," ")</f>
        <v xml:space="preserve"> </v>
      </c>
      <c r="W654" s="42" t="str">
        <f>IFERROR(VLOOKUP($J654,'Project Reference'!$B$2:$J$41,9,FALSE)," ")</f>
        <v xml:space="preserve"> </v>
      </c>
      <c r="X654" s="42" t="str">
        <f>IFERROR(VLOOKUP($J654,'Project Reference'!$B$2:$K$41,10)," ")</f>
        <v xml:space="preserve"> </v>
      </c>
      <c r="Y654" s="42" t="str">
        <f>IFERROR(VLOOKUP($J654,'Project Reference'!$B$2:$L$41,11)," ")</f>
        <v xml:space="preserve"> </v>
      </c>
      <c r="Z654" s="42" t="str">
        <f>IFERROR(VLOOKUP($J654,'Project Reference'!$B$2:$M$41,12)," ")</f>
        <v xml:space="preserve"> </v>
      </c>
      <c r="AA654" s="42" t="str">
        <f>IFERROR(VLOOKUP($J654,'Project Reference'!$B$2:$N$41,13)," ")</f>
        <v xml:space="preserve"> </v>
      </c>
    </row>
    <row r="655" spans="1:27" x14ac:dyDescent="0.45">
      <c r="A655" s="43"/>
      <c r="B655" s="205"/>
      <c r="C655"/>
      <c r="D655" s="72"/>
      <c r="E655" s="72"/>
      <c r="F655" s="72"/>
      <c r="G655" s="72"/>
      <c r="H655" s="17"/>
      <c r="I655" s="41" t="str" cm="1">
        <f t="array" ref="I655">IFERROR(_xlfn.IFS(H655="Hard (Cash)","N/A",H655="Soft (In-Kind)", "Enter Source"),"Select Type")</f>
        <v>Select Type</v>
      </c>
      <c r="J655" s="124"/>
      <c r="K655" s="41" t="str">
        <f>IFERROR(VLOOKUP($J655,'Project Reference'!$S$2:$T$41,2),"Enter Project Number")</f>
        <v>Enter Project Number</v>
      </c>
      <c r="L655" s="41"/>
      <c r="M655" s="41"/>
      <c r="N655" s="15">
        <f t="shared" si="10"/>
        <v>0</v>
      </c>
      <c r="O655" s="19"/>
      <c r="P655" s="42" t="str">
        <f>IFERROR(VLOOKUP($J655,'Project Reference'!$B$2:$C$41,2)," ")</f>
        <v xml:space="preserve"> </v>
      </c>
      <c r="Q655" s="42" t="str">
        <f>IFERROR(VLOOKUP($J655,'Project Reference'!$B$2:$D$41,3)," ")</f>
        <v xml:space="preserve"> </v>
      </c>
      <c r="R655" s="42" t="str">
        <f>IFERROR(VLOOKUP($J655,'Project Reference'!$B$2:$E$41,4)," ")</f>
        <v xml:space="preserve"> </v>
      </c>
      <c r="S655" s="42" t="str">
        <f>IFERROR(VLOOKUP($J655,'Project Reference'!$B$2:$F$41,5,FALSE)," ")</f>
        <v xml:space="preserve"> </v>
      </c>
      <c r="T655" s="42" t="str">
        <f>IFERROR(VLOOKUP($J655,'Project Reference'!$B$2:$G$41,6,FALSE)," ")</f>
        <v xml:space="preserve"> </v>
      </c>
      <c r="U655" s="42" t="str">
        <f>IFERROR(VLOOKUP($J655,'Project Reference'!$B$2:$H$41,7,FALSE)," ")</f>
        <v xml:space="preserve"> </v>
      </c>
      <c r="V655" s="42" t="str">
        <f>IFERROR(VLOOKUP($J655,'Project Reference'!$B$2:$I$41,8,FALSE)," ")</f>
        <v xml:space="preserve"> </v>
      </c>
      <c r="W655" s="42" t="str">
        <f>IFERROR(VLOOKUP($J655,'Project Reference'!$B$2:$J$41,9,FALSE)," ")</f>
        <v xml:space="preserve"> </v>
      </c>
      <c r="X655" s="42" t="str">
        <f>IFERROR(VLOOKUP($J655,'Project Reference'!$B$2:$K$41,10)," ")</f>
        <v xml:space="preserve"> </v>
      </c>
      <c r="Y655" s="42" t="str">
        <f>IFERROR(VLOOKUP($J655,'Project Reference'!$B$2:$L$41,11)," ")</f>
        <v xml:space="preserve"> </v>
      </c>
      <c r="Z655" s="42" t="str">
        <f>IFERROR(VLOOKUP($J655,'Project Reference'!$B$2:$M$41,12)," ")</f>
        <v xml:space="preserve"> </v>
      </c>
      <c r="AA655" s="42" t="str">
        <f>IFERROR(VLOOKUP($J655,'Project Reference'!$B$2:$N$41,13)," ")</f>
        <v xml:space="preserve"> </v>
      </c>
    </row>
    <row r="656" spans="1:27" x14ac:dyDescent="0.45">
      <c r="A656" s="43"/>
      <c r="B656" s="205"/>
      <c r="C656"/>
      <c r="D656" s="72"/>
      <c r="E656" s="72"/>
      <c r="F656" s="72"/>
      <c r="G656" s="72"/>
      <c r="H656" s="17"/>
      <c r="I656" s="41" t="str" cm="1">
        <f t="array" ref="I656">IFERROR(_xlfn.IFS(H656="Hard (Cash)","N/A",H656="Soft (In-Kind)", "Enter Source"),"Select Type")</f>
        <v>Select Type</v>
      </c>
      <c r="J656" s="124"/>
      <c r="K656" s="41" t="str">
        <f>IFERROR(VLOOKUP($J656,'Project Reference'!$S$2:$T$41,2),"Enter Project Number")</f>
        <v>Enter Project Number</v>
      </c>
      <c r="L656" s="41"/>
      <c r="M656" s="41"/>
      <c r="N656" s="15">
        <f t="shared" si="10"/>
        <v>0</v>
      </c>
      <c r="O656" s="19"/>
      <c r="P656" s="42" t="str">
        <f>IFERROR(VLOOKUP($J656,'Project Reference'!$B$2:$C$41,2)," ")</f>
        <v xml:space="preserve"> </v>
      </c>
      <c r="Q656" s="42" t="str">
        <f>IFERROR(VLOOKUP($J656,'Project Reference'!$B$2:$D$41,3)," ")</f>
        <v xml:space="preserve"> </v>
      </c>
      <c r="R656" s="42" t="str">
        <f>IFERROR(VLOOKUP($J656,'Project Reference'!$B$2:$E$41,4)," ")</f>
        <v xml:space="preserve"> </v>
      </c>
      <c r="S656" s="42" t="str">
        <f>IFERROR(VLOOKUP($J656,'Project Reference'!$B$2:$F$41,5,FALSE)," ")</f>
        <v xml:space="preserve"> </v>
      </c>
      <c r="T656" s="42" t="str">
        <f>IFERROR(VLOOKUP($J656,'Project Reference'!$B$2:$G$41,6,FALSE)," ")</f>
        <v xml:space="preserve"> </v>
      </c>
      <c r="U656" s="42" t="str">
        <f>IFERROR(VLOOKUP($J656,'Project Reference'!$B$2:$H$41,7,FALSE)," ")</f>
        <v xml:space="preserve"> </v>
      </c>
      <c r="V656" s="42" t="str">
        <f>IFERROR(VLOOKUP($J656,'Project Reference'!$B$2:$I$41,8,FALSE)," ")</f>
        <v xml:space="preserve"> </v>
      </c>
      <c r="W656" s="42" t="str">
        <f>IFERROR(VLOOKUP($J656,'Project Reference'!$B$2:$J$41,9,FALSE)," ")</f>
        <v xml:space="preserve"> </v>
      </c>
      <c r="X656" s="42" t="str">
        <f>IFERROR(VLOOKUP($J656,'Project Reference'!$B$2:$K$41,10)," ")</f>
        <v xml:space="preserve"> </v>
      </c>
      <c r="Y656" s="42" t="str">
        <f>IFERROR(VLOOKUP($J656,'Project Reference'!$B$2:$L$41,11)," ")</f>
        <v xml:space="preserve"> </v>
      </c>
      <c r="Z656" s="42" t="str">
        <f>IFERROR(VLOOKUP($J656,'Project Reference'!$B$2:$M$41,12)," ")</f>
        <v xml:space="preserve"> </v>
      </c>
      <c r="AA656" s="42" t="str">
        <f>IFERROR(VLOOKUP($J656,'Project Reference'!$B$2:$N$41,13)," ")</f>
        <v xml:space="preserve"> </v>
      </c>
    </row>
    <row r="657" spans="1:27" x14ac:dyDescent="0.45">
      <c r="A657" s="43"/>
      <c r="B657" s="205"/>
      <c r="C657"/>
      <c r="D657" s="72"/>
      <c r="E657" s="72"/>
      <c r="F657" s="72"/>
      <c r="G657" s="72"/>
      <c r="H657" s="17"/>
      <c r="I657" s="41" t="str" cm="1">
        <f t="array" ref="I657">IFERROR(_xlfn.IFS(H657="Hard (Cash)","N/A",H657="Soft (In-Kind)", "Enter Source"),"Select Type")</f>
        <v>Select Type</v>
      </c>
      <c r="J657" s="124"/>
      <c r="K657" s="41" t="str">
        <f>IFERROR(VLOOKUP($J657,'Project Reference'!$S$2:$T$41,2),"Enter Project Number")</f>
        <v>Enter Project Number</v>
      </c>
      <c r="L657" s="41"/>
      <c r="M657" s="41"/>
      <c r="N657" s="15">
        <f t="shared" si="10"/>
        <v>0</v>
      </c>
      <c r="O657" s="19"/>
      <c r="P657" s="42" t="str">
        <f>IFERROR(VLOOKUP($J657,'Project Reference'!$B$2:$C$41,2)," ")</f>
        <v xml:space="preserve"> </v>
      </c>
      <c r="Q657" s="42" t="str">
        <f>IFERROR(VLOOKUP($J657,'Project Reference'!$B$2:$D$41,3)," ")</f>
        <v xml:space="preserve"> </v>
      </c>
      <c r="R657" s="42" t="str">
        <f>IFERROR(VLOOKUP($J657,'Project Reference'!$B$2:$E$41,4)," ")</f>
        <v xml:space="preserve"> </v>
      </c>
      <c r="S657" s="42" t="str">
        <f>IFERROR(VLOOKUP($J657,'Project Reference'!$B$2:$F$41,5,FALSE)," ")</f>
        <v xml:space="preserve"> </v>
      </c>
      <c r="T657" s="42" t="str">
        <f>IFERROR(VLOOKUP($J657,'Project Reference'!$B$2:$G$41,6,FALSE)," ")</f>
        <v xml:space="preserve"> </v>
      </c>
      <c r="U657" s="42" t="str">
        <f>IFERROR(VLOOKUP($J657,'Project Reference'!$B$2:$H$41,7,FALSE)," ")</f>
        <v xml:space="preserve"> </v>
      </c>
      <c r="V657" s="42" t="str">
        <f>IFERROR(VLOOKUP($J657,'Project Reference'!$B$2:$I$41,8,FALSE)," ")</f>
        <v xml:space="preserve"> </v>
      </c>
      <c r="W657" s="42" t="str">
        <f>IFERROR(VLOOKUP($J657,'Project Reference'!$B$2:$J$41,9,FALSE)," ")</f>
        <v xml:space="preserve"> </v>
      </c>
      <c r="X657" s="42" t="str">
        <f>IFERROR(VLOOKUP($J657,'Project Reference'!$B$2:$K$41,10)," ")</f>
        <v xml:space="preserve"> </v>
      </c>
      <c r="Y657" s="42" t="str">
        <f>IFERROR(VLOOKUP($J657,'Project Reference'!$B$2:$L$41,11)," ")</f>
        <v xml:space="preserve"> </v>
      </c>
      <c r="Z657" s="42" t="str">
        <f>IFERROR(VLOOKUP($J657,'Project Reference'!$B$2:$M$41,12)," ")</f>
        <v xml:space="preserve"> </v>
      </c>
      <c r="AA657" s="42" t="str">
        <f>IFERROR(VLOOKUP($J657,'Project Reference'!$B$2:$N$41,13)," ")</f>
        <v xml:space="preserve"> </v>
      </c>
    </row>
    <row r="658" spans="1:27" x14ac:dyDescent="0.45">
      <c r="A658" s="43"/>
      <c r="B658" s="205"/>
      <c r="C658"/>
      <c r="D658" s="72"/>
      <c r="E658" s="72"/>
      <c r="F658" s="72"/>
      <c r="G658" s="72"/>
      <c r="H658" s="17"/>
      <c r="I658" s="41" t="str" cm="1">
        <f t="array" ref="I658">IFERROR(_xlfn.IFS(H658="Hard (Cash)","N/A",H658="Soft (In-Kind)", "Enter Source"),"Select Type")</f>
        <v>Select Type</v>
      </c>
      <c r="J658" s="124"/>
      <c r="K658" s="41" t="str">
        <f>IFERROR(VLOOKUP($J658,'Project Reference'!$S$2:$T$41,2),"Enter Project Number")</f>
        <v>Enter Project Number</v>
      </c>
      <c r="L658" s="41"/>
      <c r="M658" s="41"/>
      <c r="N658" s="15">
        <f t="shared" si="10"/>
        <v>0</v>
      </c>
      <c r="O658" s="19"/>
      <c r="P658" s="42" t="str">
        <f>IFERROR(VLOOKUP($J658,'Project Reference'!$B$2:$C$41,2)," ")</f>
        <v xml:space="preserve"> </v>
      </c>
      <c r="Q658" s="42" t="str">
        <f>IFERROR(VLOOKUP($J658,'Project Reference'!$B$2:$D$41,3)," ")</f>
        <v xml:space="preserve"> </v>
      </c>
      <c r="R658" s="42" t="str">
        <f>IFERROR(VLOOKUP($J658,'Project Reference'!$B$2:$E$41,4)," ")</f>
        <v xml:space="preserve"> </v>
      </c>
      <c r="S658" s="42" t="str">
        <f>IFERROR(VLOOKUP($J658,'Project Reference'!$B$2:$F$41,5,FALSE)," ")</f>
        <v xml:space="preserve"> </v>
      </c>
      <c r="T658" s="42" t="str">
        <f>IFERROR(VLOOKUP($J658,'Project Reference'!$B$2:$G$41,6,FALSE)," ")</f>
        <v xml:space="preserve"> </v>
      </c>
      <c r="U658" s="42" t="str">
        <f>IFERROR(VLOOKUP($J658,'Project Reference'!$B$2:$H$41,7,FALSE)," ")</f>
        <v xml:space="preserve"> </v>
      </c>
      <c r="V658" s="42" t="str">
        <f>IFERROR(VLOOKUP($J658,'Project Reference'!$B$2:$I$41,8,FALSE)," ")</f>
        <v xml:space="preserve"> </v>
      </c>
      <c r="W658" s="42" t="str">
        <f>IFERROR(VLOOKUP($J658,'Project Reference'!$B$2:$J$41,9,FALSE)," ")</f>
        <v xml:space="preserve"> </v>
      </c>
      <c r="X658" s="42" t="str">
        <f>IFERROR(VLOOKUP($J658,'Project Reference'!$B$2:$K$41,10)," ")</f>
        <v xml:space="preserve"> </v>
      </c>
      <c r="Y658" s="42" t="str">
        <f>IFERROR(VLOOKUP($J658,'Project Reference'!$B$2:$L$41,11)," ")</f>
        <v xml:space="preserve"> </v>
      </c>
      <c r="Z658" s="42" t="str">
        <f>IFERROR(VLOOKUP($J658,'Project Reference'!$B$2:$M$41,12)," ")</f>
        <v xml:space="preserve"> </v>
      </c>
      <c r="AA658" s="42" t="str">
        <f>IFERROR(VLOOKUP($J658,'Project Reference'!$B$2:$N$41,13)," ")</f>
        <v xml:space="preserve"> </v>
      </c>
    </row>
    <row r="659" spans="1:27" x14ac:dyDescent="0.45">
      <c r="A659" s="43"/>
      <c r="B659" s="205"/>
      <c r="C659"/>
      <c r="D659" s="72"/>
      <c r="E659" s="72"/>
      <c r="F659" s="72"/>
      <c r="G659" s="72"/>
      <c r="H659" s="17"/>
      <c r="I659" s="41" t="str" cm="1">
        <f t="array" ref="I659">IFERROR(_xlfn.IFS(H659="Hard (Cash)","N/A",H659="Soft (In-Kind)", "Enter Source"),"Select Type")</f>
        <v>Select Type</v>
      </c>
      <c r="J659" s="124"/>
      <c r="K659" s="41" t="str">
        <f>IFERROR(VLOOKUP($J659,'Project Reference'!$S$2:$T$41,2),"Enter Project Number")</f>
        <v>Enter Project Number</v>
      </c>
      <c r="L659" s="41"/>
      <c r="M659" s="41"/>
      <c r="N659" s="15">
        <f t="shared" si="10"/>
        <v>0</v>
      </c>
      <c r="O659" s="19"/>
      <c r="P659" s="42" t="str">
        <f>IFERROR(VLOOKUP($J659,'Project Reference'!$B$2:$C$41,2)," ")</f>
        <v xml:space="preserve"> </v>
      </c>
      <c r="Q659" s="42" t="str">
        <f>IFERROR(VLOOKUP($J659,'Project Reference'!$B$2:$D$41,3)," ")</f>
        <v xml:space="preserve"> </v>
      </c>
      <c r="R659" s="42" t="str">
        <f>IFERROR(VLOOKUP($J659,'Project Reference'!$B$2:$E$41,4)," ")</f>
        <v xml:space="preserve"> </v>
      </c>
      <c r="S659" s="42" t="str">
        <f>IFERROR(VLOOKUP($J659,'Project Reference'!$B$2:$F$41,5,FALSE)," ")</f>
        <v xml:space="preserve"> </v>
      </c>
      <c r="T659" s="42" t="str">
        <f>IFERROR(VLOOKUP($J659,'Project Reference'!$B$2:$G$41,6,FALSE)," ")</f>
        <v xml:space="preserve"> </v>
      </c>
      <c r="U659" s="42" t="str">
        <f>IFERROR(VLOOKUP($J659,'Project Reference'!$B$2:$H$41,7,FALSE)," ")</f>
        <v xml:space="preserve"> </v>
      </c>
      <c r="V659" s="42" t="str">
        <f>IFERROR(VLOOKUP($J659,'Project Reference'!$B$2:$I$41,8,FALSE)," ")</f>
        <v xml:space="preserve"> </v>
      </c>
      <c r="W659" s="42" t="str">
        <f>IFERROR(VLOOKUP($J659,'Project Reference'!$B$2:$J$41,9,FALSE)," ")</f>
        <v xml:space="preserve"> </v>
      </c>
      <c r="X659" s="42" t="str">
        <f>IFERROR(VLOOKUP($J659,'Project Reference'!$B$2:$K$41,10)," ")</f>
        <v xml:space="preserve"> </v>
      </c>
      <c r="Y659" s="42" t="str">
        <f>IFERROR(VLOOKUP($J659,'Project Reference'!$B$2:$L$41,11)," ")</f>
        <v xml:space="preserve"> </v>
      </c>
      <c r="Z659" s="42" t="str">
        <f>IFERROR(VLOOKUP($J659,'Project Reference'!$B$2:$M$41,12)," ")</f>
        <v xml:space="preserve"> </v>
      </c>
      <c r="AA659" s="42" t="str">
        <f>IFERROR(VLOOKUP($J659,'Project Reference'!$B$2:$N$41,13)," ")</f>
        <v xml:space="preserve"> </v>
      </c>
    </row>
    <row r="660" spans="1:27" x14ac:dyDescent="0.45">
      <c r="A660" s="43"/>
      <c r="B660" s="205"/>
      <c r="C660"/>
      <c r="D660" s="72"/>
      <c r="E660" s="72"/>
      <c r="F660" s="72"/>
      <c r="G660" s="72"/>
      <c r="H660" s="17"/>
      <c r="I660" s="41" t="str" cm="1">
        <f t="array" ref="I660">IFERROR(_xlfn.IFS(H660="Hard (Cash)","N/A",H660="Soft (In-Kind)", "Enter Source"),"Select Type")</f>
        <v>Select Type</v>
      </c>
      <c r="J660" s="124"/>
      <c r="K660" s="41" t="str">
        <f>IFERROR(VLOOKUP($J660,'Project Reference'!$S$2:$T$41,2),"Enter Project Number")</f>
        <v>Enter Project Number</v>
      </c>
      <c r="L660" s="41"/>
      <c r="M660" s="41"/>
      <c r="N660" s="15">
        <f t="shared" si="10"/>
        <v>0</v>
      </c>
      <c r="O660" s="19"/>
      <c r="P660" s="42" t="str">
        <f>IFERROR(VLOOKUP($J660,'Project Reference'!$B$2:$C$41,2)," ")</f>
        <v xml:space="preserve"> </v>
      </c>
      <c r="Q660" s="42" t="str">
        <f>IFERROR(VLOOKUP($J660,'Project Reference'!$B$2:$D$41,3)," ")</f>
        <v xml:space="preserve"> </v>
      </c>
      <c r="R660" s="42" t="str">
        <f>IFERROR(VLOOKUP($J660,'Project Reference'!$B$2:$E$41,4)," ")</f>
        <v xml:space="preserve"> </v>
      </c>
      <c r="S660" s="42" t="str">
        <f>IFERROR(VLOOKUP($J660,'Project Reference'!$B$2:$F$41,5,FALSE)," ")</f>
        <v xml:space="preserve"> </v>
      </c>
      <c r="T660" s="42" t="str">
        <f>IFERROR(VLOOKUP($J660,'Project Reference'!$B$2:$G$41,6,FALSE)," ")</f>
        <v xml:space="preserve"> </v>
      </c>
      <c r="U660" s="42" t="str">
        <f>IFERROR(VLOOKUP($J660,'Project Reference'!$B$2:$H$41,7,FALSE)," ")</f>
        <v xml:space="preserve"> </v>
      </c>
      <c r="V660" s="42" t="str">
        <f>IFERROR(VLOOKUP($J660,'Project Reference'!$B$2:$I$41,8,FALSE)," ")</f>
        <v xml:space="preserve"> </v>
      </c>
      <c r="W660" s="42" t="str">
        <f>IFERROR(VLOOKUP($J660,'Project Reference'!$B$2:$J$41,9,FALSE)," ")</f>
        <v xml:space="preserve"> </v>
      </c>
      <c r="X660" s="42" t="str">
        <f>IFERROR(VLOOKUP($J660,'Project Reference'!$B$2:$K$41,10)," ")</f>
        <v xml:space="preserve"> </v>
      </c>
      <c r="Y660" s="42" t="str">
        <f>IFERROR(VLOOKUP($J660,'Project Reference'!$B$2:$L$41,11)," ")</f>
        <v xml:space="preserve"> </v>
      </c>
      <c r="Z660" s="42" t="str">
        <f>IFERROR(VLOOKUP($J660,'Project Reference'!$B$2:$M$41,12)," ")</f>
        <v xml:space="preserve"> </v>
      </c>
      <c r="AA660" s="42" t="str">
        <f>IFERROR(VLOOKUP($J660,'Project Reference'!$B$2:$N$41,13)," ")</f>
        <v xml:space="preserve"> </v>
      </c>
    </row>
    <row r="661" spans="1:27" x14ac:dyDescent="0.45">
      <c r="A661" s="43"/>
      <c r="B661" s="205"/>
      <c r="C661"/>
      <c r="D661" s="72"/>
      <c r="E661" s="72"/>
      <c r="F661" s="72"/>
      <c r="G661" s="72"/>
      <c r="H661" s="17"/>
      <c r="I661" s="41" t="str" cm="1">
        <f t="array" ref="I661">IFERROR(_xlfn.IFS(H661="Hard (Cash)","N/A",H661="Soft (In-Kind)", "Enter Source"),"Select Type")</f>
        <v>Select Type</v>
      </c>
      <c r="J661" s="124"/>
      <c r="K661" s="41" t="str">
        <f>IFERROR(VLOOKUP($J661,'Project Reference'!$S$2:$T$41,2),"Enter Project Number")</f>
        <v>Enter Project Number</v>
      </c>
      <c r="L661" s="41"/>
      <c r="M661" s="41"/>
      <c r="N661" s="15">
        <f t="shared" si="10"/>
        <v>0</v>
      </c>
      <c r="O661" s="19"/>
      <c r="P661" s="42" t="str">
        <f>IFERROR(VLOOKUP($J661,'Project Reference'!$B$2:$C$41,2)," ")</f>
        <v xml:space="preserve"> </v>
      </c>
      <c r="Q661" s="42" t="str">
        <f>IFERROR(VLOOKUP($J661,'Project Reference'!$B$2:$D$41,3)," ")</f>
        <v xml:space="preserve"> </v>
      </c>
      <c r="R661" s="42" t="str">
        <f>IFERROR(VLOOKUP($J661,'Project Reference'!$B$2:$E$41,4)," ")</f>
        <v xml:space="preserve"> </v>
      </c>
      <c r="S661" s="42" t="str">
        <f>IFERROR(VLOOKUP($J661,'Project Reference'!$B$2:$F$41,5,FALSE)," ")</f>
        <v xml:space="preserve"> </v>
      </c>
      <c r="T661" s="42" t="str">
        <f>IFERROR(VLOOKUP($J661,'Project Reference'!$B$2:$G$41,6,FALSE)," ")</f>
        <v xml:space="preserve"> </v>
      </c>
      <c r="U661" s="42" t="str">
        <f>IFERROR(VLOOKUP($J661,'Project Reference'!$B$2:$H$41,7,FALSE)," ")</f>
        <v xml:space="preserve"> </v>
      </c>
      <c r="V661" s="42" t="str">
        <f>IFERROR(VLOOKUP($J661,'Project Reference'!$B$2:$I$41,8,FALSE)," ")</f>
        <v xml:space="preserve"> </v>
      </c>
      <c r="W661" s="42" t="str">
        <f>IFERROR(VLOOKUP($J661,'Project Reference'!$B$2:$J$41,9,FALSE)," ")</f>
        <v xml:space="preserve"> </v>
      </c>
      <c r="X661" s="42" t="str">
        <f>IFERROR(VLOOKUP($J661,'Project Reference'!$B$2:$K$41,10)," ")</f>
        <v xml:space="preserve"> </v>
      </c>
      <c r="Y661" s="42" t="str">
        <f>IFERROR(VLOOKUP($J661,'Project Reference'!$B$2:$L$41,11)," ")</f>
        <v xml:space="preserve"> </v>
      </c>
      <c r="Z661" s="42" t="str">
        <f>IFERROR(VLOOKUP($J661,'Project Reference'!$B$2:$M$41,12)," ")</f>
        <v xml:space="preserve"> </v>
      </c>
      <c r="AA661" s="42" t="str">
        <f>IFERROR(VLOOKUP($J661,'Project Reference'!$B$2:$N$41,13)," ")</f>
        <v xml:space="preserve"> </v>
      </c>
    </row>
    <row r="662" spans="1:27" x14ac:dyDescent="0.45">
      <c r="A662" s="43"/>
      <c r="B662" s="205"/>
      <c r="C662"/>
      <c r="D662" s="72"/>
      <c r="E662" s="72"/>
      <c r="F662" s="72"/>
      <c r="G662" s="72"/>
      <c r="H662" s="17"/>
      <c r="I662" s="41" t="str" cm="1">
        <f t="array" ref="I662">IFERROR(_xlfn.IFS(H662="Hard (Cash)","N/A",H662="Soft (In-Kind)", "Enter Source"),"Select Type")</f>
        <v>Select Type</v>
      </c>
      <c r="J662" s="124"/>
      <c r="K662" s="41" t="str">
        <f>IFERROR(VLOOKUP($J662,'Project Reference'!$S$2:$T$41,2),"Enter Project Number")</f>
        <v>Enter Project Number</v>
      </c>
      <c r="L662" s="41"/>
      <c r="M662" s="41"/>
      <c r="N662" s="15">
        <f t="shared" si="10"/>
        <v>0</v>
      </c>
      <c r="O662" s="19"/>
      <c r="P662" s="42" t="str">
        <f>IFERROR(VLOOKUP($J662,'Project Reference'!$B$2:$C$41,2)," ")</f>
        <v xml:space="preserve"> </v>
      </c>
      <c r="Q662" s="42" t="str">
        <f>IFERROR(VLOOKUP($J662,'Project Reference'!$B$2:$D$41,3)," ")</f>
        <v xml:space="preserve"> </v>
      </c>
      <c r="R662" s="42" t="str">
        <f>IFERROR(VLOOKUP($J662,'Project Reference'!$B$2:$E$41,4)," ")</f>
        <v xml:space="preserve"> </v>
      </c>
      <c r="S662" s="42" t="str">
        <f>IFERROR(VLOOKUP($J662,'Project Reference'!$B$2:$F$41,5,FALSE)," ")</f>
        <v xml:space="preserve"> </v>
      </c>
      <c r="T662" s="42" t="str">
        <f>IFERROR(VLOOKUP($J662,'Project Reference'!$B$2:$G$41,6,FALSE)," ")</f>
        <v xml:space="preserve"> </v>
      </c>
      <c r="U662" s="42" t="str">
        <f>IFERROR(VLOOKUP($J662,'Project Reference'!$B$2:$H$41,7,FALSE)," ")</f>
        <v xml:space="preserve"> </v>
      </c>
      <c r="V662" s="42" t="str">
        <f>IFERROR(VLOOKUP($J662,'Project Reference'!$B$2:$I$41,8,FALSE)," ")</f>
        <v xml:space="preserve"> </v>
      </c>
      <c r="W662" s="42" t="str">
        <f>IFERROR(VLOOKUP($J662,'Project Reference'!$B$2:$J$41,9,FALSE)," ")</f>
        <v xml:space="preserve"> </v>
      </c>
      <c r="X662" s="42" t="str">
        <f>IFERROR(VLOOKUP($J662,'Project Reference'!$B$2:$K$41,10)," ")</f>
        <v xml:space="preserve"> </v>
      </c>
      <c r="Y662" s="42" t="str">
        <f>IFERROR(VLOOKUP($J662,'Project Reference'!$B$2:$L$41,11)," ")</f>
        <v xml:space="preserve"> </v>
      </c>
      <c r="Z662" s="42" t="str">
        <f>IFERROR(VLOOKUP($J662,'Project Reference'!$B$2:$M$41,12)," ")</f>
        <v xml:space="preserve"> </v>
      </c>
      <c r="AA662" s="42" t="str">
        <f>IFERROR(VLOOKUP($J662,'Project Reference'!$B$2:$N$41,13)," ")</f>
        <v xml:space="preserve"> </v>
      </c>
    </row>
    <row r="663" spans="1:27" x14ac:dyDescent="0.45">
      <c r="A663" s="43"/>
      <c r="B663" s="205"/>
      <c r="C663"/>
      <c r="D663" s="72"/>
      <c r="E663" s="72"/>
      <c r="F663" s="72"/>
      <c r="G663" s="72"/>
      <c r="H663" s="17"/>
      <c r="I663" s="41" t="str" cm="1">
        <f t="array" ref="I663">IFERROR(_xlfn.IFS(H663="Hard (Cash)","N/A",H663="Soft (In-Kind)", "Enter Source"),"Select Type")</f>
        <v>Select Type</v>
      </c>
      <c r="J663" s="124"/>
      <c r="K663" s="41" t="str">
        <f>IFERROR(VLOOKUP($J663,'Project Reference'!$S$2:$T$41,2),"Enter Project Number")</f>
        <v>Enter Project Number</v>
      </c>
      <c r="L663" s="41"/>
      <c r="M663" s="41"/>
      <c r="N663" s="15">
        <f t="shared" si="10"/>
        <v>0</v>
      </c>
      <c r="O663" s="19"/>
      <c r="P663" s="42" t="str">
        <f>IFERROR(VLOOKUP($J663,'Project Reference'!$B$2:$C$41,2)," ")</f>
        <v xml:space="preserve"> </v>
      </c>
      <c r="Q663" s="42" t="str">
        <f>IFERROR(VLOOKUP($J663,'Project Reference'!$B$2:$D$41,3)," ")</f>
        <v xml:space="preserve"> </v>
      </c>
      <c r="R663" s="42" t="str">
        <f>IFERROR(VLOOKUP($J663,'Project Reference'!$B$2:$E$41,4)," ")</f>
        <v xml:space="preserve"> </v>
      </c>
      <c r="S663" s="42" t="str">
        <f>IFERROR(VLOOKUP($J663,'Project Reference'!$B$2:$F$41,5,FALSE)," ")</f>
        <v xml:space="preserve"> </v>
      </c>
      <c r="T663" s="42" t="str">
        <f>IFERROR(VLOOKUP($J663,'Project Reference'!$B$2:$G$41,6,FALSE)," ")</f>
        <v xml:space="preserve"> </v>
      </c>
      <c r="U663" s="42" t="str">
        <f>IFERROR(VLOOKUP($J663,'Project Reference'!$B$2:$H$41,7,FALSE)," ")</f>
        <v xml:space="preserve"> </v>
      </c>
      <c r="V663" s="42" t="str">
        <f>IFERROR(VLOOKUP($J663,'Project Reference'!$B$2:$I$41,8,FALSE)," ")</f>
        <v xml:space="preserve"> </v>
      </c>
      <c r="W663" s="42" t="str">
        <f>IFERROR(VLOOKUP($J663,'Project Reference'!$B$2:$J$41,9,FALSE)," ")</f>
        <v xml:space="preserve"> </v>
      </c>
      <c r="X663" s="42" t="str">
        <f>IFERROR(VLOOKUP($J663,'Project Reference'!$B$2:$K$41,10)," ")</f>
        <v xml:space="preserve"> </v>
      </c>
      <c r="Y663" s="42" t="str">
        <f>IFERROR(VLOOKUP($J663,'Project Reference'!$B$2:$L$41,11)," ")</f>
        <v xml:space="preserve"> </v>
      </c>
      <c r="Z663" s="42" t="str">
        <f>IFERROR(VLOOKUP($J663,'Project Reference'!$B$2:$M$41,12)," ")</f>
        <v xml:space="preserve"> </v>
      </c>
      <c r="AA663" s="42" t="str">
        <f>IFERROR(VLOOKUP($J663,'Project Reference'!$B$2:$N$41,13)," ")</f>
        <v xml:space="preserve"> </v>
      </c>
    </row>
    <row r="664" spans="1:27" x14ac:dyDescent="0.45">
      <c r="A664" s="43"/>
      <c r="B664" s="205"/>
      <c r="C664"/>
      <c r="D664" s="72"/>
      <c r="E664" s="72"/>
      <c r="F664" s="72"/>
      <c r="G664" s="72"/>
      <c r="H664" s="17"/>
      <c r="I664" s="41" t="str" cm="1">
        <f t="array" ref="I664">IFERROR(_xlfn.IFS(H664="Hard (Cash)","N/A",H664="Soft (In-Kind)", "Enter Source"),"Select Type")</f>
        <v>Select Type</v>
      </c>
      <c r="J664" s="124"/>
      <c r="K664" s="41" t="str">
        <f>IFERROR(VLOOKUP($J664,'Project Reference'!$S$2:$T$41,2),"Enter Project Number")</f>
        <v>Enter Project Number</v>
      </c>
      <c r="L664" s="41"/>
      <c r="M664" s="41"/>
      <c r="N664" s="15">
        <f t="shared" si="10"/>
        <v>0</v>
      </c>
      <c r="O664" s="19"/>
      <c r="P664" s="42" t="str">
        <f>IFERROR(VLOOKUP($J664,'Project Reference'!$B$2:$C$41,2)," ")</f>
        <v xml:space="preserve"> </v>
      </c>
      <c r="Q664" s="42" t="str">
        <f>IFERROR(VLOOKUP($J664,'Project Reference'!$B$2:$D$41,3)," ")</f>
        <v xml:space="preserve"> </v>
      </c>
      <c r="R664" s="42" t="str">
        <f>IFERROR(VLOOKUP($J664,'Project Reference'!$B$2:$E$41,4)," ")</f>
        <v xml:space="preserve"> </v>
      </c>
      <c r="S664" s="42" t="str">
        <f>IFERROR(VLOOKUP($J664,'Project Reference'!$B$2:$F$41,5,FALSE)," ")</f>
        <v xml:space="preserve"> </v>
      </c>
      <c r="T664" s="42" t="str">
        <f>IFERROR(VLOOKUP($J664,'Project Reference'!$B$2:$G$41,6,FALSE)," ")</f>
        <v xml:space="preserve"> </v>
      </c>
      <c r="U664" s="42" t="str">
        <f>IFERROR(VLOOKUP($J664,'Project Reference'!$B$2:$H$41,7,FALSE)," ")</f>
        <v xml:space="preserve"> </v>
      </c>
      <c r="V664" s="42" t="str">
        <f>IFERROR(VLOOKUP($J664,'Project Reference'!$B$2:$I$41,8,FALSE)," ")</f>
        <v xml:space="preserve"> </v>
      </c>
      <c r="W664" s="42" t="str">
        <f>IFERROR(VLOOKUP($J664,'Project Reference'!$B$2:$J$41,9,FALSE)," ")</f>
        <v xml:space="preserve"> </v>
      </c>
      <c r="X664" s="42" t="str">
        <f>IFERROR(VLOOKUP($J664,'Project Reference'!$B$2:$K$41,10)," ")</f>
        <v xml:space="preserve"> </v>
      </c>
      <c r="Y664" s="42" t="str">
        <f>IFERROR(VLOOKUP($J664,'Project Reference'!$B$2:$L$41,11)," ")</f>
        <v xml:space="preserve"> </v>
      </c>
      <c r="Z664" s="42" t="str">
        <f>IFERROR(VLOOKUP($J664,'Project Reference'!$B$2:$M$41,12)," ")</f>
        <v xml:space="preserve"> </v>
      </c>
      <c r="AA664" s="42" t="str">
        <f>IFERROR(VLOOKUP($J664,'Project Reference'!$B$2:$N$41,13)," ")</f>
        <v xml:space="preserve"> </v>
      </c>
    </row>
    <row r="665" spans="1:27" x14ac:dyDescent="0.45">
      <c r="A665" s="43"/>
      <c r="B665" s="205"/>
      <c r="C665"/>
      <c r="D665" s="72"/>
      <c r="E665" s="72"/>
      <c r="F665" s="72"/>
      <c r="G665" s="72"/>
      <c r="H665" s="17"/>
      <c r="I665" s="41" t="str" cm="1">
        <f t="array" ref="I665">IFERROR(_xlfn.IFS(H665="Hard (Cash)","N/A",H665="Soft (In-Kind)", "Enter Source"),"Select Type")</f>
        <v>Select Type</v>
      </c>
      <c r="J665" s="124"/>
      <c r="K665" s="41" t="str">
        <f>IFERROR(VLOOKUP($J665,'Project Reference'!$S$2:$T$41,2),"Enter Project Number")</f>
        <v>Enter Project Number</v>
      </c>
      <c r="L665" s="41"/>
      <c r="M665" s="41"/>
      <c r="N665" s="15">
        <f t="shared" si="10"/>
        <v>0</v>
      </c>
      <c r="O665" s="19"/>
      <c r="P665" s="42" t="str">
        <f>IFERROR(VLOOKUP($J665,'Project Reference'!$B$2:$C$41,2)," ")</f>
        <v xml:space="preserve"> </v>
      </c>
      <c r="Q665" s="42" t="str">
        <f>IFERROR(VLOOKUP($J665,'Project Reference'!$B$2:$D$41,3)," ")</f>
        <v xml:space="preserve"> </v>
      </c>
      <c r="R665" s="42" t="str">
        <f>IFERROR(VLOOKUP($J665,'Project Reference'!$B$2:$E$41,4)," ")</f>
        <v xml:space="preserve"> </v>
      </c>
      <c r="S665" s="42" t="str">
        <f>IFERROR(VLOOKUP($J665,'Project Reference'!$B$2:$F$41,5,FALSE)," ")</f>
        <v xml:space="preserve"> </v>
      </c>
      <c r="T665" s="42" t="str">
        <f>IFERROR(VLOOKUP($J665,'Project Reference'!$B$2:$G$41,6,FALSE)," ")</f>
        <v xml:space="preserve"> </v>
      </c>
      <c r="U665" s="42" t="str">
        <f>IFERROR(VLOOKUP($J665,'Project Reference'!$B$2:$H$41,7,FALSE)," ")</f>
        <v xml:space="preserve"> </v>
      </c>
      <c r="V665" s="42" t="str">
        <f>IFERROR(VLOOKUP($J665,'Project Reference'!$B$2:$I$41,8,FALSE)," ")</f>
        <v xml:space="preserve"> </v>
      </c>
      <c r="W665" s="42" t="str">
        <f>IFERROR(VLOOKUP($J665,'Project Reference'!$B$2:$J$41,9,FALSE)," ")</f>
        <v xml:space="preserve"> </v>
      </c>
      <c r="X665" s="42" t="str">
        <f>IFERROR(VLOOKUP($J665,'Project Reference'!$B$2:$K$41,10)," ")</f>
        <v xml:space="preserve"> </v>
      </c>
      <c r="Y665" s="42" t="str">
        <f>IFERROR(VLOOKUP($J665,'Project Reference'!$B$2:$L$41,11)," ")</f>
        <v xml:space="preserve"> </v>
      </c>
      <c r="Z665" s="42" t="str">
        <f>IFERROR(VLOOKUP($J665,'Project Reference'!$B$2:$M$41,12)," ")</f>
        <v xml:space="preserve"> </v>
      </c>
      <c r="AA665" s="42" t="str">
        <f>IFERROR(VLOOKUP($J665,'Project Reference'!$B$2:$N$41,13)," ")</f>
        <v xml:space="preserve"> </v>
      </c>
    </row>
    <row r="666" spans="1:27" x14ac:dyDescent="0.45">
      <c r="A666" s="43"/>
      <c r="B666" s="205"/>
      <c r="C666"/>
      <c r="D666" s="72"/>
      <c r="E666" s="72"/>
      <c r="F666" s="72"/>
      <c r="G666" s="72"/>
      <c r="H666" s="17"/>
      <c r="I666" s="41" t="str" cm="1">
        <f t="array" ref="I666">IFERROR(_xlfn.IFS(H666="Hard (Cash)","N/A",H666="Soft (In-Kind)", "Enter Source"),"Select Type")</f>
        <v>Select Type</v>
      </c>
      <c r="J666" s="124"/>
      <c r="K666" s="41" t="str">
        <f>IFERROR(VLOOKUP($J666,'Project Reference'!$S$2:$T$41,2),"Enter Project Number")</f>
        <v>Enter Project Number</v>
      </c>
      <c r="L666" s="41"/>
      <c r="M666" s="41"/>
      <c r="N666" s="15">
        <f t="shared" si="10"/>
        <v>0</v>
      </c>
      <c r="O666" s="19"/>
      <c r="P666" s="42" t="str">
        <f>IFERROR(VLOOKUP($J666,'Project Reference'!$B$2:$C$41,2)," ")</f>
        <v xml:space="preserve"> </v>
      </c>
      <c r="Q666" s="42" t="str">
        <f>IFERROR(VLOOKUP($J666,'Project Reference'!$B$2:$D$41,3)," ")</f>
        <v xml:space="preserve"> </v>
      </c>
      <c r="R666" s="42" t="str">
        <f>IFERROR(VLOOKUP($J666,'Project Reference'!$B$2:$E$41,4)," ")</f>
        <v xml:space="preserve"> </v>
      </c>
      <c r="S666" s="42" t="str">
        <f>IFERROR(VLOOKUP($J666,'Project Reference'!$B$2:$F$41,5,FALSE)," ")</f>
        <v xml:space="preserve"> </v>
      </c>
      <c r="T666" s="42" t="str">
        <f>IFERROR(VLOOKUP($J666,'Project Reference'!$B$2:$G$41,6,FALSE)," ")</f>
        <v xml:space="preserve"> </v>
      </c>
      <c r="U666" s="42" t="str">
        <f>IFERROR(VLOOKUP($J666,'Project Reference'!$B$2:$H$41,7,FALSE)," ")</f>
        <v xml:space="preserve"> </v>
      </c>
      <c r="V666" s="42" t="str">
        <f>IFERROR(VLOOKUP($J666,'Project Reference'!$B$2:$I$41,8,FALSE)," ")</f>
        <v xml:space="preserve"> </v>
      </c>
      <c r="W666" s="42" t="str">
        <f>IFERROR(VLOOKUP($J666,'Project Reference'!$B$2:$J$41,9,FALSE)," ")</f>
        <v xml:space="preserve"> </v>
      </c>
      <c r="X666" s="42" t="str">
        <f>IFERROR(VLOOKUP($J666,'Project Reference'!$B$2:$K$41,10)," ")</f>
        <v xml:space="preserve"> </v>
      </c>
      <c r="Y666" s="42" t="str">
        <f>IFERROR(VLOOKUP($J666,'Project Reference'!$B$2:$L$41,11)," ")</f>
        <v xml:space="preserve"> </v>
      </c>
      <c r="Z666" s="42" t="str">
        <f>IFERROR(VLOOKUP($J666,'Project Reference'!$B$2:$M$41,12)," ")</f>
        <v xml:space="preserve"> </v>
      </c>
      <c r="AA666" s="42" t="str">
        <f>IFERROR(VLOOKUP($J666,'Project Reference'!$B$2:$N$41,13)," ")</f>
        <v xml:space="preserve"> </v>
      </c>
    </row>
    <row r="667" spans="1:27" x14ac:dyDescent="0.45">
      <c r="A667" s="43"/>
      <c r="B667" s="205"/>
      <c r="C667"/>
      <c r="D667" s="72"/>
      <c r="E667" s="72"/>
      <c r="F667" s="72"/>
      <c r="G667" s="72"/>
      <c r="H667" s="17"/>
      <c r="I667" s="41" t="str" cm="1">
        <f t="array" ref="I667">IFERROR(_xlfn.IFS(H667="Hard (Cash)","N/A",H667="Soft (In-Kind)", "Enter Source"),"Select Type")</f>
        <v>Select Type</v>
      </c>
      <c r="J667" s="124"/>
      <c r="K667" s="41" t="str">
        <f>IFERROR(VLOOKUP($J667,'Project Reference'!$S$2:$T$41,2),"Enter Project Number")</f>
        <v>Enter Project Number</v>
      </c>
      <c r="L667" s="41"/>
      <c r="M667" s="41"/>
      <c r="N667" s="15">
        <f t="shared" si="10"/>
        <v>0</v>
      </c>
      <c r="O667" s="19"/>
      <c r="P667" s="42" t="str">
        <f>IFERROR(VLOOKUP($J667,'Project Reference'!$B$2:$C$41,2)," ")</f>
        <v xml:space="preserve"> </v>
      </c>
      <c r="Q667" s="42" t="str">
        <f>IFERROR(VLOOKUP($J667,'Project Reference'!$B$2:$D$41,3)," ")</f>
        <v xml:space="preserve"> </v>
      </c>
      <c r="R667" s="42" t="str">
        <f>IFERROR(VLOOKUP($J667,'Project Reference'!$B$2:$E$41,4)," ")</f>
        <v xml:space="preserve"> </v>
      </c>
      <c r="S667" s="42" t="str">
        <f>IFERROR(VLOOKUP($J667,'Project Reference'!$B$2:$F$41,5,FALSE)," ")</f>
        <v xml:space="preserve"> </v>
      </c>
      <c r="T667" s="42" t="str">
        <f>IFERROR(VLOOKUP($J667,'Project Reference'!$B$2:$G$41,6,FALSE)," ")</f>
        <v xml:space="preserve"> </v>
      </c>
      <c r="U667" s="42" t="str">
        <f>IFERROR(VLOOKUP($J667,'Project Reference'!$B$2:$H$41,7,FALSE)," ")</f>
        <v xml:space="preserve"> </v>
      </c>
      <c r="V667" s="42" t="str">
        <f>IFERROR(VLOOKUP($J667,'Project Reference'!$B$2:$I$41,8,FALSE)," ")</f>
        <v xml:space="preserve"> </v>
      </c>
      <c r="W667" s="42" t="str">
        <f>IFERROR(VLOOKUP($J667,'Project Reference'!$B$2:$J$41,9,FALSE)," ")</f>
        <v xml:space="preserve"> </v>
      </c>
      <c r="X667" s="42" t="str">
        <f>IFERROR(VLOOKUP($J667,'Project Reference'!$B$2:$K$41,10)," ")</f>
        <v xml:space="preserve"> </v>
      </c>
      <c r="Y667" s="42" t="str">
        <f>IFERROR(VLOOKUP($J667,'Project Reference'!$B$2:$L$41,11)," ")</f>
        <v xml:space="preserve"> </v>
      </c>
      <c r="Z667" s="42" t="str">
        <f>IFERROR(VLOOKUP($J667,'Project Reference'!$B$2:$M$41,12)," ")</f>
        <v xml:space="preserve"> </v>
      </c>
      <c r="AA667" s="42" t="str">
        <f>IFERROR(VLOOKUP($J667,'Project Reference'!$B$2:$N$41,13)," ")</f>
        <v xml:space="preserve"> </v>
      </c>
    </row>
    <row r="668" spans="1:27" x14ac:dyDescent="0.45">
      <c r="A668" s="43"/>
      <c r="B668" s="205"/>
      <c r="C668"/>
      <c r="D668" s="72"/>
      <c r="E668" s="72"/>
      <c r="F668" s="72"/>
      <c r="G668" s="72"/>
      <c r="H668" s="17"/>
      <c r="I668" s="41" t="str" cm="1">
        <f t="array" ref="I668">IFERROR(_xlfn.IFS(H668="Hard (Cash)","N/A",H668="Soft (In-Kind)", "Enter Source"),"Select Type")</f>
        <v>Select Type</v>
      </c>
      <c r="J668" s="124"/>
      <c r="K668" s="41" t="str">
        <f>IFERROR(VLOOKUP($J668,'Project Reference'!$S$2:$T$41,2),"Enter Project Number")</f>
        <v>Enter Project Number</v>
      </c>
      <c r="L668" s="41"/>
      <c r="M668" s="41"/>
      <c r="N668" s="15">
        <f t="shared" si="10"/>
        <v>0</v>
      </c>
      <c r="O668" s="19"/>
      <c r="P668" s="42" t="str">
        <f>IFERROR(VLOOKUP($J668,'Project Reference'!$B$2:$C$41,2)," ")</f>
        <v xml:space="preserve"> </v>
      </c>
      <c r="Q668" s="42" t="str">
        <f>IFERROR(VLOOKUP($J668,'Project Reference'!$B$2:$D$41,3)," ")</f>
        <v xml:space="preserve"> </v>
      </c>
      <c r="R668" s="42" t="str">
        <f>IFERROR(VLOOKUP($J668,'Project Reference'!$B$2:$E$41,4)," ")</f>
        <v xml:space="preserve"> </v>
      </c>
      <c r="S668" s="42" t="str">
        <f>IFERROR(VLOOKUP($J668,'Project Reference'!$B$2:$F$41,5,FALSE)," ")</f>
        <v xml:space="preserve"> </v>
      </c>
      <c r="T668" s="42" t="str">
        <f>IFERROR(VLOOKUP($J668,'Project Reference'!$B$2:$G$41,6,FALSE)," ")</f>
        <v xml:space="preserve"> </v>
      </c>
      <c r="U668" s="42" t="str">
        <f>IFERROR(VLOOKUP($J668,'Project Reference'!$B$2:$H$41,7,FALSE)," ")</f>
        <v xml:space="preserve"> </v>
      </c>
      <c r="V668" s="42" t="str">
        <f>IFERROR(VLOOKUP($J668,'Project Reference'!$B$2:$I$41,8,FALSE)," ")</f>
        <v xml:space="preserve"> </v>
      </c>
      <c r="W668" s="42" t="str">
        <f>IFERROR(VLOOKUP($J668,'Project Reference'!$B$2:$J$41,9,FALSE)," ")</f>
        <v xml:space="preserve"> </v>
      </c>
      <c r="X668" s="42" t="str">
        <f>IFERROR(VLOOKUP($J668,'Project Reference'!$B$2:$K$41,10)," ")</f>
        <v xml:space="preserve"> </v>
      </c>
      <c r="Y668" s="42" t="str">
        <f>IFERROR(VLOOKUP($J668,'Project Reference'!$B$2:$L$41,11)," ")</f>
        <v xml:space="preserve"> </v>
      </c>
      <c r="Z668" s="42" t="str">
        <f>IFERROR(VLOOKUP($J668,'Project Reference'!$B$2:$M$41,12)," ")</f>
        <v xml:space="preserve"> </v>
      </c>
      <c r="AA668" s="42" t="str">
        <f>IFERROR(VLOOKUP($J668,'Project Reference'!$B$2:$N$41,13)," ")</f>
        <v xml:space="preserve"> </v>
      </c>
    </row>
    <row r="669" spans="1:27" x14ac:dyDescent="0.45">
      <c r="A669" s="43"/>
      <c r="B669" s="205"/>
      <c r="C669"/>
      <c r="D669" s="72"/>
      <c r="E669" s="72"/>
      <c r="F669" s="72"/>
      <c r="G669" s="72"/>
      <c r="H669" s="17"/>
      <c r="I669" s="41" t="str" cm="1">
        <f t="array" ref="I669">IFERROR(_xlfn.IFS(H669="Hard (Cash)","N/A",H669="Soft (In-Kind)", "Enter Source"),"Select Type")</f>
        <v>Select Type</v>
      </c>
      <c r="J669" s="124"/>
      <c r="K669" s="41" t="str">
        <f>IFERROR(VLOOKUP($J669,'Project Reference'!$S$2:$T$41,2),"Enter Project Number")</f>
        <v>Enter Project Number</v>
      </c>
      <c r="L669" s="41"/>
      <c r="M669" s="41"/>
      <c r="N669" s="15">
        <f t="shared" si="10"/>
        <v>0</v>
      </c>
      <c r="O669" s="19"/>
      <c r="P669" s="42" t="str">
        <f>IFERROR(VLOOKUP($J669,'Project Reference'!$B$2:$C$41,2)," ")</f>
        <v xml:space="preserve"> </v>
      </c>
      <c r="Q669" s="42" t="str">
        <f>IFERROR(VLOOKUP($J669,'Project Reference'!$B$2:$D$41,3)," ")</f>
        <v xml:space="preserve"> </v>
      </c>
      <c r="R669" s="42" t="str">
        <f>IFERROR(VLOOKUP($J669,'Project Reference'!$B$2:$E$41,4)," ")</f>
        <v xml:space="preserve"> </v>
      </c>
      <c r="S669" s="42" t="str">
        <f>IFERROR(VLOOKUP($J669,'Project Reference'!$B$2:$F$41,5,FALSE)," ")</f>
        <v xml:space="preserve"> </v>
      </c>
      <c r="T669" s="42" t="str">
        <f>IFERROR(VLOOKUP($J669,'Project Reference'!$B$2:$G$41,6,FALSE)," ")</f>
        <v xml:space="preserve"> </v>
      </c>
      <c r="U669" s="42" t="str">
        <f>IFERROR(VLOOKUP($J669,'Project Reference'!$B$2:$H$41,7,FALSE)," ")</f>
        <v xml:space="preserve"> </v>
      </c>
      <c r="V669" s="42" t="str">
        <f>IFERROR(VLOOKUP($J669,'Project Reference'!$B$2:$I$41,8,FALSE)," ")</f>
        <v xml:space="preserve"> </v>
      </c>
      <c r="W669" s="42" t="str">
        <f>IFERROR(VLOOKUP($J669,'Project Reference'!$B$2:$J$41,9,FALSE)," ")</f>
        <v xml:space="preserve"> </v>
      </c>
      <c r="X669" s="42" t="str">
        <f>IFERROR(VLOOKUP($J669,'Project Reference'!$B$2:$K$41,10)," ")</f>
        <v xml:space="preserve"> </v>
      </c>
      <c r="Y669" s="42" t="str">
        <f>IFERROR(VLOOKUP($J669,'Project Reference'!$B$2:$L$41,11)," ")</f>
        <v xml:space="preserve"> </v>
      </c>
      <c r="Z669" s="42" t="str">
        <f>IFERROR(VLOOKUP($J669,'Project Reference'!$B$2:$M$41,12)," ")</f>
        <v xml:space="preserve"> </v>
      </c>
      <c r="AA669" s="42" t="str">
        <f>IFERROR(VLOOKUP($J669,'Project Reference'!$B$2:$N$41,13)," ")</f>
        <v xml:space="preserve"> </v>
      </c>
    </row>
    <row r="670" spans="1:27" x14ac:dyDescent="0.45">
      <c r="A670" s="43"/>
      <c r="B670" s="205"/>
      <c r="C670"/>
      <c r="D670" s="72"/>
      <c r="E670" s="72"/>
      <c r="F670" s="72"/>
      <c r="G670" s="72"/>
      <c r="H670" s="17"/>
      <c r="I670" s="41" t="str" cm="1">
        <f t="array" ref="I670">IFERROR(_xlfn.IFS(H670="Hard (Cash)","N/A",H670="Soft (In-Kind)", "Enter Source"),"Select Type")</f>
        <v>Select Type</v>
      </c>
      <c r="J670" s="124"/>
      <c r="K670" s="41" t="str">
        <f>IFERROR(VLOOKUP($J670,'Project Reference'!$S$2:$T$41,2),"Enter Project Number")</f>
        <v>Enter Project Number</v>
      </c>
      <c r="L670" s="41"/>
      <c r="M670" s="41"/>
      <c r="N670" s="15">
        <f t="shared" si="10"/>
        <v>0</v>
      </c>
      <c r="O670" s="19"/>
      <c r="P670" s="42" t="str">
        <f>IFERROR(VLOOKUP($J670,'Project Reference'!$B$2:$C$41,2)," ")</f>
        <v xml:space="preserve"> </v>
      </c>
      <c r="Q670" s="42" t="str">
        <f>IFERROR(VLOOKUP($J670,'Project Reference'!$B$2:$D$41,3)," ")</f>
        <v xml:space="preserve"> </v>
      </c>
      <c r="R670" s="42" t="str">
        <f>IFERROR(VLOOKUP($J670,'Project Reference'!$B$2:$E$41,4)," ")</f>
        <v xml:space="preserve"> </v>
      </c>
      <c r="S670" s="42" t="str">
        <f>IFERROR(VLOOKUP($J670,'Project Reference'!$B$2:$F$41,5,FALSE)," ")</f>
        <v xml:space="preserve"> </v>
      </c>
      <c r="T670" s="42" t="str">
        <f>IFERROR(VLOOKUP($J670,'Project Reference'!$B$2:$G$41,6,FALSE)," ")</f>
        <v xml:space="preserve"> </v>
      </c>
      <c r="U670" s="42" t="str">
        <f>IFERROR(VLOOKUP($J670,'Project Reference'!$B$2:$H$41,7,FALSE)," ")</f>
        <v xml:space="preserve"> </v>
      </c>
      <c r="V670" s="42" t="str">
        <f>IFERROR(VLOOKUP($J670,'Project Reference'!$B$2:$I$41,8,FALSE)," ")</f>
        <v xml:space="preserve"> </v>
      </c>
      <c r="W670" s="42" t="str">
        <f>IFERROR(VLOOKUP($J670,'Project Reference'!$B$2:$J$41,9,FALSE)," ")</f>
        <v xml:space="preserve"> </v>
      </c>
      <c r="X670" s="42" t="str">
        <f>IFERROR(VLOOKUP($J670,'Project Reference'!$B$2:$K$41,10)," ")</f>
        <v xml:space="preserve"> </v>
      </c>
      <c r="Y670" s="42" t="str">
        <f>IFERROR(VLOOKUP($J670,'Project Reference'!$B$2:$L$41,11)," ")</f>
        <v xml:space="preserve"> </v>
      </c>
      <c r="Z670" s="42" t="str">
        <f>IFERROR(VLOOKUP($J670,'Project Reference'!$B$2:$M$41,12)," ")</f>
        <v xml:space="preserve"> </v>
      </c>
      <c r="AA670" s="42" t="str">
        <f>IFERROR(VLOOKUP($J670,'Project Reference'!$B$2:$N$41,13)," ")</f>
        <v xml:space="preserve"> </v>
      </c>
    </row>
    <row r="671" spans="1:27" x14ac:dyDescent="0.45">
      <c r="A671" s="43"/>
      <c r="B671" s="205"/>
      <c r="C671"/>
      <c r="D671" s="72"/>
      <c r="E671" s="72"/>
      <c r="F671" s="72"/>
      <c r="G671" s="72"/>
      <c r="H671" s="17"/>
      <c r="I671" s="41" t="str" cm="1">
        <f t="array" ref="I671">IFERROR(_xlfn.IFS(H671="Hard (Cash)","N/A",H671="Soft (In-Kind)", "Enter Source"),"Select Type")</f>
        <v>Select Type</v>
      </c>
      <c r="J671" s="124"/>
      <c r="K671" s="41" t="str">
        <f>IFERROR(VLOOKUP($J671,'Project Reference'!$S$2:$T$41,2),"Enter Project Number")</f>
        <v>Enter Project Number</v>
      </c>
      <c r="L671" s="41"/>
      <c r="M671" s="41"/>
      <c r="N671" s="15">
        <f t="shared" si="10"/>
        <v>0</v>
      </c>
      <c r="O671" s="19"/>
      <c r="P671" s="42" t="str">
        <f>IFERROR(VLOOKUP($J671,'Project Reference'!$B$2:$C$41,2)," ")</f>
        <v xml:space="preserve"> </v>
      </c>
      <c r="Q671" s="42" t="str">
        <f>IFERROR(VLOOKUP($J671,'Project Reference'!$B$2:$D$41,3)," ")</f>
        <v xml:space="preserve"> </v>
      </c>
      <c r="R671" s="42" t="str">
        <f>IFERROR(VLOOKUP($J671,'Project Reference'!$B$2:$E$41,4)," ")</f>
        <v xml:space="preserve"> </v>
      </c>
      <c r="S671" s="42" t="str">
        <f>IFERROR(VLOOKUP($J671,'Project Reference'!$B$2:$F$41,5,FALSE)," ")</f>
        <v xml:space="preserve"> </v>
      </c>
      <c r="T671" s="42" t="str">
        <f>IFERROR(VLOOKUP($J671,'Project Reference'!$B$2:$G$41,6,FALSE)," ")</f>
        <v xml:space="preserve"> </v>
      </c>
      <c r="U671" s="42" t="str">
        <f>IFERROR(VLOOKUP($J671,'Project Reference'!$B$2:$H$41,7,FALSE)," ")</f>
        <v xml:space="preserve"> </v>
      </c>
      <c r="V671" s="42" t="str">
        <f>IFERROR(VLOOKUP($J671,'Project Reference'!$B$2:$I$41,8,FALSE)," ")</f>
        <v xml:space="preserve"> </v>
      </c>
      <c r="W671" s="42" t="str">
        <f>IFERROR(VLOOKUP($J671,'Project Reference'!$B$2:$J$41,9,FALSE)," ")</f>
        <v xml:space="preserve"> </v>
      </c>
      <c r="X671" s="42" t="str">
        <f>IFERROR(VLOOKUP($J671,'Project Reference'!$B$2:$K$41,10)," ")</f>
        <v xml:space="preserve"> </v>
      </c>
      <c r="Y671" s="42" t="str">
        <f>IFERROR(VLOOKUP($J671,'Project Reference'!$B$2:$L$41,11)," ")</f>
        <v xml:space="preserve"> </v>
      </c>
      <c r="Z671" s="42" t="str">
        <f>IFERROR(VLOOKUP($J671,'Project Reference'!$B$2:$M$41,12)," ")</f>
        <v xml:space="preserve"> </v>
      </c>
      <c r="AA671" s="42" t="str">
        <f>IFERROR(VLOOKUP($J671,'Project Reference'!$B$2:$N$41,13)," ")</f>
        <v xml:space="preserve"> </v>
      </c>
    </row>
    <row r="672" spans="1:27" x14ac:dyDescent="0.45">
      <c r="A672" s="43"/>
      <c r="B672" s="205"/>
      <c r="C672"/>
      <c r="D672" s="72"/>
      <c r="E672" s="72"/>
      <c r="F672" s="72"/>
      <c r="G672" s="72"/>
      <c r="H672" s="17"/>
      <c r="I672" s="41" t="str" cm="1">
        <f t="array" ref="I672">IFERROR(_xlfn.IFS(H672="Hard (Cash)","N/A",H672="Soft (In-Kind)", "Enter Source"),"Select Type")</f>
        <v>Select Type</v>
      </c>
      <c r="J672" s="124"/>
      <c r="K672" s="41" t="str">
        <f>IFERROR(VLOOKUP($J672,'Project Reference'!$S$2:$T$41,2),"Enter Project Number")</f>
        <v>Enter Project Number</v>
      </c>
      <c r="L672" s="41"/>
      <c r="M672" s="41"/>
      <c r="N672" s="15">
        <f t="shared" si="10"/>
        <v>0</v>
      </c>
      <c r="O672" s="19"/>
      <c r="P672" s="42" t="str">
        <f>IFERROR(VLOOKUP($J672,'Project Reference'!$B$2:$C$41,2)," ")</f>
        <v xml:space="preserve"> </v>
      </c>
      <c r="Q672" s="42" t="str">
        <f>IFERROR(VLOOKUP($J672,'Project Reference'!$B$2:$D$41,3)," ")</f>
        <v xml:space="preserve"> </v>
      </c>
      <c r="R672" s="42" t="str">
        <f>IFERROR(VLOOKUP($J672,'Project Reference'!$B$2:$E$41,4)," ")</f>
        <v xml:space="preserve"> </v>
      </c>
      <c r="S672" s="42" t="str">
        <f>IFERROR(VLOOKUP($J672,'Project Reference'!$B$2:$F$41,5,FALSE)," ")</f>
        <v xml:space="preserve"> </v>
      </c>
      <c r="T672" s="42" t="str">
        <f>IFERROR(VLOOKUP($J672,'Project Reference'!$B$2:$G$41,6,FALSE)," ")</f>
        <v xml:space="preserve"> </v>
      </c>
      <c r="U672" s="42" t="str">
        <f>IFERROR(VLOOKUP($J672,'Project Reference'!$B$2:$H$41,7,FALSE)," ")</f>
        <v xml:space="preserve"> </v>
      </c>
      <c r="V672" s="42" t="str">
        <f>IFERROR(VLOOKUP($J672,'Project Reference'!$B$2:$I$41,8,FALSE)," ")</f>
        <v xml:space="preserve"> </v>
      </c>
      <c r="W672" s="42" t="str">
        <f>IFERROR(VLOOKUP($J672,'Project Reference'!$B$2:$J$41,9,FALSE)," ")</f>
        <v xml:space="preserve"> </v>
      </c>
      <c r="X672" s="42" t="str">
        <f>IFERROR(VLOOKUP($J672,'Project Reference'!$B$2:$K$41,10)," ")</f>
        <v xml:space="preserve"> </v>
      </c>
      <c r="Y672" s="42" t="str">
        <f>IFERROR(VLOOKUP($J672,'Project Reference'!$B$2:$L$41,11)," ")</f>
        <v xml:space="preserve"> </v>
      </c>
      <c r="Z672" s="42" t="str">
        <f>IFERROR(VLOOKUP($J672,'Project Reference'!$B$2:$M$41,12)," ")</f>
        <v xml:space="preserve"> </v>
      </c>
      <c r="AA672" s="42" t="str">
        <f>IFERROR(VLOOKUP($J672,'Project Reference'!$B$2:$N$41,13)," ")</f>
        <v xml:space="preserve"> </v>
      </c>
    </row>
    <row r="673" spans="1:27" x14ac:dyDescent="0.45">
      <c r="A673" s="43"/>
      <c r="B673" s="205"/>
      <c r="C673"/>
      <c r="D673" s="72"/>
      <c r="E673" s="72"/>
      <c r="F673" s="72"/>
      <c r="G673" s="72"/>
      <c r="H673" s="17"/>
      <c r="I673" s="41" t="str" cm="1">
        <f t="array" ref="I673">IFERROR(_xlfn.IFS(H673="Hard (Cash)","N/A",H673="Soft (In-Kind)", "Enter Source"),"Select Type")</f>
        <v>Select Type</v>
      </c>
      <c r="J673" s="124"/>
      <c r="K673" s="41" t="str">
        <f>IFERROR(VLOOKUP($J673,'Project Reference'!$S$2:$T$41,2),"Enter Project Number")</f>
        <v>Enter Project Number</v>
      </c>
      <c r="L673" s="41"/>
      <c r="M673" s="41"/>
      <c r="N673" s="15">
        <f t="shared" si="10"/>
        <v>0</v>
      </c>
      <c r="O673" s="19"/>
      <c r="P673" s="42" t="str">
        <f>IFERROR(VLOOKUP($J673,'Project Reference'!$B$2:$C$41,2)," ")</f>
        <v xml:space="preserve"> </v>
      </c>
      <c r="Q673" s="42" t="str">
        <f>IFERROR(VLOOKUP($J673,'Project Reference'!$B$2:$D$41,3)," ")</f>
        <v xml:space="preserve"> </v>
      </c>
      <c r="R673" s="42" t="str">
        <f>IFERROR(VLOOKUP($J673,'Project Reference'!$B$2:$E$41,4)," ")</f>
        <v xml:space="preserve"> </v>
      </c>
      <c r="S673" s="42" t="str">
        <f>IFERROR(VLOOKUP($J673,'Project Reference'!$B$2:$F$41,5,FALSE)," ")</f>
        <v xml:space="preserve"> </v>
      </c>
      <c r="T673" s="42" t="str">
        <f>IFERROR(VLOOKUP($J673,'Project Reference'!$B$2:$G$41,6,FALSE)," ")</f>
        <v xml:space="preserve"> </v>
      </c>
      <c r="U673" s="42" t="str">
        <f>IFERROR(VLOOKUP($J673,'Project Reference'!$B$2:$H$41,7,FALSE)," ")</f>
        <v xml:space="preserve"> </v>
      </c>
      <c r="V673" s="42" t="str">
        <f>IFERROR(VLOOKUP($J673,'Project Reference'!$B$2:$I$41,8,FALSE)," ")</f>
        <v xml:space="preserve"> </v>
      </c>
      <c r="W673" s="42" t="str">
        <f>IFERROR(VLOOKUP($J673,'Project Reference'!$B$2:$J$41,9,FALSE)," ")</f>
        <v xml:space="preserve"> </v>
      </c>
      <c r="X673" s="42" t="str">
        <f>IFERROR(VLOOKUP($J673,'Project Reference'!$B$2:$K$41,10)," ")</f>
        <v xml:space="preserve"> </v>
      </c>
      <c r="Y673" s="42" t="str">
        <f>IFERROR(VLOOKUP($J673,'Project Reference'!$B$2:$L$41,11)," ")</f>
        <v xml:space="preserve"> </v>
      </c>
      <c r="Z673" s="42" t="str">
        <f>IFERROR(VLOOKUP($J673,'Project Reference'!$B$2:$M$41,12)," ")</f>
        <v xml:space="preserve"> </v>
      </c>
      <c r="AA673" s="42" t="str">
        <f>IFERROR(VLOOKUP($J673,'Project Reference'!$B$2:$N$41,13)," ")</f>
        <v xml:space="preserve"> </v>
      </c>
    </row>
    <row r="674" spans="1:27" x14ac:dyDescent="0.45">
      <c r="A674" s="43"/>
      <c r="B674" s="205"/>
      <c r="C674"/>
      <c r="D674" s="72"/>
      <c r="E674" s="72"/>
      <c r="F674" s="72"/>
      <c r="G674" s="72"/>
      <c r="H674" s="17"/>
      <c r="I674" s="41" t="str" cm="1">
        <f t="array" ref="I674">IFERROR(_xlfn.IFS(H674="Hard (Cash)","N/A",H674="Soft (In-Kind)", "Enter Source"),"Select Type")</f>
        <v>Select Type</v>
      </c>
      <c r="J674" s="124"/>
      <c r="K674" s="41" t="str">
        <f>IFERROR(VLOOKUP($J674,'Project Reference'!$S$2:$T$41,2),"Enter Project Number")</f>
        <v>Enter Project Number</v>
      </c>
      <c r="L674" s="41"/>
      <c r="M674" s="41"/>
      <c r="N674" s="15">
        <f t="shared" si="10"/>
        <v>0</v>
      </c>
      <c r="O674" s="19"/>
      <c r="P674" s="42" t="str">
        <f>IFERROR(VLOOKUP($J674,'Project Reference'!$B$2:$C$41,2)," ")</f>
        <v xml:space="preserve"> </v>
      </c>
      <c r="Q674" s="42" t="str">
        <f>IFERROR(VLOOKUP($J674,'Project Reference'!$B$2:$D$41,3)," ")</f>
        <v xml:space="preserve"> </v>
      </c>
      <c r="R674" s="42" t="str">
        <f>IFERROR(VLOOKUP($J674,'Project Reference'!$B$2:$E$41,4)," ")</f>
        <v xml:space="preserve"> </v>
      </c>
      <c r="S674" s="42" t="str">
        <f>IFERROR(VLOOKUP($J674,'Project Reference'!$B$2:$F$41,5,FALSE)," ")</f>
        <v xml:space="preserve"> </v>
      </c>
      <c r="T674" s="42" t="str">
        <f>IFERROR(VLOOKUP($J674,'Project Reference'!$B$2:$G$41,6,FALSE)," ")</f>
        <v xml:space="preserve"> </v>
      </c>
      <c r="U674" s="42" t="str">
        <f>IFERROR(VLOOKUP($J674,'Project Reference'!$B$2:$H$41,7,FALSE)," ")</f>
        <v xml:space="preserve"> </v>
      </c>
      <c r="V674" s="42" t="str">
        <f>IFERROR(VLOOKUP($J674,'Project Reference'!$B$2:$I$41,8,FALSE)," ")</f>
        <v xml:space="preserve"> </v>
      </c>
      <c r="W674" s="42" t="str">
        <f>IFERROR(VLOOKUP($J674,'Project Reference'!$B$2:$J$41,9,FALSE)," ")</f>
        <v xml:space="preserve"> </v>
      </c>
      <c r="X674" s="42" t="str">
        <f>IFERROR(VLOOKUP($J674,'Project Reference'!$B$2:$K$41,10)," ")</f>
        <v xml:space="preserve"> </v>
      </c>
      <c r="Y674" s="42" t="str">
        <f>IFERROR(VLOOKUP($J674,'Project Reference'!$B$2:$L$41,11)," ")</f>
        <v xml:space="preserve"> </v>
      </c>
      <c r="Z674" s="42" t="str">
        <f>IFERROR(VLOOKUP($J674,'Project Reference'!$B$2:$M$41,12)," ")</f>
        <v xml:space="preserve"> </v>
      </c>
      <c r="AA674" s="42" t="str">
        <f>IFERROR(VLOOKUP($J674,'Project Reference'!$B$2:$N$41,13)," ")</f>
        <v xml:space="preserve"> </v>
      </c>
    </row>
    <row r="675" spans="1:27" x14ac:dyDescent="0.45">
      <c r="A675" s="43"/>
      <c r="B675" s="205"/>
      <c r="C675"/>
      <c r="D675" s="72"/>
      <c r="E675" s="72"/>
      <c r="F675" s="72"/>
      <c r="G675" s="72"/>
      <c r="H675" s="17"/>
      <c r="I675" s="41" t="str" cm="1">
        <f t="array" ref="I675">IFERROR(_xlfn.IFS(H675="Hard (Cash)","N/A",H675="Soft (In-Kind)", "Enter Source"),"Select Type")</f>
        <v>Select Type</v>
      </c>
      <c r="J675" s="124"/>
      <c r="K675" s="41" t="str">
        <f>IFERROR(VLOOKUP($J675,'Project Reference'!$S$2:$T$41,2),"Enter Project Number")</f>
        <v>Enter Project Number</v>
      </c>
      <c r="L675" s="41"/>
      <c r="M675" s="41"/>
      <c r="N675" s="15">
        <f t="shared" si="10"/>
        <v>0</v>
      </c>
      <c r="O675" s="19"/>
      <c r="P675" s="42" t="str">
        <f>IFERROR(VLOOKUP($J675,'Project Reference'!$B$2:$C$41,2)," ")</f>
        <v xml:space="preserve"> </v>
      </c>
      <c r="Q675" s="42" t="str">
        <f>IFERROR(VLOOKUP($J675,'Project Reference'!$B$2:$D$41,3)," ")</f>
        <v xml:space="preserve"> </v>
      </c>
      <c r="R675" s="42" t="str">
        <f>IFERROR(VLOOKUP($J675,'Project Reference'!$B$2:$E$41,4)," ")</f>
        <v xml:space="preserve"> </v>
      </c>
      <c r="S675" s="42" t="str">
        <f>IFERROR(VLOOKUP($J675,'Project Reference'!$B$2:$F$41,5,FALSE)," ")</f>
        <v xml:space="preserve"> </v>
      </c>
      <c r="T675" s="42" t="str">
        <f>IFERROR(VLOOKUP($J675,'Project Reference'!$B$2:$G$41,6,FALSE)," ")</f>
        <v xml:space="preserve"> </v>
      </c>
      <c r="U675" s="42" t="str">
        <f>IFERROR(VLOOKUP($J675,'Project Reference'!$B$2:$H$41,7,FALSE)," ")</f>
        <v xml:space="preserve"> </v>
      </c>
      <c r="V675" s="42" t="str">
        <f>IFERROR(VLOOKUP($J675,'Project Reference'!$B$2:$I$41,8,FALSE)," ")</f>
        <v xml:space="preserve"> </v>
      </c>
      <c r="W675" s="42" t="str">
        <f>IFERROR(VLOOKUP($J675,'Project Reference'!$B$2:$J$41,9,FALSE)," ")</f>
        <v xml:space="preserve"> </v>
      </c>
      <c r="X675" s="42" t="str">
        <f>IFERROR(VLOOKUP($J675,'Project Reference'!$B$2:$K$41,10)," ")</f>
        <v xml:space="preserve"> </v>
      </c>
      <c r="Y675" s="42" t="str">
        <f>IFERROR(VLOOKUP($J675,'Project Reference'!$B$2:$L$41,11)," ")</f>
        <v xml:space="preserve"> </v>
      </c>
      <c r="Z675" s="42" t="str">
        <f>IFERROR(VLOOKUP($J675,'Project Reference'!$B$2:$M$41,12)," ")</f>
        <v xml:space="preserve"> </v>
      </c>
      <c r="AA675" s="42" t="str">
        <f>IFERROR(VLOOKUP($J675,'Project Reference'!$B$2:$N$41,13)," ")</f>
        <v xml:space="preserve"> </v>
      </c>
    </row>
    <row r="676" spans="1:27" x14ac:dyDescent="0.45">
      <c r="A676" s="43"/>
      <c r="B676" s="205"/>
      <c r="C676"/>
      <c r="D676" s="72"/>
      <c r="E676" s="72"/>
      <c r="F676" s="72"/>
      <c r="G676" s="72"/>
      <c r="H676" s="17"/>
      <c r="I676" s="41" t="str" cm="1">
        <f t="array" ref="I676">IFERROR(_xlfn.IFS(H676="Hard (Cash)","N/A",H676="Soft (In-Kind)", "Enter Source"),"Select Type")</f>
        <v>Select Type</v>
      </c>
      <c r="J676" s="124"/>
      <c r="K676" s="41" t="str">
        <f>IFERROR(VLOOKUP($J676,'Project Reference'!$S$2:$T$41,2),"Enter Project Number")</f>
        <v>Enter Project Number</v>
      </c>
      <c r="L676" s="41"/>
      <c r="M676" s="41"/>
      <c r="N676" s="15">
        <f t="shared" si="10"/>
        <v>0</v>
      </c>
      <c r="O676" s="19"/>
      <c r="P676" s="42" t="str">
        <f>IFERROR(VLOOKUP($J676,'Project Reference'!$B$2:$C$41,2)," ")</f>
        <v xml:space="preserve"> </v>
      </c>
      <c r="Q676" s="42" t="str">
        <f>IFERROR(VLOOKUP($J676,'Project Reference'!$B$2:$D$41,3)," ")</f>
        <v xml:space="preserve"> </v>
      </c>
      <c r="R676" s="42" t="str">
        <f>IFERROR(VLOOKUP($J676,'Project Reference'!$B$2:$E$41,4)," ")</f>
        <v xml:space="preserve"> </v>
      </c>
      <c r="S676" s="42" t="str">
        <f>IFERROR(VLOOKUP($J676,'Project Reference'!$B$2:$F$41,5,FALSE)," ")</f>
        <v xml:space="preserve"> </v>
      </c>
      <c r="T676" s="42" t="str">
        <f>IFERROR(VLOOKUP($J676,'Project Reference'!$B$2:$G$41,6,FALSE)," ")</f>
        <v xml:space="preserve"> </v>
      </c>
      <c r="U676" s="42" t="str">
        <f>IFERROR(VLOOKUP($J676,'Project Reference'!$B$2:$H$41,7,FALSE)," ")</f>
        <v xml:space="preserve"> </v>
      </c>
      <c r="V676" s="42" t="str">
        <f>IFERROR(VLOOKUP($J676,'Project Reference'!$B$2:$I$41,8,FALSE)," ")</f>
        <v xml:space="preserve"> </v>
      </c>
      <c r="W676" s="42" t="str">
        <f>IFERROR(VLOOKUP($J676,'Project Reference'!$B$2:$J$41,9,FALSE)," ")</f>
        <v xml:space="preserve"> </v>
      </c>
      <c r="X676" s="42" t="str">
        <f>IFERROR(VLOOKUP($J676,'Project Reference'!$B$2:$K$41,10)," ")</f>
        <v xml:space="preserve"> </v>
      </c>
      <c r="Y676" s="42" t="str">
        <f>IFERROR(VLOOKUP($J676,'Project Reference'!$B$2:$L$41,11)," ")</f>
        <v xml:space="preserve"> </v>
      </c>
      <c r="Z676" s="42" t="str">
        <f>IFERROR(VLOOKUP($J676,'Project Reference'!$B$2:$M$41,12)," ")</f>
        <v xml:space="preserve"> </v>
      </c>
      <c r="AA676" s="42" t="str">
        <f>IFERROR(VLOOKUP($J676,'Project Reference'!$B$2:$N$41,13)," ")</f>
        <v xml:space="preserve"> </v>
      </c>
    </row>
    <row r="677" spans="1:27" x14ac:dyDescent="0.45">
      <c r="A677" s="43"/>
      <c r="B677" s="205"/>
      <c r="C677"/>
      <c r="D677" s="72"/>
      <c r="E677" s="72"/>
      <c r="F677" s="72"/>
      <c r="G677" s="72"/>
      <c r="H677" s="17"/>
      <c r="I677" s="41" t="str" cm="1">
        <f t="array" ref="I677">IFERROR(_xlfn.IFS(H677="Hard (Cash)","N/A",H677="Soft (In-Kind)", "Enter Source"),"Select Type")</f>
        <v>Select Type</v>
      </c>
      <c r="J677" s="124"/>
      <c r="K677" s="41" t="str">
        <f>IFERROR(VLOOKUP($J677,'Project Reference'!$S$2:$T$41,2),"Enter Project Number")</f>
        <v>Enter Project Number</v>
      </c>
      <c r="L677" s="41"/>
      <c r="M677" s="41"/>
      <c r="N677" s="15">
        <f t="shared" si="10"/>
        <v>0</v>
      </c>
      <c r="O677" s="19"/>
      <c r="P677" s="42" t="str">
        <f>IFERROR(VLOOKUP($J677,'Project Reference'!$B$2:$C$41,2)," ")</f>
        <v xml:space="preserve"> </v>
      </c>
      <c r="Q677" s="42" t="str">
        <f>IFERROR(VLOOKUP($J677,'Project Reference'!$B$2:$D$41,3)," ")</f>
        <v xml:space="preserve"> </v>
      </c>
      <c r="R677" s="42" t="str">
        <f>IFERROR(VLOOKUP($J677,'Project Reference'!$B$2:$E$41,4)," ")</f>
        <v xml:space="preserve"> </v>
      </c>
      <c r="S677" s="42" t="str">
        <f>IFERROR(VLOOKUP($J677,'Project Reference'!$B$2:$F$41,5,FALSE)," ")</f>
        <v xml:space="preserve"> </v>
      </c>
      <c r="T677" s="42" t="str">
        <f>IFERROR(VLOOKUP($J677,'Project Reference'!$B$2:$G$41,6,FALSE)," ")</f>
        <v xml:space="preserve"> </v>
      </c>
      <c r="U677" s="42" t="str">
        <f>IFERROR(VLOOKUP($J677,'Project Reference'!$B$2:$H$41,7,FALSE)," ")</f>
        <v xml:space="preserve"> </v>
      </c>
      <c r="V677" s="42" t="str">
        <f>IFERROR(VLOOKUP($J677,'Project Reference'!$B$2:$I$41,8,FALSE)," ")</f>
        <v xml:space="preserve"> </v>
      </c>
      <c r="W677" s="42" t="str">
        <f>IFERROR(VLOOKUP($J677,'Project Reference'!$B$2:$J$41,9,FALSE)," ")</f>
        <v xml:space="preserve"> </v>
      </c>
      <c r="X677" s="42" t="str">
        <f>IFERROR(VLOOKUP($J677,'Project Reference'!$B$2:$K$41,10)," ")</f>
        <v xml:space="preserve"> </v>
      </c>
      <c r="Y677" s="42" t="str">
        <f>IFERROR(VLOOKUP($J677,'Project Reference'!$B$2:$L$41,11)," ")</f>
        <v xml:space="preserve"> </v>
      </c>
      <c r="Z677" s="42" t="str">
        <f>IFERROR(VLOOKUP($J677,'Project Reference'!$B$2:$M$41,12)," ")</f>
        <v xml:space="preserve"> </v>
      </c>
      <c r="AA677" s="42" t="str">
        <f>IFERROR(VLOOKUP($J677,'Project Reference'!$B$2:$N$41,13)," ")</f>
        <v xml:space="preserve"> </v>
      </c>
    </row>
    <row r="678" spans="1:27" x14ac:dyDescent="0.45">
      <c r="A678" s="43"/>
      <c r="B678" s="205"/>
      <c r="C678"/>
      <c r="D678" s="72"/>
      <c r="E678" s="72"/>
      <c r="F678" s="72"/>
      <c r="G678" s="72"/>
      <c r="H678" s="17"/>
      <c r="I678" s="41" t="str" cm="1">
        <f t="array" ref="I678">IFERROR(_xlfn.IFS(H678="Hard (Cash)","N/A",H678="Soft (In-Kind)", "Enter Source"),"Select Type")</f>
        <v>Select Type</v>
      </c>
      <c r="J678" s="124"/>
      <c r="K678" s="41" t="str">
        <f>IFERROR(VLOOKUP($J678,'Project Reference'!$S$2:$T$41,2),"Enter Project Number")</f>
        <v>Enter Project Number</v>
      </c>
      <c r="L678" s="41"/>
      <c r="M678" s="41"/>
      <c r="N678" s="15">
        <f t="shared" si="10"/>
        <v>0</v>
      </c>
      <c r="O678" s="19"/>
      <c r="P678" s="42" t="str">
        <f>IFERROR(VLOOKUP($J678,'Project Reference'!$B$2:$C$41,2)," ")</f>
        <v xml:space="preserve"> </v>
      </c>
      <c r="Q678" s="42" t="str">
        <f>IFERROR(VLOOKUP($J678,'Project Reference'!$B$2:$D$41,3)," ")</f>
        <v xml:space="preserve"> </v>
      </c>
      <c r="R678" s="42" t="str">
        <f>IFERROR(VLOOKUP($J678,'Project Reference'!$B$2:$E$41,4)," ")</f>
        <v xml:space="preserve"> </v>
      </c>
      <c r="S678" s="42" t="str">
        <f>IFERROR(VLOOKUP($J678,'Project Reference'!$B$2:$F$41,5,FALSE)," ")</f>
        <v xml:space="preserve"> </v>
      </c>
      <c r="T678" s="42" t="str">
        <f>IFERROR(VLOOKUP($J678,'Project Reference'!$B$2:$G$41,6,FALSE)," ")</f>
        <v xml:space="preserve"> </v>
      </c>
      <c r="U678" s="42" t="str">
        <f>IFERROR(VLOOKUP($J678,'Project Reference'!$B$2:$H$41,7,FALSE)," ")</f>
        <v xml:space="preserve"> </v>
      </c>
      <c r="V678" s="42" t="str">
        <f>IFERROR(VLOOKUP($J678,'Project Reference'!$B$2:$I$41,8,FALSE)," ")</f>
        <v xml:space="preserve"> </v>
      </c>
      <c r="W678" s="42" t="str">
        <f>IFERROR(VLOOKUP($J678,'Project Reference'!$B$2:$J$41,9,FALSE)," ")</f>
        <v xml:space="preserve"> </v>
      </c>
      <c r="X678" s="42" t="str">
        <f>IFERROR(VLOOKUP($J678,'Project Reference'!$B$2:$K$41,10)," ")</f>
        <v xml:space="preserve"> </v>
      </c>
      <c r="Y678" s="42" t="str">
        <f>IFERROR(VLOOKUP($J678,'Project Reference'!$B$2:$L$41,11)," ")</f>
        <v xml:space="preserve"> </v>
      </c>
      <c r="Z678" s="42" t="str">
        <f>IFERROR(VLOOKUP($J678,'Project Reference'!$B$2:$M$41,12)," ")</f>
        <v xml:space="preserve"> </v>
      </c>
      <c r="AA678" s="42" t="str">
        <f>IFERROR(VLOOKUP($J678,'Project Reference'!$B$2:$N$41,13)," ")</f>
        <v xml:space="preserve"> </v>
      </c>
    </row>
    <row r="679" spans="1:27" x14ac:dyDescent="0.45">
      <c r="A679" s="43"/>
      <c r="B679" s="205"/>
      <c r="C679"/>
      <c r="D679" s="72"/>
      <c r="E679" s="72"/>
      <c r="F679" s="72"/>
      <c r="G679" s="72"/>
      <c r="H679" s="17"/>
      <c r="I679" s="41" t="str" cm="1">
        <f t="array" ref="I679">IFERROR(_xlfn.IFS(H679="Hard (Cash)","N/A",H679="Soft (In-Kind)", "Enter Source"),"Select Type")</f>
        <v>Select Type</v>
      </c>
      <c r="J679" s="124"/>
      <c r="K679" s="41" t="str">
        <f>IFERROR(VLOOKUP($J679,'Project Reference'!$S$2:$T$41,2),"Enter Project Number")</f>
        <v>Enter Project Number</v>
      </c>
      <c r="L679" s="41"/>
      <c r="M679" s="41"/>
      <c r="N679" s="15">
        <f t="shared" si="10"/>
        <v>0</v>
      </c>
      <c r="O679" s="19"/>
      <c r="P679" s="42" t="str">
        <f>IFERROR(VLOOKUP($J679,'Project Reference'!$B$2:$C$41,2)," ")</f>
        <v xml:space="preserve"> </v>
      </c>
      <c r="Q679" s="42" t="str">
        <f>IFERROR(VLOOKUP($J679,'Project Reference'!$B$2:$D$41,3)," ")</f>
        <v xml:space="preserve"> </v>
      </c>
      <c r="R679" s="42" t="str">
        <f>IFERROR(VLOOKUP($J679,'Project Reference'!$B$2:$E$41,4)," ")</f>
        <v xml:space="preserve"> </v>
      </c>
      <c r="S679" s="42" t="str">
        <f>IFERROR(VLOOKUP($J679,'Project Reference'!$B$2:$F$41,5,FALSE)," ")</f>
        <v xml:space="preserve"> </v>
      </c>
      <c r="T679" s="42" t="str">
        <f>IFERROR(VLOOKUP($J679,'Project Reference'!$B$2:$G$41,6,FALSE)," ")</f>
        <v xml:space="preserve"> </v>
      </c>
      <c r="U679" s="42" t="str">
        <f>IFERROR(VLOOKUP($J679,'Project Reference'!$B$2:$H$41,7,FALSE)," ")</f>
        <v xml:space="preserve"> </v>
      </c>
      <c r="V679" s="42" t="str">
        <f>IFERROR(VLOOKUP($J679,'Project Reference'!$B$2:$I$41,8,FALSE)," ")</f>
        <v xml:space="preserve"> </v>
      </c>
      <c r="W679" s="42" t="str">
        <f>IFERROR(VLOOKUP($J679,'Project Reference'!$B$2:$J$41,9,FALSE)," ")</f>
        <v xml:space="preserve"> </v>
      </c>
      <c r="X679" s="42" t="str">
        <f>IFERROR(VLOOKUP($J679,'Project Reference'!$B$2:$K$41,10)," ")</f>
        <v xml:space="preserve"> </v>
      </c>
      <c r="Y679" s="42" t="str">
        <f>IFERROR(VLOOKUP($J679,'Project Reference'!$B$2:$L$41,11)," ")</f>
        <v xml:space="preserve"> </v>
      </c>
      <c r="Z679" s="42" t="str">
        <f>IFERROR(VLOOKUP($J679,'Project Reference'!$B$2:$M$41,12)," ")</f>
        <v xml:space="preserve"> </v>
      </c>
      <c r="AA679" s="42" t="str">
        <f>IFERROR(VLOOKUP($J679,'Project Reference'!$B$2:$N$41,13)," ")</f>
        <v xml:space="preserve"> </v>
      </c>
    </row>
    <row r="680" spans="1:27" x14ac:dyDescent="0.45">
      <c r="A680" s="43"/>
      <c r="B680" s="205"/>
      <c r="C680"/>
      <c r="D680" s="72"/>
      <c r="E680" s="72"/>
      <c r="F680" s="72"/>
      <c r="G680" s="72"/>
      <c r="H680" s="17"/>
      <c r="I680" s="41" t="str" cm="1">
        <f t="array" ref="I680">IFERROR(_xlfn.IFS(H680="Hard (Cash)","N/A",H680="Soft (In-Kind)", "Enter Source"),"Select Type")</f>
        <v>Select Type</v>
      </c>
      <c r="J680" s="124"/>
      <c r="K680" s="41" t="str">
        <f>IFERROR(VLOOKUP($J680,'Project Reference'!$S$2:$T$41,2),"Enter Project Number")</f>
        <v>Enter Project Number</v>
      </c>
      <c r="L680" s="41"/>
      <c r="M680" s="41"/>
      <c r="N680" s="15">
        <f t="shared" si="10"/>
        <v>0</v>
      </c>
      <c r="O680" s="19"/>
      <c r="P680" s="42" t="str">
        <f>IFERROR(VLOOKUP($J680,'Project Reference'!$B$2:$C$41,2)," ")</f>
        <v xml:space="preserve"> </v>
      </c>
      <c r="Q680" s="42" t="str">
        <f>IFERROR(VLOOKUP($J680,'Project Reference'!$B$2:$D$41,3)," ")</f>
        <v xml:space="preserve"> </v>
      </c>
      <c r="R680" s="42" t="str">
        <f>IFERROR(VLOOKUP($J680,'Project Reference'!$B$2:$E$41,4)," ")</f>
        <v xml:space="preserve"> </v>
      </c>
      <c r="S680" s="42" t="str">
        <f>IFERROR(VLOOKUP($J680,'Project Reference'!$B$2:$F$41,5,FALSE)," ")</f>
        <v xml:space="preserve"> </v>
      </c>
      <c r="T680" s="42" t="str">
        <f>IFERROR(VLOOKUP($J680,'Project Reference'!$B$2:$G$41,6,FALSE)," ")</f>
        <v xml:space="preserve"> </v>
      </c>
      <c r="U680" s="42" t="str">
        <f>IFERROR(VLOOKUP($J680,'Project Reference'!$B$2:$H$41,7,FALSE)," ")</f>
        <v xml:space="preserve"> </v>
      </c>
      <c r="V680" s="42" t="str">
        <f>IFERROR(VLOOKUP($J680,'Project Reference'!$B$2:$I$41,8,FALSE)," ")</f>
        <v xml:space="preserve"> </v>
      </c>
      <c r="W680" s="42" t="str">
        <f>IFERROR(VLOOKUP($J680,'Project Reference'!$B$2:$J$41,9,FALSE)," ")</f>
        <v xml:space="preserve"> </v>
      </c>
      <c r="X680" s="42" t="str">
        <f>IFERROR(VLOOKUP($J680,'Project Reference'!$B$2:$K$41,10)," ")</f>
        <v xml:space="preserve"> </v>
      </c>
      <c r="Y680" s="42" t="str">
        <f>IFERROR(VLOOKUP($J680,'Project Reference'!$B$2:$L$41,11)," ")</f>
        <v xml:space="preserve"> </v>
      </c>
      <c r="Z680" s="42" t="str">
        <f>IFERROR(VLOOKUP($J680,'Project Reference'!$B$2:$M$41,12)," ")</f>
        <v xml:space="preserve"> </v>
      </c>
      <c r="AA680" s="42" t="str">
        <f>IFERROR(VLOOKUP($J680,'Project Reference'!$B$2:$N$41,13)," ")</f>
        <v xml:space="preserve"> </v>
      </c>
    </row>
    <row r="681" spans="1:27" x14ac:dyDescent="0.45">
      <c r="A681" s="43"/>
      <c r="B681" s="205"/>
      <c r="C681"/>
      <c r="D681" s="72"/>
      <c r="E681" s="72"/>
      <c r="F681" s="72"/>
      <c r="G681" s="72"/>
      <c r="H681" s="17"/>
      <c r="I681" s="41" t="str" cm="1">
        <f t="array" ref="I681">IFERROR(_xlfn.IFS(H681="Hard (Cash)","N/A",H681="Soft (In-Kind)", "Enter Source"),"Select Type")</f>
        <v>Select Type</v>
      </c>
      <c r="J681" s="124"/>
      <c r="K681" s="41" t="str">
        <f>IFERROR(VLOOKUP($J681,'Project Reference'!$S$2:$T$41,2),"Enter Project Number")</f>
        <v>Enter Project Number</v>
      </c>
      <c r="L681" s="41"/>
      <c r="M681" s="41"/>
      <c r="N681" s="15">
        <f t="shared" si="10"/>
        <v>0</v>
      </c>
      <c r="O681" s="19"/>
      <c r="P681" s="42" t="str">
        <f>IFERROR(VLOOKUP($J681,'Project Reference'!$B$2:$C$41,2)," ")</f>
        <v xml:space="preserve"> </v>
      </c>
      <c r="Q681" s="42" t="str">
        <f>IFERROR(VLOOKUP($J681,'Project Reference'!$B$2:$D$41,3)," ")</f>
        <v xml:space="preserve"> </v>
      </c>
      <c r="R681" s="42" t="str">
        <f>IFERROR(VLOOKUP($J681,'Project Reference'!$B$2:$E$41,4)," ")</f>
        <v xml:space="preserve"> </v>
      </c>
      <c r="S681" s="42" t="str">
        <f>IFERROR(VLOOKUP($J681,'Project Reference'!$B$2:$F$41,5,FALSE)," ")</f>
        <v xml:space="preserve"> </v>
      </c>
      <c r="T681" s="42" t="str">
        <f>IFERROR(VLOOKUP($J681,'Project Reference'!$B$2:$G$41,6,FALSE)," ")</f>
        <v xml:space="preserve"> </v>
      </c>
      <c r="U681" s="42" t="str">
        <f>IFERROR(VLOOKUP($J681,'Project Reference'!$B$2:$H$41,7,FALSE)," ")</f>
        <v xml:space="preserve"> </v>
      </c>
      <c r="V681" s="42" t="str">
        <f>IFERROR(VLOOKUP($J681,'Project Reference'!$B$2:$I$41,8,FALSE)," ")</f>
        <v xml:space="preserve"> </v>
      </c>
      <c r="W681" s="42" t="str">
        <f>IFERROR(VLOOKUP($J681,'Project Reference'!$B$2:$J$41,9,FALSE)," ")</f>
        <v xml:space="preserve"> </v>
      </c>
      <c r="X681" s="42" t="str">
        <f>IFERROR(VLOOKUP($J681,'Project Reference'!$B$2:$K$41,10)," ")</f>
        <v xml:space="preserve"> </v>
      </c>
      <c r="Y681" s="42" t="str">
        <f>IFERROR(VLOOKUP($J681,'Project Reference'!$B$2:$L$41,11)," ")</f>
        <v xml:space="preserve"> </v>
      </c>
      <c r="Z681" s="42" t="str">
        <f>IFERROR(VLOOKUP($J681,'Project Reference'!$B$2:$M$41,12)," ")</f>
        <v xml:space="preserve"> </v>
      </c>
      <c r="AA681" s="42" t="str">
        <f>IFERROR(VLOOKUP($J681,'Project Reference'!$B$2:$N$41,13)," ")</f>
        <v xml:space="preserve"> </v>
      </c>
    </row>
    <row r="682" spans="1:27" x14ac:dyDescent="0.45">
      <c r="A682" s="43"/>
      <c r="B682" s="205"/>
      <c r="C682"/>
      <c r="D682" s="72"/>
      <c r="E682" s="72"/>
      <c r="F682" s="72"/>
      <c r="G682" s="72"/>
      <c r="H682" s="17"/>
      <c r="I682" s="41" t="str" cm="1">
        <f t="array" ref="I682">IFERROR(_xlfn.IFS(H682="Hard (Cash)","N/A",H682="Soft (In-Kind)", "Enter Source"),"Select Type")</f>
        <v>Select Type</v>
      </c>
      <c r="J682" s="124"/>
      <c r="K682" s="41" t="str">
        <f>IFERROR(VLOOKUP($J682,'Project Reference'!$S$2:$T$41,2),"Enter Project Number")</f>
        <v>Enter Project Number</v>
      </c>
      <c r="L682" s="41"/>
      <c r="M682" s="41"/>
      <c r="N682" s="15">
        <f t="shared" si="10"/>
        <v>0</v>
      </c>
      <c r="O682" s="19"/>
      <c r="P682" s="42" t="str">
        <f>IFERROR(VLOOKUP($J682,'Project Reference'!$B$2:$C$41,2)," ")</f>
        <v xml:space="preserve"> </v>
      </c>
      <c r="Q682" s="42" t="str">
        <f>IFERROR(VLOOKUP($J682,'Project Reference'!$B$2:$D$41,3)," ")</f>
        <v xml:space="preserve"> </v>
      </c>
      <c r="R682" s="42" t="str">
        <f>IFERROR(VLOOKUP($J682,'Project Reference'!$B$2:$E$41,4)," ")</f>
        <v xml:space="preserve"> </v>
      </c>
      <c r="S682" s="42" t="str">
        <f>IFERROR(VLOOKUP($J682,'Project Reference'!$B$2:$F$41,5,FALSE)," ")</f>
        <v xml:space="preserve"> </v>
      </c>
      <c r="T682" s="42" t="str">
        <f>IFERROR(VLOOKUP($J682,'Project Reference'!$B$2:$G$41,6,FALSE)," ")</f>
        <v xml:space="preserve"> </v>
      </c>
      <c r="U682" s="42" t="str">
        <f>IFERROR(VLOOKUP($J682,'Project Reference'!$B$2:$H$41,7,FALSE)," ")</f>
        <v xml:space="preserve"> </v>
      </c>
      <c r="V682" s="42" t="str">
        <f>IFERROR(VLOOKUP($J682,'Project Reference'!$B$2:$I$41,8,FALSE)," ")</f>
        <v xml:space="preserve"> </v>
      </c>
      <c r="W682" s="42" t="str">
        <f>IFERROR(VLOOKUP($J682,'Project Reference'!$B$2:$J$41,9,FALSE)," ")</f>
        <v xml:space="preserve"> </v>
      </c>
      <c r="X682" s="42" t="str">
        <f>IFERROR(VLOOKUP($J682,'Project Reference'!$B$2:$K$41,10)," ")</f>
        <v xml:space="preserve"> </v>
      </c>
      <c r="Y682" s="42" t="str">
        <f>IFERROR(VLOOKUP($J682,'Project Reference'!$B$2:$L$41,11)," ")</f>
        <v xml:space="preserve"> </v>
      </c>
      <c r="Z682" s="42" t="str">
        <f>IFERROR(VLOOKUP($J682,'Project Reference'!$B$2:$M$41,12)," ")</f>
        <v xml:space="preserve"> </v>
      </c>
      <c r="AA682" s="42" t="str">
        <f>IFERROR(VLOOKUP($J682,'Project Reference'!$B$2:$N$41,13)," ")</f>
        <v xml:space="preserve"> </v>
      </c>
    </row>
    <row r="683" spans="1:27" x14ac:dyDescent="0.45">
      <c r="A683" s="43"/>
      <c r="B683" s="205"/>
      <c r="C683"/>
      <c r="D683" s="72"/>
      <c r="E683" s="72"/>
      <c r="F683" s="72"/>
      <c r="G683" s="72"/>
      <c r="H683" s="17"/>
      <c r="I683" s="41" t="str" cm="1">
        <f t="array" ref="I683">IFERROR(_xlfn.IFS(H683="Hard (Cash)","N/A",H683="Soft (In-Kind)", "Enter Source"),"Select Type")</f>
        <v>Select Type</v>
      </c>
      <c r="J683" s="124"/>
      <c r="K683" s="41" t="str">
        <f>IFERROR(VLOOKUP($J683,'Project Reference'!$S$2:$T$41,2),"Enter Project Number")</f>
        <v>Enter Project Number</v>
      </c>
      <c r="L683" s="41"/>
      <c r="M683" s="41"/>
      <c r="N683" s="15">
        <f t="shared" si="10"/>
        <v>0</v>
      </c>
      <c r="O683" s="19"/>
      <c r="P683" s="42" t="str">
        <f>IFERROR(VLOOKUP($J683,'Project Reference'!$B$2:$C$41,2)," ")</f>
        <v xml:space="preserve"> </v>
      </c>
      <c r="Q683" s="42" t="str">
        <f>IFERROR(VLOOKUP($J683,'Project Reference'!$B$2:$D$41,3)," ")</f>
        <v xml:space="preserve"> </v>
      </c>
      <c r="R683" s="42" t="str">
        <f>IFERROR(VLOOKUP($J683,'Project Reference'!$B$2:$E$41,4)," ")</f>
        <v xml:space="preserve"> </v>
      </c>
      <c r="S683" s="42" t="str">
        <f>IFERROR(VLOOKUP($J683,'Project Reference'!$B$2:$F$41,5,FALSE)," ")</f>
        <v xml:space="preserve"> </v>
      </c>
      <c r="T683" s="42" t="str">
        <f>IFERROR(VLOOKUP($J683,'Project Reference'!$B$2:$G$41,6,FALSE)," ")</f>
        <v xml:space="preserve"> </v>
      </c>
      <c r="U683" s="42" t="str">
        <f>IFERROR(VLOOKUP($J683,'Project Reference'!$B$2:$H$41,7,FALSE)," ")</f>
        <v xml:space="preserve"> </v>
      </c>
      <c r="V683" s="42" t="str">
        <f>IFERROR(VLOOKUP($J683,'Project Reference'!$B$2:$I$41,8,FALSE)," ")</f>
        <v xml:space="preserve"> </v>
      </c>
      <c r="W683" s="42" t="str">
        <f>IFERROR(VLOOKUP($J683,'Project Reference'!$B$2:$J$41,9,FALSE)," ")</f>
        <v xml:space="preserve"> </v>
      </c>
      <c r="X683" s="42" t="str">
        <f>IFERROR(VLOOKUP($J683,'Project Reference'!$B$2:$K$41,10)," ")</f>
        <v xml:space="preserve"> </v>
      </c>
      <c r="Y683" s="42" t="str">
        <f>IFERROR(VLOOKUP($J683,'Project Reference'!$B$2:$L$41,11)," ")</f>
        <v xml:space="preserve"> </v>
      </c>
      <c r="Z683" s="42" t="str">
        <f>IFERROR(VLOOKUP($J683,'Project Reference'!$B$2:$M$41,12)," ")</f>
        <v xml:space="preserve"> </v>
      </c>
      <c r="AA683" s="42" t="str">
        <f>IFERROR(VLOOKUP($J683,'Project Reference'!$B$2:$N$41,13)," ")</f>
        <v xml:space="preserve"> </v>
      </c>
    </row>
    <row r="684" spans="1:27" x14ac:dyDescent="0.45">
      <c r="A684" s="43"/>
      <c r="B684" s="205"/>
      <c r="C684"/>
      <c r="D684" s="72"/>
      <c r="E684" s="72"/>
      <c r="F684" s="72"/>
      <c r="G684" s="72"/>
      <c r="H684" s="17"/>
      <c r="I684" s="41" t="str" cm="1">
        <f t="array" ref="I684">IFERROR(_xlfn.IFS(H684="Hard (Cash)","N/A",H684="Soft (In-Kind)", "Enter Source"),"Select Type")</f>
        <v>Select Type</v>
      </c>
      <c r="J684" s="124"/>
      <c r="K684" s="41" t="str">
        <f>IFERROR(VLOOKUP($J684,'Project Reference'!$S$2:$T$41,2),"Enter Project Number")</f>
        <v>Enter Project Number</v>
      </c>
      <c r="L684" s="41"/>
      <c r="M684" s="41"/>
      <c r="N684" s="15">
        <f t="shared" si="10"/>
        <v>0</v>
      </c>
      <c r="O684" s="19"/>
      <c r="P684" s="42" t="str">
        <f>IFERROR(VLOOKUP($J684,'Project Reference'!$B$2:$C$41,2)," ")</f>
        <v xml:space="preserve"> </v>
      </c>
      <c r="Q684" s="42" t="str">
        <f>IFERROR(VLOOKUP($J684,'Project Reference'!$B$2:$D$41,3)," ")</f>
        <v xml:space="preserve"> </v>
      </c>
      <c r="R684" s="42" t="str">
        <f>IFERROR(VLOOKUP($J684,'Project Reference'!$B$2:$E$41,4)," ")</f>
        <v xml:space="preserve"> </v>
      </c>
      <c r="S684" s="42" t="str">
        <f>IFERROR(VLOOKUP($J684,'Project Reference'!$B$2:$F$41,5,FALSE)," ")</f>
        <v xml:space="preserve"> </v>
      </c>
      <c r="T684" s="42" t="str">
        <f>IFERROR(VLOOKUP($J684,'Project Reference'!$B$2:$G$41,6,FALSE)," ")</f>
        <v xml:space="preserve"> </v>
      </c>
      <c r="U684" s="42" t="str">
        <f>IFERROR(VLOOKUP($J684,'Project Reference'!$B$2:$H$41,7,FALSE)," ")</f>
        <v xml:space="preserve"> </v>
      </c>
      <c r="V684" s="42" t="str">
        <f>IFERROR(VLOOKUP($J684,'Project Reference'!$B$2:$I$41,8,FALSE)," ")</f>
        <v xml:space="preserve"> </v>
      </c>
      <c r="W684" s="42" t="str">
        <f>IFERROR(VLOOKUP($J684,'Project Reference'!$B$2:$J$41,9,FALSE)," ")</f>
        <v xml:space="preserve"> </v>
      </c>
      <c r="X684" s="42" t="str">
        <f>IFERROR(VLOOKUP($J684,'Project Reference'!$B$2:$K$41,10)," ")</f>
        <v xml:space="preserve"> </v>
      </c>
      <c r="Y684" s="42" t="str">
        <f>IFERROR(VLOOKUP($J684,'Project Reference'!$B$2:$L$41,11)," ")</f>
        <v xml:space="preserve"> </v>
      </c>
      <c r="Z684" s="42" t="str">
        <f>IFERROR(VLOOKUP($J684,'Project Reference'!$B$2:$M$41,12)," ")</f>
        <v xml:space="preserve"> </v>
      </c>
      <c r="AA684" s="42" t="str">
        <f>IFERROR(VLOOKUP($J684,'Project Reference'!$B$2:$N$41,13)," ")</f>
        <v xml:space="preserve"> </v>
      </c>
    </row>
    <row r="685" spans="1:27" x14ac:dyDescent="0.45">
      <c r="A685" s="43"/>
      <c r="B685" s="205"/>
      <c r="C685"/>
      <c r="D685" s="72"/>
      <c r="E685" s="72"/>
      <c r="F685" s="72"/>
      <c r="G685" s="72"/>
      <c r="H685" s="17"/>
      <c r="I685" s="41" t="str" cm="1">
        <f t="array" ref="I685">IFERROR(_xlfn.IFS(H685="Hard (Cash)","N/A",H685="Soft (In-Kind)", "Enter Source"),"Select Type")</f>
        <v>Select Type</v>
      </c>
      <c r="J685" s="124"/>
      <c r="K685" s="41" t="str">
        <f>IFERROR(VLOOKUP($J685,'Project Reference'!$S$2:$T$41,2),"Enter Project Number")</f>
        <v>Enter Project Number</v>
      </c>
      <c r="L685" s="41"/>
      <c r="M685" s="41"/>
      <c r="N685" s="15">
        <f t="shared" si="10"/>
        <v>0</v>
      </c>
      <c r="O685" s="19"/>
      <c r="P685" s="42" t="str">
        <f>IFERROR(VLOOKUP($J685,'Project Reference'!$B$2:$C$41,2)," ")</f>
        <v xml:space="preserve"> </v>
      </c>
      <c r="Q685" s="42" t="str">
        <f>IFERROR(VLOOKUP($J685,'Project Reference'!$B$2:$D$41,3)," ")</f>
        <v xml:space="preserve"> </v>
      </c>
      <c r="R685" s="42" t="str">
        <f>IFERROR(VLOOKUP($J685,'Project Reference'!$B$2:$E$41,4)," ")</f>
        <v xml:space="preserve"> </v>
      </c>
      <c r="S685" s="42" t="str">
        <f>IFERROR(VLOOKUP($J685,'Project Reference'!$B$2:$F$41,5,FALSE)," ")</f>
        <v xml:space="preserve"> </v>
      </c>
      <c r="T685" s="42" t="str">
        <f>IFERROR(VLOOKUP($J685,'Project Reference'!$B$2:$G$41,6,FALSE)," ")</f>
        <v xml:space="preserve"> </v>
      </c>
      <c r="U685" s="42" t="str">
        <f>IFERROR(VLOOKUP($J685,'Project Reference'!$B$2:$H$41,7,FALSE)," ")</f>
        <v xml:space="preserve"> </v>
      </c>
      <c r="V685" s="42" t="str">
        <f>IFERROR(VLOOKUP($J685,'Project Reference'!$B$2:$I$41,8,FALSE)," ")</f>
        <v xml:space="preserve"> </v>
      </c>
      <c r="W685" s="42" t="str">
        <f>IFERROR(VLOOKUP($J685,'Project Reference'!$B$2:$J$41,9,FALSE)," ")</f>
        <v xml:space="preserve"> </v>
      </c>
      <c r="X685" s="42" t="str">
        <f>IFERROR(VLOOKUP($J685,'Project Reference'!$B$2:$K$41,10)," ")</f>
        <v xml:space="preserve"> </v>
      </c>
      <c r="Y685" s="42" t="str">
        <f>IFERROR(VLOOKUP($J685,'Project Reference'!$B$2:$L$41,11)," ")</f>
        <v xml:space="preserve"> </v>
      </c>
      <c r="Z685" s="42" t="str">
        <f>IFERROR(VLOOKUP($J685,'Project Reference'!$B$2:$M$41,12)," ")</f>
        <v xml:space="preserve"> </v>
      </c>
      <c r="AA685" s="42" t="str">
        <f>IFERROR(VLOOKUP($J685,'Project Reference'!$B$2:$N$41,13)," ")</f>
        <v xml:space="preserve"> </v>
      </c>
    </row>
    <row r="686" spans="1:27" x14ac:dyDescent="0.45">
      <c r="A686" s="43"/>
      <c r="B686" s="205"/>
      <c r="C686"/>
      <c r="D686" s="72"/>
      <c r="E686" s="72"/>
      <c r="F686" s="72"/>
      <c r="G686" s="72"/>
      <c r="H686" s="17"/>
      <c r="I686" s="41" t="str" cm="1">
        <f t="array" ref="I686">IFERROR(_xlfn.IFS(H686="Hard (Cash)","N/A",H686="Soft (In-Kind)", "Enter Source"),"Select Type")</f>
        <v>Select Type</v>
      </c>
      <c r="J686" s="124"/>
      <c r="K686" s="41" t="str">
        <f>IFERROR(VLOOKUP($J686,'Project Reference'!$S$2:$T$41,2),"Enter Project Number")</f>
        <v>Enter Project Number</v>
      </c>
      <c r="L686" s="41"/>
      <c r="M686" s="41"/>
      <c r="N686" s="15">
        <f t="shared" si="10"/>
        <v>0</v>
      </c>
      <c r="O686" s="19"/>
      <c r="P686" s="42" t="str">
        <f>IFERROR(VLOOKUP($J686,'Project Reference'!$B$2:$C$41,2)," ")</f>
        <v xml:space="preserve"> </v>
      </c>
      <c r="Q686" s="42" t="str">
        <f>IFERROR(VLOOKUP($J686,'Project Reference'!$B$2:$D$41,3)," ")</f>
        <v xml:space="preserve"> </v>
      </c>
      <c r="R686" s="42" t="str">
        <f>IFERROR(VLOOKUP($J686,'Project Reference'!$B$2:$E$41,4)," ")</f>
        <v xml:space="preserve"> </v>
      </c>
      <c r="S686" s="42" t="str">
        <f>IFERROR(VLOOKUP($J686,'Project Reference'!$B$2:$F$41,5,FALSE)," ")</f>
        <v xml:space="preserve"> </v>
      </c>
      <c r="T686" s="42" t="str">
        <f>IFERROR(VLOOKUP($J686,'Project Reference'!$B$2:$G$41,6,FALSE)," ")</f>
        <v xml:space="preserve"> </v>
      </c>
      <c r="U686" s="42" t="str">
        <f>IFERROR(VLOOKUP($J686,'Project Reference'!$B$2:$H$41,7,FALSE)," ")</f>
        <v xml:space="preserve"> </v>
      </c>
      <c r="V686" s="42" t="str">
        <f>IFERROR(VLOOKUP($J686,'Project Reference'!$B$2:$I$41,8,FALSE)," ")</f>
        <v xml:space="preserve"> </v>
      </c>
      <c r="W686" s="42" t="str">
        <f>IFERROR(VLOOKUP($J686,'Project Reference'!$B$2:$J$41,9,FALSE)," ")</f>
        <v xml:space="preserve"> </v>
      </c>
      <c r="X686" s="42" t="str">
        <f>IFERROR(VLOOKUP($J686,'Project Reference'!$B$2:$K$41,10)," ")</f>
        <v xml:space="preserve"> </v>
      </c>
      <c r="Y686" s="42" t="str">
        <f>IFERROR(VLOOKUP($J686,'Project Reference'!$B$2:$L$41,11)," ")</f>
        <v xml:space="preserve"> </v>
      </c>
      <c r="Z686" s="42" t="str">
        <f>IFERROR(VLOOKUP($J686,'Project Reference'!$B$2:$M$41,12)," ")</f>
        <v xml:space="preserve"> </v>
      </c>
      <c r="AA686" s="42" t="str">
        <f>IFERROR(VLOOKUP($J686,'Project Reference'!$B$2:$N$41,13)," ")</f>
        <v xml:space="preserve"> </v>
      </c>
    </row>
    <row r="687" spans="1:27" x14ac:dyDescent="0.45">
      <c r="A687" s="43"/>
      <c r="B687" s="205"/>
      <c r="C687"/>
      <c r="D687" s="72"/>
      <c r="E687" s="72"/>
      <c r="F687" s="72"/>
      <c r="G687" s="72"/>
      <c r="H687" s="17"/>
      <c r="I687" s="41" t="str" cm="1">
        <f t="array" ref="I687">IFERROR(_xlfn.IFS(H687="Hard (Cash)","N/A",H687="Soft (In-Kind)", "Enter Source"),"Select Type")</f>
        <v>Select Type</v>
      </c>
      <c r="J687" s="124"/>
      <c r="K687" s="41" t="str">
        <f>IFERROR(VLOOKUP($J687,'Project Reference'!$S$2:$T$41,2),"Enter Project Number")</f>
        <v>Enter Project Number</v>
      </c>
      <c r="L687" s="41"/>
      <c r="M687" s="41"/>
      <c r="N687" s="15">
        <f t="shared" si="10"/>
        <v>0</v>
      </c>
      <c r="O687" s="19"/>
      <c r="P687" s="42" t="str">
        <f>IFERROR(VLOOKUP($J687,'Project Reference'!$B$2:$C$41,2)," ")</f>
        <v xml:space="preserve"> </v>
      </c>
      <c r="Q687" s="42" t="str">
        <f>IFERROR(VLOOKUP($J687,'Project Reference'!$B$2:$D$41,3)," ")</f>
        <v xml:space="preserve"> </v>
      </c>
      <c r="R687" s="42" t="str">
        <f>IFERROR(VLOOKUP($J687,'Project Reference'!$B$2:$E$41,4)," ")</f>
        <v xml:space="preserve"> </v>
      </c>
      <c r="S687" s="42" t="str">
        <f>IFERROR(VLOOKUP($J687,'Project Reference'!$B$2:$F$41,5,FALSE)," ")</f>
        <v xml:space="preserve"> </v>
      </c>
      <c r="T687" s="42" t="str">
        <f>IFERROR(VLOOKUP($J687,'Project Reference'!$B$2:$G$41,6,FALSE)," ")</f>
        <v xml:space="preserve"> </v>
      </c>
      <c r="U687" s="42" t="str">
        <f>IFERROR(VLOOKUP($J687,'Project Reference'!$B$2:$H$41,7,FALSE)," ")</f>
        <v xml:space="preserve"> </v>
      </c>
      <c r="V687" s="42" t="str">
        <f>IFERROR(VLOOKUP($J687,'Project Reference'!$B$2:$I$41,8,FALSE)," ")</f>
        <v xml:space="preserve"> </v>
      </c>
      <c r="W687" s="42" t="str">
        <f>IFERROR(VLOOKUP($J687,'Project Reference'!$B$2:$J$41,9,FALSE)," ")</f>
        <v xml:space="preserve"> </v>
      </c>
      <c r="X687" s="42" t="str">
        <f>IFERROR(VLOOKUP($J687,'Project Reference'!$B$2:$K$41,10)," ")</f>
        <v xml:space="preserve"> </v>
      </c>
      <c r="Y687" s="42" t="str">
        <f>IFERROR(VLOOKUP($J687,'Project Reference'!$B$2:$L$41,11)," ")</f>
        <v xml:space="preserve"> </v>
      </c>
      <c r="Z687" s="42" t="str">
        <f>IFERROR(VLOOKUP($J687,'Project Reference'!$B$2:$M$41,12)," ")</f>
        <v xml:space="preserve"> </v>
      </c>
      <c r="AA687" s="42" t="str">
        <f>IFERROR(VLOOKUP($J687,'Project Reference'!$B$2:$N$41,13)," ")</f>
        <v xml:space="preserve"> </v>
      </c>
    </row>
    <row r="688" spans="1:27" x14ac:dyDescent="0.45">
      <c r="A688" s="43"/>
      <c r="B688" s="205"/>
      <c r="C688"/>
      <c r="D688" s="72"/>
      <c r="E688" s="72"/>
      <c r="F688" s="72"/>
      <c r="G688" s="72"/>
      <c r="H688" s="17"/>
      <c r="I688" s="41" t="str" cm="1">
        <f t="array" ref="I688">IFERROR(_xlfn.IFS(H688="Hard (Cash)","N/A",H688="Soft (In-Kind)", "Enter Source"),"Select Type")</f>
        <v>Select Type</v>
      </c>
      <c r="J688" s="124"/>
      <c r="K688" s="41" t="str">
        <f>IFERROR(VLOOKUP($J688,'Project Reference'!$S$2:$T$41,2),"Enter Project Number")</f>
        <v>Enter Project Number</v>
      </c>
      <c r="L688" s="41"/>
      <c r="M688" s="41"/>
      <c r="N688" s="15">
        <f t="shared" si="10"/>
        <v>0</v>
      </c>
      <c r="O688" s="19"/>
      <c r="P688" s="42" t="str">
        <f>IFERROR(VLOOKUP($J688,'Project Reference'!$B$2:$C$41,2)," ")</f>
        <v xml:space="preserve"> </v>
      </c>
      <c r="Q688" s="42" t="str">
        <f>IFERROR(VLOOKUP($J688,'Project Reference'!$B$2:$D$41,3)," ")</f>
        <v xml:space="preserve"> </v>
      </c>
      <c r="R688" s="42" t="str">
        <f>IFERROR(VLOOKUP($J688,'Project Reference'!$B$2:$E$41,4)," ")</f>
        <v xml:space="preserve"> </v>
      </c>
      <c r="S688" s="42" t="str">
        <f>IFERROR(VLOOKUP($J688,'Project Reference'!$B$2:$F$41,5,FALSE)," ")</f>
        <v xml:space="preserve"> </v>
      </c>
      <c r="T688" s="42" t="str">
        <f>IFERROR(VLOOKUP($J688,'Project Reference'!$B$2:$G$41,6,FALSE)," ")</f>
        <v xml:space="preserve"> </v>
      </c>
      <c r="U688" s="42" t="str">
        <f>IFERROR(VLOOKUP($J688,'Project Reference'!$B$2:$H$41,7,FALSE)," ")</f>
        <v xml:space="preserve"> </v>
      </c>
      <c r="V688" s="42" t="str">
        <f>IFERROR(VLOOKUP($J688,'Project Reference'!$B$2:$I$41,8,FALSE)," ")</f>
        <v xml:space="preserve"> </v>
      </c>
      <c r="W688" s="42" t="str">
        <f>IFERROR(VLOOKUP($J688,'Project Reference'!$B$2:$J$41,9,FALSE)," ")</f>
        <v xml:space="preserve"> </v>
      </c>
      <c r="X688" s="42" t="str">
        <f>IFERROR(VLOOKUP($J688,'Project Reference'!$B$2:$K$41,10)," ")</f>
        <v xml:space="preserve"> </v>
      </c>
      <c r="Y688" s="42" t="str">
        <f>IFERROR(VLOOKUP($J688,'Project Reference'!$B$2:$L$41,11)," ")</f>
        <v xml:space="preserve"> </v>
      </c>
      <c r="Z688" s="42" t="str">
        <f>IFERROR(VLOOKUP($J688,'Project Reference'!$B$2:$M$41,12)," ")</f>
        <v xml:space="preserve"> </v>
      </c>
      <c r="AA688" s="42" t="str">
        <f>IFERROR(VLOOKUP($J688,'Project Reference'!$B$2:$N$41,13)," ")</f>
        <v xml:space="preserve"> </v>
      </c>
    </row>
    <row r="689" spans="1:27" x14ac:dyDescent="0.45">
      <c r="A689" s="43"/>
      <c r="B689" s="205"/>
      <c r="C689"/>
      <c r="D689" s="72"/>
      <c r="E689" s="72"/>
      <c r="F689" s="72"/>
      <c r="G689" s="72"/>
      <c r="H689" s="17"/>
      <c r="I689" s="41" t="str" cm="1">
        <f t="array" ref="I689">IFERROR(_xlfn.IFS(H689="Hard (Cash)","N/A",H689="Soft (In-Kind)", "Enter Source"),"Select Type")</f>
        <v>Select Type</v>
      </c>
      <c r="J689" s="124"/>
      <c r="K689" s="41" t="str">
        <f>IFERROR(VLOOKUP($J689,'Project Reference'!$S$2:$T$41,2),"Enter Project Number")</f>
        <v>Enter Project Number</v>
      </c>
      <c r="L689" s="41"/>
      <c r="M689" s="41"/>
      <c r="N689" s="15">
        <f t="shared" ref="N689:N752" si="11">SUM(D689:G689)</f>
        <v>0</v>
      </c>
      <c r="O689" s="19"/>
      <c r="P689" s="42" t="str">
        <f>IFERROR(VLOOKUP($J689,'Project Reference'!$B$2:$C$41,2)," ")</f>
        <v xml:space="preserve"> </v>
      </c>
      <c r="Q689" s="42" t="str">
        <f>IFERROR(VLOOKUP($J689,'Project Reference'!$B$2:$D$41,3)," ")</f>
        <v xml:space="preserve"> </v>
      </c>
      <c r="R689" s="42" t="str">
        <f>IFERROR(VLOOKUP($J689,'Project Reference'!$B$2:$E$41,4)," ")</f>
        <v xml:space="preserve"> </v>
      </c>
      <c r="S689" s="42" t="str">
        <f>IFERROR(VLOOKUP($J689,'Project Reference'!$B$2:$F$41,5,FALSE)," ")</f>
        <v xml:space="preserve"> </v>
      </c>
      <c r="T689" s="42" t="str">
        <f>IFERROR(VLOOKUP($J689,'Project Reference'!$B$2:$G$41,6,FALSE)," ")</f>
        <v xml:space="preserve"> </v>
      </c>
      <c r="U689" s="42" t="str">
        <f>IFERROR(VLOOKUP($J689,'Project Reference'!$B$2:$H$41,7,FALSE)," ")</f>
        <v xml:space="preserve"> </v>
      </c>
      <c r="V689" s="42" t="str">
        <f>IFERROR(VLOOKUP($J689,'Project Reference'!$B$2:$I$41,8,FALSE)," ")</f>
        <v xml:space="preserve"> </v>
      </c>
      <c r="W689" s="42" t="str">
        <f>IFERROR(VLOOKUP($J689,'Project Reference'!$B$2:$J$41,9,FALSE)," ")</f>
        <v xml:space="preserve"> </v>
      </c>
      <c r="X689" s="42" t="str">
        <f>IFERROR(VLOOKUP($J689,'Project Reference'!$B$2:$K$41,10)," ")</f>
        <v xml:space="preserve"> </v>
      </c>
      <c r="Y689" s="42" t="str">
        <f>IFERROR(VLOOKUP($J689,'Project Reference'!$B$2:$L$41,11)," ")</f>
        <v xml:space="preserve"> </v>
      </c>
      <c r="Z689" s="42" t="str">
        <f>IFERROR(VLOOKUP($J689,'Project Reference'!$B$2:$M$41,12)," ")</f>
        <v xml:space="preserve"> </v>
      </c>
      <c r="AA689" s="42" t="str">
        <f>IFERROR(VLOOKUP($J689,'Project Reference'!$B$2:$N$41,13)," ")</f>
        <v xml:space="preserve"> </v>
      </c>
    </row>
    <row r="690" spans="1:27" x14ac:dyDescent="0.45">
      <c r="A690" s="43"/>
      <c r="B690" s="205"/>
      <c r="C690"/>
      <c r="D690" s="72"/>
      <c r="E690" s="72"/>
      <c r="F690" s="72"/>
      <c r="G690" s="72"/>
      <c r="H690" s="17"/>
      <c r="I690" s="41" t="str" cm="1">
        <f t="array" ref="I690">IFERROR(_xlfn.IFS(H690="Hard (Cash)","N/A",H690="Soft (In-Kind)", "Enter Source"),"Select Type")</f>
        <v>Select Type</v>
      </c>
      <c r="J690" s="124"/>
      <c r="K690" s="41" t="str">
        <f>IFERROR(VLOOKUP($J690,'Project Reference'!$S$2:$T$41,2),"Enter Project Number")</f>
        <v>Enter Project Number</v>
      </c>
      <c r="L690" s="41"/>
      <c r="M690" s="41"/>
      <c r="N690" s="15">
        <f t="shared" si="11"/>
        <v>0</v>
      </c>
      <c r="O690" s="19"/>
      <c r="P690" s="42" t="str">
        <f>IFERROR(VLOOKUP($J690,'Project Reference'!$B$2:$C$41,2)," ")</f>
        <v xml:space="preserve"> </v>
      </c>
      <c r="Q690" s="42" t="str">
        <f>IFERROR(VLOOKUP($J690,'Project Reference'!$B$2:$D$41,3)," ")</f>
        <v xml:space="preserve"> </v>
      </c>
      <c r="R690" s="42" t="str">
        <f>IFERROR(VLOOKUP($J690,'Project Reference'!$B$2:$E$41,4)," ")</f>
        <v xml:space="preserve"> </v>
      </c>
      <c r="S690" s="42" t="str">
        <f>IFERROR(VLOOKUP($J690,'Project Reference'!$B$2:$F$41,5,FALSE)," ")</f>
        <v xml:space="preserve"> </v>
      </c>
      <c r="T690" s="42" t="str">
        <f>IFERROR(VLOOKUP($J690,'Project Reference'!$B$2:$G$41,6,FALSE)," ")</f>
        <v xml:space="preserve"> </v>
      </c>
      <c r="U690" s="42" t="str">
        <f>IFERROR(VLOOKUP($J690,'Project Reference'!$B$2:$H$41,7,FALSE)," ")</f>
        <v xml:space="preserve"> </v>
      </c>
      <c r="V690" s="42" t="str">
        <f>IFERROR(VLOOKUP($J690,'Project Reference'!$B$2:$I$41,8,FALSE)," ")</f>
        <v xml:space="preserve"> </v>
      </c>
      <c r="W690" s="42" t="str">
        <f>IFERROR(VLOOKUP($J690,'Project Reference'!$B$2:$J$41,9,FALSE)," ")</f>
        <v xml:space="preserve"> </v>
      </c>
      <c r="X690" s="42" t="str">
        <f>IFERROR(VLOOKUP($J690,'Project Reference'!$B$2:$K$41,10)," ")</f>
        <v xml:space="preserve"> </v>
      </c>
      <c r="Y690" s="42" t="str">
        <f>IFERROR(VLOOKUP($J690,'Project Reference'!$B$2:$L$41,11)," ")</f>
        <v xml:space="preserve"> </v>
      </c>
      <c r="Z690" s="42" t="str">
        <f>IFERROR(VLOOKUP($J690,'Project Reference'!$B$2:$M$41,12)," ")</f>
        <v xml:space="preserve"> </v>
      </c>
      <c r="AA690" s="42" t="str">
        <f>IFERROR(VLOOKUP($J690,'Project Reference'!$B$2:$N$41,13)," ")</f>
        <v xml:space="preserve"> </v>
      </c>
    </row>
    <row r="691" spans="1:27" x14ac:dyDescent="0.45">
      <c r="A691" s="43"/>
      <c r="B691" s="205"/>
      <c r="C691"/>
      <c r="D691" s="72"/>
      <c r="E691" s="72"/>
      <c r="F691" s="72"/>
      <c r="G691" s="72"/>
      <c r="H691" s="17"/>
      <c r="I691" s="41" t="str" cm="1">
        <f t="array" ref="I691">IFERROR(_xlfn.IFS(H691="Hard (Cash)","N/A",H691="Soft (In-Kind)", "Enter Source"),"Select Type")</f>
        <v>Select Type</v>
      </c>
      <c r="J691" s="124"/>
      <c r="K691" s="41" t="str">
        <f>IFERROR(VLOOKUP($J691,'Project Reference'!$S$2:$T$41,2),"Enter Project Number")</f>
        <v>Enter Project Number</v>
      </c>
      <c r="L691" s="41"/>
      <c r="M691" s="41"/>
      <c r="N691" s="15">
        <f t="shared" si="11"/>
        <v>0</v>
      </c>
      <c r="O691" s="19"/>
      <c r="P691" s="42" t="str">
        <f>IFERROR(VLOOKUP($J691,'Project Reference'!$B$2:$C$41,2)," ")</f>
        <v xml:space="preserve"> </v>
      </c>
      <c r="Q691" s="42" t="str">
        <f>IFERROR(VLOOKUP($J691,'Project Reference'!$B$2:$D$41,3)," ")</f>
        <v xml:space="preserve"> </v>
      </c>
      <c r="R691" s="42" t="str">
        <f>IFERROR(VLOOKUP($J691,'Project Reference'!$B$2:$E$41,4)," ")</f>
        <v xml:space="preserve"> </v>
      </c>
      <c r="S691" s="42" t="str">
        <f>IFERROR(VLOOKUP($J691,'Project Reference'!$B$2:$F$41,5,FALSE)," ")</f>
        <v xml:space="preserve"> </v>
      </c>
      <c r="T691" s="42" t="str">
        <f>IFERROR(VLOOKUP($J691,'Project Reference'!$B$2:$G$41,6,FALSE)," ")</f>
        <v xml:space="preserve"> </v>
      </c>
      <c r="U691" s="42" t="str">
        <f>IFERROR(VLOOKUP($J691,'Project Reference'!$B$2:$H$41,7,FALSE)," ")</f>
        <v xml:space="preserve"> </v>
      </c>
      <c r="V691" s="42" t="str">
        <f>IFERROR(VLOOKUP($J691,'Project Reference'!$B$2:$I$41,8,FALSE)," ")</f>
        <v xml:space="preserve"> </v>
      </c>
      <c r="W691" s="42" t="str">
        <f>IFERROR(VLOOKUP($J691,'Project Reference'!$B$2:$J$41,9,FALSE)," ")</f>
        <v xml:space="preserve"> </v>
      </c>
      <c r="X691" s="42" t="str">
        <f>IFERROR(VLOOKUP($J691,'Project Reference'!$B$2:$K$41,10)," ")</f>
        <v xml:space="preserve"> </v>
      </c>
      <c r="Y691" s="42" t="str">
        <f>IFERROR(VLOOKUP($J691,'Project Reference'!$B$2:$L$41,11)," ")</f>
        <v xml:space="preserve"> </v>
      </c>
      <c r="Z691" s="42" t="str">
        <f>IFERROR(VLOOKUP($J691,'Project Reference'!$B$2:$M$41,12)," ")</f>
        <v xml:space="preserve"> </v>
      </c>
      <c r="AA691" s="42" t="str">
        <f>IFERROR(VLOOKUP($J691,'Project Reference'!$B$2:$N$41,13)," ")</f>
        <v xml:space="preserve"> </v>
      </c>
    </row>
    <row r="692" spans="1:27" x14ac:dyDescent="0.45">
      <c r="A692" s="43"/>
      <c r="B692" s="205"/>
      <c r="C692"/>
      <c r="D692" s="72"/>
      <c r="E692" s="72"/>
      <c r="F692" s="72"/>
      <c r="G692" s="72"/>
      <c r="H692" s="17"/>
      <c r="I692" s="41" t="str" cm="1">
        <f t="array" ref="I692">IFERROR(_xlfn.IFS(H692="Hard (Cash)","N/A",H692="Soft (In-Kind)", "Enter Source"),"Select Type")</f>
        <v>Select Type</v>
      </c>
      <c r="J692" s="124"/>
      <c r="K692" s="41" t="str">
        <f>IFERROR(VLOOKUP($J692,'Project Reference'!$S$2:$T$41,2),"Enter Project Number")</f>
        <v>Enter Project Number</v>
      </c>
      <c r="L692" s="41"/>
      <c r="M692" s="41"/>
      <c r="N692" s="15">
        <f t="shared" si="11"/>
        <v>0</v>
      </c>
      <c r="O692" s="19"/>
      <c r="P692" s="42" t="str">
        <f>IFERROR(VLOOKUP($J692,'Project Reference'!$B$2:$C$41,2)," ")</f>
        <v xml:space="preserve"> </v>
      </c>
      <c r="Q692" s="42" t="str">
        <f>IFERROR(VLOOKUP($J692,'Project Reference'!$B$2:$D$41,3)," ")</f>
        <v xml:space="preserve"> </v>
      </c>
      <c r="R692" s="42" t="str">
        <f>IFERROR(VLOOKUP($J692,'Project Reference'!$B$2:$E$41,4)," ")</f>
        <v xml:space="preserve"> </v>
      </c>
      <c r="S692" s="42" t="str">
        <f>IFERROR(VLOOKUP($J692,'Project Reference'!$B$2:$F$41,5,FALSE)," ")</f>
        <v xml:space="preserve"> </v>
      </c>
      <c r="T692" s="42" t="str">
        <f>IFERROR(VLOOKUP($J692,'Project Reference'!$B$2:$G$41,6,FALSE)," ")</f>
        <v xml:space="preserve"> </v>
      </c>
      <c r="U692" s="42" t="str">
        <f>IFERROR(VLOOKUP($J692,'Project Reference'!$B$2:$H$41,7,FALSE)," ")</f>
        <v xml:space="preserve"> </v>
      </c>
      <c r="V692" s="42" t="str">
        <f>IFERROR(VLOOKUP($J692,'Project Reference'!$B$2:$I$41,8,FALSE)," ")</f>
        <v xml:space="preserve"> </v>
      </c>
      <c r="W692" s="42" t="str">
        <f>IFERROR(VLOOKUP($J692,'Project Reference'!$B$2:$J$41,9,FALSE)," ")</f>
        <v xml:space="preserve"> </v>
      </c>
      <c r="X692" s="42" t="str">
        <f>IFERROR(VLOOKUP($J692,'Project Reference'!$B$2:$K$41,10)," ")</f>
        <v xml:space="preserve"> </v>
      </c>
      <c r="Y692" s="42" t="str">
        <f>IFERROR(VLOOKUP($J692,'Project Reference'!$B$2:$L$41,11)," ")</f>
        <v xml:space="preserve"> </v>
      </c>
      <c r="Z692" s="42" t="str">
        <f>IFERROR(VLOOKUP($J692,'Project Reference'!$B$2:$M$41,12)," ")</f>
        <v xml:space="preserve"> </v>
      </c>
      <c r="AA692" s="42" t="str">
        <f>IFERROR(VLOOKUP($J692,'Project Reference'!$B$2:$N$41,13)," ")</f>
        <v xml:space="preserve"> </v>
      </c>
    </row>
    <row r="693" spans="1:27" x14ac:dyDescent="0.45">
      <c r="A693" s="43"/>
      <c r="B693" s="205"/>
      <c r="C693"/>
      <c r="D693" s="72"/>
      <c r="E693" s="72"/>
      <c r="F693" s="72"/>
      <c r="G693" s="72"/>
      <c r="H693" s="17"/>
      <c r="I693" s="41" t="str" cm="1">
        <f t="array" ref="I693">IFERROR(_xlfn.IFS(H693="Hard (Cash)","N/A",H693="Soft (In-Kind)", "Enter Source"),"Select Type")</f>
        <v>Select Type</v>
      </c>
      <c r="J693" s="124"/>
      <c r="K693" s="41" t="str">
        <f>IFERROR(VLOOKUP($J693,'Project Reference'!$S$2:$T$41,2),"Enter Project Number")</f>
        <v>Enter Project Number</v>
      </c>
      <c r="L693" s="41"/>
      <c r="M693" s="41"/>
      <c r="N693" s="15">
        <f t="shared" si="11"/>
        <v>0</v>
      </c>
      <c r="O693" s="19"/>
      <c r="P693" s="42" t="str">
        <f>IFERROR(VLOOKUP($J693,'Project Reference'!$B$2:$C$41,2)," ")</f>
        <v xml:space="preserve"> </v>
      </c>
      <c r="Q693" s="42" t="str">
        <f>IFERROR(VLOOKUP($J693,'Project Reference'!$B$2:$D$41,3)," ")</f>
        <v xml:space="preserve"> </v>
      </c>
      <c r="R693" s="42" t="str">
        <f>IFERROR(VLOOKUP($J693,'Project Reference'!$B$2:$E$41,4)," ")</f>
        <v xml:space="preserve"> </v>
      </c>
      <c r="S693" s="42" t="str">
        <f>IFERROR(VLOOKUP($J693,'Project Reference'!$B$2:$F$41,5,FALSE)," ")</f>
        <v xml:space="preserve"> </v>
      </c>
      <c r="T693" s="42" t="str">
        <f>IFERROR(VLOOKUP($J693,'Project Reference'!$B$2:$G$41,6,FALSE)," ")</f>
        <v xml:space="preserve"> </v>
      </c>
      <c r="U693" s="42" t="str">
        <f>IFERROR(VLOOKUP($J693,'Project Reference'!$B$2:$H$41,7,FALSE)," ")</f>
        <v xml:space="preserve"> </v>
      </c>
      <c r="V693" s="42" t="str">
        <f>IFERROR(VLOOKUP($J693,'Project Reference'!$B$2:$I$41,8,FALSE)," ")</f>
        <v xml:space="preserve"> </v>
      </c>
      <c r="W693" s="42" t="str">
        <f>IFERROR(VLOOKUP($J693,'Project Reference'!$B$2:$J$41,9,FALSE)," ")</f>
        <v xml:space="preserve"> </v>
      </c>
      <c r="X693" s="42" t="str">
        <f>IFERROR(VLOOKUP($J693,'Project Reference'!$B$2:$K$41,10)," ")</f>
        <v xml:space="preserve"> </v>
      </c>
      <c r="Y693" s="42" t="str">
        <f>IFERROR(VLOOKUP($J693,'Project Reference'!$B$2:$L$41,11)," ")</f>
        <v xml:space="preserve"> </v>
      </c>
      <c r="Z693" s="42" t="str">
        <f>IFERROR(VLOOKUP($J693,'Project Reference'!$B$2:$M$41,12)," ")</f>
        <v xml:space="preserve"> </v>
      </c>
      <c r="AA693" s="42" t="str">
        <f>IFERROR(VLOOKUP($J693,'Project Reference'!$B$2:$N$41,13)," ")</f>
        <v xml:space="preserve"> </v>
      </c>
    </row>
    <row r="694" spans="1:27" x14ac:dyDescent="0.45">
      <c r="A694" s="43"/>
      <c r="B694" s="205"/>
      <c r="C694"/>
      <c r="D694" s="72"/>
      <c r="E694" s="72"/>
      <c r="F694" s="72"/>
      <c r="G694" s="72"/>
      <c r="H694" s="17"/>
      <c r="I694" s="41" t="str" cm="1">
        <f t="array" ref="I694">IFERROR(_xlfn.IFS(H694="Hard (Cash)","N/A",H694="Soft (In-Kind)", "Enter Source"),"Select Type")</f>
        <v>Select Type</v>
      </c>
      <c r="J694" s="124"/>
      <c r="K694" s="41" t="str">
        <f>IFERROR(VLOOKUP($J694,'Project Reference'!$S$2:$T$41,2),"Enter Project Number")</f>
        <v>Enter Project Number</v>
      </c>
      <c r="L694" s="41"/>
      <c r="M694" s="41"/>
      <c r="N694" s="15">
        <f t="shared" si="11"/>
        <v>0</v>
      </c>
      <c r="O694" s="19"/>
      <c r="P694" s="42" t="str">
        <f>IFERROR(VLOOKUP($J694,'Project Reference'!$B$2:$C$41,2)," ")</f>
        <v xml:space="preserve"> </v>
      </c>
      <c r="Q694" s="42" t="str">
        <f>IFERROR(VLOOKUP($J694,'Project Reference'!$B$2:$D$41,3)," ")</f>
        <v xml:space="preserve"> </v>
      </c>
      <c r="R694" s="42" t="str">
        <f>IFERROR(VLOOKUP($J694,'Project Reference'!$B$2:$E$41,4)," ")</f>
        <v xml:space="preserve"> </v>
      </c>
      <c r="S694" s="42" t="str">
        <f>IFERROR(VLOOKUP($J694,'Project Reference'!$B$2:$F$41,5,FALSE)," ")</f>
        <v xml:space="preserve"> </v>
      </c>
      <c r="T694" s="42" t="str">
        <f>IFERROR(VLOOKUP($J694,'Project Reference'!$B$2:$G$41,6,FALSE)," ")</f>
        <v xml:space="preserve"> </v>
      </c>
      <c r="U694" s="42" t="str">
        <f>IFERROR(VLOOKUP($J694,'Project Reference'!$B$2:$H$41,7,FALSE)," ")</f>
        <v xml:space="preserve"> </v>
      </c>
      <c r="V694" s="42" t="str">
        <f>IFERROR(VLOOKUP($J694,'Project Reference'!$B$2:$I$41,8,FALSE)," ")</f>
        <v xml:space="preserve"> </v>
      </c>
      <c r="W694" s="42" t="str">
        <f>IFERROR(VLOOKUP($J694,'Project Reference'!$B$2:$J$41,9,FALSE)," ")</f>
        <v xml:space="preserve"> </v>
      </c>
      <c r="X694" s="42" t="str">
        <f>IFERROR(VLOOKUP($J694,'Project Reference'!$B$2:$K$41,10)," ")</f>
        <v xml:space="preserve"> </v>
      </c>
      <c r="Y694" s="42" t="str">
        <f>IFERROR(VLOOKUP($J694,'Project Reference'!$B$2:$L$41,11)," ")</f>
        <v xml:space="preserve"> </v>
      </c>
      <c r="Z694" s="42" t="str">
        <f>IFERROR(VLOOKUP($J694,'Project Reference'!$B$2:$M$41,12)," ")</f>
        <v xml:space="preserve"> </v>
      </c>
      <c r="AA694" s="42" t="str">
        <f>IFERROR(VLOOKUP($J694,'Project Reference'!$B$2:$N$41,13)," ")</f>
        <v xml:space="preserve"> </v>
      </c>
    </row>
    <row r="695" spans="1:27" x14ac:dyDescent="0.45">
      <c r="A695" s="43"/>
      <c r="B695" s="205"/>
      <c r="C695"/>
      <c r="D695" s="72"/>
      <c r="E695" s="72"/>
      <c r="F695" s="72"/>
      <c r="G695" s="72"/>
      <c r="H695" s="17"/>
      <c r="I695" s="41" t="str" cm="1">
        <f t="array" ref="I695">IFERROR(_xlfn.IFS(H695="Hard (Cash)","N/A",H695="Soft (In-Kind)", "Enter Source"),"Select Type")</f>
        <v>Select Type</v>
      </c>
      <c r="J695" s="124"/>
      <c r="K695" s="41" t="str">
        <f>IFERROR(VLOOKUP($J695,'Project Reference'!$S$2:$T$41,2),"Enter Project Number")</f>
        <v>Enter Project Number</v>
      </c>
      <c r="L695" s="41"/>
      <c r="M695" s="41"/>
      <c r="N695" s="15">
        <f t="shared" si="11"/>
        <v>0</v>
      </c>
      <c r="O695" s="19"/>
      <c r="P695" s="42" t="str">
        <f>IFERROR(VLOOKUP($J695,'Project Reference'!$B$2:$C$41,2)," ")</f>
        <v xml:space="preserve"> </v>
      </c>
      <c r="Q695" s="42" t="str">
        <f>IFERROR(VLOOKUP($J695,'Project Reference'!$B$2:$D$41,3)," ")</f>
        <v xml:space="preserve"> </v>
      </c>
      <c r="R695" s="42" t="str">
        <f>IFERROR(VLOOKUP($J695,'Project Reference'!$B$2:$E$41,4)," ")</f>
        <v xml:space="preserve"> </v>
      </c>
      <c r="S695" s="42" t="str">
        <f>IFERROR(VLOOKUP($J695,'Project Reference'!$B$2:$F$41,5,FALSE)," ")</f>
        <v xml:space="preserve"> </v>
      </c>
      <c r="T695" s="42" t="str">
        <f>IFERROR(VLOOKUP($J695,'Project Reference'!$B$2:$G$41,6,FALSE)," ")</f>
        <v xml:space="preserve"> </v>
      </c>
      <c r="U695" s="42" t="str">
        <f>IFERROR(VLOOKUP($J695,'Project Reference'!$B$2:$H$41,7,FALSE)," ")</f>
        <v xml:space="preserve"> </v>
      </c>
      <c r="V695" s="42" t="str">
        <f>IFERROR(VLOOKUP($J695,'Project Reference'!$B$2:$I$41,8,FALSE)," ")</f>
        <v xml:space="preserve"> </v>
      </c>
      <c r="W695" s="42" t="str">
        <f>IFERROR(VLOOKUP($J695,'Project Reference'!$B$2:$J$41,9,FALSE)," ")</f>
        <v xml:space="preserve"> </v>
      </c>
      <c r="X695" s="42" t="str">
        <f>IFERROR(VLOOKUP($J695,'Project Reference'!$B$2:$K$41,10)," ")</f>
        <v xml:space="preserve"> </v>
      </c>
      <c r="Y695" s="42" t="str">
        <f>IFERROR(VLOOKUP($J695,'Project Reference'!$B$2:$L$41,11)," ")</f>
        <v xml:space="preserve"> </v>
      </c>
      <c r="Z695" s="42" t="str">
        <f>IFERROR(VLOOKUP($J695,'Project Reference'!$B$2:$M$41,12)," ")</f>
        <v xml:space="preserve"> </v>
      </c>
      <c r="AA695" s="42" t="str">
        <f>IFERROR(VLOOKUP($J695,'Project Reference'!$B$2:$N$41,13)," ")</f>
        <v xml:space="preserve"> </v>
      </c>
    </row>
    <row r="696" spans="1:27" x14ac:dyDescent="0.45">
      <c r="A696" s="43"/>
      <c r="B696" s="205"/>
      <c r="C696"/>
      <c r="D696" s="72"/>
      <c r="E696" s="72"/>
      <c r="F696" s="72"/>
      <c r="G696" s="72"/>
      <c r="H696" s="17"/>
      <c r="I696" s="41" t="str" cm="1">
        <f t="array" ref="I696">IFERROR(_xlfn.IFS(H696="Hard (Cash)","N/A",H696="Soft (In-Kind)", "Enter Source"),"Select Type")</f>
        <v>Select Type</v>
      </c>
      <c r="J696" s="124"/>
      <c r="K696" s="41" t="str">
        <f>IFERROR(VLOOKUP($J696,'Project Reference'!$S$2:$T$41,2),"Enter Project Number")</f>
        <v>Enter Project Number</v>
      </c>
      <c r="L696" s="41"/>
      <c r="M696" s="41"/>
      <c r="N696" s="15">
        <f t="shared" si="11"/>
        <v>0</v>
      </c>
      <c r="O696" s="19"/>
      <c r="P696" s="42" t="str">
        <f>IFERROR(VLOOKUP($J696,'Project Reference'!$B$2:$C$41,2)," ")</f>
        <v xml:space="preserve"> </v>
      </c>
      <c r="Q696" s="42" t="str">
        <f>IFERROR(VLOOKUP($J696,'Project Reference'!$B$2:$D$41,3)," ")</f>
        <v xml:space="preserve"> </v>
      </c>
      <c r="R696" s="42" t="str">
        <f>IFERROR(VLOOKUP($J696,'Project Reference'!$B$2:$E$41,4)," ")</f>
        <v xml:space="preserve"> </v>
      </c>
      <c r="S696" s="42" t="str">
        <f>IFERROR(VLOOKUP($J696,'Project Reference'!$B$2:$F$41,5,FALSE)," ")</f>
        <v xml:space="preserve"> </v>
      </c>
      <c r="T696" s="42" t="str">
        <f>IFERROR(VLOOKUP($J696,'Project Reference'!$B$2:$G$41,6,FALSE)," ")</f>
        <v xml:space="preserve"> </v>
      </c>
      <c r="U696" s="42" t="str">
        <f>IFERROR(VLOOKUP($J696,'Project Reference'!$B$2:$H$41,7,FALSE)," ")</f>
        <v xml:space="preserve"> </v>
      </c>
      <c r="V696" s="42" t="str">
        <f>IFERROR(VLOOKUP($J696,'Project Reference'!$B$2:$I$41,8,FALSE)," ")</f>
        <v xml:space="preserve"> </v>
      </c>
      <c r="W696" s="42" t="str">
        <f>IFERROR(VLOOKUP($J696,'Project Reference'!$B$2:$J$41,9,FALSE)," ")</f>
        <v xml:space="preserve"> </v>
      </c>
      <c r="X696" s="42" t="str">
        <f>IFERROR(VLOOKUP($J696,'Project Reference'!$B$2:$K$41,10)," ")</f>
        <v xml:space="preserve"> </v>
      </c>
      <c r="Y696" s="42" t="str">
        <f>IFERROR(VLOOKUP($J696,'Project Reference'!$B$2:$L$41,11)," ")</f>
        <v xml:space="preserve"> </v>
      </c>
      <c r="Z696" s="42" t="str">
        <f>IFERROR(VLOOKUP($J696,'Project Reference'!$B$2:$M$41,12)," ")</f>
        <v xml:space="preserve"> </v>
      </c>
      <c r="AA696" s="42" t="str">
        <f>IFERROR(VLOOKUP($J696,'Project Reference'!$B$2:$N$41,13)," ")</f>
        <v xml:space="preserve"> </v>
      </c>
    </row>
    <row r="697" spans="1:27" x14ac:dyDescent="0.45">
      <c r="A697" s="43"/>
      <c r="B697" s="205"/>
      <c r="C697"/>
      <c r="D697" s="72"/>
      <c r="E697" s="72"/>
      <c r="F697" s="72"/>
      <c r="G697" s="72"/>
      <c r="H697" s="17"/>
      <c r="I697" s="41" t="str" cm="1">
        <f t="array" ref="I697">IFERROR(_xlfn.IFS(H697="Hard (Cash)","N/A",H697="Soft (In-Kind)", "Enter Source"),"Select Type")</f>
        <v>Select Type</v>
      </c>
      <c r="J697" s="124"/>
      <c r="K697" s="41" t="str">
        <f>IFERROR(VLOOKUP($J697,'Project Reference'!$S$2:$T$41,2),"Enter Project Number")</f>
        <v>Enter Project Number</v>
      </c>
      <c r="L697" s="41"/>
      <c r="M697" s="41"/>
      <c r="N697" s="15">
        <f t="shared" si="11"/>
        <v>0</v>
      </c>
      <c r="O697" s="19"/>
      <c r="P697" s="42" t="str">
        <f>IFERROR(VLOOKUP($J697,'Project Reference'!$B$2:$C$41,2)," ")</f>
        <v xml:space="preserve"> </v>
      </c>
      <c r="Q697" s="42" t="str">
        <f>IFERROR(VLOOKUP($J697,'Project Reference'!$B$2:$D$41,3)," ")</f>
        <v xml:space="preserve"> </v>
      </c>
      <c r="R697" s="42" t="str">
        <f>IFERROR(VLOOKUP($J697,'Project Reference'!$B$2:$E$41,4)," ")</f>
        <v xml:space="preserve"> </v>
      </c>
      <c r="S697" s="42" t="str">
        <f>IFERROR(VLOOKUP($J697,'Project Reference'!$B$2:$F$41,5,FALSE)," ")</f>
        <v xml:space="preserve"> </v>
      </c>
      <c r="T697" s="42" t="str">
        <f>IFERROR(VLOOKUP($J697,'Project Reference'!$B$2:$G$41,6,FALSE)," ")</f>
        <v xml:space="preserve"> </v>
      </c>
      <c r="U697" s="42" t="str">
        <f>IFERROR(VLOOKUP($J697,'Project Reference'!$B$2:$H$41,7,FALSE)," ")</f>
        <v xml:space="preserve"> </v>
      </c>
      <c r="V697" s="42" t="str">
        <f>IFERROR(VLOOKUP($J697,'Project Reference'!$B$2:$I$41,8,FALSE)," ")</f>
        <v xml:space="preserve"> </v>
      </c>
      <c r="W697" s="42" t="str">
        <f>IFERROR(VLOOKUP($J697,'Project Reference'!$B$2:$J$41,9,FALSE)," ")</f>
        <v xml:space="preserve"> </v>
      </c>
      <c r="X697" s="42" t="str">
        <f>IFERROR(VLOOKUP($J697,'Project Reference'!$B$2:$K$41,10)," ")</f>
        <v xml:space="preserve"> </v>
      </c>
      <c r="Y697" s="42" t="str">
        <f>IFERROR(VLOOKUP($J697,'Project Reference'!$B$2:$L$41,11)," ")</f>
        <v xml:space="preserve"> </v>
      </c>
      <c r="Z697" s="42" t="str">
        <f>IFERROR(VLOOKUP($J697,'Project Reference'!$B$2:$M$41,12)," ")</f>
        <v xml:space="preserve"> </v>
      </c>
      <c r="AA697" s="42" t="str">
        <f>IFERROR(VLOOKUP($J697,'Project Reference'!$B$2:$N$41,13)," ")</f>
        <v xml:space="preserve"> </v>
      </c>
    </row>
    <row r="698" spans="1:27" x14ac:dyDescent="0.45">
      <c r="A698" s="43"/>
      <c r="B698" s="205"/>
      <c r="C698"/>
      <c r="D698" s="72"/>
      <c r="E698" s="72"/>
      <c r="F698" s="72"/>
      <c r="G698" s="72"/>
      <c r="H698" s="17"/>
      <c r="I698" s="41" t="str" cm="1">
        <f t="array" ref="I698">IFERROR(_xlfn.IFS(H698="Hard (Cash)","N/A",H698="Soft (In-Kind)", "Enter Source"),"Select Type")</f>
        <v>Select Type</v>
      </c>
      <c r="J698" s="124"/>
      <c r="K698" s="41" t="str">
        <f>IFERROR(VLOOKUP($J698,'Project Reference'!$S$2:$T$41,2),"Enter Project Number")</f>
        <v>Enter Project Number</v>
      </c>
      <c r="L698" s="41"/>
      <c r="M698" s="41"/>
      <c r="N698" s="15">
        <f t="shared" si="11"/>
        <v>0</v>
      </c>
      <c r="O698" s="19"/>
      <c r="P698" s="42" t="str">
        <f>IFERROR(VLOOKUP($J698,'Project Reference'!$B$2:$C$41,2)," ")</f>
        <v xml:space="preserve"> </v>
      </c>
      <c r="Q698" s="42" t="str">
        <f>IFERROR(VLOOKUP($J698,'Project Reference'!$B$2:$D$41,3)," ")</f>
        <v xml:space="preserve"> </v>
      </c>
      <c r="R698" s="42" t="str">
        <f>IFERROR(VLOOKUP($J698,'Project Reference'!$B$2:$E$41,4)," ")</f>
        <v xml:space="preserve"> </v>
      </c>
      <c r="S698" s="42" t="str">
        <f>IFERROR(VLOOKUP($J698,'Project Reference'!$B$2:$F$41,5,FALSE)," ")</f>
        <v xml:space="preserve"> </v>
      </c>
      <c r="T698" s="42" t="str">
        <f>IFERROR(VLOOKUP($J698,'Project Reference'!$B$2:$G$41,6,FALSE)," ")</f>
        <v xml:space="preserve"> </v>
      </c>
      <c r="U698" s="42" t="str">
        <f>IFERROR(VLOOKUP($J698,'Project Reference'!$B$2:$H$41,7,FALSE)," ")</f>
        <v xml:space="preserve"> </v>
      </c>
      <c r="V698" s="42" t="str">
        <f>IFERROR(VLOOKUP($J698,'Project Reference'!$B$2:$I$41,8,FALSE)," ")</f>
        <v xml:space="preserve"> </v>
      </c>
      <c r="W698" s="42" t="str">
        <f>IFERROR(VLOOKUP($J698,'Project Reference'!$B$2:$J$41,9,FALSE)," ")</f>
        <v xml:space="preserve"> </v>
      </c>
      <c r="X698" s="42" t="str">
        <f>IFERROR(VLOOKUP($J698,'Project Reference'!$B$2:$K$41,10)," ")</f>
        <v xml:space="preserve"> </v>
      </c>
      <c r="Y698" s="42" t="str">
        <f>IFERROR(VLOOKUP($J698,'Project Reference'!$B$2:$L$41,11)," ")</f>
        <v xml:space="preserve"> </v>
      </c>
      <c r="Z698" s="42" t="str">
        <f>IFERROR(VLOOKUP($J698,'Project Reference'!$B$2:$M$41,12)," ")</f>
        <v xml:space="preserve"> </v>
      </c>
      <c r="AA698" s="42" t="str">
        <f>IFERROR(VLOOKUP($J698,'Project Reference'!$B$2:$N$41,13)," ")</f>
        <v xml:space="preserve"> </v>
      </c>
    </row>
    <row r="699" spans="1:27" x14ac:dyDescent="0.45">
      <c r="A699" s="43"/>
      <c r="B699" s="205"/>
      <c r="C699"/>
      <c r="D699" s="72"/>
      <c r="E699" s="72"/>
      <c r="F699" s="72"/>
      <c r="G699" s="72"/>
      <c r="H699" s="17"/>
      <c r="I699" s="41" t="str" cm="1">
        <f t="array" ref="I699">IFERROR(_xlfn.IFS(H699="Hard (Cash)","N/A",H699="Soft (In-Kind)", "Enter Source"),"Select Type")</f>
        <v>Select Type</v>
      </c>
      <c r="J699" s="124"/>
      <c r="K699" s="41" t="str">
        <f>IFERROR(VLOOKUP($J699,'Project Reference'!$S$2:$T$41,2),"Enter Project Number")</f>
        <v>Enter Project Number</v>
      </c>
      <c r="L699" s="41"/>
      <c r="M699" s="41"/>
      <c r="N699" s="15">
        <f t="shared" si="11"/>
        <v>0</v>
      </c>
      <c r="O699" s="19"/>
      <c r="P699" s="42" t="str">
        <f>IFERROR(VLOOKUP($J699,'Project Reference'!$B$2:$C$41,2)," ")</f>
        <v xml:space="preserve"> </v>
      </c>
      <c r="Q699" s="42" t="str">
        <f>IFERROR(VLOOKUP($J699,'Project Reference'!$B$2:$D$41,3)," ")</f>
        <v xml:space="preserve"> </v>
      </c>
      <c r="R699" s="42" t="str">
        <f>IFERROR(VLOOKUP($J699,'Project Reference'!$B$2:$E$41,4)," ")</f>
        <v xml:space="preserve"> </v>
      </c>
      <c r="S699" s="42" t="str">
        <f>IFERROR(VLOOKUP($J699,'Project Reference'!$B$2:$F$41,5,FALSE)," ")</f>
        <v xml:space="preserve"> </v>
      </c>
      <c r="T699" s="42" t="str">
        <f>IFERROR(VLOOKUP($J699,'Project Reference'!$B$2:$G$41,6,FALSE)," ")</f>
        <v xml:space="preserve"> </v>
      </c>
      <c r="U699" s="42" t="str">
        <f>IFERROR(VLOOKUP($J699,'Project Reference'!$B$2:$H$41,7,FALSE)," ")</f>
        <v xml:space="preserve"> </v>
      </c>
      <c r="V699" s="42" t="str">
        <f>IFERROR(VLOOKUP($J699,'Project Reference'!$B$2:$I$41,8,FALSE)," ")</f>
        <v xml:space="preserve"> </v>
      </c>
      <c r="W699" s="42" t="str">
        <f>IFERROR(VLOOKUP($J699,'Project Reference'!$B$2:$J$41,9,FALSE)," ")</f>
        <v xml:space="preserve"> </v>
      </c>
      <c r="X699" s="42" t="str">
        <f>IFERROR(VLOOKUP($J699,'Project Reference'!$B$2:$K$41,10)," ")</f>
        <v xml:space="preserve"> </v>
      </c>
      <c r="Y699" s="42" t="str">
        <f>IFERROR(VLOOKUP($J699,'Project Reference'!$B$2:$L$41,11)," ")</f>
        <v xml:space="preserve"> </v>
      </c>
      <c r="Z699" s="42" t="str">
        <f>IFERROR(VLOOKUP($J699,'Project Reference'!$B$2:$M$41,12)," ")</f>
        <v xml:space="preserve"> </v>
      </c>
      <c r="AA699" s="42" t="str">
        <f>IFERROR(VLOOKUP($J699,'Project Reference'!$B$2:$N$41,13)," ")</f>
        <v xml:space="preserve"> </v>
      </c>
    </row>
    <row r="700" spans="1:27" x14ac:dyDescent="0.45">
      <c r="A700" s="43"/>
      <c r="B700" s="205"/>
      <c r="C700"/>
      <c r="D700" s="72"/>
      <c r="E700" s="72"/>
      <c r="F700" s="72"/>
      <c r="G700" s="72"/>
      <c r="H700" s="17"/>
      <c r="I700" s="41" t="str" cm="1">
        <f t="array" ref="I700">IFERROR(_xlfn.IFS(H700="Hard (Cash)","N/A",H700="Soft (In-Kind)", "Enter Source"),"Select Type")</f>
        <v>Select Type</v>
      </c>
      <c r="J700" s="124"/>
      <c r="K700" s="41" t="str">
        <f>IFERROR(VLOOKUP($J700,'Project Reference'!$S$2:$T$41,2),"Enter Project Number")</f>
        <v>Enter Project Number</v>
      </c>
      <c r="L700" s="41"/>
      <c r="M700" s="41"/>
      <c r="N700" s="15">
        <f t="shared" si="11"/>
        <v>0</v>
      </c>
      <c r="O700" s="19"/>
      <c r="P700" s="42" t="str">
        <f>IFERROR(VLOOKUP($J700,'Project Reference'!$B$2:$C$41,2)," ")</f>
        <v xml:space="preserve"> </v>
      </c>
      <c r="Q700" s="42" t="str">
        <f>IFERROR(VLOOKUP($J700,'Project Reference'!$B$2:$D$41,3)," ")</f>
        <v xml:space="preserve"> </v>
      </c>
      <c r="R700" s="42" t="str">
        <f>IFERROR(VLOOKUP($J700,'Project Reference'!$B$2:$E$41,4)," ")</f>
        <v xml:space="preserve"> </v>
      </c>
      <c r="S700" s="42" t="str">
        <f>IFERROR(VLOOKUP($J700,'Project Reference'!$B$2:$F$41,5,FALSE)," ")</f>
        <v xml:space="preserve"> </v>
      </c>
      <c r="T700" s="42" t="str">
        <f>IFERROR(VLOOKUP($J700,'Project Reference'!$B$2:$G$41,6,FALSE)," ")</f>
        <v xml:space="preserve"> </v>
      </c>
      <c r="U700" s="42" t="str">
        <f>IFERROR(VLOOKUP($J700,'Project Reference'!$B$2:$H$41,7,FALSE)," ")</f>
        <v xml:space="preserve"> </v>
      </c>
      <c r="V700" s="42" t="str">
        <f>IFERROR(VLOOKUP($J700,'Project Reference'!$B$2:$I$41,8,FALSE)," ")</f>
        <v xml:space="preserve"> </v>
      </c>
      <c r="W700" s="42" t="str">
        <f>IFERROR(VLOOKUP($J700,'Project Reference'!$B$2:$J$41,9,FALSE)," ")</f>
        <v xml:space="preserve"> </v>
      </c>
      <c r="X700" s="42" t="str">
        <f>IFERROR(VLOOKUP($J700,'Project Reference'!$B$2:$K$41,10)," ")</f>
        <v xml:space="preserve"> </v>
      </c>
      <c r="Y700" s="42" t="str">
        <f>IFERROR(VLOOKUP($J700,'Project Reference'!$B$2:$L$41,11)," ")</f>
        <v xml:space="preserve"> </v>
      </c>
      <c r="Z700" s="42" t="str">
        <f>IFERROR(VLOOKUP($J700,'Project Reference'!$B$2:$M$41,12)," ")</f>
        <v xml:space="preserve"> </v>
      </c>
      <c r="AA700" s="42" t="str">
        <f>IFERROR(VLOOKUP($J700,'Project Reference'!$B$2:$N$41,13)," ")</f>
        <v xml:space="preserve"> </v>
      </c>
    </row>
    <row r="701" spans="1:27" x14ac:dyDescent="0.45">
      <c r="A701" s="43"/>
      <c r="B701" s="205"/>
      <c r="C701"/>
      <c r="D701" s="72"/>
      <c r="E701" s="72"/>
      <c r="F701" s="72"/>
      <c r="G701" s="72"/>
      <c r="H701" s="17"/>
      <c r="I701" s="41" t="str" cm="1">
        <f t="array" ref="I701">IFERROR(_xlfn.IFS(H701="Hard (Cash)","N/A",H701="Soft (In-Kind)", "Enter Source"),"Select Type")</f>
        <v>Select Type</v>
      </c>
      <c r="J701" s="124"/>
      <c r="K701" s="41" t="str">
        <f>IFERROR(VLOOKUP($J701,'Project Reference'!$S$2:$T$41,2),"Enter Project Number")</f>
        <v>Enter Project Number</v>
      </c>
      <c r="L701" s="41"/>
      <c r="M701" s="41"/>
      <c r="N701" s="15">
        <f t="shared" si="11"/>
        <v>0</v>
      </c>
      <c r="O701" s="19"/>
      <c r="P701" s="42" t="str">
        <f>IFERROR(VLOOKUP($J701,'Project Reference'!$B$2:$C$41,2)," ")</f>
        <v xml:space="preserve"> </v>
      </c>
      <c r="Q701" s="42" t="str">
        <f>IFERROR(VLOOKUP($J701,'Project Reference'!$B$2:$D$41,3)," ")</f>
        <v xml:space="preserve"> </v>
      </c>
      <c r="R701" s="42" t="str">
        <f>IFERROR(VLOOKUP($J701,'Project Reference'!$B$2:$E$41,4)," ")</f>
        <v xml:space="preserve"> </v>
      </c>
      <c r="S701" s="42" t="str">
        <f>IFERROR(VLOOKUP($J701,'Project Reference'!$B$2:$F$41,5,FALSE)," ")</f>
        <v xml:space="preserve"> </v>
      </c>
      <c r="T701" s="42" t="str">
        <f>IFERROR(VLOOKUP($J701,'Project Reference'!$B$2:$G$41,6,FALSE)," ")</f>
        <v xml:space="preserve"> </v>
      </c>
      <c r="U701" s="42" t="str">
        <f>IFERROR(VLOOKUP($J701,'Project Reference'!$B$2:$H$41,7,FALSE)," ")</f>
        <v xml:space="preserve"> </v>
      </c>
      <c r="V701" s="42" t="str">
        <f>IFERROR(VLOOKUP($J701,'Project Reference'!$B$2:$I$41,8,FALSE)," ")</f>
        <v xml:space="preserve"> </v>
      </c>
      <c r="W701" s="42" t="str">
        <f>IFERROR(VLOOKUP($J701,'Project Reference'!$B$2:$J$41,9,FALSE)," ")</f>
        <v xml:space="preserve"> </v>
      </c>
      <c r="X701" s="42" t="str">
        <f>IFERROR(VLOOKUP($J701,'Project Reference'!$B$2:$K$41,10)," ")</f>
        <v xml:space="preserve"> </v>
      </c>
      <c r="Y701" s="42" t="str">
        <f>IFERROR(VLOOKUP($J701,'Project Reference'!$B$2:$L$41,11)," ")</f>
        <v xml:space="preserve"> </v>
      </c>
      <c r="Z701" s="42" t="str">
        <f>IFERROR(VLOOKUP($J701,'Project Reference'!$B$2:$M$41,12)," ")</f>
        <v xml:space="preserve"> </v>
      </c>
      <c r="AA701" s="42" t="str">
        <f>IFERROR(VLOOKUP($J701,'Project Reference'!$B$2:$N$41,13)," ")</f>
        <v xml:space="preserve"> </v>
      </c>
    </row>
    <row r="702" spans="1:27" x14ac:dyDescent="0.45">
      <c r="A702" s="43"/>
      <c r="B702" s="205"/>
      <c r="C702"/>
      <c r="D702" s="72"/>
      <c r="E702" s="72"/>
      <c r="F702" s="72"/>
      <c r="G702" s="72"/>
      <c r="H702" s="17"/>
      <c r="I702" s="41" t="str" cm="1">
        <f t="array" ref="I702">IFERROR(_xlfn.IFS(H702="Hard (Cash)","N/A",H702="Soft (In-Kind)", "Enter Source"),"Select Type")</f>
        <v>Select Type</v>
      </c>
      <c r="J702" s="124"/>
      <c r="K702" s="41" t="str">
        <f>IFERROR(VLOOKUP($J702,'Project Reference'!$S$2:$T$41,2),"Enter Project Number")</f>
        <v>Enter Project Number</v>
      </c>
      <c r="L702" s="41"/>
      <c r="M702" s="41"/>
      <c r="N702" s="15">
        <f t="shared" si="11"/>
        <v>0</v>
      </c>
      <c r="O702" s="19"/>
      <c r="P702" s="42" t="str">
        <f>IFERROR(VLOOKUP($J702,'Project Reference'!$B$2:$C$41,2)," ")</f>
        <v xml:space="preserve"> </v>
      </c>
      <c r="Q702" s="42" t="str">
        <f>IFERROR(VLOOKUP($J702,'Project Reference'!$B$2:$D$41,3)," ")</f>
        <v xml:space="preserve"> </v>
      </c>
      <c r="R702" s="42" t="str">
        <f>IFERROR(VLOOKUP($J702,'Project Reference'!$B$2:$E$41,4)," ")</f>
        <v xml:space="preserve"> </v>
      </c>
      <c r="S702" s="42" t="str">
        <f>IFERROR(VLOOKUP($J702,'Project Reference'!$B$2:$F$41,5,FALSE)," ")</f>
        <v xml:space="preserve"> </v>
      </c>
      <c r="T702" s="42" t="str">
        <f>IFERROR(VLOOKUP($J702,'Project Reference'!$B$2:$G$41,6,FALSE)," ")</f>
        <v xml:space="preserve"> </v>
      </c>
      <c r="U702" s="42" t="str">
        <f>IFERROR(VLOOKUP($J702,'Project Reference'!$B$2:$H$41,7,FALSE)," ")</f>
        <v xml:space="preserve"> </v>
      </c>
      <c r="V702" s="42" t="str">
        <f>IFERROR(VLOOKUP($J702,'Project Reference'!$B$2:$I$41,8,FALSE)," ")</f>
        <v xml:space="preserve"> </v>
      </c>
      <c r="W702" s="42" t="str">
        <f>IFERROR(VLOOKUP($J702,'Project Reference'!$B$2:$J$41,9,FALSE)," ")</f>
        <v xml:space="preserve"> </v>
      </c>
      <c r="X702" s="42" t="str">
        <f>IFERROR(VLOOKUP($J702,'Project Reference'!$B$2:$K$41,10)," ")</f>
        <v xml:space="preserve"> </v>
      </c>
      <c r="Y702" s="42" t="str">
        <f>IFERROR(VLOOKUP($J702,'Project Reference'!$B$2:$L$41,11)," ")</f>
        <v xml:space="preserve"> </v>
      </c>
      <c r="Z702" s="42" t="str">
        <f>IFERROR(VLOOKUP($J702,'Project Reference'!$B$2:$M$41,12)," ")</f>
        <v xml:space="preserve"> </v>
      </c>
      <c r="AA702" s="42" t="str">
        <f>IFERROR(VLOOKUP($J702,'Project Reference'!$B$2:$N$41,13)," ")</f>
        <v xml:space="preserve"> </v>
      </c>
    </row>
    <row r="703" spans="1:27" x14ac:dyDescent="0.45">
      <c r="A703" s="43"/>
      <c r="B703" s="205"/>
      <c r="C703"/>
      <c r="D703" s="72"/>
      <c r="E703" s="72"/>
      <c r="F703" s="72"/>
      <c r="G703" s="72"/>
      <c r="H703" s="17"/>
      <c r="I703" s="41" t="str" cm="1">
        <f t="array" ref="I703">IFERROR(_xlfn.IFS(H703="Hard (Cash)","N/A",H703="Soft (In-Kind)", "Enter Source"),"Select Type")</f>
        <v>Select Type</v>
      </c>
      <c r="J703" s="124"/>
      <c r="K703" s="41" t="str">
        <f>IFERROR(VLOOKUP($J703,'Project Reference'!$S$2:$T$41,2),"Enter Project Number")</f>
        <v>Enter Project Number</v>
      </c>
      <c r="L703" s="41"/>
      <c r="M703" s="41"/>
      <c r="N703" s="15">
        <f t="shared" si="11"/>
        <v>0</v>
      </c>
      <c r="O703" s="19"/>
      <c r="P703" s="42" t="str">
        <f>IFERROR(VLOOKUP($J703,'Project Reference'!$B$2:$C$41,2)," ")</f>
        <v xml:space="preserve"> </v>
      </c>
      <c r="Q703" s="42" t="str">
        <f>IFERROR(VLOOKUP($J703,'Project Reference'!$B$2:$D$41,3)," ")</f>
        <v xml:space="preserve"> </v>
      </c>
      <c r="R703" s="42" t="str">
        <f>IFERROR(VLOOKUP($J703,'Project Reference'!$B$2:$E$41,4)," ")</f>
        <v xml:space="preserve"> </v>
      </c>
      <c r="S703" s="42" t="str">
        <f>IFERROR(VLOOKUP($J703,'Project Reference'!$B$2:$F$41,5,FALSE)," ")</f>
        <v xml:space="preserve"> </v>
      </c>
      <c r="T703" s="42" t="str">
        <f>IFERROR(VLOOKUP($J703,'Project Reference'!$B$2:$G$41,6,FALSE)," ")</f>
        <v xml:space="preserve"> </v>
      </c>
      <c r="U703" s="42" t="str">
        <f>IFERROR(VLOOKUP($J703,'Project Reference'!$B$2:$H$41,7,FALSE)," ")</f>
        <v xml:space="preserve"> </v>
      </c>
      <c r="V703" s="42" t="str">
        <f>IFERROR(VLOOKUP($J703,'Project Reference'!$B$2:$I$41,8,FALSE)," ")</f>
        <v xml:space="preserve"> </v>
      </c>
      <c r="W703" s="42" t="str">
        <f>IFERROR(VLOOKUP($J703,'Project Reference'!$B$2:$J$41,9,FALSE)," ")</f>
        <v xml:space="preserve"> </v>
      </c>
      <c r="X703" s="42" t="str">
        <f>IFERROR(VLOOKUP($J703,'Project Reference'!$B$2:$K$41,10)," ")</f>
        <v xml:space="preserve"> </v>
      </c>
      <c r="Y703" s="42" t="str">
        <f>IFERROR(VLOOKUP($J703,'Project Reference'!$B$2:$L$41,11)," ")</f>
        <v xml:space="preserve"> </v>
      </c>
      <c r="Z703" s="42" t="str">
        <f>IFERROR(VLOOKUP($J703,'Project Reference'!$B$2:$M$41,12)," ")</f>
        <v xml:space="preserve"> </v>
      </c>
      <c r="AA703" s="42" t="str">
        <f>IFERROR(VLOOKUP($J703,'Project Reference'!$B$2:$N$41,13)," ")</f>
        <v xml:space="preserve"> </v>
      </c>
    </row>
    <row r="704" spans="1:27" x14ac:dyDescent="0.45">
      <c r="A704" s="43"/>
      <c r="B704" s="205"/>
      <c r="C704"/>
      <c r="D704" s="72"/>
      <c r="E704" s="72"/>
      <c r="F704" s="72"/>
      <c r="G704" s="72"/>
      <c r="H704" s="17"/>
      <c r="I704" s="41" t="str" cm="1">
        <f t="array" ref="I704">IFERROR(_xlfn.IFS(H704="Hard (Cash)","N/A",H704="Soft (In-Kind)", "Enter Source"),"Select Type")</f>
        <v>Select Type</v>
      </c>
      <c r="J704" s="124"/>
      <c r="K704" s="41" t="str">
        <f>IFERROR(VLOOKUP($J704,'Project Reference'!$S$2:$T$41,2),"Enter Project Number")</f>
        <v>Enter Project Number</v>
      </c>
      <c r="L704" s="41"/>
      <c r="M704" s="41"/>
      <c r="N704" s="15">
        <f t="shared" si="11"/>
        <v>0</v>
      </c>
      <c r="O704" s="19"/>
      <c r="P704" s="42" t="str">
        <f>IFERROR(VLOOKUP($J704,'Project Reference'!$B$2:$C$41,2)," ")</f>
        <v xml:space="preserve"> </v>
      </c>
      <c r="Q704" s="42" t="str">
        <f>IFERROR(VLOOKUP($J704,'Project Reference'!$B$2:$D$41,3)," ")</f>
        <v xml:space="preserve"> </v>
      </c>
      <c r="R704" s="42" t="str">
        <f>IFERROR(VLOOKUP($J704,'Project Reference'!$B$2:$E$41,4)," ")</f>
        <v xml:space="preserve"> </v>
      </c>
      <c r="S704" s="42" t="str">
        <f>IFERROR(VLOOKUP($J704,'Project Reference'!$B$2:$F$41,5,FALSE)," ")</f>
        <v xml:space="preserve"> </v>
      </c>
      <c r="T704" s="42" t="str">
        <f>IFERROR(VLOOKUP($J704,'Project Reference'!$B$2:$G$41,6,FALSE)," ")</f>
        <v xml:space="preserve"> </v>
      </c>
      <c r="U704" s="42" t="str">
        <f>IFERROR(VLOOKUP($J704,'Project Reference'!$B$2:$H$41,7,FALSE)," ")</f>
        <v xml:space="preserve"> </v>
      </c>
      <c r="V704" s="42" t="str">
        <f>IFERROR(VLOOKUP($J704,'Project Reference'!$B$2:$I$41,8,FALSE)," ")</f>
        <v xml:space="preserve"> </v>
      </c>
      <c r="W704" s="42" t="str">
        <f>IFERROR(VLOOKUP($J704,'Project Reference'!$B$2:$J$41,9,FALSE)," ")</f>
        <v xml:space="preserve"> </v>
      </c>
      <c r="X704" s="42" t="str">
        <f>IFERROR(VLOOKUP($J704,'Project Reference'!$B$2:$K$41,10)," ")</f>
        <v xml:space="preserve"> </v>
      </c>
      <c r="Y704" s="42" t="str">
        <f>IFERROR(VLOOKUP($J704,'Project Reference'!$B$2:$L$41,11)," ")</f>
        <v xml:space="preserve"> </v>
      </c>
      <c r="Z704" s="42" t="str">
        <f>IFERROR(VLOOKUP($J704,'Project Reference'!$B$2:$M$41,12)," ")</f>
        <v xml:space="preserve"> </v>
      </c>
      <c r="AA704" s="42" t="str">
        <f>IFERROR(VLOOKUP($J704,'Project Reference'!$B$2:$N$41,13)," ")</f>
        <v xml:space="preserve"> </v>
      </c>
    </row>
    <row r="705" spans="1:27" x14ac:dyDescent="0.45">
      <c r="A705" s="43"/>
      <c r="B705" s="205"/>
      <c r="C705"/>
      <c r="D705" s="72"/>
      <c r="E705" s="72"/>
      <c r="F705" s="72"/>
      <c r="G705" s="72"/>
      <c r="H705" s="17"/>
      <c r="I705" s="41" t="str" cm="1">
        <f t="array" ref="I705">IFERROR(_xlfn.IFS(H705="Hard (Cash)","N/A",H705="Soft (In-Kind)", "Enter Source"),"Select Type")</f>
        <v>Select Type</v>
      </c>
      <c r="J705" s="124"/>
      <c r="K705" s="41" t="str">
        <f>IFERROR(VLOOKUP($J705,'Project Reference'!$S$2:$T$41,2),"Enter Project Number")</f>
        <v>Enter Project Number</v>
      </c>
      <c r="L705" s="41"/>
      <c r="M705" s="41"/>
      <c r="N705" s="15">
        <f t="shared" si="11"/>
        <v>0</v>
      </c>
      <c r="O705" s="19"/>
      <c r="P705" s="42" t="str">
        <f>IFERROR(VLOOKUP($J705,'Project Reference'!$B$2:$C$41,2)," ")</f>
        <v xml:space="preserve"> </v>
      </c>
      <c r="Q705" s="42" t="str">
        <f>IFERROR(VLOOKUP($J705,'Project Reference'!$B$2:$D$41,3)," ")</f>
        <v xml:space="preserve"> </v>
      </c>
      <c r="R705" s="42" t="str">
        <f>IFERROR(VLOOKUP($J705,'Project Reference'!$B$2:$E$41,4)," ")</f>
        <v xml:space="preserve"> </v>
      </c>
      <c r="S705" s="42" t="str">
        <f>IFERROR(VLOOKUP($J705,'Project Reference'!$B$2:$F$41,5,FALSE)," ")</f>
        <v xml:space="preserve"> </v>
      </c>
      <c r="T705" s="42" t="str">
        <f>IFERROR(VLOOKUP($J705,'Project Reference'!$B$2:$G$41,6,FALSE)," ")</f>
        <v xml:space="preserve"> </v>
      </c>
      <c r="U705" s="42" t="str">
        <f>IFERROR(VLOOKUP($J705,'Project Reference'!$B$2:$H$41,7,FALSE)," ")</f>
        <v xml:space="preserve"> </v>
      </c>
      <c r="V705" s="42" t="str">
        <f>IFERROR(VLOOKUP($J705,'Project Reference'!$B$2:$I$41,8,FALSE)," ")</f>
        <v xml:space="preserve"> </v>
      </c>
      <c r="W705" s="42" t="str">
        <f>IFERROR(VLOOKUP($J705,'Project Reference'!$B$2:$J$41,9,FALSE)," ")</f>
        <v xml:space="preserve"> </v>
      </c>
      <c r="X705" s="42" t="str">
        <f>IFERROR(VLOOKUP($J705,'Project Reference'!$B$2:$K$41,10)," ")</f>
        <v xml:space="preserve"> </v>
      </c>
      <c r="Y705" s="42" t="str">
        <f>IFERROR(VLOOKUP($J705,'Project Reference'!$B$2:$L$41,11)," ")</f>
        <v xml:space="preserve"> </v>
      </c>
      <c r="Z705" s="42" t="str">
        <f>IFERROR(VLOOKUP($J705,'Project Reference'!$B$2:$M$41,12)," ")</f>
        <v xml:space="preserve"> </v>
      </c>
      <c r="AA705" s="42" t="str">
        <f>IFERROR(VLOOKUP($J705,'Project Reference'!$B$2:$N$41,13)," ")</f>
        <v xml:space="preserve"> </v>
      </c>
    </row>
    <row r="706" spans="1:27" x14ac:dyDescent="0.45">
      <c r="A706" s="43"/>
      <c r="B706" s="205"/>
      <c r="C706"/>
      <c r="D706" s="72"/>
      <c r="E706" s="72"/>
      <c r="F706" s="72"/>
      <c r="G706" s="72"/>
      <c r="H706" s="17"/>
      <c r="I706" s="41" t="str" cm="1">
        <f t="array" ref="I706">IFERROR(_xlfn.IFS(H706="Hard (Cash)","N/A",H706="Soft (In-Kind)", "Enter Source"),"Select Type")</f>
        <v>Select Type</v>
      </c>
      <c r="J706" s="124"/>
      <c r="K706" s="41" t="str">
        <f>IFERROR(VLOOKUP($J706,'Project Reference'!$S$2:$T$41,2),"Enter Project Number")</f>
        <v>Enter Project Number</v>
      </c>
      <c r="L706" s="41"/>
      <c r="M706" s="41"/>
      <c r="N706" s="15">
        <f t="shared" si="11"/>
        <v>0</v>
      </c>
      <c r="O706" s="19"/>
      <c r="P706" s="42" t="str">
        <f>IFERROR(VLOOKUP($J706,'Project Reference'!$B$2:$C$41,2)," ")</f>
        <v xml:space="preserve"> </v>
      </c>
      <c r="Q706" s="42" t="str">
        <f>IFERROR(VLOOKUP($J706,'Project Reference'!$B$2:$D$41,3)," ")</f>
        <v xml:space="preserve"> </v>
      </c>
      <c r="R706" s="42" t="str">
        <f>IFERROR(VLOOKUP($J706,'Project Reference'!$B$2:$E$41,4)," ")</f>
        <v xml:space="preserve"> </v>
      </c>
      <c r="S706" s="42" t="str">
        <f>IFERROR(VLOOKUP($J706,'Project Reference'!$B$2:$F$41,5,FALSE)," ")</f>
        <v xml:space="preserve"> </v>
      </c>
      <c r="T706" s="42" t="str">
        <f>IFERROR(VLOOKUP($J706,'Project Reference'!$B$2:$G$41,6,FALSE)," ")</f>
        <v xml:space="preserve"> </v>
      </c>
      <c r="U706" s="42" t="str">
        <f>IFERROR(VLOOKUP($J706,'Project Reference'!$B$2:$H$41,7,FALSE)," ")</f>
        <v xml:space="preserve"> </v>
      </c>
      <c r="V706" s="42" t="str">
        <f>IFERROR(VLOOKUP($J706,'Project Reference'!$B$2:$I$41,8,FALSE)," ")</f>
        <v xml:space="preserve"> </v>
      </c>
      <c r="W706" s="42" t="str">
        <f>IFERROR(VLOOKUP($J706,'Project Reference'!$B$2:$J$41,9,FALSE)," ")</f>
        <v xml:space="preserve"> </v>
      </c>
      <c r="X706" s="42" t="str">
        <f>IFERROR(VLOOKUP($J706,'Project Reference'!$B$2:$K$41,10)," ")</f>
        <v xml:space="preserve"> </v>
      </c>
      <c r="Y706" s="42" t="str">
        <f>IFERROR(VLOOKUP($J706,'Project Reference'!$B$2:$L$41,11)," ")</f>
        <v xml:space="preserve"> </v>
      </c>
      <c r="Z706" s="42" t="str">
        <f>IFERROR(VLOOKUP($J706,'Project Reference'!$B$2:$M$41,12)," ")</f>
        <v xml:space="preserve"> </v>
      </c>
      <c r="AA706" s="42" t="str">
        <f>IFERROR(VLOOKUP($J706,'Project Reference'!$B$2:$N$41,13)," ")</f>
        <v xml:space="preserve"> </v>
      </c>
    </row>
    <row r="707" spans="1:27" x14ac:dyDescent="0.45">
      <c r="A707" s="43"/>
      <c r="B707" s="205"/>
      <c r="C707"/>
      <c r="D707" s="72"/>
      <c r="E707" s="72"/>
      <c r="F707" s="72"/>
      <c r="G707" s="72"/>
      <c r="H707" s="17"/>
      <c r="I707" s="41" t="str" cm="1">
        <f t="array" ref="I707">IFERROR(_xlfn.IFS(H707="Hard (Cash)","N/A",H707="Soft (In-Kind)", "Enter Source"),"Select Type")</f>
        <v>Select Type</v>
      </c>
      <c r="J707" s="124"/>
      <c r="K707" s="41" t="str">
        <f>IFERROR(VLOOKUP($J707,'Project Reference'!$S$2:$T$41,2),"Enter Project Number")</f>
        <v>Enter Project Number</v>
      </c>
      <c r="L707" s="41"/>
      <c r="M707" s="41"/>
      <c r="N707" s="15">
        <f t="shared" si="11"/>
        <v>0</v>
      </c>
      <c r="O707" s="19"/>
      <c r="P707" s="42" t="str">
        <f>IFERROR(VLOOKUP($J707,'Project Reference'!$B$2:$C$41,2)," ")</f>
        <v xml:space="preserve"> </v>
      </c>
      <c r="Q707" s="42" t="str">
        <f>IFERROR(VLOOKUP($J707,'Project Reference'!$B$2:$D$41,3)," ")</f>
        <v xml:space="preserve"> </v>
      </c>
      <c r="R707" s="42" t="str">
        <f>IFERROR(VLOOKUP($J707,'Project Reference'!$B$2:$E$41,4)," ")</f>
        <v xml:space="preserve"> </v>
      </c>
      <c r="S707" s="42" t="str">
        <f>IFERROR(VLOOKUP($J707,'Project Reference'!$B$2:$F$41,5,FALSE)," ")</f>
        <v xml:space="preserve"> </v>
      </c>
      <c r="T707" s="42" t="str">
        <f>IFERROR(VLOOKUP($J707,'Project Reference'!$B$2:$G$41,6,FALSE)," ")</f>
        <v xml:space="preserve"> </v>
      </c>
      <c r="U707" s="42" t="str">
        <f>IFERROR(VLOOKUP($J707,'Project Reference'!$B$2:$H$41,7,FALSE)," ")</f>
        <v xml:space="preserve"> </v>
      </c>
      <c r="V707" s="42" t="str">
        <f>IFERROR(VLOOKUP($J707,'Project Reference'!$B$2:$I$41,8,FALSE)," ")</f>
        <v xml:space="preserve"> </v>
      </c>
      <c r="W707" s="42" t="str">
        <f>IFERROR(VLOOKUP($J707,'Project Reference'!$B$2:$J$41,9,FALSE)," ")</f>
        <v xml:space="preserve"> </v>
      </c>
      <c r="X707" s="42" t="str">
        <f>IFERROR(VLOOKUP($J707,'Project Reference'!$B$2:$K$41,10)," ")</f>
        <v xml:space="preserve"> </v>
      </c>
      <c r="Y707" s="42" t="str">
        <f>IFERROR(VLOOKUP($J707,'Project Reference'!$B$2:$L$41,11)," ")</f>
        <v xml:space="preserve"> </v>
      </c>
      <c r="Z707" s="42" t="str">
        <f>IFERROR(VLOOKUP($J707,'Project Reference'!$B$2:$M$41,12)," ")</f>
        <v xml:space="preserve"> </v>
      </c>
      <c r="AA707" s="42" t="str">
        <f>IFERROR(VLOOKUP($J707,'Project Reference'!$B$2:$N$41,13)," ")</f>
        <v xml:space="preserve"> </v>
      </c>
    </row>
    <row r="708" spans="1:27" x14ac:dyDescent="0.45">
      <c r="A708" s="43"/>
      <c r="B708" s="205"/>
      <c r="C708"/>
      <c r="D708" s="72"/>
      <c r="E708" s="72"/>
      <c r="F708" s="72"/>
      <c r="G708" s="72"/>
      <c r="H708" s="17"/>
      <c r="I708" s="41" t="str" cm="1">
        <f t="array" ref="I708">IFERROR(_xlfn.IFS(H708="Hard (Cash)","N/A",H708="Soft (In-Kind)", "Enter Source"),"Select Type")</f>
        <v>Select Type</v>
      </c>
      <c r="J708" s="124"/>
      <c r="K708" s="41" t="str">
        <f>IFERROR(VLOOKUP($J708,'Project Reference'!$S$2:$T$41,2),"Enter Project Number")</f>
        <v>Enter Project Number</v>
      </c>
      <c r="L708" s="41"/>
      <c r="M708" s="41"/>
      <c r="N708" s="15">
        <f t="shared" si="11"/>
        <v>0</v>
      </c>
      <c r="O708" s="19"/>
      <c r="P708" s="42" t="str">
        <f>IFERROR(VLOOKUP($J708,'Project Reference'!$B$2:$C$41,2)," ")</f>
        <v xml:space="preserve"> </v>
      </c>
      <c r="Q708" s="42" t="str">
        <f>IFERROR(VLOOKUP($J708,'Project Reference'!$B$2:$D$41,3)," ")</f>
        <v xml:space="preserve"> </v>
      </c>
      <c r="R708" s="42" t="str">
        <f>IFERROR(VLOOKUP($J708,'Project Reference'!$B$2:$E$41,4)," ")</f>
        <v xml:space="preserve"> </v>
      </c>
      <c r="S708" s="42" t="str">
        <f>IFERROR(VLOOKUP($J708,'Project Reference'!$B$2:$F$41,5,FALSE)," ")</f>
        <v xml:space="preserve"> </v>
      </c>
      <c r="T708" s="42" t="str">
        <f>IFERROR(VLOOKUP($J708,'Project Reference'!$B$2:$G$41,6,FALSE)," ")</f>
        <v xml:space="preserve"> </v>
      </c>
      <c r="U708" s="42" t="str">
        <f>IFERROR(VLOOKUP($J708,'Project Reference'!$B$2:$H$41,7,FALSE)," ")</f>
        <v xml:space="preserve"> </v>
      </c>
      <c r="V708" s="42" t="str">
        <f>IFERROR(VLOOKUP($J708,'Project Reference'!$B$2:$I$41,8,FALSE)," ")</f>
        <v xml:space="preserve"> </v>
      </c>
      <c r="W708" s="42" t="str">
        <f>IFERROR(VLOOKUP($J708,'Project Reference'!$B$2:$J$41,9,FALSE)," ")</f>
        <v xml:space="preserve"> </v>
      </c>
      <c r="X708" s="42" t="str">
        <f>IFERROR(VLOOKUP($J708,'Project Reference'!$B$2:$K$41,10)," ")</f>
        <v xml:space="preserve"> </v>
      </c>
      <c r="Y708" s="42" t="str">
        <f>IFERROR(VLOOKUP($J708,'Project Reference'!$B$2:$L$41,11)," ")</f>
        <v xml:space="preserve"> </v>
      </c>
      <c r="Z708" s="42" t="str">
        <f>IFERROR(VLOOKUP($J708,'Project Reference'!$B$2:$M$41,12)," ")</f>
        <v xml:space="preserve"> </v>
      </c>
      <c r="AA708" s="42" t="str">
        <f>IFERROR(VLOOKUP($J708,'Project Reference'!$B$2:$N$41,13)," ")</f>
        <v xml:space="preserve"> </v>
      </c>
    </row>
    <row r="709" spans="1:27" x14ac:dyDescent="0.45">
      <c r="A709" s="43"/>
      <c r="B709" s="205"/>
      <c r="C709"/>
      <c r="D709" s="72"/>
      <c r="E709" s="72"/>
      <c r="F709" s="72"/>
      <c r="G709" s="72"/>
      <c r="H709" s="17"/>
      <c r="I709" s="41" t="str" cm="1">
        <f t="array" ref="I709">IFERROR(_xlfn.IFS(H709="Hard (Cash)","N/A",H709="Soft (In-Kind)", "Enter Source"),"Select Type")</f>
        <v>Select Type</v>
      </c>
      <c r="J709" s="124"/>
      <c r="K709" s="41" t="str">
        <f>IFERROR(VLOOKUP($J709,'Project Reference'!$S$2:$T$41,2),"Enter Project Number")</f>
        <v>Enter Project Number</v>
      </c>
      <c r="L709" s="41"/>
      <c r="M709" s="41"/>
      <c r="N709" s="15">
        <f t="shared" si="11"/>
        <v>0</v>
      </c>
      <c r="O709" s="19"/>
      <c r="P709" s="42" t="str">
        <f>IFERROR(VLOOKUP($J709,'Project Reference'!$B$2:$C$41,2)," ")</f>
        <v xml:space="preserve"> </v>
      </c>
      <c r="Q709" s="42" t="str">
        <f>IFERROR(VLOOKUP($J709,'Project Reference'!$B$2:$D$41,3)," ")</f>
        <v xml:space="preserve"> </v>
      </c>
      <c r="R709" s="42" t="str">
        <f>IFERROR(VLOOKUP($J709,'Project Reference'!$B$2:$E$41,4)," ")</f>
        <v xml:space="preserve"> </v>
      </c>
      <c r="S709" s="42" t="str">
        <f>IFERROR(VLOOKUP($J709,'Project Reference'!$B$2:$F$41,5,FALSE)," ")</f>
        <v xml:space="preserve"> </v>
      </c>
      <c r="T709" s="42" t="str">
        <f>IFERROR(VLOOKUP($J709,'Project Reference'!$B$2:$G$41,6,FALSE)," ")</f>
        <v xml:space="preserve"> </v>
      </c>
      <c r="U709" s="42" t="str">
        <f>IFERROR(VLOOKUP($J709,'Project Reference'!$B$2:$H$41,7,FALSE)," ")</f>
        <v xml:space="preserve"> </v>
      </c>
      <c r="V709" s="42" t="str">
        <f>IFERROR(VLOOKUP($J709,'Project Reference'!$B$2:$I$41,8,FALSE)," ")</f>
        <v xml:space="preserve"> </v>
      </c>
      <c r="W709" s="42" t="str">
        <f>IFERROR(VLOOKUP($J709,'Project Reference'!$B$2:$J$41,9,FALSE)," ")</f>
        <v xml:space="preserve"> </v>
      </c>
      <c r="X709" s="42" t="str">
        <f>IFERROR(VLOOKUP($J709,'Project Reference'!$B$2:$K$41,10)," ")</f>
        <v xml:space="preserve"> </v>
      </c>
      <c r="Y709" s="42" t="str">
        <f>IFERROR(VLOOKUP($J709,'Project Reference'!$B$2:$L$41,11)," ")</f>
        <v xml:space="preserve"> </v>
      </c>
      <c r="Z709" s="42" t="str">
        <f>IFERROR(VLOOKUP($J709,'Project Reference'!$B$2:$M$41,12)," ")</f>
        <v xml:space="preserve"> </v>
      </c>
      <c r="AA709" s="42" t="str">
        <f>IFERROR(VLOOKUP($J709,'Project Reference'!$B$2:$N$41,13)," ")</f>
        <v xml:space="preserve"> </v>
      </c>
    </row>
    <row r="710" spans="1:27" x14ac:dyDescent="0.45">
      <c r="A710" s="43"/>
      <c r="B710" s="205"/>
      <c r="C710"/>
      <c r="D710" s="72"/>
      <c r="E710" s="72"/>
      <c r="F710" s="72"/>
      <c r="G710" s="72"/>
      <c r="H710" s="17"/>
      <c r="I710" s="41" t="str" cm="1">
        <f t="array" ref="I710">IFERROR(_xlfn.IFS(H710="Hard (Cash)","N/A",H710="Soft (In-Kind)", "Enter Source"),"Select Type")</f>
        <v>Select Type</v>
      </c>
      <c r="J710" s="124"/>
      <c r="K710" s="41" t="str">
        <f>IFERROR(VLOOKUP($J710,'Project Reference'!$S$2:$T$41,2),"Enter Project Number")</f>
        <v>Enter Project Number</v>
      </c>
      <c r="L710" s="41"/>
      <c r="M710" s="41"/>
      <c r="N710" s="15">
        <f t="shared" si="11"/>
        <v>0</v>
      </c>
      <c r="O710" s="19"/>
      <c r="P710" s="42" t="str">
        <f>IFERROR(VLOOKUP($J710,'Project Reference'!$B$2:$C$41,2)," ")</f>
        <v xml:space="preserve"> </v>
      </c>
      <c r="Q710" s="42" t="str">
        <f>IFERROR(VLOOKUP($J710,'Project Reference'!$B$2:$D$41,3)," ")</f>
        <v xml:space="preserve"> </v>
      </c>
      <c r="R710" s="42" t="str">
        <f>IFERROR(VLOOKUP($J710,'Project Reference'!$B$2:$E$41,4)," ")</f>
        <v xml:space="preserve"> </v>
      </c>
      <c r="S710" s="42" t="str">
        <f>IFERROR(VLOOKUP($J710,'Project Reference'!$B$2:$F$41,5,FALSE)," ")</f>
        <v xml:space="preserve"> </v>
      </c>
      <c r="T710" s="42" t="str">
        <f>IFERROR(VLOOKUP($J710,'Project Reference'!$B$2:$G$41,6,FALSE)," ")</f>
        <v xml:space="preserve"> </v>
      </c>
      <c r="U710" s="42" t="str">
        <f>IFERROR(VLOOKUP($J710,'Project Reference'!$B$2:$H$41,7,FALSE)," ")</f>
        <v xml:space="preserve"> </v>
      </c>
      <c r="V710" s="42" t="str">
        <f>IFERROR(VLOOKUP($J710,'Project Reference'!$B$2:$I$41,8,FALSE)," ")</f>
        <v xml:space="preserve"> </v>
      </c>
      <c r="W710" s="42" t="str">
        <f>IFERROR(VLOOKUP($J710,'Project Reference'!$B$2:$J$41,9,FALSE)," ")</f>
        <v xml:space="preserve"> </v>
      </c>
      <c r="X710" s="42" t="str">
        <f>IFERROR(VLOOKUP($J710,'Project Reference'!$B$2:$K$41,10)," ")</f>
        <v xml:space="preserve"> </v>
      </c>
      <c r="Y710" s="42" t="str">
        <f>IFERROR(VLOOKUP($J710,'Project Reference'!$B$2:$L$41,11)," ")</f>
        <v xml:space="preserve"> </v>
      </c>
      <c r="Z710" s="42" t="str">
        <f>IFERROR(VLOOKUP($J710,'Project Reference'!$B$2:$M$41,12)," ")</f>
        <v xml:space="preserve"> </v>
      </c>
      <c r="AA710" s="42" t="str">
        <f>IFERROR(VLOOKUP($J710,'Project Reference'!$B$2:$N$41,13)," ")</f>
        <v xml:space="preserve"> </v>
      </c>
    </row>
    <row r="711" spans="1:27" x14ac:dyDescent="0.45">
      <c r="A711" s="43"/>
      <c r="B711" s="205"/>
      <c r="C711"/>
      <c r="D711" s="72"/>
      <c r="E711" s="72"/>
      <c r="F711" s="72"/>
      <c r="G711" s="72"/>
      <c r="H711" s="17"/>
      <c r="I711" s="41" t="str" cm="1">
        <f t="array" ref="I711">IFERROR(_xlfn.IFS(H711="Hard (Cash)","N/A",H711="Soft (In-Kind)", "Enter Source"),"Select Type")</f>
        <v>Select Type</v>
      </c>
      <c r="J711" s="124"/>
      <c r="K711" s="41" t="str">
        <f>IFERROR(VLOOKUP($J711,'Project Reference'!$S$2:$T$41,2),"Enter Project Number")</f>
        <v>Enter Project Number</v>
      </c>
      <c r="L711" s="41"/>
      <c r="M711" s="41"/>
      <c r="N711" s="15">
        <f t="shared" si="11"/>
        <v>0</v>
      </c>
      <c r="O711" s="19"/>
      <c r="P711" s="42" t="str">
        <f>IFERROR(VLOOKUP($J711,'Project Reference'!$B$2:$C$41,2)," ")</f>
        <v xml:space="preserve"> </v>
      </c>
      <c r="Q711" s="42" t="str">
        <f>IFERROR(VLOOKUP($J711,'Project Reference'!$B$2:$D$41,3)," ")</f>
        <v xml:space="preserve"> </v>
      </c>
      <c r="R711" s="42" t="str">
        <f>IFERROR(VLOOKUP($J711,'Project Reference'!$B$2:$E$41,4)," ")</f>
        <v xml:space="preserve"> </v>
      </c>
      <c r="S711" s="42" t="str">
        <f>IFERROR(VLOOKUP($J711,'Project Reference'!$B$2:$F$41,5,FALSE)," ")</f>
        <v xml:space="preserve"> </v>
      </c>
      <c r="T711" s="42" t="str">
        <f>IFERROR(VLOOKUP($J711,'Project Reference'!$B$2:$G$41,6,FALSE)," ")</f>
        <v xml:space="preserve"> </v>
      </c>
      <c r="U711" s="42" t="str">
        <f>IFERROR(VLOOKUP($J711,'Project Reference'!$B$2:$H$41,7,FALSE)," ")</f>
        <v xml:space="preserve"> </v>
      </c>
      <c r="V711" s="42" t="str">
        <f>IFERROR(VLOOKUP($J711,'Project Reference'!$B$2:$I$41,8,FALSE)," ")</f>
        <v xml:space="preserve"> </v>
      </c>
      <c r="W711" s="42" t="str">
        <f>IFERROR(VLOOKUP($J711,'Project Reference'!$B$2:$J$41,9,FALSE)," ")</f>
        <v xml:space="preserve"> </v>
      </c>
      <c r="X711" s="42" t="str">
        <f>IFERROR(VLOOKUP($J711,'Project Reference'!$B$2:$K$41,10)," ")</f>
        <v xml:space="preserve"> </v>
      </c>
      <c r="Y711" s="42" t="str">
        <f>IFERROR(VLOOKUP($J711,'Project Reference'!$B$2:$L$41,11)," ")</f>
        <v xml:space="preserve"> </v>
      </c>
      <c r="Z711" s="42" t="str">
        <f>IFERROR(VLOOKUP($J711,'Project Reference'!$B$2:$M$41,12)," ")</f>
        <v xml:space="preserve"> </v>
      </c>
      <c r="AA711" s="42" t="str">
        <f>IFERROR(VLOOKUP($J711,'Project Reference'!$B$2:$N$41,13)," ")</f>
        <v xml:space="preserve"> </v>
      </c>
    </row>
    <row r="712" spans="1:27" x14ac:dyDescent="0.45">
      <c r="A712" s="43"/>
      <c r="B712" s="205"/>
      <c r="C712"/>
      <c r="D712" s="72"/>
      <c r="E712" s="72"/>
      <c r="F712" s="72"/>
      <c r="G712" s="72"/>
      <c r="H712" s="17"/>
      <c r="I712" s="41" t="str" cm="1">
        <f t="array" ref="I712">IFERROR(_xlfn.IFS(H712="Hard (Cash)","N/A",H712="Soft (In-Kind)", "Enter Source"),"Select Type")</f>
        <v>Select Type</v>
      </c>
      <c r="J712" s="124"/>
      <c r="K712" s="41" t="str">
        <f>IFERROR(VLOOKUP($J712,'Project Reference'!$S$2:$T$41,2),"Enter Project Number")</f>
        <v>Enter Project Number</v>
      </c>
      <c r="L712" s="41"/>
      <c r="M712" s="41"/>
      <c r="N712" s="15">
        <f t="shared" si="11"/>
        <v>0</v>
      </c>
      <c r="O712" s="19"/>
      <c r="P712" s="42" t="str">
        <f>IFERROR(VLOOKUP($J712,'Project Reference'!$B$2:$C$41,2)," ")</f>
        <v xml:space="preserve"> </v>
      </c>
      <c r="Q712" s="42" t="str">
        <f>IFERROR(VLOOKUP($J712,'Project Reference'!$B$2:$D$41,3)," ")</f>
        <v xml:space="preserve"> </v>
      </c>
      <c r="R712" s="42" t="str">
        <f>IFERROR(VLOOKUP($J712,'Project Reference'!$B$2:$E$41,4)," ")</f>
        <v xml:space="preserve"> </v>
      </c>
      <c r="S712" s="42" t="str">
        <f>IFERROR(VLOOKUP($J712,'Project Reference'!$B$2:$F$41,5,FALSE)," ")</f>
        <v xml:space="preserve"> </v>
      </c>
      <c r="T712" s="42" t="str">
        <f>IFERROR(VLOOKUP($J712,'Project Reference'!$B$2:$G$41,6,FALSE)," ")</f>
        <v xml:space="preserve"> </v>
      </c>
      <c r="U712" s="42" t="str">
        <f>IFERROR(VLOOKUP($J712,'Project Reference'!$B$2:$H$41,7,FALSE)," ")</f>
        <v xml:space="preserve"> </v>
      </c>
      <c r="V712" s="42" t="str">
        <f>IFERROR(VLOOKUP($J712,'Project Reference'!$B$2:$I$41,8,FALSE)," ")</f>
        <v xml:space="preserve"> </v>
      </c>
      <c r="W712" s="42" t="str">
        <f>IFERROR(VLOOKUP($J712,'Project Reference'!$B$2:$J$41,9,FALSE)," ")</f>
        <v xml:space="preserve"> </v>
      </c>
      <c r="X712" s="42" t="str">
        <f>IFERROR(VLOOKUP($J712,'Project Reference'!$B$2:$K$41,10)," ")</f>
        <v xml:space="preserve"> </v>
      </c>
      <c r="Y712" s="42" t="str">
        <f>IFERROR(VLOOKUP($J712,'Project Reference'!$B$2:$L$41,11)," ")</f>
        <v xml:space="preserve"> </v>
      </c>
      <c r="Z712" s="42" t="str">
        <f>IFERROR(VLOOKUP($J712,'Project Reference'!$B$2:$M$41,12)," ")</f>
        <v xml:space="preserve"> </v>
      </c>
      <c r="AA712" s="42" t="str">
        <f>IFERROR(VLOOKUP($J712,'Project Reference'!$B$2:$N$41,13)," ")</f>
        <v xml:space="preserve"> </v>
      </c>
    </row>
    <row r="713" spans="1:27" x14ac:dyDescent="0.45">
      <c r="A713" s="43"/>
      <c r="B713" s="205"/>
      <c r="C713"/>
      <c r="D713" s="72"/>
      <c r="E713" s="72"/>
      <c r="F713" s="72"/>
      <c r="G713" s="72"/>
      <c r="H713" s="17"/>
      <c r="I713" s="41" t="str" cm="1">
        <f t="array" ref="I713">IFERROR(_xlfn.IFS(H713="Hard (Cash)","N/A",H713="Soft (In-Kind)", "Enter Source"),"Select Type")</f>
        <v>Select Type</v>
      </c>
      <c r="J713" s="124"/>
      <c r="K713" s="41" t="str">
        <f>IFERROR(VLOOKUP($J713,'Project Reference'!$S$2:$T$41,2),"Enter Project Number")</f>
        <v>Enter Project Number</v>
      </c>
      <c r="L713" s="41"/>
      <c r="M713" s="41"/>
      <c r="N713" s="15">
        <f t="shared" si="11"/>
        <v>0</v>
      </c>
      <c r="O713" s="19"/>
      <c r="P713" s="42" t="str">
        <f>IFERROR(VLOOKUP($J713,'Project Reference'!$B$2:$C$41,2)," ")</f>
        <v xml:space="preserve"> </v>
      </c>
      <c r="Q713" s="42" t="str">
        <f>IFERROR(VLOOKUP($J713,'Project Reference'!$B$2:$D$41,3)," ")</f>
        <v xml:space="preserve"> </v>
      </c>
      <c r="R713" s="42" t="str">
        <f>IFERROR(VLOOKUP($J713,'Project Reference'!$B$2:$E$41,4)," ")</f>
        <v xml:space="preserve"> </v>
      </c>
      <c r="S713" s="42" t="str">
        <f>IFERROR(VLOOKUP($J713,'Project Reference'!$B$2:$F$41,5,FALSE)," ")</f>
        <v xml:space="preserve"> </v>
      </c>
      <c r="T713" s="42" t="str">
        <f>IFERROR(VLOOKUP($J713,'Project Reference'!$B$2:$G$41,6,FALSE)," ")</f>
        <v xml:space="preserve"> </v>
      </c>
      <c r="U713" s="42" t="str">
        <f>IFERROR(VLOOKUP($J713,'Project Reference'!$B$2:$H$41,7,FALSE)," ")</f>
        <v xml:space="preserve"> </v>
      </c>
      <c r="V713" s="42" t="str">
        <f>IFERROR(VLOOKUP($J713,'Project Reference'!$B$2:$I$41,8,FALSE)," ")</f>
        <v xml:space="preserve"> </v>
      </c>
      <c r="W713" s="42" t="str">
        <f>IFERROR(VLOOKUP($J713,'Project Reference'!$B$2:$J$41,9,FALSE)," ")</f>
        <v xml:space="preserve"> </v>
      </c>
      <c r="X713" s="42" t="str">
        <f>IFERROR(VLOOKUP($J713,'Project Reference'!$B$2:$K$41,10)," ")</f>
        <v xml:space="preserve"> </v>
      </c>
      <c r="Y713" s="42" t="str">
        <f>IFERROR(VLOOKUP($J713,'Project Reference'!$B$2:$L$41,11)," ")</f>
        <v xml:space="preserve"> </v>
      </c>
      <c r="Z713" s="42" t="str">
        <f>IFERROR(VLOOKUP($J713,'Project Reference'!$B$2:$M$41,12)," ")</f>
        <v xml:space="preserve"> </v>
      </c>
      <c r="AA713" s="42" t="str">
        <f>IFERROR(VLOOKUP($J713,'Project Reference'!$B$2:$N$41,13)," ")</f>
        <v xml:space="preserve"> </v>
      </c>
    </row>
    <row r="714" spans="1:27" x14ac:dyDescent="0.45">
      <c r="A714" s="43"/>
      <c r="B714" s="205"/>
      <c r="C714"/>
      <c r="D714" s="72"/>
      <c r="E714" s="72"/>
      <c r="F714" s="72"/>
      <c r="G714" s="72"/>
      <c r="H714" s="17"/>
      <c r="I714" s="41" t="str" cm="1">
        <f t="array" ref="I714">IFERROR(_xlfn.IFS(H714="Hard (Cash)","N/A",H714="Soft (In-Kind)", "Enter Source"),"Select Type")</f>
        <v>Select Type</v>
      </c>
      <c r="J714" s="124"/>
      <c r="K714" s="41" t="str">
        <f>IFERROR(VLOOKUP($J714,'Project Reference'!$S$2:$T$41,2),"Enter Project Number")</f>
        <v>Enter Project Number</v>
      </c>
      <c r="L714" s="41"/>
      <c r="M714" s="41"/>
      <c r="N714" s="15">
        <f t="shared" si="11"/>
        <v>0</v>
      </c>
      <c r="O714" s="19"/>
      <c r="P714" s="42" t="str">
        <f>IFERROR(VLOOKUP($J714,'Project Reference'!$B$2:$C$41,2)," ")</f>
        <v xml:space="preserve"> </v>
      </c>
      <c r="Q714" s="42" t="str">
        <f>IFERROR(VLOOKUP($J714,'Project Reference'!$B$2:$D$41,3)," ")</f>
        <v xml:space="preserve"> </v>
      </c>
      <c r="R714" s="42" t="str">
        <f>IFERROR(VLOOKUP($J714,'Project Reference'!$B$2:$E$41,4)," ")</f>
        <v xml:space="preserve"> </v>
      </c>
      <c r="S714" s="42" t="str">
        <f>IFERROR(VLOOKUP($J714,'Project Reference'!$B$2:$F$41,5,FALSE)," ")</f>
        <v xml:space="preserve"> </v>
      </c>
      <c r="T714" s="42" t="str">
        <f>IFERROR(VLOOKUP($J714,'Project Reference'!$B$2:$G$41,6,FALSE)," ")</f>
        <v xml:space="preserve"> </v>
      </c>
      <c r="U714" s="42" t="str">
        <f>IFERROR(VLOOKUP($J714,'Project Reference'!$B$2:$H$41,7,FALSE)," ")</f>
        <v xml:space="preserve"> </v>
      </c>
      <c r="V714" s="42" t="str">
        <f>IFERROR(VLOOKUP($J714,'Project Reference'!$B$2:$I$41,8,FALSE)," ")</f>
        <v xml:space="preserve"> </v>
      </c>
      <c r="W714" s="42" t="str">
        <f>IFERROR(VLOOKUP($J714,'Project Reference'!$B$2:$J$41,9,FALSE)," ")</f>
        <v xml:space="preserve"> </v>
      </c>
      <c r="X714" s="42" t="str">
        <f>IFERROR(VLOOKUP($J714,'Project Reference'!$B$2:$K$41,10)," ")</f>
        <v xml:space="preserve"> </v>
      </c>
      <c r="Y714" s="42" t="str">
        <f>IFERROR(VLOOKUP($J714,'Project Reference'!$B$2:$L$41,11)," ")</f>
        <v xml:space="preserve"> </v>
      </c>
      <c r="Z714" s="42" t="str">
        <f>IFERROR(VLOOKUP($J714,'Project Reference'!$B$2:$M$41,12)," ")</f>
        <v xml:space="preserve"> </v>
      </c>
      <c r="AA714" s="42" t="str">
        <f>IFERROR(VLOOKUP($J714,'Project Reference'!$B$2:$N$41,13)," ")</f>
        <v xml:space="preserve"> </v>
      </c>
    </row>
    <row r="715" spans="1:27" x14ac:dyDescent="0.45">
      <c r="A715" s="43"/>
      <c r="B715" s="205"/>
      <c r="C715"/>
      <c r="D715" s="72"/>
      <c r="E715" s="72"/>
      <c r="F715" s="72"/>
      <c r="G715" s="72"/>
      <c r="H715" s="17"/>
      <c r="I715" s="41" t="str" cm="1">
        <f t="array" ref="I715">IFERROR(_xlfn.IFS(H715="Hard (Cash)","N/A",H715="Soft (In-Kind)", "Enter Source"),"Select Type")</f>
        <v>Select Type</v>
      </c>
      <c r="J715" s="124"/>
      <c r="K715" s="41" t="str">
        <f>IFERROR(VLOOKUP($J715,'Project Reference'!$S$2:$T$41,2),"Enter Project Number")</f>
        <v>Enter Project Number</v>
      </c>
      <c r="L715" s="41"/>
      <c r="M715" s="41"/>
      <c r="N715" s="15">
        <f t="shared" si="11"/>
        <v>0</v>
      </c>
      <c r="O715" s="19"/>
      <c r="P715" s="42" t="str">
        <f>IFERROR(VLOOKUP($J715,'Project Reference'!$B$2:$C$41,2)," ")</f>
        <v xml:space="preserve"> </v>
      </c>
      <c r="Q715" s="42" t="str">
        <f>IFERROR(VLOOKUP($J715,'Project Reference'!$B$2:$D$41,3)," ")</f>
        <v xml:space="preserve"> </v>
      </c>
      <c r="R715" s="42" t="str">
        <f>IFERROR(VLOOKUP($J715,'Project Reference'!$B$2:$E$41,4)," ")</f>
        <v xml:space="preserve"> </v>
      </c>
      <c r="S715" s="42" t="str">
        <f>IFERROR(VLOOKUP($J715,'Project Reference'!$B$2:$F$41,5,FALSE)," ")</f>
        <v xml:space="preserve"> </v>
      </c>
      <c r="T715" s="42" t="str">
        <f>IFERROR(VLOOKUP($J715,'Project Reference'!$B$2:$G$41,6,FALSE)," ")</f>
        <v xml:space="preserve"> </v>
      </c>
      <c r="U715" s="42" t="str">
        <f>IFERROR(VLOOKUP($J715,'Project Reference'!$B$2:$H$41,7,FALSE)," ")</f>
        <v xml:space="preserve"> </v>
      </c>
      <c r="V715" s="42" t="str">
        <f>IFERROR(VLOOKUP($J715,'Project Reference'!$B$2:$I$41,8,FALSE)," ")</f>
        <v xml:space="preserve"> </v>
      </c>
      <c r="W715" s="42" t="str">
        <f>IFERROR(VLOOKUP($J715,'Project Reference'!$B$2:$J$41,9,FALSE)," ")</f>
        <v xml:space="preserve"> </v>
      </c>
      <c r="X715" s="42" t="str">
        <f>IFERROR(VLOOKUP($J715,'Project Reference'!$B$2:$K$41,10)," ")</f>
        <v xml:space="preserve"> </v>
      </c>
      <c r="Y715" s="42" t="str">
        <f>IFERROR(VLOOKUP($J715,'Project Reference'!$B$2:$L$41,11)," ")</f>
        <v xml:space="preserve"> </v>
      </c>
      <c r="Z715" s="42" t="str">
        <f>IFERROR(VLOOKUP($J715,'Project Reference'!$B$2:$M$41,12)," ")</f>
        <v xml:space="preserve"> </v>
      </c>
      <c r="AA715" s="42" t="str">
        <f>IFERROR(VLOOKUP($J715,'Project Reference'!$B$2:$N$41,13)," ")</f>
        <v xml:space="preserve"> </v>
      </c>
    </row>
    <row r="716" spans="1:27" x14ac:dyDescent="0.45">
      <c r="A716" s="43"/>
      <c r="B716" s="205"/>
      <c r="C716"/>
      <c r="D716" s="72"/>
      <c r="E716" s="72"/>
      <c r="F716" s="72"/>
      <c r="G716" s="72"/>
      <c r="H716" s="17"/>
      <c r="I716" s="41" t="str" cm="1">
        <f t="array" ref="I716">IFERROR(_xlfn.IFS(H716="Hard (Cash)","N/A",H716="Soft (In-Kind)", "Enter Source"),"Select Type")</f>
        <v>Select Type</v>
      </c>
      <c r="J716" s="124"/>
      <c r="K716" s="41" t="str">
        <f>IFERROR(VLOOKUP($J716,'Project Reference'!$S$2:$T$41,2),"Enter Project Number")</f>
        <v>Enter Project Number</v>
      </c>
      <c r="L716" s="41"/>
      <c r="M716" s="41"/>
      <c r="N716" s="15">
        <f t="shared" si="11"/>
        <v>0</v>
      </c>
      <c r="O716" s="19"/>
      <c r="P716" s="42" t="str">
        <f>IFERROR(VLOOKUP($J716,'Project Reference'!$B$2:$C$41,2)," ")</f>
        <v xml:space="preserve"> </v>
      </c>
      <c r="Q716" s="42" t="str">
        <f>IFERROR(VLOOKUP($J716,'Project Reference'!$B$2:$D$41,3)," ")</f>
        <v xml:space="preserve"> </v>
      </c>
      <c r="R716" s="42" t="str">
        <f>IFERROR(VLOOKUP($J716,'Project Reference'!$B$2:$E$41,4)," ")</f>
        <v xml:space="preserve"> </v>
      </c>
      <c r="S716" s="42" t="str">
        <f>IFERROR(VLOOKUP($J716,'Project Reference'!$B$2:$F$41,5,FALSE)," ")</f>
        <v xml:space="preserve"> </v>
      </c>
      <c r="T716" s="42" t="str">
        <f>IFERROR(VLOOKUP($J716,'Project Reference'!$B$2:$G$41,6,FALSE)," ")</f>
        <v xml:space="preserve"> </v>
      </c>
      <c r="U716" s="42" t="str">
        <f>IFERROR(VLOOKUP($J716,'Project Reference'!$B$2:$H$41,7,FALSE)," ")</f>
        <v xml:space="preserve"> </v>
      </c>
      <c r="V716" s="42" t="str">
        <f>IFERROR(VLOOKUP($J716,'Project Reference'!$B$2:$I$41,8,FALSE)," ")</f>
        <v xml:space="preserve"> </v>
      </c>
      <c r="W716" s="42" t="str">
        <f>IFERROR(VLOOKUP($J716,'Project Reference'!$B$2:$J$41,9,FALSE)," ")</f>
        <v xml:space="preserve"> </v>
      </c>
      <c r="X716" s="42" t="str">
        <f>IFERROR(VLOOKUP($J716,'Project Reference'!$B$2:$K$41,10)," ")</f>
        <v xml:space="preserve"> </v>
      </c>
      <c r="Y716" s="42" t="str">
        <f>IFERROR(VLOOKUP($J716,'Project Reference'!$B$2:$L$41,11)," ")</f>
        <v xml:space="preserve"> </v>
      </c>
      <c r="Z716" s="42" t="str">
        <f>IFERROR(VLOOKUP($J716,'Project Reference'!$B$2:$M$41,12)," ")</f>
        <v xml:space="preserve"> </v>
      </c>
      <c r="AA716" s="42" t="str">
        <f>IFERROR(VLOOKUP($J716,'Project Reference'!$B$2:$N$41,13)," ")</f>
        <v xml:space="preserve"> </v>
      </c>
    </row>
    <row r="717" spans="1:27" x14ac:dyDescent="0.45">
      <c r="A717" s="43"/>
      <c r="B717" s="205"/>
      <c r="C717"/>
      <c r="D717" s="72"/>
      <c r="E717" s="72"/>
      <c r="F717" s="72"/>
      <c r="G717" s="72"/>
      <c r="H717" s="17"/>
      <c r="I717" s="41" t="str" cm="1">
        <f t="array" ref="I717">IFERROR(_xlfn.IFS(H717="Hard (Cash)","N/A",H717="Soft (In-Kind)", "Enter Source"),"Select Type")</f>
        <v>Select Type</v>
      </c>
      <c r="J717" s="124"/>
      <c r="K717" s="41" t="str">
        <f>IFERROR(VLOOKUP($J717,'Project Reference'!$S$2:$T$41,2),"Enter Project Number")</f>
        <v>Enter Project Number</v>
      </c>
      <c r="L717" s="41"/>
      <c r="M717" s="41"/>
      <c r="N717" s="15">
        <f t="shared" si="11"/>
        <v>0</v>
      </c>
      <c r="O717" s="19"/>
      <c r="P717" s="42" t="str">
        <f>IFERROR(VLOOKUP($J717,'Project Reference'!$B$2:$C$41,2)," ")</f>
        <v xml:space="preserve"> </v>
      </c>
      <c r="Q717" s="42" t="str">
        <f>IFERROR(VLOOKUP($J717,'Project Reference'!$B$2:$D$41,3)," ")</f>
        <v xml:space="preserve"> </v>
      </c>
      <c r="R717" s="42" t="str">
        <f>IFERROR(VLOOKUP($J717,'Project Reference'!$B$2:$E$41,4)," ")</f>
        <v xml:space="preserve"> </v>
      </c>
      <c r="S717" s="42" t="str">
        <f>IFERROR(VLOOKUP($J717,'Project Reference'!$B$2:$F$41,5,FALSE)," ")</f>
        <v xml:space="preserve"> </v>
      </c>
      <c r="T717" s="42" t="str">
        <f>IFERROR(VLOOKUP($J717,'Project Reference'!$B$2:$G$41,6,FALSE)," ")</f>
        <v xml:space="preserve"> </v>
      </c>
      <c r="U717" s="42" t="str">
        <f>IFERROR(VLOOKUP($J717,'Project Reference'!$B$2:$H$41,7,FALSE)," ")</f>
        <v xml:space="preserve"> </v>
      </c>
      <c r="V717" s="42" t="str">
        <f>IFERROR(VLOOKUP($J717,'Project Reference'!$B$2:$I$41,8,FALSE)," ")</f>
        <v xml:space="preserve"> </v>
      </c>
      <c r="W717" s="42" t="str">
        <f>IFERROR(VLOOKUP($J717,'Project Reference'!$B$2:$J$41,9,FALSE)," ")</f>
        <v xml:space="preserve"> </v>
      </c>
      <c r="X717" s="42" t="str">
        <f>IFERROR(VLOOKUP($J717,'Project Reference'!$B$2:$K$41,10)," ")</f>
        <v xml:space="preserve"> </v>
      </c>
      <c r="Y717" s="42" t="str">
        <f>IFERROR(VLOOKUP($J717,'Project Reference'!$B$2:$L$41,11)," ")</f>
        <v xml:space="preserve"> </v>
      </c>
      <c r="Z717" s="42" t="str">
        <f>IFERROR(VLOOKUP($J717,'Project Reference'!$B$2:$M$41,12)," ")</f>
        <v xml:space="preserve"> </v>
      </c>
      <c r="AA717" s="42" t="str">
        <f>IFERROR(VLOOKUP($J717,'Project Reference'!$B$2:$N$41,13)," ")</f>
        <v xml:space="preserve"> </v>
      </c>
    </row>
    <row r="718" spans="1:27" x14ac:dyDescent="0.45">
      <c r="A718" s="43"/>
      <c r="B718" s="205"/>
      <c r="C718"/>
      <c r="D718" s="72"/>
      <c r="E718" s="72"/>
      <c r="F718" s="72"/>
      <c r="G718" s="72"/>
      <c r="H718" s="17"/>
      <c r="I718" s="41" t="str" cm="1">
        <f t="array" ref="I718">IFERROR(_xlfn.IFS(H718="Hard (Cash)","N/A",H718="Soft (In-Kind)", "Enter Source"),"Select Type")</f>
        <v>Select Type</v>
      </c>
      <c r="J718" s="124"/>
      <c r="K718" s="41" t="str">
        <f>IFERROR(VLOOKUP($J718,'Project Reference'!$S$2:$T$41,2),"Enter Project Number")</f>
        <v>Enter Project Number</v>
      </c>
      <c r="L718" s="41"/>
      <c r="M718" s="41"/>
      <c r="N718" s="15">
        <f t="shared" si="11"/>
        <v>0</v>
      </c>
      <c r="O718" s="19"/>
      <c r="P718" s="42" t="str">
        <f>IFERROR(VLOOKUP($J718,'Project Reference'!$B$2:$C$41,2)," ")</f>
        <v xml:space="preserve"> </v>
      </c>
      <c r="Q718" s="42" t="str">
        <f>IFERROR(VLOOKUP($J718,'Project Reference'!$B$2:$D$41,3)," ")</f>
        <v xml:space="preserve"> </v>
      </c>
      <c r="R718" s="42" t="str">
        <f>IFERROR(VLOOKUP($J718,'Project Reference'!$B$2:$E$41,4)," ")</f>
        <v xml:space="preserve"> </v>
      </c>
      <c r="S718" s="42" t="str">
        <f>IFERROR(VLOOKUP($J718,'Project Reference'!$B$2:$F$41,5,FALSE)," ")</f>
        <v xml:space="preserve"> </v>
      </c>
      <c r="T718" s="42" t="str">
        <f>IFERROR(VLOOKUP($J718,'Project Reference'!$B$2:$G$41,6,FALSE)," ")</f>
        <v xml:space="preserve"> </v>
      </c>
      <c r="U718" s="42" t="str">
        <f>IFERROR(VLOOKUP($J718,'Project Reference'!$B$2:$H$41,7,FALSE)," ")</f>
        <v xml:space="preserve"> </v>
      </c>
      <c r="V718" s="42" t="str">
        <f>IFERROR(VLOOKUP($J718,'Project Reference'!$B$2:$I$41,8,FALSE)," ")</f>
        <v xml:space="preserve"> </v>
      </c>
      <c r="W718" s="42" t="str">
        <f>IFERROR(VLOOKUP($J718,'Project Reference'!$B$2:$J$41,9,FALSE)," ")</f>
        <v xml:space="preserve"> </v>
      </c>
      <c r="X718" s="42" t="str">
        <f>IFERROR(VLOOKUP($J718,'Project Reference'!$B$2:$K$41,10)," ")</f>
        <v xml:space="preserve"> </v>
      </c>
      <c r="Y718" s="42" t="str">
        <f>IFERROR(VLOOKUP($J718,'Project Reference'!$B$2:$L$41,11)," ")</f>
        <v xml:space="preserve"> </v>
      </c>
      <c r="Z718" s="42" t="str">
        <f>IFERROR(VLOOKUP($J718,'Project Reference'!$B$2:$M$41,12)," ")</f>
        <v xml:space="preserve"> </v>
      </c>
      <c r="AA718" s="42" t="str">
        <f>IFERROR(VLOOKUP($J718,'Project Reference'!$B$2:$N$41,13)," ")</f>
        <v xml:space="preserve"> </v>
      </c>
    </row>
    <row r="719" spans="1:27" x14ac:dyDescent="0.45">
      <c r="A719" s="43"/>
      <c r="B719" s="205"/>
      <c r="C719"/>
      <c r="D719" s="72"/>
      <c r="E719" s="72"/>
      <c r="F719" s="72"/>
      <c r="G719" s="72"/>
      <c r="H719" s="17"/>
      <c r="I719" s="41" t="str" cm="1">
        <f t="array" ref="I719">IFERROR(_xlfn.IFS(H719="Hard (Cash)","N/A",H719="Soft (In-Kind)", "Enter Source"),"Select Type")</f>
        <v>Select Type</v>
      </c>
      <c r="J719" s="124"/>
      <c r="K719" s="41" t="str">
        <f>IFERROR(VLOOKUP($J719,'Project Reference'!$S$2:$T$41,2),"Enter Project Number")</f>
        <v>Enter Project Number</v>
      </c>
      <c r="L719" s="41"/>
      <c r="M719" s="41"/>
      <c r="N719" s="15">
        <f t="shared" si="11"/>
        <v>0</v>
      </c>
      <c r="O719" s="19"/>
      <c r="P719" s="42" t="str">
        <f>IFERROR(VLOOKUP($J719,'Project Reference'!$B$2:$C$41,2)," ")</f>
        <v xml:space="preserve"> </v>
      </c>
      <c r="Q719" s="42" t="str">
        <f>IFERROR(VLOOKUP($J719,'Project Reference'!$B$2:$D$41,3)," ")</f>
        <v xml:space="preserve"> </v>
      </c>
      <c r="R719" s="42" t="str">
        <f>IFERROR(VLOOKUP($J719,'Project Reference'!$B$2:$E$41,4)," ")</f>
        <v xml:space="preserve"> </v>
      </c>
      <c r="S719" s="42" t="str">
        <f>IFERROR(VLOOKUP($J719,'Project Reference'!$B$2:$F$41,5,FALSE)," ")</f>
        <v xml:space="preserve"> </v>
      </c>
      <c r="T719" s="42" t="str">
        <f>IFERROR(VLOOKUP($J719,'Project Reference'!$B$2:$G$41,6,FALSE)," ")</f>
        <v xml:space="preserve"> </v>
      </c>
      <c r="U719" s="42" t="str">
        <f>IFERROR(VLOOKUP($J719,'Project Reference'!$B$2:$H$41,7,FALSE)," ")</f>
        <v xml:space="preserve"> </v>
      </c>
      <c r="V719" s="42" t="str">
        <f>IFERROR(VLOOKUP($J719,'Project Reference'!$B$2:$I$41,8,FALSE)," ")</f>
        <v xml:space="preserve"> </v>
      </c>
      <c r="W719" s="42" t="str">
        <f>IFERROR(VLOOKUP($J719,'Project Reference'!$B$2:$J$41,9,FALSE)," ")</f>
        <v xml:space="preserve"> </v>
      </c>
      <c r="X719" s="42" t="str">
        <f>IFERROR(VLOOKUP($J719,'Project Reference'!$B$2:$K$41,10)," ")</f>
        <v xml:space="preserve"> </v>
      </c>
      <c r="Y719" s="42" t="str">
        <f>IFERROR(VLOOKUP($J719,'Project Reference'!$B$2:$L$41,11)," ")</f>
        <v xml:space="preserve"> </v>
      </c>
      <c r="Z719" s="42" t="str">
        <f>IFERROR(VLOOKUP($J719,'Project Reference'!$B$2:$M$41,12)," ")</f>
        <v xml:space="preserve"> </v>
      </c>
      <c r="AA719" s="42" t="str">
        <f>IFERROR(VLOOKUP($J719,'Project Reference'!$B$2:$N$41,13)," ")</f>
        <v xml:space="preserve"> </v>
      </c>
    </row>
    <row r="720" spans="1:27" x14ac:dyDescent="0.45">
      <c r="A720" s="43"/>
      <c r="B720" s="205"/>
      <c r="C720"/>
      <c r="D720" s="72"/>
      <c r="E720" s="72"/>
      <c r="F720" s="72"/>
      <c r="G720" s="72"/>
      <c r="H720" s="17"/>
      <c r="I720" s="41" t="str" cm="1">
        <f t="array" ref="I720">IFERROR(_xlfn.IFS(H720="Hard (Cash)","N/A",H720="Soft (In-Kind)", "Enter Source"),"Select Type")</f>
        <v>Select Type</v>
      </c>
      <c r="J720" s="124"/>
      <c r="K720" s="41" t="str">
        <f>IFERROR(VLOOKUP($J720,'Project Reference'!$S$2:$T$41,2),"Enter Project Number")</f>
        <v>Enter Project Number</v>
      </c>
      <c r="L720" s="41"/>
      <c r="M720" s="41"/>
      <c r="N720" s="15">
        <f t="shared" si="11"/>
        <v>0</v>
      </c>
      <c r="O720" s="19"/>
      <c r="P720" s="42" t="str">
        <f>IFERROR(VLOOKUP($J720,'Project Reference'!$B$2:$C$41,2)," ")</f>
        <v xml:space="preserve"> </v>
      </c>
      <c r="Q720" s="42" t="str">
        <f>IFERROR(VLOOKUP($J720,'Project Reference'!$B$2:$D$41,3)," ")</f>
        <v xml:space="preserve"> </v>
      </c>
      <c r="R720" s="42" t="str">
        <f>IFERROR(VLOOKUP($J720,'Project Reference'!$B$2:$E$41,4)," ")</f>
        <v xml:space="preserve"> </v>
      </c>
      <c r="S720" s="42" t="str">
        <f>IFERROR(VLOOKUP($J720,'Project Reference'!$B$2:$F$41,5,FALSE)," ")</f>
        <v xml:space="preserve"> </v>
      </c>
      <c r="T720" s="42" t="str">
        <f>IFERROR(VLOOKUP($J720,'Project Reference'!$B$2:$G$41,6,FALSE)," ")</f>
        <v xml:space="preserve"> </v>
      </c>
      <c r="U720" s="42" t="str">
        <f>IFERROR(VLOOKUP($J720,'Project Reference'!$B$2:$H$41,7,FALSE)," ")</f>
        <v xml:space="preserve"> </v>
      </c>
      <c r="V720" s="42" t="str">
        <f>IFERROR(VLOOKUP($J720,'Project Reference'!$B$2:$I$41,8,FALSE)," ")</f>
        <v xml:space="preserve"> </v>
      </c>
      <c r="W720" s="42" t="str">
        <f>IFERROR(VLOOKUP($J720,'Project Reference'!$B$2:$J$41,9,FALSE)," ")</f>
        <v xml:space="preserve"> </v>
      </c>
      <c r="X720" s="42" t="str">
        <f>IFERROR(VLOOKUP($J720,'Project Reference'!$B$2:$K$41,10)," ")</f>
        <v xml:space="preserve"> </v>
      </c>
      <c r="Y720" s="42" t="str">
        <f>IFERROR(VLOOKUP($J720,'Project Reference'!$B$2:$L$41,11)," ")</f>
        <v xml:space="preserve"> </v>
      </c>
      <c r="Z720" s="42" t="str">
        <f>IFERROR(VLOOKUP($J720,'Project Reference'!$B$2:$M$41,12)," ")</f>
        <v xml:space="preserve"> </v>
      </c>
      <c r="AA720" s="42" t="str">
        <f>IFERROR(VLOOKUP($J720,'Project Reference'!$B$2:$N$41,13)," ")</f>
        <v xml:space="preserve"> </v>
      </c>
    </row>
    <row r="721" spans="1:27" x14ac:dyDescent="0.45">
      <c r="A721" s="43"/>
      <c r="B721" s="205"/>
      <c r="C721"/>
      <c r="D721" s="72"/>
      <c r="E721" s="72"/>
      <c r="F721" s="72"/>
      <c r="G721" s="72"/>
      <c r="H721" s="17"/>
      <c r="I721" s="41" t="str" cm="1">
        <f t="array" ref="I721">IFERROR(_xlfn.IFS(H721="Hard (Cash)","N/A",H721="Soft (In-Kind)", "Enter Source"),"Select Type")</f>
        <v>Select Type</v>
      </c>
      <c r="J721" s="124"/>
      <c r="K721" s="41" t="str">
        <f>IFERROR(VLOOKUP($J721,'Project Reference'!$S$2:$T$41,2),"Enter Project Number")</f>
        <v>Enter Project Number</v>
      </c>
      <c r="L721" s="41"/>
      <c r="M721" s="41"/>
      <c r="N721" s="15">
        <f t="shared" si="11"/>
        <v>0</v>
      </c>
      <c r="O721" s="19"/>
      <c r="P721" s="42" t="str">
        <f>IFERROR(VLOOKUP($J721,'Project Reference'!$B$2:$C$41,2)," ")</f>
        <v xml:space="preserve"> </v>
      </c>
      <c r="Q721" s="42" t="str">
        <f>IFERROR(VLOOKUP($J721,'Project Reference'!$B$2:$D$41,3)," ")</f>
        <v xml:space="preserve"> </v>
      </c>
      <c r="R721" s="42" t="str">
        <f>IFERROR(VLOOKUP($J721,'Project Reference'!$B$2:$E$41,4)," ")</f>
        <v xml:space="preserve"> </v>
      </c>
      <c r="S721" s="42" t="str">
        <f>IFERROR(VLOOKUP($J721,'Project Reference'!$B$2:$F$41,5,FALSE)," ")</f>
        <v xml:space="preserve"> </v>
      </c>
      <c r="T721" s="42" t="str">
        <f>IFERROR(VLOOKUP($J721,'Project Reference'!$B$2:$G$41,6,FALSE)," ")</f>
        <v xml:space="preserve"> </v>
      </c>
      <c r="U721" s="42" t="str">
        <f>IFERROR(VLOOKUP($J721,'Project Reference'!$B$2:$H$41,7,FALSE)," ")</f>
        <v xml:space="preserve"> </v>
      </c>
      <c r="V721" s="42" t="str">
        <f>IFERROR(VLOOKUP($J721,'Project Reference'!$B$2:$I$41,8,FALSE)," ")</f>
        <v xml:space="preserve"> </v>
      </c>
      <c r="W721" s="42" t="str">
        <f>IFERROR(VLOOKUP($J721,'Project Reference'!$B$2:$J$41,9,FALSE)," ")</f>
        <v xml:space="preserve"> </v>
      </c>
      <c r="X721" s="42" t="str">
        <f>IFERROR(VLOOKUP($J721,'Project Reference'!$B$2:$K$41,10)," ")</f>
        <v xml:space="preserve"> </v>
      </c>
      <c r="Y721" s="42" t="str">
        <f>IFERROR(VLOOKUP($J721,'Project Reference'!$B$2:$L$41,11)," ")</f>
        <v xml:space="preserve"> </v>
      </c>
      <c r="Z721" s="42" t="str">
        <f>IFERROR(VLOOKUP($J721,'Project Reference'!$B$2:$M$41,12)," ")</f>
        <v xml:space="preserve"> </v>
      </c>
      <c r="AA721" s="42" t="str">
        <f>IFERROR(VLOOKUP($J721,'Project Reference'!$B$2:$N$41,13)," ")</f>
        <v xml:space="preserve"> </v>
      </c>
    </row>
    <row r="722" spans="1:27" x14ac:dyDescent="0.45">
      <c r="A722" s="43"/>
      <c r="B722" s="205"/>
      <c r="C722"/>
      <c r="D722" s="72"/>
      <c r="E722" s="72"/>
      <c r="F722" s="72"/>
      <c r="G722" s="72"/>
      <c r="H722" s="17"/>
      <c r="I722" s="41" t="str" cm="1">
        <f t="array" ref="I722">IFERROR(_xlfn.IFS(H722="Hard (Cash)","N/A",H722="Soft (In-Kind)", "Enter Source"),"Select Type")</f>
        <v>Select Type</v>
      </c>
      <c r="J722" s="124"/>
      <c r="K722" s="41" t="str">
        <f>IFERROR(VLOOKUP($J722,'Project Reference'!$S$2:$T$41,2),"Enter Project Number")</f>
        <v>Enter Project Number</v>
      </c>
      <c r="L722" s="41"/>
      <c r="M722" s="41"/>
      <c r="N722" s="15">
        <f t="shared" si="11"/>
        <v>0</v>
      </c>
      <c r="O722" s="19"/>
      <c r="P722" s="42" t="str">
        <f>IFERROR(VLOOKUP($J722,'Project Reference'!$B$2:$C$41,2)," ")</f>
        <v xml:space="preserve"> </v>
      </c>
      <c r="Q722" s="42" t="str">
        <f>IFERROR(VLOOKUP($J722,'Project Reference'!$B$2:$D$41,3)," ")</f>
        <v xml:space="preserve"> </v>
      </c>
      <c r="R722" s="42" t="str">
        <f>IFERROR(VLOOKUP($J722,'Project Reference'!$B$2:$E$41,4)," ")</f>
        <v xml:space="preserve"> </v>
      </c>
      <c r="S722" s="42" t="str">
        <f>IFERROR(VLOOKUP($J722,'Project Reference'!$B$2:$F$41,5,FALSE)," ")</f>
        <v xml:space="preserve"> </v>
      </c>
      <c r="T722" s="42" t="str">
        <f>IFERROR(VLOOKUP($J722,'Project Reference'!$B$2:$G$41,6,FALSE)," ")</f>
        <v xml:space="preserve"> </v>
      </c>
      <c r="U722" s="42" t="str">
        <f>IFERROR(VLOOKUP($J722,'Project Reference'!$B$2:$H$41,7,FALSE)," ")</f>
        <v xml:space="preserve"> </v>
      </c>
      <c r="V722" s="42" t="str">
        <f>IFERROR(VLOOKUP($J722,'Project Reference'!$B$2:$I$41,8,FALSE)," ")</f>
        <v xml:space="preserve"> </v>
      </c>
      <c r="W722" s="42" t="str">
        <f>IFERROR(VLOOKUP($J722,'Project Reference'!$B$2:$J$41,9,FALSE)," ")</f>
        <v xml:space="preserve"> </v>
      </c>
      <c r="X722" s="42" t="str">
        <f>IFERROR(VLOOKUP($J722,'Project Reference'!$B$2:$K$41,10)," ")</f>
        <v xml:space="preserve"> </v>
      </c>
      <c r="Y722" s="42" t="str">
        <f>IFERROR(VLOOKUP($J722,'Project Reference'!$B$2:$L$41,11)," ")</f>
        <v xml:space="preserve"> </v>
      </c>
      <c r="Z722" s="42" t="str">
        <f>IFERROR(VLOOKUP($J722,'Project Reference'!$B$2:$M$41,12)," ")</f>
        <v xml:space="preserve"> </v>
      </c>
      <c r="AA722" s="42" t="str">
        <f>IFERROR(VLOOKUP($J722,'Project Reference'!$B$2:$N$41,13)," ")</f>
        <v xml:space="preserve"> </v>
      </c>
    </row>
    <row r="723" spans="1:27" x14ac:dyDescent="0.45">
      <c r="A723" s="43"/>
      <c r="B723" s="205"/>
      <c r="C723"/>
      <c r="D723" s="72"/>
      <c r="E723" s="72"/>
      <c r="F723" s="72"/>
      <c r="G723" s="72"/>
      <c r="H723" s="17"/>
      <c r="I723" s="41" t="str" cm="1">
        <f t="array" ref="I723">IFERROR(_xlfn.IFS(H723="Hard (Cash)","N/A",H723="Soft (In-Kind)", "Enter Source"),"Select Type")</f>
        <v>Select Type</v>
      </c>
      <c r="J723" s="124"/>
      <c r="K723" s="41" t="str">
        <f>IFERROR(VLOOKUP($J723,'Project Reference'!$S$2:$T$41,2),"Enter Project Number")</f>
        <v>Enter Project Number</v>
      </c>
      <c r="L723" s="41"/>
      <c r="M723" s="41"/>
      <c r="N723" s="15">
        <f t="shared" si="11"/>
        <v>0</v>
      </c>
      <c r="O723" s="19"/>
      <c r="P723" s="42" t="str">
        <f>IFERROR(VLOOKUP($J723,'Project Reference'!$B$2:$C$41,2)," ")</f>
        <v xml:space="preserve"> </v>
      </c>
      <c r="Q723" s="42" t="str">
        <f>IFERROR(VLOOKUP($J723,'Project Reference'!$B$2:$D$41,3)," ")</f>
        <v xml:space="preserve"> </v>
      </c>
      <c r="R723" s="42" t="str">
        <f>IFERROR(VLOOKUP($J723,'Project Reference'!$B$2:$E$41,4)," ")</f>
        <v xml:space="preserve"> </v>
      </c>
      <c r="S723" s="42" t="str">
        <f>IFERROR(VLOOKUP($J723,'Project Reference'!$B$2:$F$41,5,FALSE)," ")</f>
        <v xml:space="preserve"> </v>
      </c>
      <c r="T723" s="42" t="str">
        <f>IFERROR(VLOOKUP($J723,'Project Reference'!$B$2:$G$41,6,FALSE)," ")</f>
        <v xml:space="preserve"> </v>
      </c>
      <c r="U723" s="42" t="str">
        <f>IFERROR(VLOOKUP($J723,'Project Reference'!$B$2:$H$41,7,FALSE)," ")</f>
        <v xml:space="preserve"> </v>
      </c>
      <c r="V723" s="42" t="str">
        <f>IFERROR(VLOOKUP($J723,'Project Reference'!$B$2:$I$41,8,FALSE)," ")</f>
        <v xml:space="preserve"> </v>
      </c>
      <c r="W723" s="42" t="str">
        <f>IFERROR(VLOOKUP($J723,'Project Reference'!$B$2:$J$41,9,FALSE)," ")</f>
        <v xml:space="preserve"> </v>
      </c>
      <c r="X723" s="42" t="str">
        <f>IFERROR(VLOOKUP($J723,'Project Reference'!$B$2:$K$41,10)," ")</f>
        <v xml:space="preserve"> </v>
      </c>
      <c r="Y723" s="42" t="str">
        <f>IFERROR(VLOOKUP($J723,'Project Reference'!$B$2:$L$41,11)," ")</f>
        <v xml:space="preserve"> </v>
      </c>
      <c r="Z723" s="42" t="str">
        <f>IFERROR(VLOOKUP($J723,'Project Reference'!$B$2:$M$41,12)," ")</f>
        <v xml:space="preserve"> </v>
      </c>
      <c r="AA723" s="42" t="str">
        <f>IFERROR(VLOOKUP($J723,'Project Reference'!$B$2:$N$41,13)," ")</f>
        <v xml:space="preserve"> </v>
      </c>
    </row>
    <row r="724" spans="1:27" x14ac:dyDescent="0.45">
      <c r="A724" s="43"/>
      <c r="B724" s="205"/>
      <c r="C724"/>
      <c r="D724" s="72"/>
      <c r="E724" s="72"/>
      <c r="F724" s="72"/>
      <c r="G724" s="72"/>
      <c r="H724" s="17"/>
      <c r="I724" s="41" t="str" cm="1">
        <f t="array" ref="I724">IFERROR(_xlfn.IFS(H724="Hard (Cash)","N/A",H724="Soft (In-Kind)", "Enter Source"),"Select Type")</f>
        <v>Select Type</v>
      </c>
      <c r="J724" s="124"/>
      <c r="K724" s="41" t="str">
        <f>IFERROR(VLOOKUP($J724,'Project Reference'!$S$2:$T$41,2),"Enter Project Number")</f>
        <v>Enter Project Number</v>
      </c>
      <c r="L724" s="41"/>
      <c r="M724" s="41"/>
      <c r="N724" s="15">
        <f t="shared" si="11"/>
        <v>0</v>
      </c>
      <c r="O724" s="19"/>
      <c r="P724" s="42" t="str">
        <f>IFERROR(VLOOKUP($J724,'Project Reference'!$B$2:$C$41,2)," ")</f>
        <v xml:space="preserve"> </v>
      </c>
      <c r="Q724" s="42" t="str">
        <f>IFERROR(VLOOKUP($J724,'Project Reference'!$B$2:$D$41,3)," ")</f>
        <v xml:space="preserve"> </v>
      </c>
      <c r="R724" s="42" t="str">
        <f>IFERROR(VLOOKUP($J724,'Project Reference'!$B$2:$E$41,4)," ")</f>
        <v xml:space="preserve"> </v>
      </c>
      <c r="S724" s="42" t="str">
        <f>IFERROR(VLOOKUP($J724,'Project Reference'!$B$2:$F$41,5,FALSE)," ")</f>
        <v xml:space="preserve"> </v>
      </c>
      <c r="T724" s="42" t="str">
        <f>IFERROR(VLOOKUP($J724,'Project Reference'!$B$2:$G$41,6,FALSE)," ")</f>
        <v xml:space="preserve"> </v>
      </c>
      <c r="U724" s="42" t="str">
        <f>IFERROR(VLOOKUP($J724,'Project Reference'!$B$2:$H$41,7,FALSE)," ")</f>
        <v xml:space="preserve"> </v>
      </c>
      <c r="V724" s="42" t="str">
        <f>IFERROR(VLOOKUP($J724,'Project Reference'!$B$2:$I$41,8,FALSE)," ")</f>
        <v xml:space="preserve"> </v>
      </c>
      <c r="W724" s="42" t="str">
        <f>IFERROR(VLOOKUP($J724,'Project Reference'!$B$2:$J$41,9,FALSE)," ")</f>
        <v xml:space="preserve"> </v>
      </c>
      <c r="X724" s="42" t="str">
        <f>IFERROR(VLOOKUP($J724,'Project Reference'!$B$2:$K$41,10)," ")</f>
        <v xml:space="preserve"> </v>
      </c>
      <c r="Y724" s="42" t="str">
        <f>IFERROR(VLOOKUP($J724,'Project Reference'!$B$2:$L$41,11)," ")</f>
        <v xml:space="preserve"> </v>
      </c>
      <c r="Z724" s="42" t="str">
        <f>IFERROR(VLOOKUP($J724,'Project Reference'!$B$2:$M$41,12)," ")</f>
        <v xml:space="preserve"> </v>
      </c>
      <c r="AA724" s="42" t="str">
        <f>IFERROR(VLOOKUP($J724,'Project Reference'!$B$2:$N$41,13)," ")</f>
        <v xml:space="preserve"> </v>
      </c>
    </row>
    <row r="725" spans="1:27" x14ac:dyDescent="0.45">
      <c r="A725" s="43"/>
      <c r="B725" s="205"/>
      <c r="C725"/>
      <c r="D725" s="72"/>
      <c r="E725" s="72"/>
      <c r="F725" s="72"/>
      <c r="G725" s="72"/>
      <c r="H725" s="17"/>
      <c r="I725" s="41" t="str" cm="1">
        <f t="array" ref="I725">IFERROR(_xlfn.IFS(H725="Hard (Cash)","N/A",H725="Soft (In-Kind)", "Enter Source"),"Select Type")</f>
        <v>Select Type</v>
      </c>
      <c r="J725" s="124"/>
      <c r="K725" s="41" t="str">
        <f>IFERROR(VLOOKUP($J725,'Project Reference'!$S$2:$T$41,2),"Enter Project Number")</f>
        <v>Enter Project Number</v>
      </c>
      <c r="L725" s="41"/>
      <c r="M725" s="41"/>
      <c r="N725" s="15">
        <f t="shared" si="11"/>
        <v>0</v>
      </c>
      <c r="O725" s="19"/>
      <c r="P725" s="42" t="str">
        <f>IFERROR(VLOOKUP($J725,'Project Reference'!$B$2:$C$41,2)," ")</f>
        <v xml:space="preserve"> </v>
      </c>
      <c r="Q725" s="42" t="str">
        <f>IFERROR(VLOOKUP($J725,'Project Reference'!$B$2:$D$41,3)," ")</f>
        <v xml:space="preserve"> </v>
      </c>
      <c r="R725" s="42" t="str">
        <f>IFERROR(VLOOKUP($J725,'Project Reference'!$B$2:$E$41,4)," ")</f>
        <v xml:space="preserve"> </v>
      </c>
      <c r="S725" s="42" t="str">
        <f>IFERROR(VLOOKUP($J725,'Project Reference'!$B$2:$F$41,5,FALSE)," ")</f>
        <v xml:space="preserve"> </v>
      </c>
      <c r="T725" s="42" t="str">
        <f>IFERROR(VLOOKUP($J725,'Project Reference'!$B$2:$G$41,6,FALSE)," ")</f>
        <v xml:space="preserve"> </v>
      </c>
      <c r="U725" s="42" t="str">
        <f>IFERROR(VLOOKUP($J725,'Project Reference'!$B$2:$H$41,7,FALSE)," ")</f>
        <v xml:space="preserve"> </v>
      </c>
      <c r="V725" s="42" t="str">
        <f>IFERROR(VLOOKUP($J725,'Project Reference'!$B$2:$I$41,8,FALSE)," ")</f>
        <v xml:space="preserve"> </v>
      </c>
      <c r="W725" s="42" t="str">
        <f>IFERROR(VLOOKUP($J725,'Project Reference'!$B$2:$J$41,9,FALSE)," ")</f>
        <v xml:space="preserve"> </v>
      </c>
      <c r="X725" s="42" t="str">
        <f>IFERROR(VLOOKUP($J725,'Project Reference'!$B$2:$K$41,10)," ")</f>
        <v xml:space="preserve"> </v>
      </c>
      <c r="Y725" s="42" t="str">
        <f>IFERROR(VLOOKUP($J725,'Project Reference'!$B$2:$L$41,11)," ")</f>
        <v xml:space="preserve"> </v>
      </c>
      <c r="Z725" s="42" t="str">
        <f>IFERROR(VLOOKUP($J725,'Project Reference'!$B$2:$M$41,12)," ")</f>
        <v xml:space="preserve"> </v>
      </c>
      <c r="AA725" s="42" t="str">
        <f>IFERROR(VLOOKUP($J725,'Project Reference'!$B$2:$N$41,13)," ")</f>
        <v xml:space="preserve"> </v>
      </c>
    </row>
    <row r="726" spans="1:27" x14ac:dyDescent="0.45">
      <c r="A726" s="43"/>
      <c r="B726" s="205"/>
      <c r="C726"/>
      <c r="D726" s="72"/>
      <c r="E726" s="72"/>
      <c r="F726" s="72"/>
      <c r="G726" s="72"/>
      <c r="H726" s="17"/>
      <c r="I726" s="41" t="str" cm="1">
        <f t="array" ref="I726">IFERROR(_xlfn.IFS(H726="Hard (Cash)","N/A",H726="Soft (In-Kind)", "Enter Source"),"Select Type")</f>
        <v>Select Type</v>
      </c>
      <c r="J726" s="124"/>
      <c r="K726" s="41" t="str">
        <f>IFERROR(VLOOKUP($J726,'Project Reference'!$S$2:$T$41,2),"Enter Project Number")</f>
        <v>Enter Project Number</v>
      </c>
      <c r="L726" s="41"/>
      <c r="M726" s="41"/>
      <c r="N726" s="15">
        <f t="shared" si="11"/>
        <v>0</v>
      </c>
      <c r="O726" s="19"/>
      <c r="P726" s="42" t="str">
        <f>IFERROR(VLOOKUP($J726,'Project Reference'!$B$2:$C$41,2)," ")</f>
        <v xml:space="preserve"> </v>
      </c>
      <c r="Q726" s="42" t="str">
        <f>IFERROR(VLOOKUP($J726,'Project Reference'!$B$2:$D$41,3)," ")</f>
        <v xml:space="preserve"> </v>
      </c>
      <c r="R726" s="42" t="str">
        <f>IFERROR(VLOOKUP($J726,'Project Reference'!$B$2:$E$41,4)," ")</f>
        <v xml:space="preserve"> </v>
      </c>
      <c r="S726" s="42" t="str">
        <f>IFERROR(VLOOKUP($J726,'Project Reference'!$B$2:$F$41,5,FALSE)," ")</f>
        <v xml:space="preserve"> </v>
      </c>
      <c r="T726" s="42" t="str">
        <f>IFERROR(VLOOKUP($J726,'Project Reference'!$B$2:$G$41,6,FALSE)," ")</f>
        <v xml:space="preserve"> </v>
      </c>
      <c r="U726" s="42" t="str">
        <f>IFERROR(VLOOKUP($J726,'Project Reference'!$B$2:$H$41,7,FALSE)," ")</f>
        <v xml:space="preserve"> </v>
      </c>
      <c r="V726" s="42" t="str">
        <f>IFERROR(VLOOKUP($J726,'Project Reference'!$B$2:$I$41,8,FALSE)," ")</f>
        <v xml:space="preserve"> </v>
      </c>
      <c r="W726" s="42" t="str">
        <f>IFERROR(VLOOKUP($J726,'Project Reference'!$B$2:$J$41,9,FALSE)," ")</f>
        <v xml:space="preserve"> </v>
      </c>
      <c r="X726" s="42" t="str">
        <f>IFERROR(VLOOKUP($J726,'Project Reference'!$B$2:$K$41,10)," ")</f>
        <v xml:space="preserve"> </v>
      </c>
      <c r="Y726" s="42" t="str">
        <f>IFERROR(VLOOKUP($J726,'Project Reference'!$B$2:$L$41,11)," ")</f>
        <v xml:space="preserve"> </v>
      </c>
      <c r="Z726" s="42" t="str">
        <f>IFERROR(VLOOKUP($J726,'Project Reference'!$B$2:$M$41,12)," ")</f>
        <v xml:space="preserve"> </v>
      </c>
      <c r="AA726" s="42" t="str">
        <f>IFERROR(VLOOKUP($J726,'Project Reference'!$B$2:$N$41,13)," ")</f>
        <v xml:space="preserve"> </v>
      </c>
    </row>
    <row r="727" spans="1:27" x14ac:dyDescent="0.45">
      <c r="A727" s="43"/>
      <c r="B727" s="205"/>
      <c r="C727"/>
      <c r="D727" s="72"/>
      <c r="E727" s="72"/>
      <c r="F727" s="72"/>
      <c r="G727" s="72"/>
      <c r="H727" s="17"/>
      <c r="I727" s="41" t="str" cm="1">
        <f t="array" ref="I727">IFERROR(_xlfn.IFS(H727="Hard (Cash)","N/A",H727="Soft (In-Kind)", "Enter Source"),"Select Type")</f>
        <v>Select Type</v>
      </c>
      <c r="J727" s="124"/>
      <c r="K727" s="41" t="str">
        <f>IFERROR(VLOOKUP($J727,'Project Reference'!$S$2:$T$41,2),"Enter Project Number")</f>
        <v>Enter Project Number</v>
      </c>
      <c r="L727" s="41"/>
      <c r="M727" s="41"/>
      <c r="N727" s="15">
        <f t="shared" si="11"/>
        <v>0</v>
      </c>
      <c r="O727" s="19"/>
      <c r="P727" s="42" t="str">
        <f>IFERROR(VLOOKUP($J727,'Project Reference'!$B$2:$C$41,2)," ")</f>
        <v xml:space="preserve"> </v>
      </c>
      <c r="Q727" s="42" t="str">
        <f>IFERROR(VLOOKUP($J727,'Project Reference'!$B$2:$D$41,3)," ")</f>
        <v xml:space="preserve"> </v>
      </c>
      <c r="R727" s="42" t="str">
        <f>IFERROR(VLOOKUP($J727,'Project Reference'!$B$2:$E$41,4)," ")</f>
        <v xml:space="preserve"> </v>
      </c>
      <c r="S727" s="42" t="str">
        <f>IFERROR(VLOOKUP($J727,'Project Reference'!$B$2:$F$41,5,FALSE)," ")</f>
        <v xml:space="preserve"> </v>
      </c>
      <c r="T727" s="42" t="str">
        <f>IFERROR(VLOOKUP($J727,'Project Reference'!$B$2:$G$41,6,FALSE)," ")</f>
        <v xml:space="preserve"> </v>
      </c>
      <c r="U727" s="42" t="str">
        <f>IFERROR(VLOOKUP($J727,'Project Reference'!$B$2:$H$41,7,FALSE)," ")</f>
        <v xml:space="preserve"> </v>
      </c>
      <c r="V727" s="42" t="str">
        <f>IFERROR(VLOOKUP($J727,'Project Reference'!$B$2:$I$41,8,FALSE)," ")</f>
        <v xml:space="preserve"> </v>
      </c>
      <c r="W727" s="42" t="str">
        <f>IFERROR(VLOOKUP($J727,'Project Reference'!$B$2:$J$41,9,FALSE)," ")</f>
        <v xml:space="preserve"> </v>
      </c>
      <c r="X727" s="42" t="str">
        <f>IFERROR(VLOOKUP($J727,'Project Reference'!$B$2:$K$41,10)," ")</f>
        <v xml:space="preserve"> </v>
      </c>
      <c r="Y727" s="42" t="str">
        <f>IFERROR(VLOOKUP($J727,'Project Reference'!$B$2:$L$41,11)," ")</f>
        <v xml:space="preserve"> </v>
      </c>
      <c r="Z727" s="42" t="str">
        <f>IFERROR(VLOOKUP($J727,'Project Reference'!$B$2:$M$41,12)," ")</f>
        <v xml:space="preserve"> </v>
      </c>
      <c r="AA727" s="42" t="str">
        <f>IFERROR(VLOOKUP($J727,'Project Reference'!$B$2:$N$41,13)," ")</f>
        <v xml:space="preserve"> </v>
      </c>
    </row>
    <row r="728" spans="1:27" x14ac:dyDescent="0.45">
      <c r="A728" s="43"/>
      <c r="B728" s="205"/>
      <c r="C728"/>
      <c r="D728" s="72"/>
      <c r="E728" s="72"/>
      <c r="F728" s="72"/>
      <c r="G728" s="72"/>
      <c r="H728" s="17"/>
      <c r="I728" s="41" t="str" cm="1">
        <f t="array" ref="I728">IFERROR(_xlfn.IFS(H728="Hard (Cash)","N/A",H728="Soft (In-Kind)", "Enter Source"),"Select Type")</f>
        <v>Select Type</v>
      </c>
      <c r="J728" s="124"/>
      <c r="K728" s="41" t="str">
        <f>IFERROR(VLOOKUP($J728,'Project Reference'!$S$2:$T$41,2),"Enter Project Number")</f>
        <v>Enter Project Number</v>
      </c>
      <c r="L728" s="41"/>
      <c r="M728" s="41"/>
      <c r="N728" s="15">
        <f t="shared" si="11"/>
        <v>0</v>
      </c>
      <c r="O728" s="19"/>
      <c r="P728" s="42" t="str">
        <f>IFERROR(VLOOKUP($J728,'Project Reference'!$B$2:$C$41,2)," ")</f>
        <v xml:space="preserve"> </v>
      </c>
      <c r="Q728" s="42" t="str">
        <f>IFERROR(VLOOKUP($J728,'Project Reference'!$B$2:$D$41,3)," ")</f>
        <v xml:space="preserve"> </v>
      </c>
      <c r="R728" s="42" t="str">
        <f>IFERROR(VLOOKUP($J728,'Project Reference'!$B$2:$E$41,4)," ")</f>
        <v xml:space="preserve"> </v>
      </c>
      <c r="S728" s="42" t="str">
        <f>IFERROR(VLOOKUP($J728,'Project Reference'!$B$2:$F$41,5,FALSE)," ")</f>
        <v xml:space="preserve"> </v>
      </c>
      <c r="T728" s="42" t="str">
        <f>IFERROR(VLOOKUP($J728,'Project Reference'!$B$2:$G$41,6,FALSE)," ")</f>
        <v xml:space="preserve"> </v>
      </c>
      <c r="U728" s="42" t="str">
        <f>IFERROR(VLOOKUP($J728,'Project Reference'!$B$2:$H$41,7,FALSE)," ")</f>
        <v xml:space="preserve"> </v>
      </c>
      <c r="V728" s="42" t="str">
        <f>IFERROR(VLOOKUP($J728,'Project Reference'!$B$2:$I$41,8,FALSE)," ")</f>
        <v xml:space="preserve"> </v>
      </c>
      <c r="W728" s="42" t="str">
        <f>IFERROR(VLOOKUP($J728,'Project Reference'!$B$2:$J$41,9,FALSE)," ")</f>
        <v xml:space="preserve"> </v>
      </c>
      <c r="X728" s="42" t="str">
        <f>IFERROR(VLOOKUP($J728,'Project Reference'!$B$2:$K$41,10)," ")</f>
        <v xml:space="preserve"> </v>
      </c>
      <c r="Y728" s="42" t="str">
        <f>IFERROR(VLOOKUP($J728,'Project Reference'!$B$2:$L$41,11)," ")</f>
        <v xml:space="preserve"> </v>
      </c>
      <c r="Z728" s="42" t="str">
        <f>IFERROR(VLOOKUP($J728,'Project Reference'!$B$2:$M$41,12)," ")</f>
        <v xml:space="preserve"> </v>
      </c>
      <c r="AA728" s="42" t="str">
        <f>IFERROR(VLOOKUP($J728,'Project Reference'!$B$2:$N$41,13)," ")</f>
        <v xml:space="preserve"> </v>
      </c>
    </row>
    <row r="729" spans="1:27" x14ac:dyDescent="0.45">
      <c r="A729" s="43"/>
      <c r="B729" s="205"/>
      <c r="C729"/>
      <c r="D729" s="72"/>
      <c r="E729" s="72"/>
      <c r="F729" s="72"/>
      <c r="G729" s="72"/>
      <c r="H729" s="17"/>
      <c r="I729" s="41" t="str" cm="1">
        <f t="array" ref="I729">IFERROR(_xlfn.IFS(H729="Hard (Cash)","N/A",H729="Soft (In-Kind)", "Enter Source"),"Select Type")</f>
        <v>Select Type</v>
      </c>
      <c r="J729" s="124"/>
      <c r="K729" s="41" t="str">
        <f>IFERROR(VLOOKUP($J729,'Project Reference'!$S$2:$T$41,2),"Enter Project Number")</f>
        <v>Enter Project Number</v>
      </c>
      <c r="L729" s="41"/>
      <c r="M729" s="41"/>
      <c r="N729" s="15">
        <f t="shared" si="11"/>
        <v>0</v>
      </c>
      <c r="O729" s="19"/>
      <c r="P729" s="42" t="str">
        <f>IFERROR(VLOOKUP($J729,'Project Reference'!$B$2:$C$41,2)," ")</f>
        <v xml:space="preserve"> </v>
      </c>
      <c r="Q729" s="42" t="str">
        <f>IFERROR(VLOOKUP($J729,'Project Reference'!$B$2:$D$41,3)," ")</f>
        <v xml:space="preserve"> </v>
      </c>
      <c r="R729" s="42" t="str">
        <f>IFERROR(VLOOKUP($J729,'Project Reference'!$B$2:$E$41,4)," ")</f>
        <v xml:space="preserve"> </v>
      </c>
      <c r="S729" s="42" t="str">
        <f>IFERROR(VLOOKUP($J729,'Project Reference'!$B$2:$F$41,5,FALSE)," ")</f>
        <v xml:space="preserve"> </v>
      </c>
      <c r="T729" s="42" t="str">
        <f>IFERROR(VLOOKUP($J729,'Project Reference'!$B$2:$G$41,6,FALSE)," ")</f>
        <v xml:space="preserve"> </v>
      </c>
      <c r="U729" s="42" t="str">
        <f>IFERROR(VLOOKUP($J729,'Project Reference'!$B$2:$H$41,7,FALSE)," ")</f>
        <v xml:space="preserve"> </v>
      </c>
      <c r="V729" s="42" t="str">
        <f>IFERROR(VLOOKUP($J729,'Project Reference'!$B$2:$I$41,8,FALSE)," ")</f>
        <v xml:space="preserve"> </v>
      </c>
      <c r="W729" s="42" t="str">
        <f>IFERROR(VLOOKUP($J729,'Project Reference'!$B$2:$J$41,9,FALSE)," ")</f>
        <v xml:space="preserve"> </v>
      </c>
      <c r="X729" s="42" t="str">
        <f>IFERROR(VLOOKUP($J729,'Project Reference'!$B$2:$K$41,10)," ")</f>
        <v xml:space="preserve"> </v>
      </c>
      <c r="Y729" s="42" t="str">
        <f>IFERROR(VLOOKUP($J729,'Project Reference'!$B$2:$L$41,11)," ")</f>
        <v xml:space="preserve"> </v>
      </c>
      <c r="Z729" s="42" t="str">
        <f>IFERROR(VLOOKUP($J729,'Project Reference'!$B$2:$M$41,12)," ")</f>
        <v xml:space="preserve"> </v>
      </c>
      <c r="AA729" s="42" t="str">
        <f>IFERROR(VLOOKUP($J729,'Project Reference'!$B$2:$N$41,13)," ")</f>
        <v xml:space="preserve"> </v>
      </c>
    </row>
    <row r="730" spans="1:27" x14ac:dyDescent="0.45">
      <c r="A730" s="43"/>
      <c r="B730" s="205"/>
      <c r="C730"/>
      <c r="D730" s="72"/>
      <c r="E730" s="72"/>
      <c r="F730" s="72"/>
      <c r="G730" s="72"/>
      <c r="H730" s="17"/>
      <c r="I730" s="41" t="str" cm="1">
        <f t="array" ref="I730">IFERROR(_xlfn.IFS(H730="Hard (Cash)","N/A",H730="Soft (In-Kind)", "Enter Source"),"Select Type")</f>
        <v>Select Type</v>
      </c>
      <c r="J730" s="124"/>
      <c r="K730" s="41" t="str">
        <f>IFERROR(VLOOKUP($J730,'Project Reference'!$S$2:$T$41,2),"Enter Project Number")</f>
        <v>Enter Project Number</v>
      </c>
      <c r="L730" s="41"/>
      <c r="M730" s="41"/>
      <c r="N730" s="15">
        <f t="shared" si="11"/>
        <v>0</v>
      </c>
      <c r="O730" s="19"/>
      <c r="P730" s="42" t="str">
        <f>IFERROR(VLOOKUP($J730,'Project Reference'!$B$2:$C$41,2)," ")</f>
        <v xml:space="preserve"> </v>
      </c>
      <c r="Q730" s="42" t="str">
        <f>IFERROR(VLOOKUP($J730,'Project Reference'!$B$2:$D$41,3)," ")</f>
        <v xml:space="preserve"> </v>
      </c>
      <c r="R730" s="42" t="str">
        <f>IFERROR(VLOOKUP($J730,'Project Reference'!$B$2:$E$41,4)," ")</f>
        <v xml:space="preserve"> </v>
      </c>
      <c r="S730" s="42" t="str">
        <f>IFERROR(VLOOKUP($J730,'Project Reference'!$B$2:$F$41,5,FALSE)," ")</f>
        <v xml:space="preserve"> </v>
      </c>
      <c r="T730" s="42" t="str">
        <f>IFERROR(VLOOKUP($J730,'Project Reference'!$B$2:$G$41,6,FALSE)," ")</f>
        <v xml:space="preserve"> </v>
      </c>
      <c r="U730" s="42" t="str">
        <f>IFERROR(VLOOKUP($J730,'Project Reference'!$B$2:$H$41,7,FALSE)," ")</f>
        <v xml:space="preserve"> </v>
      </c>
      <c r="V730" s="42" t="str">
        <f>IFERROR(VLOOKUP($J730,'Project Reference'!$B$2:$I$41,8,FALSE)," ")</f>
        <v xml:space="preserve"> </v>
      </c>
      <c r="W730" s="42" t="str">
        <f>IFERROR(VLOOKUP($J730,'Project Reference'!$B$2:$J$41,9,FALSE)," ")</f>
        <v xml:space="preserve"> </v>
      </c>
      <c r="X730" s="42" t="str">
        <f>IFERROR(VLOOKUP($J730,'Project Reference'!$B$2:$K$41,10)," ")</f>
        <v xml:space="preserve"> </v>
      </c>
      <c r="Y730" s="42" t="str">
        <f>IFERROR(VLOOKUP($J730,'Project Reference'!$B$2:$L$41,11)," ")</f>
        <v xml:space="preserve"> </v>
      </c>
      <c r="Z730" s="42" t="str">
        <f>IFERROR(VLOOKUP($J730,'Project Reference'!$B$2:$M$41,12)," ")</f>
        <v xml:space="preserve"> </v>
      </c>
      <c r="AA730" s="42" t="str">
        <f>IFERROR(VLOOKUP($J730,'Project Reference'!$B$2:$N$41,13)," ")</f>
        <v xml:space="preserve"> </v>
      </c>
    </row>
    <row r="731" spans="1:27" x14ac:dyDescent="0.45">
      <c r="A731" s="43"/>
      <c r="B731" s="205"/>
      <c r="C731"/>
      <c r="D731" s="72"/>
      <c r="E731" s="72"/>
      <c r="F731" s="72"/>
      <c r="G731" s="72"/>
      <c r="H731" s="17"/>
      <c r="I731" s="41" t="str" cm="1">
        <f t="array" ref="I731">IFERROR(_xlfn.IFS(H731="Hard (Cash)","N/A",H731="Soft (In-Kind)", "Enter Source"),"Select Type")</f>
        <v>Select Type</v>
      </c>
      <c r="J731" s="124"/>
      <c r="K731" s="41" t="str">
        <f>IFERROR(VLOOKUP($J731,'Project Reference'!$S$2:$T$41,2),"Enter Project Number")</f>
        <v>Enter Project Number</v>
      </c>
      <c r="L731" s="41"/>
      <c r="M731" s="41"/>
      <c r="N731" s="15">
        <f t="shared" si="11"/>
        <v>0</v>
      </c>
      <c r="O731" s="19"/>
      <c r="P731" s="42" t="str">
        <f>IFERROR(VLOOKUP($J731,'Project Reference'!$B$2:$C$41,2)," ")</f>
        <v xml:space="preserve"> </v>
      </c>
      <c r="Q731" s="42" t="str">
        <f>IFERROR(VLOOKUP($J731,'Project Reference'!$B$2:$D$41,3)," ")</f>
        <v xml:space="preserve"> </v>
      </c>
      <c r="R731" s="42" t="str">
        <f>IFERROR(VLOOKUP($J731,'Project Reference'!$B$2:$E$41,4)," ")</f>
        <v xml:space="preserve"> </v>
      </c>
      <c r="S731" s="42" t="str">
        <f>IFERROR(VLOOKUP($J731,'Project Reference'!$B$2:$F$41,5,FALSE)," ")</f>
        <v xml:space="preserve"> </v>
      </c>
      <c r="T731" s="42" t="str">
        <f>IFERROR(VLOOKUP($J731,'Project Reference'!$B$2:$G$41,6,FALSE)," ")</f>
        <v xml:space="preserve"> </v>
      </c>
      <c r="U731" s="42" t="str">
        <f>IFERROR(VLOOKUP($J731,'Project Reference'!$B$2:$H$41,7,FALSE)," ")</f>
        <v xml:space="preserve"> </v>
      </c>
      <c r="V731" s="42" t="str">
        <f>IFERROR(VLOOKUP($J731,'Project Reference'!$B$2:$I$41,8,FALSE)," ")</f>
        <v xml:space="preserve"> </v>
      </c>
      <c r="W731" s="42" t="str">
        <f>IFERROR(VLOOKUP($J731,'Project Reference'!$B$2:$J$41,9,FALSE)," ")</f>
        <v xml:space="preserve"> </v>
      </c>
      <c r="X731" s="42" t="str">
        <f>IFERROR(VLOOKUP($J731,'Project Reference'!$B$2:$K$41,10)," ")</f>
        <v xml:space="preserve"> </v>
      </c>
      <c r="Y731" s="42" t="str">
        <f>IFERROR(VLOOKUP($J731,'Project Reference'!$B$2:$L$41,11)," ")</f>
        <v xml:space="preserve"> </v>
      </c>
      <c r="Z731" s="42" t="str">
        <f>IFERROR(VLOOKUP($J731,'Project Reference'!$B$2:$M$41,12)," ")</f>
        <v xml:space="preserve"> </v>
      </c>
      <c r="AA731" s="42" t="str">
        <f>IFERROR(VLOOKUP($J731,'Project Reference'!$B$2:$N$41,13)," ")</f>
        <v xml:space="preserve"> </v>
      </c>
    </row>
    <row r="732" spans="1:27" x14ac:dyDescent="0.45">
      <c r="A732" s="43"/>
      <c r="B732" s="205"/>
      <c r="C732"/>
      <c r="D732" s="72"/>
      <c r="E732" s="72"/>
      <c r="F732" s="72"/>
      <c r="G732" s="72"/>
      <c r="H732" s="17"/>
      <c r="I732" s="41" t="str" cm="1">
        <f t="array" ref="I732">IFERROR(_xlfn.IFS(H732="Hard (Cash)","N/A",H732="Soft (In-Kind)", "Enter Source"),"Select Type")</f>
        <v>Select Type</v>
      </c>
      <c r="J732" s="124"/>
      <c r="K732" s="41" t="str">
        <f>IFERROR(VLOOKUP($J732,'Project Reference'!$S$2:$T$41,2),"Enter Project Number")</f>
        <v>Enter Project Number</v>
      </c>
      <c r="L732" s="41"/>
      <c r="M732" s="41"/>
      <c r="N732" s="15">
        <f t="shared" si="11"/>
        <v>0</v>
      </c>
      <c r="O732" s="19"/>
      <c r="P732" s="42" t="str">
        <f>IFERROR(VLOOKUP($J732,'Project Reference'!$B$2:$C$41,2)," ")</f>
        <v xml:space="preserve"> </v>
      </c>
      <c r="Q732" s="42" t="str">
        <f>IFERROR(VLOOKUP($J732,'Project Reference'!$B$2:$D$41,3)," ")</f>
        <v xml:space="preserve"> </v>
      </c>
      <c r="R732" s="42" t="str">
        <f>IFERROR(VLOOKUP($J732,'Project Reference'!$B$2:$E$41,4)," ")</f>
        <v xml:space="preserve"> </v>
      </c>
      <c r="S732" s="42" t="str">
        <f>IFERROR(VLOOKUP($J732,'Project Reference'!$B$2:$F$41,5,FALSE)," ")</f>
        <v xml:space="preserve"> </v>
      </c>
      <c r="T732" s="42" t="str">
        <f>IFERROR(VLOOKUP($J732,'Project Reference'!$B$2:$G$41,6,FALSE)," ")</f>
        <v xml:space="preserve"> </v>
      </c>
      <c r="U732" s="42" t="str">
        <f>IFERROR(VLOOKUP($J732,'Project Reference'!$B$2:$H$41,7,FALSE)," ")</f>
        <v xml:space="preserve"> </v>
      </c>
      <c r="V732" s="42" t="str">
        <f>IFERROR(VLOOKUP($J732,'Project Reference'!$B$2:$I$41,8,FALSE)," ")</f>
        <v xml:space="preserve"> </v>
      </c>
      <c r="W732" s="42" t="str">
        <f>IFERROR(VLOOKUP($J732,'Project Reference'!$B$2:$J$41,9,FALSE)," ")</f>
        <v xml:space="preserve"> </v>
      </c>
      <c r="X732" s="42" t="str">
        <f>IFERROR(VLOOKUP($J732,'Project Reference'!$B$2:$K$41,10)," ")</f>
        <v xml:space="preserve"> </v>
      </c>
      <c r="Y732" s="42" t="str">
        <f>IFERROR(VLOOKUP($J732,'Project Reference'!$B$2:$L$41,11)," ")</f>
        <v xml:space="preserve"> </v>
      </c>
      <c r="Z732" s="42" t="str">
        <f>IFERROR(VLOOKUP($J732,'Project Reference'!$B$2:$M$41,12)," ")</f>
        <v xml:space="preserve"> </v>
      </c>
      <c r="AA732" s="42" t="str">
        <f>IFERROR(VLOOKUP($J732,'Project Reference'!$B$2:$N$41,13)," ")</f>
        <v xml:space="preserve"> </v>
      </c>
    </row>
    <row r="733" spans="1:27" x14ac:dyDescent="0.45">
      <c r="A733" s="43"/>
      <c r="B733" s="205"/>
      <c r="C733"/>
      <c r="D733" s="72"/>
      <c r="E733" s="72"/>
      <c r="F733" s="72"/>
      <c r="G733" s="72"/>
      <c r="H733" s="17"/>
      <c r="I733" s="41" t="str" cm="1">
        <f t="array" ref="I733">IFERROR(_xlfn.IFS(H733="Hard (Cash)","N/A",H733="Soft (In-Kind)", "Enter Source"),"Select Type")</f>
        <v>Select Type</v>
      </c>
      <c r="J733" s="124"/>
      <c r="K733" s="41" t="str">
        <f>IFERROR(VLOOKUP($J733,'Project Reference'!$S$2:$T$41,2),"Enter Project Number")</f>
        <v>Enter Project Number</v>
      </c>
      <c r="L733" s="41"/>
      <c r="M733" s="41"/>
      <c r="N733" s="15">
        <f t="shared" si="11"/>
        <v>0</v>
      </c>
      <c r="O733" s="19"/>
      <c r="P733" s="42" t="str">
        <f>IFERROR(VLOOKUP($J733,'Project Reference'!$B$2:$C$41,2)," ")</f>
        <v xml:space="preserve"> </v>
      </c>
      <c r="Q733" s="42" t="str">
        <f>IFERROR(VLOOKUP($J733,'Project Reference'!$B$2:$D$41,3)," ")</f>
        <v xml:space="preserve"> </v>
      </c>
      <c r="R733" s="42" t="str">
        <f>IFERROR(VLOOKUP($J733,'Project Reference'!$B$2:$E$41,4)," ")</f>
        <v xml:space="preserve"> </v>
      </c>
      <c r="S733" s="42" t="str">
        <f>IFERROR(VLOOKUP($J733,'Project Reference'!$B$2:$F$41,5,FALSE)," ")</f>
        <v xml:space="preserve"> </v>
      </c>
      <c r="T733" s="42" t="str">
        <f>IFERROR(VLOOKUP($J733,'Project Reference'!$B$2:$G$41,6,FALSE)," ")</f>
        <v xml:space="preserve"> </v>
      </c>
      <c r="U733" s="42" t="str">
        <f>IFERROR(VLOOKUP($J733,'Project Reference'!$B$2:$H$41,7,FALSE)," ")</f>
        <v xml:space="preserve"> </v>
      </c>
      <c r="V733" s="42" t="str">
        <f>IFERROR(VLOOKUP($J733,'Project Reference'!$B$2:$I$41,8,FALSE)," ")</f>
        <v xml:space="preserve"> </v>
      </c>
      <c r="W733" s="42" t="str">
        <f>IFERROR(VLOOKUP($J733,'Project Reference'!$B$2:$J$41,9,FALSE)," ")</f>
        <v xml:space="preserve"> </v>
      </c>
      <c r="X733" s="42" t="str">
        <f>IFERROR(VLOOKUP($J733,'Project Reference'!$B$2:$K$41,10)," ")</f>
        <v xml:space="preserve"> </v>
      </c>
      <c r="Y733" s="42" t="str">
        <f>IFERROR(VLOOKUP($J733,'Project Reference'!$B$2:$L$41,11)," ")</f>
        <v xml:space="preserve"> </v>
      </c>
      <c r="Z733" s="42" t="str">
        <f>IFERROR(VLOOKUP($J733,'Project Reference'!$B$2:$M$41,12)," ")</f>
        <v xml:space="preserve"> </v>
      </c>
      <c r="AA733" s="42" t="str">
        <f>IFERROR(VLOOKUP($J733,'Project Reference'!$B$2:$N$41,13)," ")</f>
        <v xml:space="preserve"> </v>
      </c>
    </row>
    <row r="734" spans="1:27" x14ac:dyDescent="0.45">
      <c r="A734" s="43"/>
      <c r="B734" s="205"/>
      <c r="C734"/>
      <c r="D734" s="72"/>
      <c r="E734" s="72"/>
      <c r="F734" s="72"/>
      <c r="G734" s="72"/>
      <c r="H734" s="17"/>
      <c r="I734" s="41" t="str" cm="1">
        <f t="array" ref="I734">IFERROR(_xlfn.IFS(H734="Hard (Cash)","N/A",H734="Soft (In-Kind)", "Enter Source"),"Select Type")</f>
        <v>Select Type</v>
      </c>
      <c r="J734" s="124"/>
      <c r="K734" s="41" t="str">
        <f>IFERROR(VLOOKUP($J734,'Project Reference'!$S$2:$T$41,2),"Enter Project Number")</f>
        <v>Enter Project Number</v>
      </c>
      <c r="L734" s="41"/>
      <c r="M734" s="41"/>
      <c r="N734" s="15">
        <f t="shared" si="11"/>
        <v>0</v>
      </c>
      <c r="O734" s="19"/>
      <c r="P734" s="42" t="str">
        <f>IFERROR(VLOOKUP($J734,'Project Reference'!$B$2:$C$41,2)," ")</f>
        <v xml:space="preserve"> </v>
      </c>
      <c r="Q734" s="42" t="str">
        <f>IFERROR(VLOOKUP($J734,'Project Reference'!$B$2:$D$41,3)," ")</f>
        <v xml:space="preserve"> </v>
      </c>
      <c r="R734" s="42" t="str">
        <f>IFERROR(VLOOKUP($J734,'Project Reference'!$B$2:$E$41,4)," ")</f>
        <v xml:space="preserve"> </v>
      </c>
      <c r="S734" s="42" t="str">
        <f>IFERROR(VLOOKUP($J734,'Project Reference'!$B$2:$F$41,5,FALSE)," ")</f>
        <v xml:space="preserve"> </v>
      </c>
      <c r="T734" s="42" t="str">
        <f>IFERROR(VLOOKUP($J734,'Project Reference'!$B$2:$G$41,6,FALSE)," ")</f>
        <v xml:space="preserve"> </v>
      </c>
      <c r="U734" s="42" t="str">
        <f>IFERROR(VLOOKUP($J734,'Project Reference'!$B$2:$H$41,7,FALSE)," ")</f>
        <v xml:space="preserve"> </v>
      </c>
      <c r="V734" s="42" t="str">
        <f>IFERROR(VLOOKUP($J734,'Project Reference'!$B$2:$I$41,8,FALSE)," ")</f>
        <v xml:space="preserve"> </v>
      </c>
      <c r="W734" s="42" t="str">
        <f>IFERROR(VLOOKUP($J734,'Project Reference'!$B$2:$J$41,9,FALSE)," ")</f>
        <v xml:space="preserve"> </v>
      </c>
      <c r="X734" s="42" t="str">
        <f>IFERROR(VLOOKUP($J734,'Project Reference'!$B$2:$K$41,10)," ")</f>
        <v xml:space="preserve"> </v>
      </c>
      <c r="Y734" s="42" t="str">
        <f>IFERROR(VLOOKUP($J734,'Project Reference'!$B$2:$L$41,11)," ")</f>
        <v xml:space="preserve"> </v>
      </c>
      <c r="Z734" s="42" t="str">
        <f>IFERROR(VLOOKUP($J734,'Project Reference'!$B$2:$M$41,12)," ")</f>
        <v xml:space="preserve"> </v>
      </c>
      <c r="AA734" s="42" t="str">
        <f>IFERROR(VLOOKUP($J734,'Project Reference'!$B$2:$N$41,13)," ")</f>
        <v xml:space="preserve"> </v>
      </c>
    </row>
    <row r="735" spans="1:27" x14ac:dyDescent="0.45">
      <c r="A735" s="43"/>
      <c r="B735" s="205"/>
      <c r="C735"/>
      <c r="D735" s="72"/>
      <c r="E735" s="72"/>
      <c r="F735" s="72"/>
      <c r="G735" s="72"/>
      <c r="H735" s="17"/>
      <c r="I735" s="41" t="str" cm="1">
        <f t="array" ref="I735">IFERROR(_xlfn.IFS(H735="Hard (Cash)","N/A",H735="Soft (In-Kind)", "Enter Source"),"Select Type")</f>
        <v>Select Type</v>
      </c>
      <c r="J735" s="124"/>
      <c r="K735" s="41" t="str">
        <f>IFERROR(VLOOKUP($J735,'Project Reference'!$S$2:$T$41,2),"Enter Project Number")</f>
        <v>Enter Project Number</v>
      </c>
      <c r="L735" s="41"/>
      <c r="M735" s="41"/>
      <c r="N735" s="15">
        <f t="shared" si="11"/>
        <v>0</v>
      </c>
      <c r="O735" s="19"/>
      <c r="P735" s="42" t="str">
        <f>IFERROR(VLOOKUP($J735,'Project Reference'!$B$2:$C$41,2)," ")</f>
        <v xml:space="preserve"> </v>
      </c>
      <c r="Q735" s="42" t="str">
        <f>IFERROR(VLOOKUP($J735,'Project Reference'!$B$2:$D$41,3)," ")</f>
        <v xml:space="preserve"> </v>
      </c>
      <c r="R735" s="42" t="str">
        <f>IFERROR(VLOOKUP($J735,'Project Reference'!$B$2:$E$41,4)," ")</f>
        <v xml:space="preserve"> </v>
      </c>
      <c r="S735" s="42" t="str">
        <f>IFERROR(VLOOKUP($J735,'Project Reference'!$B$2:$F$41,5,FALSE)," ")</f>
        <v xml:space="preserve"> </v>
      </c>
      <c r="T735" s="42" t="str">
        <f>IFERROR(VLOOKUP($J735,'Project Reference'!$B$2:$G$41,6,FALSE)," ")</f>
        <v xml:space="preserve"> </v>
      </c>
      <c r="U735" s="42" t="str">
        <f>IFERROR(VLOOKUP($J735,'Project Reference'!$B$2:$H$41,7,FALSE)," ")</f>
        <v xml:space="preserve"> </v>
      </c>
      <c r="V735" s="42" t="str">
        <f>IFERROR(VLOOKUP($J735,'Project Reference'!$B$2:$I$41,8,FALSE)," ")</f>
        <v xml:space="preserve"> </v>
      </c>
      <c r="W735" s="42" t="str">
        <f>IFERROR(VLOOKUP($J735,'Project Reference'!$B$2:$J$41,9,FALSE)," ")</f>
        <v xml:space="preserve"> </v>
      </c>
      <c r="X735" s="42" t="str">
        <f>IFERROR(VLOOKUP($J735,'Project Reference'!$B$2:$K$41,10)," ")</f>
        <v xml:space="preserve"> </v>
      </c>
      <c r="Y735" s="42" t="str">
        <f>IFERROR(VLOOKUP($J735,'Project Reference'!$B$2:$L$41,11)," ")</f>
        <v xml:space="preserve"> </v>
      </c>
      <c r="Z735" s="42" t="str">
        <f>IFERROR(VLOOKUP($J735,'Project Reference'!$B$2:$M$41,12)," ")</f>
        <v xml:space="preserve"> </v>
      </c>
      <c r="AA735" s="42" t="str">
        <f>IFERROR(VLOOKUP($J735,'Project Reference'!$B$2:$N$41,13)," ")</f>
        <v xml:space="preserve"> </v>
      </c>
    </row>
    <row r="736" spans="1:27" x14ac:dyDescent="0.45">
      <c r="A736" s="43"/>
      <c r="B736" s="205"/>
      <c r="C736"/>
      <c r="D736" s="72"/>
      <c r="E736" s="72"/>
      <c r="F736" s="72"/>
      <c r="G736" s="72"/>
      <c r="H736" s="17"/>
      <c r="I736" s="41" t="str" cm="1">
        <f t="array" ref="I736">IFERROR(_xlfn.IFS(H736="Hard (Cash)","N/A",H736="Soft (In-Kind)", "Enter Source"),"Select Type")</f>
        <v>Select Type</v>
      </c>
      <c r="J736" s="124"/>
      <c r="K736" s="41" t="str">
        <f>IFERROR(VLOOKUP($J736,'Project Reference'!$S$2:$T$41,2),"Enter Project Number")</f>
        <v>Enter Project Number</v>
      </c>
      <c r="L736" s="41"/>
      <c r="M736" s="41"/>
      <c r="N736" s="15">
        <f t="shared" si="11"/>
        <v>0</v>
      </c>
      <c r="O736" s="19"/>
      <c r="P736" s="42" t="str">
        <f>IFERROR(VLOOKUP($J736,'Project Reference'!$B$2:$C$41,2)," ")</f>
        <v xml:space="preserve"> </v>
      </c>
      <c r="Q736" s="42" t="str">
        <f>IFERROR(VLOOKUP($J736,'Project Reference'!$B$2:$D$41,3)," ")</f>
        <v xml:space="preserve"> </v>
      </c>
      <c r="R736" s="42" t="str">
        <f>IFERROR(VLOOKUP($J736,'Project Reference'!$B$2:$E$41,4)," ")</f>
        <v xml:space="preserve"> </v>
      </c>
      <c r="S736" s="42" t="str">
        <f>IFERROR(VLOOKUP($J736,'Project Reference'!$B$2:$F$41,5,FALSE)," ")</f>
        <v xml:space="preserve"> </v>
      </c>
      <c r="T736" s="42" t="str">
        <f>IFERROR(VLOOKUP($J736,'Project Reference'!$B$2:$G$41,6,FALSE)," ")</f>
        <v xml:space="preserve"> </v>
      </c>
      <c r="U736" s="42" t="str">
        <f>IFERROR(VLOOKUP($J736,'Project Reference'!$B$2:$H$41,7,FALSE)," ")</f>
        <v xml:space="preserve"> </v>
      </c>
      <c r="V736" s="42" t="str">
        <f>IFERROR(VLOOKUP($J736,'Project Reference'!$B$2:$I$41,8,FALSE)," ")</f>
        <v xml:space="preserve"> </v>
      </c>
      <c r="W736" s="42" t="str">
        <f>IFERROR(VLOOKUP($J736,'Project Reference'!$B$2:$J$41,9,FALSE)," ")</f>
        <v xml:space="preserve"> </v>
      </c>
      <c r="X736" s="42" t="str">
        <f>IFERROR(VLOOKUP($J736,'Project Reference'!$B$2:$K$41,10)," ")</f>
        <v xml:space="preserve"> </v>
      </c>
      <c r="Y736" s="42" t="str">
        <f>IFERROR(VLOOKUP($J736,'Project Reference'!$B$2:$L$41,11)," ")</f>
        <v xml:space="preserve"> </v>
      </c>
      <c r="Z736" s="42" t="str">
        <f>IFERROR(VLOOKUP($J736,'Project Reference'!$B$2:$M$41,12)," ")</f>
        <v xml:space="preserve"> </v>
      </c>
      <c r="AA736" s="42" t="str">
        <f>IFERROR(VLOOKUP($J736,'Project Reference'!$B$2:$N$41,13)," ")</f>
        <v xml:space="preserve"> </v>
      </c>
    </row>
    <row r="737" spans="1:27" x14ac:dyDescent="0.45">
      <c r="A737" s="43"/>
      <c r="B737" s="205"/>
      <c r="C737"/>
      <c r="D737" s="72"/>
      <c r="E737" s="72"/>
      <c r="F737" s="72"/>
      <c r="G737" s="72"/>
      <c r="H737" s="17"/>
      <c r="I737" s="41" t="str" cm="1">
        <f t="array" ref="I737">IFERROR(_xlfn.IFS(H737="Hard (Cash)","N/A",H737="Soft (In-Kind)", "Enter Source"),"Select Type")</f>
        <v>Select Type</v>
      </c>
      <c r="J737" s="124"/>
      <c r="K737" s="41" t="str">
        <f>IFERROR(VLOOKUP($J737,'Project Reference'!$S$2:$T$41,2),"Enter Project Number")</f>
        <v>Enter Project Number</v>
      </c>
      <c r="L737" s="41"/>
      <c r="M737" s="41"/>
      <c r="N737" s="15">
        <f t="shared" si="11"/>
        <v>0</v>
      </c>
      <c r="O737" s="19"/>
      <c r="P737" s="42" t="str">
        <f>IFERROR(VLOOKUP($J737,'Project Reference'!$B$2:$C$41,2)," ")</f>
        <v xml:space="preserve"> </v>
      </c>
      <c r="Q737" s="42" t="str">
        <f>IFERROR(VLOOKUP($J737,'Project Reference'!$B$2:$D$41,3)," ")</f>
        <v xml:space="preserve"> </v>
      </c>
      <c r="R737" s="42" t="str">
        <f>IFERROR(VLOOKUP($J737,'Project Reference'!$B$2:$E$41,4)," ")</f>
        <v xml:space="preserve"> </v>
      </c>
      <c r="S737" s="42" t="str">
        <f>IFERROR(VLOOKUP($J737,'Project Reference'!$B$2:$F$41,5,FALSE)," ")</f>
        <v xml:space="preserve"> </v>
      </c>
      <c r="T737" s="42" t="str">
        <f>IFERROR(VLOOKUP($J737,'Project Reference'!$B$2:$G$41,6,FALSE)," ")</f>
        <v xml:space="preserve"> </v>
      </c>
      <c r="U737" s="42" t="str">
        <f>IFERROR(VLOOKUP($J737,'Project Reference'!$B$2:$H$41,7,FALSE)," ")</f>
        <v xml:space="preserve"> </v>
      </c>
      <c r="V737" s="42" t="str">
        <f>IFERROR(VLOOKUP($J737,'Project Reference'!$B$2:$I$41,8,FALSE)," ")</f>
        <v xml:space="preserve"> </v>
      </c>
      <c r="W737" s="42" t="str">
        <f>IFERROR(VLOOKUP($J737,'Project Reference'!$B$2:$J$41,9,FALSE)," ")</f>
        <v xml:space="preserve"> </v>
      </c>
      <c r="X737" s="42" t="str">
        <f>IFERROR(VLOOKUP($J737,'Project Reference'!$B$2:$K$41,10)," ")</f>
        <v xml:space="preserve"> </v>
      </c>
      <c r="Y737" s="42" t="str">
        <f>IFERROR(VLOOKUP($J737,'Project Reference'!$B$2:$L$41,11)," ")</f>
        <v xml:space="preserve"> </v>
      </c>
      <c r="Z737" s="42" t="str">
        <f>IFERROR(VLOOKUP($J737,'Project Reference'!$B$2:$M$41,12)," ")</f>
        <v xml:space="preserve"> </v>
      </c>
      <c r="AA737" s="42" t="str">
        <f>IFERROR(VLOOKUP($J737,'Project Reference'!$B$2:$N$41,13)," ")</f>
        <v xml:space="preserve"> </v>
      </c>
    </row>
    <row r="738" spans="1:27" x14ac:dyDescent="0.45">
      <c r="A738" s="43"/>
      <c r="B738" s="205"/>
      <c r="C738"/>
      <c r="D738" s="72"/>
      <c r="E738" s="72"/>
      <c r="F738" s="72"/>
      <c r="G738" s="72"/>
      <c r="H738" s="17"/>
      <c r="I738" s="41" t="str" cm="1">
        <f t="array" ref="I738">IFERROR(_xlfn.IFS(H738="Hard (Cash)","N/A",H738="Soft (In-Kind)", "Enter Source"),"Select Type")</f>
        <v>Select Type</v>
      </c>
      <c r="J738" s="124"/>
      <c r="K738" s="41" t="str">
        <f>IFERROR(VLOOKUP($J738,'Project Reference'!$S$2:$T$41,2),"Enter Project Number")</f>
        <v>Enter Project Number</v>
      </c>
      <c r="L738" s="41"/>
      <c r="M738" s="41"/>
      <c r="N738" s="15">
        <f t="shared" si="11"/>
        <v>0</v>
      </c>
      <c r="O738" s="19"/>
      <c r="P738" s="42" t="str">
        <f>IFERROR(VLOOKUP($J738,'Project Reference'!$B$2:$C$41,2)," ")</f>
        <v xml:space="preserve"> </v>
      </c>
      <c r="Q738" s="42" t="str">
        <f>IFERROR(VLOOKUP($J738,'Project Reference'!$B$2:$D$41,3)," ")</f>
        <v xml:space="preserve"> </v>
      </c>
      <c r="R738" s="42" t="str">
        <f>IFERROR(VLOOKUP($J738,'Project Reference'!$B$2:$E$41,4)," ")</f>
        <v xml:space="preserve"> </v>
      </c>
      <c r="S738" s="42" t="str">
        <f>IFERROR(VLOOKUP($J738,'Project Reference'!$B$2:$F$41,5,FALSE)," ")</f>
        <v xml:space="preserve"> </v>
      </c>
      <c r="T738" s="42" t="str">
        <f>IFERROR(VLOOKUP($J738,'Project Reference'!$B$2:$G$41,6,FALSE)," ")</f>
        <v xml:space="preserve"> </v>
      </c>
      <c r="U738" s="42" t="str">
        <f>IFERROR(VLOOKUP($J738,'Project Reference'!$B$2:$H$41,7,FALSE)," ")</f>
        <v xml:space="preserve"> </v>
      </c>
      <c r="V738" s="42" t="str">
        <f>IFERROR(VLOOKUP($J738,'Project Reference'!$B$2:$I$41,8,FALSE)," ")</f>
        <v xml:space="preserve"> </v>
      </c>
      <c r="W738" s="42" t="str">
        <f>IFERROR(VLOOKUP($J738,'Project Reference'!$B$2:$J$41,9,FALSE)," ")</f>
        <v xml:space="preserve"> </v>
      </c>
      <c r="X738" s="42" t="str">
        <f>IFERROR(VLOOKUP($J738,'Project Reference'!$B$2:$K$41,10)," ")</f>
        <v xml:space="preserve"> </v>
      </c>
      <c r="Y738" s="42" t="str">
        <f>IFERROR(VLOOKUP($J738,'Project Reference'!$B$2:$L$41,11)," ")</f>
        <v xml:space="preserve"> </v>
      </c>
      <c r="Z738" s="42" t="str">
        <f>IFERROR(VLOOKUP($J738,'Project Reference'!$B$2:$M$41,12)," ")</f>
        <v xml:space="preserve"> </v>
      </c>
      <c r="AA738" s="42" t="str">
        <f>IFERROR(VLOOKUP($J738,'Project Reference'!$B$2:$N$41,13)," ")</f>
        <v xml:space="preserve"> </v>
      </c>
    </row>
    <row r="739" spans="1:27" x14ac:dyDescent="0.45">
      <c r="A739" s="43"/>
      <c r="B739" s="205"/>
      <c r="C739"/>
      <c r="D739" s="72"/>
      <c r="E739" s="72"/>
      <c r="F739" s="72"/>
      <c r="G739" s="72"/>
      <c r="H739" s="17"/>
      <c r="I739" s="41" t="str" cm="1">
        <f t="array" ref="I739">IFERROR(_xlfn.IFS(H739="Hard (Cash)","N/A",H739="Soft (In-Kind)", "Enter Source"),"Select Type")</f>
        <v>Select Type</v>
      </c>
      <c r="J739" s="124"/>
      <c r="K739" s="41" t="str">
        <f>IFERROR(VLOOKUP($J739,'Project Reference'!$S$2:$T$41,2),"Enter Project Number")</f>
        <v>Enter Project Number</v>
      </c>
      <c r="L739" s="41"/>
      <c r="M739" s="41"/>
      <c r="N739" s="15">
        <f t="shared" si="11"/>
        <v>0</v>
      </c>
      <c r="O739" s="19"/>
      <c r="P739" s="42" t="str">
        <f>IFERROR(VLOOKUP($J739,'Project Reference'!$B$2:$C$41,2)," ")</f>
        <v xml:space="preserve"> </v>
      </c>
      <c r="Q739" s="42" t="str">
        <f>IFERROR(VLOOKUP($J739,'Project Reference'!$B$2:$D$41,3)," ")</f>
        <v xml:space="preserve"> </v>
      </c>
      <c r="R739" s="42" t="str">
        <f>IFERROR(VLOOKUP($J739,'Project Reference'!$B$2:$E$41,4)," ")</f>
        <v xml:space="preserve"> </v>
      </c>
      <c r="S739" s="42" t="str">
        <f>IFERROR(VLOOKUP($J739,'Project Reference'!$B$2:$F$41,5,FALSE)," ")</f>
        <v xml:space="preserve"> </v>
      </c>
      <c r="T739" s="42" t="str">
        <f>IFERROR(VLOOKUP($J739,'Project Reference'!$B$2:$G$41,6,FALSE)," ")</f>
        <v xml:space="preserve"> </v>
      </c>
      <c r="U739" s="42" t="str">
        <f>IFERROR(VLOOKUP($J739,'Project Reference'!$B$2:$H$41,7,FALSE)," ")</f>
        <v xml:space="preserve"> </v>
      </c>
      <c r="V739" s="42" t="str">
        <f>IFERROR(VLOOKUP($J739,'Project Reference'!$B$2:$I$41,8,FALSE)," ")</f>
        <v xml:space="preserve"> </v>
      </c>
      <c r="W739" s="42" t="str">
        <f>IFERROR(VLOOKUP($J739,'Project Reference'!$B$2:$J$41,9,FALSE)," ")</f>
        <v xml:space="preserve"> </v>
      </c>
      <c r="X739" s="42" t="str">
        <f>IFERROR(VLOOKUP($J739,'Project Reference'!$B$2:$K$41,10)," ")</f>
        <v xml:space="preserve"> </v>
      </c>
      <c r="Y739" s="42" t="str">
        <f>IFERROR(VLOOKUP($J739,'Project Reference'!$B$2:$L$41,11)," ")</f>
        <v xml:space="preserve"> </v>
      </c>
      <c r="Z739" s="42" t="str">
        <f>IFERROR(VLOOKUP($J739,'Project Reference'!$B$2:$M$41,12)," ")</f>
        <v xml:space="preserve"> </v>
      </c>
      <c r="AA739" s="42" t="str">
        <f>IFERROR(VLOOKUP($J739,'Project Reference'!$B$2:$N$41,13)," ")</f>
        <v xml:space="preserve"> </v>
      </c>
    </row>
    <row r="740" spans="1:27" x14ac:dyDescent="0.45">
      <c r="A740" s="43"/>
      <c r="B740" s="205"/>
      <c r="C740"/>
      <c r="D740" s="72"/>
      <c r="E740" s="72"/>
      <c r="F740" s="72"/>
      <c r="G740" s="72"/>
      <c r="H740" s="17"/>
      <c r="I740" s="41" t="str" cm="1">
        <f t="array" ref="I740">IFERROR(_xlfn.IFS(H740="Hard (Cash)","N/A",H740="Soft (In-Kind)", "Enter Source"),"Select Type")</f>
        <v>Select Type</v>
      </c>
      <c r="J740" s="124"/>
      <c r="K740" s="41" t="str">
        <f>IFERROR(VLOOKUP($J740,'Project Reference'!$S$2:$T$41,2),"Enter Project Number")</f>
        <v>Enter Project Number</v>
      </c>
      <c r="L740" s="41"/>
      <c r="M740" s="41"/>
      <c r="N740" s="15">
        <f t="shared" si="11"/>
        <v>0</v>
      </c>
      <c r="O740" s="19"/>
      <c r="P740" s="42" t="str">
        <f>IFERROR(VLOOKUP($J740,'Project Reference'!$B$2:$C$41,2)," ")</f>
        <v xml:space="preserve"> </v>
      </c>
      <c r="Q740" s="42" t="str">
        <f>IFERROR(VLOOKUP($J740,'Project Reference'!$B$2:$D$41,3)," ")</f>
        <v xml:space="preserve"> </v>
      </c>
      <c r="R740" s="42" t="str">
        <f>IFERROR(VLOOKUP($J740,'Project Reference'!$B$2:$E$41,4)," ")</f>
        <v xml:space="preserve"> </v>
      </c>
      <c r="S740" s="42" t="str">
        <f>IFERROR(VLOOKUP($J740,'Project Reference'!$B$2:$F$41,5,FALSE)," ")</f>
        <v xml:space="preserve"> </v>
      </c>
      <c r="T740" s="42" t="str">
        <f>IFERROR(VLOOKUP($J740,'Project Reference'!$B$2:$G$41,6,FALSE)," ")</f>
        <v xml:space="preserve"> </v>
      </c>
      <c r="U740" s="42" t="str">
        <f>IFERROR(VLOOKUP($J740,'Project Reference'!$B$2:$H$41,7,FALSE)," ")</f>
        <v xml:space="preserve"> </v>
      </c>
      <c r="V740" s="42" t="str">
        <f>IFERROR(VLOOKUP($J740,'Project Reference'!$B$2:$I$41,8,FALSE)," ")</f>
        <v xml:space="preserve"> </v>
      </c>
      <c r="W740" s="42" t="str">
        <f>IFERROR(VLOOKUP($J740,'Project Reference'!$B$2:$J$41,9,FALSE)," ")</f>
        <v xml:space="preserve"> </v>
      </c>
      <c r="X740" s="42" t="str">
        <f>IFERROR(VLOOKUP($J740,'Project Reference'!$B$2:$K$41,10)," ")</f>
        <v xml:space="preserve"> </v>
      </c>
      <c r="Y740" s="42" t="str">
        <f>IFERROR(VLOOKUP($J740,'Project Reference'!$B$2:$L$41,11)," ")</f>
        <v xml:space="preserve"> </v>
      </c>
      <c r="Z740" s="42" t="str">
        <f>IFERROR(VLOOKUP($J740,'Project Reference'!$B$2:$M$41,12)," ")</f>
        <v xml:space="preserve"> </v>
      </c>
      <c r="AA740" s="42" t="str">
        <f>IFERROR(VLOOKUP($J740,'Project Reference'!$B$2:$N$41,13)," ")</f>
        <v xml:space="preserve"> </v>
      </c>
    </row>
    <row r="741" spans="1:27" x14ac:dyDescent="0.45">
      <c r="A741" s="43"/>
      <c r="B741" s="205"/>
      <c r="C741"/>
      <c r="D741" s="72"/>
      <c r="E741" s="72"/>
      <c r="F741" s="72"/>
      <c r="G741" s="72"/>
      <c r="H741" s="17"/>
      <c r="I741" s="41" t="str" cm="1">
        <f t="array" ref="I741">IFERROR(_xlfn.IFS(H741="Hard (Cash)","N/A",H741="Soft (In-Kind)", "Enter Source"),"Select Type")</f>
        <v>Select Type</v>
      </c>
      <c r="J741" s="124"/>
      <c r="K741" s="41" t="str">
        <f>IFERROR(VLOOKUP($J741,'Project Reference'!$S$2:$T$41,2),"Enter Project Number")</f>
        <v>Enter Project Number</v>
      </c>
      <c r="L741" s="41"/>
      <c r="M741" s="41"/>
      <c r="N741" s="15">
        <f t="shared" si="11"/>
        <v>0</v>
      </c>
      <c r="O741" s="19"/>
      <c r="P741" s="42" t="str">
        <f>IFERROR(VLOOKUP($J741,'Project Reference'!$B$2:$C$41,2)," ")</f>
        <v xml:space="preserve"> </v>
      </c>
      <c r="Q741" s="42" t="str">
        <f>IFERROR(VLOOKUP($J741,'Project Reference'!$B$2:$D$41,3)," ")</f>
        <v xml:space="preserve"> </v>
      </c>
      <c r="R741" s="42" t="str">
        <f>IFERROR(VLOOKUP($J741,'Project Reference'!$B$2:$E$41,4)," ")</f>
        <v xml:space="preserve"> </v>
      </c>
      <c r="S741" s="42" t="str">
        <f>IFERROR(VLOOKUP($J741,'Project Reference'!$B$2:$F$41,5,FALSE)," ")</f>
        <v xml:space="preserve"> </v>
      </c>
      <c r="T741" s="42" t="str">
        <f>IFERROR(VLOOKUP($J741,'Project Reference'!$B$2:$G$41,6,FALSE)," ")</f>
        <v xml:space="preserve"> </v>
      </c>
      <c r="U741" s="42" t="str">
        <f>IFERROR(VLOOKUP($J741,'Project Reference'!$B$2:$H$41,7,FALSE)," ")</f>
        <v xml:space="preserve"> </v>
      </c>
      <c r="V741" s="42" t="str">
        <f>IFERROR(VLOOKUP($J741,'Project Reference'!$B$2:$I$41,8,FALSE)," ")</f>
        <v xml:space="preserve"> </v>
      </c>
      <c r="W741" s="42" t="str">
        <f>IFERROR(VLOOKUP($J741,'Project Reference'!$B$2:$J$41,9,FALSE)," ")</f>
        <v xml:space="preserve"> </v>
      </c>
      <c r="X741" s="42" t="str">
        <f>IFERROR(VLOOKUP($J741,'Project Reference'!$B$2:$K$41,10)," ")</f>
        <v xml:space="preserve"> </v>
      </c>
      <c r="Y741" s="42" t="str">
        <f>IFERROR(VLOOKUP($J741,'Project Reference'!$B$2:$L$41,11)," ")</f>
        <v xml:space="preserve"> </v>
      </c>
      <c r="Z741" s="42" t="str">
        <f>IFERROR(VLOOKUP($J741,'Project Reference'!$B$2:$M$41,12)," ")</f>
        <v xml:space="preserve"> </v>
      </c>
      <c r="AA741" s="42" t="str">
        <f>IFERROR(VLOOKUP($J741,'Project Reference'!$B$2:$N$41,13)," ")</f>
        <v xml:space="preserve"> </v>
      </c>
    </row>
    <row r="742" spans="1:27" x14ac:dyDescent="0.45">
      <c r="A742" s="43"/>
      <c r="B742" s="205"/>
      <c r="C742"/>
      <c r="D742" s="72"/>
      <c r="E742" s="72"/>
      <c r="F742" s="72"/>
      <c r="G742" s="72"/>
      <c r="H742" s="17"/>
      <c r="I742" s="41" t="str" cm="1">
        <f t="array" ref="I742">IFERROR(_xlfn.IFS(H742="Hard (Cash)","N/A",H742="Soft (In-Kind)", "Enter Source"),"Select Type")</f>
        <v>Select Type</v>
      </c>
      <c r="J742" s="124"/>
      <c r="K742" s="41" t="str">
        <f>IFERROR(VLOOKUP($J742,'Project Reference'!$S$2:$T$41,2),"Enter Project Number")</f>
        <v>Enter Project Number</v>
      </c>
      <c r="L742" s="41"/>
      <c r="M742" s="41"/>
      <c r="N742" s="15">
        <f t="shared" si="11"/>
        <v>0</v>
      </c>
      <c r="O742" s="19"/>
      <c r="P742" s="42" t="str">
        <f>IFERROR(VLOOKUP($J742,'Project Reference'!$B$2:$C$41,2)," ")</f>
        <v xml:space="preserve"> </v>
      </c>
      <c r="Q742" s="42" t="str">
        <f>IFERROR(VLOOKUP($J742,'Project Reference'!$B$2:$D$41,3)," ")</f>
        <v xml:space="preserve"> </v>
      </c>
      <c r="R742" s="42" t="str">
        <f>IFERROR(VLOOKUP($J742,'Project Reference'!$B$2:$E$41,4)," ")</f>
        <v xml:space="preserve"> </v>
      </c>
      <c r="S742" s="42" t="str">
        <f>IFERROR(VLOOKUP($J742,'Project Reference'!$B$2:$F$41,5,FALSE)," ")</f>
        <v xml:space="preserve"> </v>
      </c>
      <c r="T742" s="42" t="str">
        <f>IFERROR(VLOOKUP($J742,'Project Reference'!$B$2:$G$41,6,FALSE)," ")</f>
        <v xml:space="preserve"> </v>
      </c>
      <c r="U742" s="42" t="str">
        <f>IFERROR(VLOOKUP($J742,'Project Reference'!$B$2:$H$41,7,FALSE)," ")</f>
        <v xml:space="preserve"> </v>
      </c>
      <c r="V742" s="42" t="str">
        <f>IFERROR(VLOOKUP($J742,'Project Reference'!$B$2:$I$41,8,FALSE)," ")</f>
        <v xml:space="preserve"> </v>
      </c>
      <c r="W742" s="42" t="str">
        <f>IFERROR(VLOOKUP($J742,'Project Reference'!$B$2:$J$41,9,FALSE)," ")</f>
        <v xml:space="preserve"> </v>
      </c>
      <c r="X742" s="42" t="str">
        <f>IFERROR(VLOOKUP($J742,'Project Reference'!$B$2:$K$41,10)," ")</f>
        <v xml:space="preserve"> </v>
      </c>
      <c r="Y742" s="42" t="str">
        <f>IFERROR(VLOOKUP($J742,'Project Reference'!$B$2:$L$41,11)," ")</f>
        <v xml:space="preserve"> </v>
      </c>
      <c r="Z742" s="42" t="str">
        <f>IFERROR(VLOOKUP($J742,'Project Reference'!$B$2:$M$41,12)," ")</f>
        <v xml:space="preserve"> </v>
      </c>
      <c r="AA742" s="42" t="str">
        <f>IFERROR(VLOOKUP($J742,'Project Reference'!$B$2:$N$41,13)," ")</f>
        <v xml:space="preserve"> </v>
      </c>
    </row>
    <row r="743" spans="1:27" x14ac:dyDescent="0.45">
      <c r="A743" s="43"/>
      <c r="B743" s="205"/>
      <c r="C743"/>
      <c r="D743" s="72"/>
      <c r="E743" s="72"/>
      <c r="F743" s="72"/>
      <c r="G743" s="72"/>
      <c r="H743" s="17"/>
      <c r="I743" s="41" t="str" cm="1">
        <f t="array" ref="I743">IFERROR(_xlfn.IFS(H743="Hard (Cash)","N/A",H743="Soft (In-Kind)", "Enter Source"),"Select Type")</f>
        <v>Select Type</v>
      </c>
      <c r="J743" s="124"/>
      <c r="K743" s="41" t="str">
        <f>IFERROR(VLOOKUP($J743,'Project Reference'!$S$2:$T$41,2),"Enter Project Number")</f>
        <v>Enter Project Number</v>
      </c>
      <c r="L743" s="41"/>
      <c r="M743" s="41"/>
      <c r="N743" s="15">
        <f t="shared" si="11"/>
        <v>0</v>
      </c>
      <c r="O743" s="19"/>
      <c r="P743" s="42" t="str">
        <f>IFERROR(VLOOKUP($J743,'Project Reference'!$B$2:$C$41,2)," ")</f>
        <v xml:space="preserve"> </v>
      </c>
      <c r="Q743" s="42" t="str">
        <f>IFERROR(VLOOKUP($J743,'Project Reference'!$B$2:$D$41,3)," ")</f>
        <v xml:space="preserve"> </v>
      </c>
      <c r="R743" s="42" t="str">
        <f>IFERROR(VLOOKUP($J743,'Project Reference'!$B$2:$E$41,4)," ")</f>
        <v xml:space="preserve"> </v>
      </c>
      <c r="S743" s="42" t="str">
        <f>IFERROR(VLOOKUP($J743,'Project Reference'!$B$2:$F$41,5,FALSE)," ")</f>
        <v xml:space="preserve"> </v>
      </c>
      <c r="T743" s="42" t="str">
        <f>IFERROR(VLOOKUP($J743,'Project Reference'!$B$2:$G$41,6,FALSE)," ")</f>
        <v xml:space="preserve"> </v>
      </c>
      <c r="U743" s="42" t="str">
        <f>IFERROR(VLOOKUP($J743,'Project Reference'!$B$2:$H$41,7,FALSE)," ")</f>
        <v xml:space="preserve"> </v>
      </c>
      <c r="V743" s="42" t="str">
        <f>IFERROR(VLOOKUP($J743,'Project Reference'!$B$2:$I$41,8,FALSE)," ")</f>
        <v xml:space="preserve"> </v>
      </c>
      <c r="W743" s="42" t="str">
        <f>IFERROR(VLOOKUP($J743,'Project Reference'!$B$2:$J$41,9,FALSE)," ")</f>
        <v xml:space="preserve"> </v>
      </c>
      <c r="X743" s="42" t="str">
        <f>IFERROR(VLOOKUP($J743,'Project Reference'!$B$2:$K$41,10)," ")</f>
        <v xml:space="preserve"> </v>
      </c>
      <c r="Y743" s="42" t="str">
        <f>IFERROR(VLOOKUP($J743,'Project Reference'!$B$2:$L$41,11)," ")</f>
        <v xml:space="preserve"> </v>
      </c>
      <c r="Z743" s="42" t="str">
        <f>IFERROR(VLOOKUP($J743,'Project Reference'!$B$2:$M$41,12)," ")</f>
        <v xml:space="preserve"> </v>
      </c>
      <c r="AA743" s="42" t="str">
        <f>IFERROR(VLOOKUP($J743,'Project Reference'!$B$2:$N$41,13)," ")</f>
        <v xml:space="preserve"> </v>
      </c>
    </row>
    <row r="744" spans="1:27" x14ac:dyDescent="0.45">
      <c r="A744" s="43"/>
      <c r="B744" s="205"/>
      <c r="C744"/>
      <c r="D744" s="72"/>
      <c r="E744" s="72"/>
      <c r="F744" s="72"/>
      <c r="G744" s="72"/>
      <c r="H744" s="17"/>
      <c r="I744" s="41" t="str" cm="1">
        <f t="array" ref="I744">IFERROR(_xlfn.IFS(H744="Hard (Cash)","N/A",H744="Soft (In-Kind)", "Enter Source"),"Select Type")</f>
        <v>Select Type</v>
      </c>
      <c r="J744" s="124"/>
      <c r="K744" s="41" t="str">
        <f>IFERROR(VLOOKUP($J744,'Project Reference'!$S$2:$T$41,2),"Enter Project Number")</f>
        <v>Enter Project Number</v>
      </c>
      <c r="L744" s="41"/>
      <c r="M744" s="41"/>
      <c r="N744" s="15">
        <f t="shared" si="11"/>
        <v>0</v>
      </c>
      <c r="O744" s="19"/>
      <c r="P744" s="42" t="str">
        <f>IFERROR(VLOOKUP($J744,'Project Reference'!$B$2:$C$41,2)," ")</f>
        <v xml:space="preserve"> </v>
      </c>
      <c r="Q744" s="42" t="str">
        <f>IFERROR(VLOOKUP($J744,'Project Reference'!$B$2:$D$41,3)," ")</f>
        <v xml:space="preserve"> </v>
      </c>
      <c r="R744" s="42" t="str">
        <f>IFERROR(VLOOKUP($J744,'Project Reference'!$B$2:$E$41,4)," ")</f>
        <v xml:space="preserve"> </v>
      </c>
      <c r="S744" s="42" t="str">
        <f>IFERROR(VLOOKUP($J744,'Project Reference'!$B$2:$F$41,5,FALSE)," ")</f>
        <v xml:space="preserve"> </v>
      </c>
      <c r="T744" s="42" t="str">
        <f>IFERROR(VLOOKUP($J744,'Project Reference'!$B$2:$G$41,6,FALSE)," ")</f>
        <v xml:space="preserve"> </v>
      </c>
      <c r="U744" s="42" t="str">
        <f>IFERROR(VLOOKUP($J744,'Project Reference'!$B$2:$H$41,7,FALSE)," ")</f>
        <v xml:space="preserve"> </v>
      </c>
      <c r="V744" s="42" t="str">
        <f>IFERROR(VLOOKUP($J744,'Project Reference'!$B$2:$I$41,8,FALSE)," ")</f>
        <v xml:space="preserve"> </v>
      </c>
      <c r="W744" s="42" t="str">
        <f>IFERROR(VLOOKUP($J744,'Project Reference'!$B$2:$J$41,9,FALSE)," ")</f>
        <v xml:space="preserve"> </v>
      </c>
      <c r="X744" s="42" t="str">
        <f>IFERROR(VLOOKUP($J744,'Project Reference'!$B$2:$K$41,10)," ")</f>
        <v xml:space="preserve"> </v>
      </c>
      <c r="Y744" s="42" t="str">
        <f>IFERROR(VLOOKUP($J744,'Project Reference'!$B$2:$L$41,11)," ")</f>
        <v xml:space="preserve"> </v>
      </c>
      <c r="Z744" s="42" t="str">
        <f>IFERROR(VLOOKUP($J744,'Project Reference'!$B$2:$M$41,12)," ")</f>
        <v xml:space="preserve"> </v>
      </c>
      <c r="AA744" s="42" t="str">
        <f>IFERROR(VLOOKUP($J744,'Project Reference'!$B$2:$N$41,13)," ")</f>
        <v xml:space="preserve"> </v>
      </c>
    </row>
    <row r="745" spans="1:27" x14ac:dyDescent="0.45">
      <c r="A745" s="43"/>
      <c r="B745" s="205"/>
      <c r="C745"/>
      <c r="D745" s="72"/>
      <c r="E745" s="72"/>
      <c r="F745" s="72"/>
      <c r="G745" s="72"/>
      <c r="H745" s="17"/>
      <c r="I745" s="41" t="str" cm="1">
        <f t="array" ref="I745">IFERROR(_xlfn.IFS(H745="Hard (Cash)","N/A",H745="Soft (In-Kind)", "Enter Source"),"Select Type")</f>
        <v>Select Type</v>
      </c>
      <c r="J745" s="124"/>
      <c r="K745" s="41" t="str">
        <f>IFERROR(VLOOKUP($J745,'Project Reference'!$S$2:$T$41,2),"Enter Project Number")</f>
        <v>Enter Project Number</v>
      </c>
      <c r="L745" s="41"/>
      <c r="M745" s="41"/>
      <c r="N745" s="15">
        <f t="shared" si="11"/>
        <v>0</v>
      </c>
      <c r="O745" s="19"/>
      <c r="P745" s="42" t="str">
        <f>IFERROR(VLOOKUP($J745,'Project Reference'!$B$2:$C$41,2)," ")</f>
        <v xml:space="preserve"> </v>
      </c>
      <c r="Q745" s="42" t="str">
        <f>IFERROR(VLOOKUP($J745,'Project Reference'!$B$2:$D$41,3)," ")</f>
        <v xml:space="preserve"> </v>
      </c>
      <c r="R745" s="42" t="str">
        <f>IFERROR(VLOOKUP($J745,'Project Reference'!$B$2:$E$41,4)," ")</f>
        <v xml:space="preserve"> </v>
      </c>
      <c r="S745" s="42" t="str">
        <f>IFERROR(VLOOKUP($J745,'Project Reference'!$B$2:$F$41,5,FALSE)," ")</f>
        <v xml:space="preserve"> </v>
      </c>
      <c r="T745" s="42" t="str">
        <f>IFERROR(VLOOKUP($J745,'Project Reference'!$B$2:$G$41,6,FALSE)," ")</f>
        <v xml:space="preserve"> </v>
      </c>
      <c r="U745" s="42" t="str">
        <f>IFERROR(VLOOKUP($J745,'Project Reference'!$B$2:$H$41,7,FALSE)," ")</f>
        <v xml:space="preserve"> </v>
      </c>
      <c r="V745" s="42" t="str">
        <f>IFERROR(VLOOKUP($J745,'Project Reference'!$B$2:$I$41,8,FALSE)," ")</f>
        <v xml:space="preserve"> </v>
      </c>
      <c r="W745" s="42" t="str">
        <f>IFERROR(VLOOKUP($J745,'Project Reference'!$B$2:$J$41,9,FALSE)," ")</f>
        <v xml:space="preserve"> </v>
      </c>
      <c r="X745" s="42" t="str">
        <f>IFERROR(VLOOKUP($J745,'Project Reference'!$B$2:$K$41,10)," ")</f>
        <v xml:space="preserve"> </v>
      </c>
      <c r="Y745" s="42" t="str">
        <f>IFERROR(VLOOKUP($J745,'Project Reference'!$B$2:$L$41,11)," ")</f>
        <v xml:space="preserve"> </v>
      </c>
      <c r="Z745" s="42" t="str">
        <f>IFERROR(VLOOKUP($J745,'Project Reference'!$B$2:$M$41,12)," ")</f>
        <v xml:space="preserve"> </v>
      </c>
      <c r="AA745" s="42" t="str">
        <f>IFERROR(VLOOKUP($J745,'Project Reference'!$B$2:$N$41,13)," ")</f>
        <v xml:space="preserve"> </v>
      </c>
    </row>
    <row r="746" spans="1:27" x14ac:dyDescent="0.45">
      <c r="A746" s="43"/>
      <c r="B746" s="205"/>
      <c r="C746"/>
      <c r="D746" s="72"/>
      <c r="E746" s="72"/>
      <c r="F746" s="72"/>
      <c r="G746" s="72"/>
      <c r="H746" s="17"/>
      <c r="I746" s="41" t="str" cm="1">
        <f t="array" ref="I746">IFERROR(_xlfn.IFS(H746="Hard (Cash)","N/A",H746="Soft (In-Kind)", "Enter Source"),"Select Type")</f>
        <v>Select Type</v>
      </c>
      <c r="J746" s="124"/>
      <c r="K746" s="41" t="str">
        <f>IFERROR(VLOOKUP($J746,'Project Reference'!$S$2:$T$41,2),"Enter Project Number")</f>
        <v>Enter Project Number</v>
      </c>
      <c r="L746" s="41"/>
      <c r="M746" s="41"/>
      <c r="N746" s="15">
        <f t="shared" si="11"/>
        <v>0</v>
      </c>
      <c r="O746" s="19"/>
      <c r="P746" s="42" t="str">
        <f>IFERROR(VLOOKUP($J746,'Project Reference'!$B$2:$C$41,2)," ")</f>
        <v xml:space="preserve"> </v>
      </c>
      <c r="Q746" s="42" t="str">
        <f>IFERROR(VLOOKUP($J746,'Project Reference'!$B$2:$D$41,3)," ")</f>
        <v xml:space="preserve"> </v>
      </c>
      <c r="R746" s="42" t="str">
        <f>IFERROR(VLOOKUP($J746,'Project Reference'!$B$2:$E$41,4)," ")</f>
        <v xml:space="preserve"> </v>
      </c>
      <c r="S746" s="42" t="str">
        <f>IFERROR(VLOOKUP($J746,'Project Reference'!$B$2:$F$41,5,FALSE)," ")</f>
        <v xml:space="preserve"> </v>
      </c>
      <c r="T746" s="42" t="str">
        <f>IFERROR(VLOOKUP($J746,'Project Reference'!$B$2:$G$41,6,FALSE)," ")</f>
        <v xml:space="preserve"> </v>
      </c>
      <c r="U746" s="42" t="str">
        <f>IFERROR(VLOOKUP($J746,'Project Reference'!$B$2:$H$41,7,FALSE)," ")</f>
        <v xml:space="preserve"> </v>
      </c>
      <c r="V746" s="42" t="str">
        <f>IFERROR(VLOOKUP($J746,'Project Reference'!$B$2:$I$41,8,FALSE)," ")</f>
        <v xml:space="preserve"> </v>
      </c>
      <c r="W746" s="42" t="str">
        <f>IFERROR(VLOOKUP($J746,'Project Reference'!$B$2:$J$41,9,FALSE)," ")</f>
        <v xml:space="preserve"> </v>
      </c>
      <c r="X746" s="42" t="str">
        <f>IFERROR(VLOOKUP($J746,'Project Reference'!$B$2:$K$41,10)," ")</f>
        <v xml:space="preserve"> </v>
      </c>
      <c r="Y746" s="42" t="str">
        <f>IFERROR(VLOOKUP($J746,'Project Reference'!$B$2:$L$41,11)," ")</f>
        <v xml:space="preserve"> </v>
      </c>
      <c r="Z746" s="42" t="str">
        <f>IFERROR(VLOOKUP($J746,'Project Reference'!$B$2:$M$41,12)," ")</f>
        <v xml:space="preserve"> </v>
      </c>
      <c r="AA746" s="42" t="str">
        <f>IFERROR(VLOOKUP($J746,'Project Reference'!$B$2:$N$41,13)," ")</f>
        <v xml:space="preserve"> </v>
      </c>
    </row>
    <row r="747" spans="1:27" x14ac:dyDescent="0.45">
      <c r="A747" s="43"/>
      <c r="B747" s="205"/>
      <c r="C747"/>
      <c r="D747" s="72"/>
      <c r="E747" s="72"/>
      <c r="F747" s="72"/>
      <c r="G747" s="72"/>
      <c r="H747" s="17"/>
      <c r="I747" s="41" t="str" cm="1">
        <f t="array" ref="I747">IFERROR(_xlfn.IFS(H747="Hard (Cash)","N/A",H747="Soft (In-Kind)", "Enter Source"),"Select Type")</f>
        <v>Select Type</v>
      </c>
      <c r="J747" s="124"/>
      <c r="K747" s="41" t="str">
        <f>IFERROR(VLOOKUP($J747,'Project Reference'!$S$2:$T$41,2),"Enter Project Number")</f>
        <v>Enter Project Number</v>
      </c>
      <c r="L747" s="41"/>
      <c r="M747" s="41"/>
      <c r="N747" s="15">
        <f t="shared" si="11"/>
        <v>0</v>
      </c>
      <c r="O747" s="19"/>
      <c r="P747" s="42" t="str">
        <f>IFERROR(VLOOKUP($J747,'Project Reference'!$B$2:$C$41,2)," ")</f>
        <v xml:space="preserve"> </v>
      </c>
      <c r="Q747" s="42" t="str">
        <f>IFERROR(VLOOKUP($J747,'Project Reference'!$B$2:$D$41,3)," ")</f>
        <v xml:space="preserve"> </v>
      </c>
      <c r="R747" s="42" t="str">
        <f>IFERROR(VLOOKUP($J747,'Project Reference'!$B$2:$E$41,4)," ")</f>
        <v xml:space="preserve"> </v>
      </c>
      <c r="S747" s="42" t="str">
        <f>IFERROR(VLOOKUP($J747,'Project Reference'!$B$2:$F$41,5,FALSE)," ")</f>
        <v xml:space="preserve"> </v>
      </c>
      <c r="T747" s="42" t="str">
        <f>IFERROR(VLOOKUP($J747,'Project Reference'!$B$2:$G$41,6,FALSE)," ")</f>
        <v xml:space="preserve"> </v>
      </c>
      <c r="U747" s="42" t="str">
        <f>IFERROR(VLOOKUP($J747,'Project Reference'!$B$2:$H$41,7,FALSE)," ")</f>
        <v xml:space="preserve"> </v>
      </c>
      <c r="V747" s="42" t="str">
        <f>IFERROR(VLOOKUP($J747,'Project Reference'!$B$2:$I$41,8,FALSE)," ")</f>
        <v xml:space="preserve"> </v>
      </c>
      <c r="W747" s="42" t="str">
        <f>IFERROR(VLOOKUP($J747,'Project Reference'!$B$2:$J$41,9,FALSE)," ")</f>
        <v xml:space="preserve"> </v>
      </c>
      <c r="X747" s="42" t="str">
        <f>IFERROR(VLOOKUP($J747,'Project Reference'!$B$2:$K$41,10)," ")</f>
        <v xml:space="preserve"> </v>
      </c>
      <c r="Y747" s="42" t="str">
        <f>IFERROR(VLOOKUP($J747,'Project Reference'!$B$2:$L$41,11)," ")</f>
        <v xml:space="preserve"> </v>
      </c>
      <c r="Z747" s="42" t="str">
        <f>IFERROR(VLOOKUP($J747,'Project Reference'!$B$2:$M$41,12)," ")</f>
        <v xml:space="preserve"> </v>
      </c>
      <c r="AA747" s="42" t="str">
        <f>IFERROR(VLOOKUP($J747,'Project Reference'!$B$2:$N$41,13)," ")</f>
        <v xml:space="preserve"> </v>
      </c>
    </row>
    <row r="748" spans="1:27" x14ac:dyDescent="0.45">
      <c r="A748" s="43"/>
      <c r="B748" s="205"/>
      <c r="C748"/>
      <c r="D748" s="72"/>
      <c r="E748" s="72"/>
      <c r="F748" s="72"/>
      <c r="G748" s="72"/>
      <c r="H748" s="17"/>
      <c r="I748" s="41" t="str" cm="1">
        <f t="array" ref="I748">IFERROR(_xlfn.IFS(H748="Hard (Cash)","N/A",H748="Soft (In-Kind)", "Enter Source"),"Select Type")</f>
        <v>Select Type</v>
      </c>
      <c r="J748" s="124"/>
      <c r="K748" s="41" t="str">
        <f>IFERROR(VLOOKUP($J748,'Project Reference'!$S$2:$T$41,2),"Enter Project Number")</f>
        <v>Enter Project Number</v>
      </c>
      <c r="L748" s="41"/>
      <c r="M748" s="41"/>
      <c r="N748" s="15">
        <f t="shared" si="11"/>
        <v>0</v>
      </c>
      <c r="O748" s="19"/>
      <c r="P748" s="42" t="str">
        <f>IFERROR(VLOOKUP($J748,'Project Reference'!$B$2:$C$41,2)," ")</f>
        <v xml:space="preserve"> </v>
      </c>
      <c r="Q748" s="42" t="str">
        <f>IFERROR(VLOOKUP($J748,'Project Reference'!$B$2:$D$41,3)," ")</f>
        <v xml:space="preserve"> </v>
      </c>
      <c r="R748" s="42" t="str">
        <f>IFERROR(VLOOKUP($J748,'Project Reference'!$B$2:$E$41,4)," ")</f>
        <v xml:space="preserve"> </v>
      </c>
      <c r="S748" s="42" t="str">
        <f>IFERROR(VLOOKUP($J748,'Project Reference'!$B$2:$F$41,5,FALSE)," ")</f>
        <v xml:space="preserve"> </v>
      </c>
      <c r="T748" s="42" t="str">
        <f>IFERROR(VLOOKUP($J748,'Project Reference'!$B$2:$G$41,6,FALSE)," ")</f>
        <v xml:space="preserve"> </v>
      </c>
      <c r="U748" s="42" t="str">
        <f>IFERROR(VLOOKUP($J748,'Project Reference'!$B$2:$H$41,7,FALSE)," ")</f>
        <v xml:space="preserve"> </v>
      </c>
      <c r="V748" s="42" t="str">
        <f>IFERROR(VLOOKUP($J748,'Project Reference'!$B$2:$I$41,8,FALSE)," ")</f>
        <v xml:space="preserve"> </v>
      </c>
      <c r="W748" s="42" t="str">
        <f>IFERROR(VLOOKUP($J748,'Project Reference'!$B$2:$J$41,9,FALSE)," ")</f>
        <v xml:space="preserve"> </v>
      </c>
      <c r="X748" s="42" t="str">
        <f>IFERROR(VLOOKUP($J748,'Project Reference'!$B$2:$K$41,10)," ")</f>
        <v xml:space="preserve"> </v>
      </c>
      <c r="Y748" s="42" t="str">
        <f>IFERROR(VLOOKUP($J748,'Project Reference'!$B$2:$L$41,11)," ")</f>
        <v xml:space="preserve"> </v>
      </c>
      <c r="Z748" s="42" t="str">
        <f>IFERROR(VLOOKUP($J748,'Project Reference'!$B$2:$M$41,12)," ")</f>
        <v xml:space="preserve"> </v>
      </c>
      <c r="AA748" s="42" t="str">
        <f>IFERROR(VLOOKUP($J748,'Project Reference'!$B$2:$N$41,13)," ")</f>
        <v xml:space="preserve"> </v>
      </c>
    </row>
    <row r="749" spans="1:27" x14ac:dyDescent="0.45">
      <c r="A749" s="43"/>
      <c r="B749" s="205"/>
      <c r="C749"/>
      <c r="D749" s="72"/>
      <c r="E749" s="72"/>
      <c r="F749" s="72"/>
      <c r="G749" s="72"/>
      <c r="H749" s="17"/>
      <c r="I749" s="41" t="str" cm="1">
        <f t="array" ref="I749">IFERROR(_xlfn.IFS(H749="Hard (Cash)","N/A",H749="Soft (In-Kind)", "Enter Source"),"Select Type")</f>
        <v>Select Type</v>
      </c>
      <c r="J749" s="124"/>
      <c r="K749" s="41" t="str">
        <f>IFERROR(VLOOKUP($J749,'Project Reference'!$S$2:$T$41,2),"Enter Project Number")</f>
        <v>Enter Project Number</v>
      </c>
      <c r="L749" s="41"/>
      <c r="M749" s="41"/>
      <c r="N749" s="15">
        <f t="shared" si="11"/>
        <v>0</v>
      </c>
      <c r="O749" s="19"/>
      <c r="P749" s="42" t="str">
        <f>IFERROR(VLOOKUP($J749,'Project Reference'!$B$2:$C$41,2)," ")</f>
        <v xml:space="preserve"> </v>
      </c>
      <c r="Q749" s="42" t="str">
        <f>IFERROR(VLOOKUP($J749,'Project Reference'!$B$2:$D$41,3)," ")</f>
        <v xml:space="preserve"> </v>
      </c>
      <c r="R749" s="42" t="str">
        <f>IFERROR(VLOOKUP($J749,'Project Reference'!$B$2:$E$41,4)," ")</f>
        <v xml:space="preserve"> </v>
      </c>
      <c r="S749" s="42" t="str">
        <f>IFERROR(VLOOKUP($J749,'Project Reference'!$B$2:$F$41,5,FALSE)," ")</f>
        <v xml:space="preserve"> </v>
      </c>
      <c r="T749" s="42" t="str">
        <f>IFERROR(VLOOKUP($J749,'Project Reference'!$B$2:$G$41,6,FALSE)," ")</f>
        <v xml:space="preserve"> </v>
      </c>
      <c r="U749" s="42" t="str">
        <f>IFERROR(VLOOKUP($J749,'Project Reference'!$B$2:$H$41,7,FALSE)," ")</f>
        <v xml:space="preserve"> </v>
      </c>
      <c r="V749" s="42" t="str">
        <f>IFERROR(VLOOKUP($J749,'Project Reference'!$B$2:$I$41,8,FALSE)," ")</f>
        <v xml:space="preserve"> </v>
      </c>
      <c r="W749" s="42" t="str">
        <f>IFERROR(VLOOKUP($J749,'Project Reference'!$B$2:$J$41,9,FALSE)," ")</f>
        <v xml:space="preserve"> </v>
      </c>
      <c r="X749" s="42" t="str">
        <f>IFERROR(VLOOKUP($J749,'Project Reference'!$B$2:$K$41,10)," ")</f>
        <v xml:space="preserve"> </v>
      </c>
      <c r="Y749" s="42" t="str">
        <f>IFERROR(VLOOKUP($J749,'Project Reference'!$B$2:$L$41,11)," ")</f>
        <v xml:space="preserve"> </v>
      </c>
      <c r="Z749" s="42" t="str">
        <f>IFERROR(VLOOKUP($J749,'Project Reference'!$B$2:$M$41,12)," ")</f>
        <v xml:space="preserve"> </v>
      </c>
      <c r="AA749" s="42" t="str">
        <f>IFERROR(VLOOKUP($J749,'Project Reference'!$B$2:$N$41,13)," ")</f>
        <v xml:space="preserve"> </v>
      </c>
    </row>
    <row r="750" spans="1:27" x14ac:dyDescent="0.45">
      <c r="A750" s="43"/>
      <c r="B750" s="205"/>
      <c r="C750"/>
      <c r="D750" s="72"/>
      <c r="E750" s="72"/>
      <c r="F750" s="72"/>
      <c r="G750" s="72"/>
      <c r="H750" s="17"/>
      <c r="I750" s="41" t="str" cm="1">
        <f t="array" ref="I750">IFERROR(_xlfn.IFS(H750="Hard (Cash)","N/A",H750="Soft (In-Kind)", "Enter Source"),"Select Type")</f>
        <v>Select Type</v>
      </c>
      <c r="J750" s="124"/>
      <c r="K750" s="41" t="str">
        <f>IFERROR(VLOOKUP($J750,'Project Reference'!$S$2:$T$41,2),"Enter Project Number")</f>
        <v>Enter Project Number</v>
      </c>
      <c r="L750" s="41"/>
      <c r="M750" s="41"/>
      <c r="N750" s="15">
        <f t="shared" si="11"/>
        <v>0</v>
      </c>
      <c r="O750" s="19"/>
      <c r="P750" s="42" t="str">
        <f>IFERROR(VLOOKUP($J750,'Project Reference'!$B$2:$C$41,2)," ")</f>
        <v xml:space="preserve"> </v>
      </c>
      <c r="Q750" s="42" t="str">
        <f>IFERROR(VLOOKUP($J750,'Project Reference'!$B$2:$D$41,3)," ")</f>
        <v xml:space="preserve"> </v>
      </c>
      <c r="R750" s="42" t="str">
        <f>IFERROR(VLOOKUP($J750,'Project Reference'!$B$2:$E$41,4)," ")</f>
        <v xml:space="preserve"> </v>
      </c>
      <c r="S750" s="42" t="str">
        <f>IFERROR(VLOOKUP($J750,'Project Reference'!$B$2:$F$41,5,FALSE)," ")</f>
        <v xml:space="preserve"> </v>
      </c>
      <c r="T750" s="42" t="str">
        <f>IFERROR(VLOOKUP($J750,'Project Reference'!$B$2:$G$41,6,FALSE)," ")</f>
        <v xml:space="preserve"> </v>
      </c>
      <c r="U750" s="42" t="str">
        <f>IFERROR(VLOOKUP($J750,'Project Reference'!$B$2:$H$41,7,FALSE)," ")</f>
        <v xml:space="preserve"> </v>
      </c>
      <c r="V750" s="42" t="str">
        <f>IFERROR(VLOOKUP($J750,'Project Reference'!$B$2:$I$41,8,FALSE)," ")</f>
        <v xml:space="preserve"> </v>
      </c>
      <c r="W750" s="42" t="str">
        <f>IFERROR(VLOOKUP($J750,'Project Reference'!$B$2:$J$41,9,FALSE)," ")</f>
        <v xml:space="preserve"> </v>
      </c>
      <c r="X750" s="42" t="str">
        <f>IFERROR(VLOOKUP($J750,'Project Reference'!$B$2:$K$41,10)," ")</f>
        <v xml:space="preserve"> </v>
      </c>
      <c r="Y750" s="42" t="str">
        <f>IFERROR(VLOOKUP($J750,'Project Reference'!$B$2:$L$41,11)," ")</f>
        <v xml:space="preserve"> </v>
      </c>
      <c r="Z750" s="42" t="str">
        <f>IFERROR(VLOOKUP($J750,'Project Reference'!$B$2:$M$41,12)," ")</f>
        <v xml:space="preserve"> </v>
      </c>
      <c r="AA750" s="42" t="str">
        <f>IFERROR(VLOOKUP($J750,'Project Reference'!$B$2:$N$41,13)," ")</f>
        <v xml:space="preserve"> </v>
      </c>
    </row>
    <row r="751" spans="1:27" x14ac:dyDescent="0.45">
      <c r="A751" s="43"/>
      <c r="B751" s="205"/>
      <c r="C751"/>
      <c r="D751" s="72"/>
      <c r="E751" s="72"/>
      <c r="F751" s="72"/>
      <c r="G751" s="72"/>
      <c r="H751" s="17"/>
      <c r="I751" s="41" t="str" cm="1">
        <f t="array" ref="I751">IFERROR(_xlfn.IFS(H751="Hard (Cash)","N/A",H751="Soft (In-Kind)", "Enter Source"),"Select Type")</f>
        <v>Select Type</v>
      </c>
      <c r="J751" s="124"/>
      <c r="K751" s="41" t="str">
        <f>IFERROR(VLOOKUP($J751,'Project Reference'!$S$2:$T$41,2),"Enter Project Number")</f>
        <v>Enter Project Number</v>
      </c>
      <c r="L751" s="41"/>
      <c r="M751" s="41"/>
      <c r="N751" s="15">
        <f t="shared" si="11"/>
        <v>0</v>
      </c>
      <c r="O751" s="19"/>
      <c r="P751" s="42" t="str">
        <f>IFERROR(VLOOKUP($J751,'Project Reference'!$B$2:$C$41,2)," ")</f>
        <v xml:space="preserve"> </v>
      </c>
      <c r="Q751" s="42" t="str">
        <f>IFERROR(VLOOKUP($J751,'Project Reference'!$B$2:$D$41,3)," ")</f>
        <v xml:space="preserve"> </v>
      </c>
      <c r="R751" s="42" t="str">
        <f>IFERROR(VLOOKUP($J751,'Project Reference'!$B$2:$E$41,4)," ")</f>
        <v xml:space="preserve"> </v>
      </c>
      <c r="S751" s="42" t="str">
        <f>IFERROR(VLOOKUP($J751,'Project Reference'!$B$2:$F$41,5,FALSE)," ")</f>
        <v xml:space="preserve"> </v>
      </c>
      <c r="T751" s="42" t="str">
        <f>IFERROR(VLOOKUP($J751,'Project Reference'!$B$2:$G$41,6,FALSE)," ")</f>
        <v xml:space="preserve"> </v>
      </c>
      <c r="U751" s="42" t="str">
        <f>IFERROR(VLOOKUP($J751,'Project Reference'!$B$2:$H$41,7,FALSE)," ")</f>
        <v xml:space="preserve"> </v>
      </c>
      <c r="V751" s="42" t="str">
        <f>IFERROR(VLOOKUP($J751,'Project Reference'!$B$2:$I$41,8,FALSE)," ")</f>
        <v xml:space="preserve"> </v>
      </c>
      <c r="W751" s="42" t="str">
        <f>IFERROR(VLOOKUP($J751,'Project Reference'!$B$2:$J$41,9,FALSE)," ")</f>
        <v xml:space="preserve"> </v>
      </c>
      <c r="X751" s="42" t="str">
        <f>IFERROR(VLOOKUP($J751,'Project Reference'!$B$2:$K$41,10)," ")</f>
        <v xml:space="preserve"> </v>
      </c>
      <c r="Y751" s="42" t="str">
        <f>IFERROR(VLOOKUP($J751,'Project Reference'!$B$2:$L$41,11)," ")</f>
        <v xml:space="preserve"> </v>
      </c>
      <c r="Z751" s="42" t="str">
        <f>IFERROR(VLOOKUP($J751,'Project Reference'!$B$2:$M$41,12)," ")</f>
        <v xml:space="preserve"> </v>
      </c>
      <c r="AA751" s="42" t="str">
        <f>IFERROR(VLOOKUP($J751,'Project Reference'!$B$2:$N$41,13)," ")</f>
        <v xml:space="preserve"> </v>
      </c>
    </row>
    <row r="752" spans="1:27" x14ac:dyDescent="0.45">
      <c r="A752" s="43"/>
      <c r="B752" s="205"/>
      <c r="C752"/>
      <c r="D752" s="72"/>
      <c r="E752" s="72"/>
      <c r="F752" s="72"/>
      <c r="G752" s="72"/>
      <c r="H752" s="17"/>
      <c r="I752" s="41" t="str" cm="1">
        <f t="array" ref="I752">IFERROR(_xlfn.IFS(H752="Hard (Cash)","N/A",H752="Soft (In-Kind)", "Enter Source"),"Select Type")</f>
        <v>Select Type</v>
      </c>
      <c r="J752" s="124"/>
      <c r="K752" s="41" t="str">
        <f>IFERROR(VLOOKUP($J752,'Project Reference'!$S$2:$T$41,2),"Enter Project Number")</f>
        <v>Enter Project Number</v>
      </c>
      <c r="L752" s="41"/>
      <c r="M752" s="41"/>
      <c r="N752" s="15">
        <f t="shared" si="11"/>
        <v>0</v>
      </c>
      <c r="O752" s="19"/>
      <c r="P752" s="42" t="str">
        <f>IFERROR(VLOOKUP($J752,'Project Reference'!$B$2:$C$41,2)," ")</f>
        <v xml:space="preserve"> </v>
      </c>
      <c r="Q752" s="42" t="str">
        <f>IFERROR(VLOOKUP($J752,'Project Reference'!$B$2:$D$41,3)," ")</f>
        <v xml:space="preserve"> </v>
      </c>
      <c r="R752" s="42" t="str">
        <f>IFERROR(VLOOKUP($J752,'Project Reference'!$B$2:$E$41,4)," ")</f>
        <v xml:space="preserve"> </v>
      </c>
      <c r="S752" s="42" t="str">
        <f>IFERROR(VLOOKUP($J752,'Project Reference'!$B$2:$F$41,5,FALSE)," ")</f>
        <v xml:space="preserve"> </v>
      </c>
      <c r="T752" s="42" t="str">
        <f>IFERROR(VLOOKUP($J752,'Project Reference'!$B$2:$G$41,6,FALSE)," ")</f>
        <v xml:space="preserve"> </v>
      </c>
      <c r="U752" s="42" t="str">
        <f>IFERROR(VLOOKUP($J752,'Project Reference'!$B$2:$H$41,7,FALSE)," ")</f>
        <v xml:space="preserve"> </v>
      </c>
      <c r="V752" s="42" t="str">
        <f>IFERROR(VLOOKUP($J752,'Project Reference'!$B$2:$I$41,8,FALSE)," ")</f>
        <v xml:space="preserve"> </v>
      </c>
      <c r="W752" s="42" t="str">
        <f>IFERROR(VLOOKUP($J752,'Project Reference'!$B$2:$J$41,9,FALSE)," ")</f>
        <v xml:space="preserve"> </v>
      </c>
      <c r="X752" s="42" t="str">
        <f>IFERROR(VLOOKUP($J752,'Project Reference'!$B$2:$K$41,10)," ")</f>
        <v xml:space="preserve"> </v>
      </c>
      <c r="Y752" s="42" t="str">
        <f>IFERROR(VLOOKUP($J752,'Project Reference'!$B$2:$L$41,11)," ")</f>
        <v xml:space="preserve"> </v>
      </c>
      <c r="Z752" s="42" t="str">
        <f>IFERROR(VLOOKUP($J752,'Project Reference'!$B$2:$M$41,12)," ")</f>
        <v xml:space="preserve"> </v>
      </c>
      <c r="AA752" s="42" t="str">
        <f>IFERROR(VLOOKUP($J752,'Project Reference'!$B$2:$N$41,13)," ")</f>
        <v xml:space="preserve"> </v>
      </c>
    </row>
    <row r="753" spans="1:27" x14ac:dyDescent="0.45">
      <c r="A753" s="43"/>
      <c r="B753" s="205"/>
      <c r="C753"/>
      <c r="D753" s="72"/>
      <c r="E753" s="72"/>
      <c r="F753" s="72"/>
      <c r="G753" s="72"/>
      <c r="H753" s="17"/>
      <c r="I753" s="41" t="str" cm="1">
        <f t="array" ref="I753">IFERROR(_xlfn.IFS(H753="Hard (Cash)","N/A",H753="Soft (In-Kind)", "Enter Source"),"Select Type")</f>
        <v>Select Type</v>
      </c>
      <c r="J753" s="124"/>
      <c r="K753" s="41" t="str">
        <f>IFERROR(VLOOKUP($J753,'Project Reference'!$S$2:$T$41,2),"Enter Project Number")</f>
        <v>Enter Project Number</v>
      </c>
      <c r="L753" s="41"/>
      <c r="M753" s="41"/>
      <c r="N753" s="15">
        <f t="shared" ref="N753:N816" si="12">SUM(D753:G753)</f>
        <v>0</v>
      </c>
      <c r="O753" s="19"/>
      <c r="P753" s="42" t="str">
        <f>IFERROR(VLOOKUP($J753,'Project Reference'!$B$2:$C$41,2)," ")</f>
        <v xml:space="preserve"> </v>
      </c>
      <c r="Q753" s="42" t="str">
        <f>IFERROR(VLOOKUP($J753,'Project Reference'!$B$2:$D$41,3)," ")</f>
        <v xml:space="preserve"> </v>
      </c>
      <c r="R753" s="42" t="str">
        <f>IFERROR(VLOOKUP($J753,'Project Reference'!$B$2:$E$41,4)," ")</f>
        <v xml:space="preserve"> </v>
      </c>
      <c r="S753" s="42" t="str">
        <f>IFERROR(VLOOKUP($J753,'Project Reference'!$B$2:$F$41,5,FALSE)," ")</f>
        <v xml:space="preserve"> </v>
      </c>
      <c r="T753" s="42" t="str">
        <f>IFERROR(VLOOKUP($J753,'Project Reference'!$B$2:$G$41,6,FALSE)," ")</f>
        <v xml:space="preserve"> </v>
      </c>
      <c r="U753" s="42" t="str">
        <f>IFERROR(VLOOKUP($J753,'Project Reference'!$B$2:$H$41,7,FALSE)," ")</f>
        <v xml:space="preserve"> </v>
      </c>
      <c r="V753" s="42" t="str">
        <f>IFERROR(VLOOKUP($J753,'Project Reference'!$B$2:$I$41,8,FALSE)," ")</f>
        <v xml:space="preserve"> </v>
      </c>
      <c r="W753" s="42" t="str">
        <f>IFERROR(VLOOKUP($J753,'Project Reference'!$B$2:$J$41,9,FALSE)," ")</f>
        <v xml:space="preserve"> </v>
      </c>
      <c r="X753" s="42" t="str">
        <f>IFERROR(VLOOKUP($J753,'Project Reference'!$B$2:$K$41,10)," ")</f>
        <v xml:space="preserve"> </v>
      </c>
      <c r="Y753" s="42" t="str">
        <f>IFERROR(VLOOKUP($J753,'Project Reference'!$B$2:$L$41,11)," ")</f>
        <v xml:space="preserve"> </v>
      </c>
      <c r="Z753" s="42" t="str">
        <f>IFERROR(VLOOKUP($J753,'Project Reference'!$B$2:$M$41,12)," ")</f>
        <v xml:space="preserve"> </v>
      </c>
      <c r="AA753" s="42" t="str">
        <f>IFERROR(VLOOKUP($J753,'Project Reference'!$B$2:$N$41,13)," ")</f>
        <v xml:space="preserve"> </v>
      </c>
    </row>
    <row r="754" spans="1:27" x14ac:dyDescent="0.45">
      <c r="A754" s="43"/>
      <c r="B754" s="205"/>
      <c r="C754"/>
      <c r="D754" s="72"/>
      <c r="E754" s="72"/>
      <c r="F754" s="72"/>
      <c r="G754" s="72"/>
      <c r="H754" s="17"/>
      <c r="I754" s="41" t="str" cm="1">
        <f t="array" ref="I754">IFERROR(_xlfn.IFS(H754="Hard (Cash)","N/A",H754="Soft (In-Kind)", "Enter Source"),"Select Type")</f>
        <v>Select Type</v>
      </c>
      <c r="J754" s="124"/>
      <c r="K754" s="41" t="str">
        <f>IFERROR(VLOOKUP($J754,'Project Reference'!$S$2:$T$41,2),"Enter Project Number")</f>
        <v>Enter Project Number</v>
      </c>
      <c r="L754" s="41"/>
      <c r="M754" s="41"/>
      <c r="N754" s="15">
        <f t="shared" si="12"/>
        <v>0</v>
      </c>
      <c r="O754" s="19"/>
      <c r="P754" s="42" t="str">
        <f>IFERROR(VLOOKUP($J754,'Project Reference'!$B$2:$C$41,2)," ")</f>
        <v xml:space="preserve"> </v>
      </c>
      <c r="Q754" s="42" t="str">
        <f>IFERROR(VLOOKUP($J754,'Project Reference'!$B$2:$D$41,3)," ")</f>
        <v xml:space="preserve"> </v>
      </c>
      <c r="R754" s="42" t="str">
        <f>IFERROR(VLOOKUP($J754,'Project Reference'!$B$2:$E$41,4)," ")</f>
        <v xml:space="preserve"> </v>
      </c>
      <c r="S754" s="42" t="str">
        <f>IFERROR(VLOOKUP($J754,'Project Reference'!$B$2:$F$41,5,FALSE)," ")</f>
        <v xml:space="preserve"> </v>
      </c>
      <c r="T754" s="42" t="str">
        <f>IFERROR(VLOOKUP($J754,'Project Reference'!$B$2:$G$41,6,FALSE)," ")</f>
        <v xml:space="preserve"> </v>
      </c>
      <c r="U754" s="42" t="str">
        <f>IFERROR(VLOOKUP($J754,'Project Reference'!$B$2:$H$41,7,FALSE)," ")</f>
        <v xml:space="preserve"> </v>
      </c>
      <c r="V754" s="42" t="str">
        <f>IFERROR(VLOOKUP($J754,'Project Reference'!$B$2:$I$41,8,FALSE)," ")</f>
        <v xml:space="preserve"> </v>
      </c>
      <c r="W754" s="42" t="str">
        <f>IFERROR(VLOOKUP($J754,'Project Reference'!$B$2:$J$41,9,FALSE)," ")</f>
        <v xml:space="preserve"> </v>
      </c>
      <c r="X754" s="42" t="str">
        <f>IFERROR(VLOOKUP($J754,'Project Reference'!$B$2:$K$41,10)," ")</f>
        <v xml:space="preserve"> </v>
      </c>
      <c r="Y754" s="42" t="str">
        <f>IFERROR(VLOOKUP($J754,'Project Reference'!$B$2:$L$41,11)," ")</f>
        <v xml:space="preserve"> </v>
      </c>
      <c r="Z754" s="42" t="str">
        <f>IFERROR(VLOOKUP($J754,'Project Reference'!$B$2:$M$41,12)," ")</f>
        <v xml:space="preserve"> </v>
      </c>
      <c r="AA754" s="42" t="str">
        <f>IFERROR(VLOOKUP($J754,'Project Reference'!$B$2:$N$41,13)," ")</f>
        <v xml:space="preserve"> </v>
      </c>
    </row>
    <row r="755" spans="1:27" x14ac:dyDescent="0.45">
      <c r="A755" s="43"/>
      <c r="B755" s="205"/>
      <c r="C755"/>
      <c r="D755" s="72"/>
      <c r="E755" s="72"/>
      <c r="F755" s="72"/>
      <c r="G755" s="72"/>
      <c r="H755" s="17"/>
      <c r="I755" s="41" t="str" cm="1">
        <f t="array" ref="I755">IFERROR(_xlfn.IFS(H755="Hard (Cash)","N/A",H755="Soft (In-Kind)", "Enter Source"),"Select Type")</f>
        <v>Select Type</v>
      </c>
      <c r="J755" s="124"/>
      <c r="K755" s="41" t="str">
        <f>IFERROR(VLOOKUP($J755,'Project Reference'!$S$2:$T$41,2),"Enter Project Number")</f>
        <v>Enter Project Number</v>
      </c>
      <c r="L755" s="41"/>
      <c r="M755" s="41"/>
      <c r="N755" s="15">
        <f t="shared" si="12"/>
        <v>0</v>
      </c>
      <c r="O755" s="19"/>
      <c r="P755" s="42" t="str">
        <f>IFERROR(VLOOKUP($J755,'Project Reference'!$B$2:$C$41,2)," ")</f>
        <v xml:space="preserve"> </v>
      </c>
      <c r="Q755" s="42" t="str">
        <f>IFERROR(VLOOKUP($J755,'Project Reference'!$B$2:$D$41,3)," ")</f>
        <v xml:space="preserve"> </v>
      </c>
      <c r="R755" s="42" t="str">
        <f>IFERROR(VLOOKUP($J755,'Project Reference'!$B$2:$E$41,4)," ")</f>
        <v xml:space="preserve"> </v>
      </c>
      <c r="S755" s="42" t="str">
        <f>IFERROR(VLOOKUP($J755,'Project Reference'!$B$2:$F$41,5,FALSE)," ")</f>
        <v xml:space="preserve"> </v>
      </c>
      <c r="T755" s="42" t="str">
        <f>IFERROR(VLOOKUP($J755,'Project Reference'!$B$2:$G$41,6,FALSE)," ")</f>
        <v xml:space="preserve"> </v>
      </c>
      <c r="U755" s="42" t="str">
        <f>IFERROR(VLOOKUP($J755,'Project Reference'!$B$2:$H$41,7,FALSE)," ")</f>
        <v xml:space="preserve"> </v>
      </c>
      <c r="V755" s="42" t="str">
        <f>IFERROR(VLOOKUP($J755,'Project Reference'!$B$2:$I$41,8,FALSE)," ")</f>
        <v xml:space="preserve"> </v>
      </c>
      <c r="W755" s="42" t="str">
        <f>IFERROR(VLOOKUP($J755,'Project Reference'!$B$2:$J$41,9,FALSE)," ")</f>
        <v xml:space="preserve"> </v>
      </c>
      <c r="X755" s="42" t="str">
        <f>IFERROR(VLOOKUP($J755,'Project Reference'!$B$2:$K$41,10)," ")</f>
        <v xml:space="preserve"> </v>
      </c>
      <c r="Y755" s="42" t="str">
        <f>IFERROR(VLOOKUP($J755,'Project Reference'!$B$2:$L$41,11)," ")</f>
        <v xml:space="preserve"> </v>
      </c>
      <c r="Z755" s="42" t="str">
        <f>IFERROR(VLOOKUP($J755,'Project Reference'!$B$2:$M$41,12)," ")</f>
        <v xml:space="preserve"> </v>
      </c>
      <c r="AA755" s="42" t="str">
        <f>IFERROR(VLOOKUP($J755,'Project Reference'!$B$2:$N$41,13)," ")</f>
        <v xml:space="preserve"> </v>
      </c>
    </row>
    <row r="756" spans="1:27" x14ac:dyDescent="0.45">
      <c r="A756" s="43"/>
      <c r="B756" s="205"/>
      <c r="C756"/>
      <c r="D756" s="72"/>
      <c r="E756" s="72"/>
      <c r="F756" s="72"/>
      <c r="G756" s="72"/>
      <c r="H756" s="17"/>
      <c r="I756" s="41" t="str" cm="1">
        <f t="array" ref="I756">IFERROR(_xlfn.IFS(H756="Hard (Cash)","N/A",H756="Soft (In-Kind)", "Enter Source"),"Select Type")</f>
        <v>Select Type</v>
      </c>
      <c r="J756" s="124"/>
      <c r="K756" s="41" t="str">
        <f>IFERROR(VLOOKUP($J756,'Project Reference'!$S$2:$T$41,2),"Enter Project Number")</f>
        <v>Enter Project Number</v>
      </c>
      <c r="L756" s="41"/>
      <c r="M756" s="41"/>
      <c r="N756" s="15">
        <f t="shared" si="12"/>
        <v>0</v>
      </c>
      <c r="O756" s="19"/>
      <c r="P756" s="42" t="str">
        <f>IFERROR(VLOOKUP($J756,'Project Reference'!$B$2:$C$41,2)," ")</f>
        <v xml:space="preserve"> </v>
      </c>
      <c r="Q756" s="42" t="str">
        <f>IFERROR(VLOOKUP($J756,'Project Reference'!$B$2:$D$41,3)," ")</f>
        <v xml:space="preserve"> </v>
      </c>
      <c r="R756" s="42" t="str">
        <f>IFERROR(VLOOKUP($J756,'Project Reference'!$B$2:$E$41,4)," ")</f>
        <v xml:space="preserve"> </v>
      </c>
      <c r="S756" s="42" t="str">
        <f>IFERROR(VLOOKUP($J756,'Project Reference'!$B$2:$F$41,5,FALSE)," ")</f>
        <v xml:space="preserve"> </v>
      </c>
      <c r="T756" s="42" t="str">
        <f>IFERROR(VLOOKUP($J756,'Project Reference'!$B$2:$G$41,6,FALSE)," ")</f>
        <v xml:space="preserve"> </v>
      </c>
      <c r="U756" s="42" t="str">
        <f>IFERROR(VLOOKUP($J756,'Project Reference'!$B$2:$H$41,7,FALSE)," ")</f>
        <v xml:space="preserve"> </v>
      </c>
      <c r="V756" s="42" t="str">
        <f>IFERROR(VLOOKUP($J756,'Project Reference'!$B$2:$I$41,8,FALSE)," ")</f>
        <v xml:space="preserve"> </v>
      </c>
      <c r="W756" s="42" t="str">
        <f>IFERROR(VLOOKUP($J756,'Project Reference'!$B$2:$J$41,9,FALSE)," ")</f>
        <v xml:space="preserve"> </v>
      </c>
      <c r="X756" s="42" t="str">
        <f>IFERROR(VLOOKUP($J756,'Project Reference'!$B$2:$K$41,10)," ")</f>
        <v xml:space="preserve"> </v>
      </c>
      <c r="Y756" s="42" t="str">
        <f>IFERROR(VLOOKUP($J756,'Project Reference'!$B$2:$L$41,11)," ")</f>
        <v xml:space="preserve"> </v>
      </c>
      <c r="Z756" s="42" t="str">
        <f>IFERROR(VLOOKUP($J756,'Project Reference'!$B$2:$M$41,12)," ")</f>
        <v xml:space="preserve"> </v>
      </c>
      <c r="AA756" s="42" t="str">
        <f>IFERROR(VLOOKUP($J756,'Project Reference'!$B$2:$N$41,13)," ")</f>
        <v xml:space="preserve"> </v>
      </c>
    </row>
    <row r="757" spans="1:27" x14ac:dyDescent="0.45">
      <c r="A757" s="43"/>
      <c r="B757" s="205"/>
      <c r="C757"/>
      <c r="D757" s="72"/>
      <c r="E757" s="72"/>
      <c r="F757" s="72"/>
      <c r="G757" s="72"/>
      <c r="H757" s="17"/>
      <c r="I757" s="41" t="str" cm="1">
        <f t="array" ref="I757">IFERROR(_xlfn.IFS(H757="Hard (Cash)","N/A",H757="Soft (In-Kind)", "Enter Source"),"Select Type")</f>
        <v>Select Type</v>
      </c>
      <c r="J757" s="124"/>
      <c r="K757" s="41" t="str">
        <f>IFERROR(VLOOKUP($J757,'Project Reference'!$S$2:$T$41,2),"Enter Project Number")</f>
        <v>Enter Project Number</v>
      </c>
      <c r="L757" s="41"/>
      <c r="M757" s="41"/>
      <c r="N757" s="15">
        <f t="shared" si="12"/>
        <v>0</v>
      </c>
      <c r="O757" s="19"/>
      <c r="P757" s="42" t="str">
        <f>IFERROR(VLOOKUP($J757,'Project Reference'!$B$2:$C$41,2)," ")</f>
        <v xml:space="preserve"> </v>
      </c>
      <c r="Q757" s="42" t="str">
        <f>IFERROR(VLOOKUP($J757,'Project Reference'!$B$2:$D$41,3)," ")</f>
        <v xml:space="preserve"> </v>
      </c>
      <c r="R757" s="42" t="str">
        <f>IFERROR(VLOOKUP($J757,'Project Reference'!$B$2:$E$41,4)," ")</f>
        <v xml:space="preserve"> </v>
      </c>
      <c r="S757" s="42" t="str">
        <f>IFERROR(VLOOKUP($J757,'Project Reference'!$B$2:$F$41,5,FALSE)," ")</f>
        <v xml:space="preserve"> </v>
      </c>
      <c r="T757" s="42" t="str">
        <f>IFERROR(VLOOKUP($J757,'Project Reference'!$B$2:$G$41,6,FALSE)," ")</f>
        <v xml:space="preserve"> </v>
      </c>
      <c r="U757" s="42" t="str">
        <f>IFERROR(VLOOKUP($J757,'Project Reference'!$B$2:$H$41,7,FALSE)," ")</f>
        <v xml:space="preserve"> </v>
      </c>
      <c r="V757" s="42" t="str">
        <f>IFERROR(VLOOKUP($J757,'Project Reference'!$B$2:$I$41,8,FALSE)," ")</f>
        <v xml:space="preserve"> </v>
      </c>
      <c r="W757" s="42" t="str">
        <f>IFERROR(VLOOKUP($J757,'Project Reference'!$B$2:$J$41,9,FALSE)," ")</f>
        <v xml:space="preserve"> </v>
      </c>
      <c r="X757" s="42" t="str">
        <f>IFERROR(VLOOKUP($J757,'Project Reference'!$B$2:$K$41,10)," ")</f>
        <v xml:space="preserve"> </v>
      </c>
      <c r="Y757" s="42" t="str">
        <f>IFERROR(VLOOKUP($J757,'Project Reference'!$B$2:$L$41,11)," ")</f>
        <v xml:space="preserve"> </v>
      </c>
      <c r="Z757" s="42" t="str">
        <f>IFERROR(VLOOKUP($J757,'Project Reference'!$B$2:$M$41,12)," ")</f>
        <v xml:space="preserve"> </v>
      </c>
      <c r="AA757" s="42" t="str">
        <f>IFERROR(VLOOKUP($J757,'Project Reference'!$B$2:$N$41,13)," ")</f>
        <v xml:space="preserve"> </v>
      </c>
    </row>
    <row r="758" spans="1:27" x14ac:dyDescent="0.45">
      <c r="A758" s="43"/>
      <c r="B758" s="205"/>
      <c r="C758"/>
      <c r="D758" s="72"/>
      <c r="E758" s="72"/>
      <c r="F758" s="72"/>
      <c r="G758" s="72"/>
      <c r="H758" s="17"/>
      <c r="I758" s="41" t="str" cm="1">
        <f t="array" ref="I758">IFERROR(_xlfn.IFS(H758="Hard (Cash)","N/A",H758="Soft (In-Kind)", "Enter Source"),"Select Type")</f>
        <v>Select Type</v>
      </c>
      <c r="J758" s="124"/>
      <c r="K758" s="41" t="str">
        <f>IFERROR(VLOOKUP($J758,'Project Reference'!$S$2:$T$41,2),"Enter Project Number")</f>
        <v>Enter Project Number</v>
      </c>
      <c r="L758" s="41"/>
      <c r="M758" s="41"/>
      <c r="N758" s="15">
        <f t="shared" si="12"/>
        <v>0</v>
      </c>
      <c r="O758" s="19"/>
      <c r="P758" s="42" t="str">
        <f>IFERROR(VLOOKUP($J758,'Project Reference'!$B$2:$C$41,2)," ")</f>
        <v xml:space="preserve"> </v>
      </c>
      <c r="Q758" s="42" t="str">
        <f>IFERROR(VLOOKUP($J758,'Project Reference'!$B$2:$D$41,3)," ")</f>
        <v xml:space="preserve"> </v>
      </c>
      <c r="R758" s="42" t="str">
        <f>IFERROR(VLOOKUP($J758,'Project Reference'!$B$2:$E$41,4)," ")</f>
        <v xml:space="preserve"> </v>
      </c>
      <c r="S758" s="42" t="str">
        <f>IFERROR(VLOOKUP($J758,'Project Reference'!$B$2:$F$41,5,FALSE)," ")</f>
        <v xml:space="preserve"> </v>
      </c>
      <c r="T758" s="42" t="str">
        <f>IFERROR(VLOOKUP($J758,'Project Reference'!$B$2:$G$41,6,FALSE)," ")</f>
        <v xml:space="preserve"> </v>
      </c>
      <c r="U758" s="42" t="str">
        <f>IFERROR(VLOOKUP($J758,'Project Reference'!$B$2:$H$41,7,FALSE)," ")</f>
        <v xml:space="preserve"> </v>
      </c>
      <c r="V758" s="42" t="str">
        <f>IFERROR(VLOOKUP($J758,'Project Reference'!$B$2:$I$41,8,FALSE)," ")</f>
        <v xml:space="preserve"> </v>
      </c>
      <c r="W758" s="42" t="str">
        <f>IFERROR(VLOOKUP($J758,'Project Reference'!$B$2:$J$41,9,FALSE)," ")</f>
        <v xml:space="preserve"> </v>
      </c>
      <c r="X758" s="42" t="str">
        <f>IFERROR(VLOOKUP($J758,'Project Reference'!$B$2:$K$41,10)," ")</f>
        <v xml:space="preserve"> </v>
      </c>
      <c r="Y758" s="42" t="str">
        <f>IFERROR(VLOOKUP($J758,'Project Reference'!$B$2:$L$41,11)," ")</f>
        <v xml:space="preserve"> </v>
      </c>
      <c r="Z758" s="42" t="str">
        <f>IFERROR(VLOOKUP($J758,'Project Reference'!$B$2:$M$41,12)," ")</f>
        <v xml:space="preserve"> </v>
      </c>
      <c r="AA758" s="42" t="str">
        <f>IFERROR(VLOOKUP($J758,'Project Reference'!$B$2:$N$41,13)," ")</f>
        <v xml:space="preserve"> </v>
      </c>
    </row>
    <row r="759" spans="1:27" x14ac:dyDescent="0.45">
      <c r="A759" s="43"/>
      <c r="B759" s="205"/>
      <c r="C759"/>
      <c r="D759" s="72"/>
      <c r="E759" s="72"/>
      <c r="F759" s="72"/>
      <c r="G759" s="72"/>
      <c r="H759" s="17"/>
      <c r="I759" s="41" t="str" cm="1">
        <f t="array" ref="I759">IFERROR(_xlfn.IFS(H759="Hard (Cash)","N/A",H759="Soft (In-Kind)", "Enter Source"),"Select Type")</f>
        <v>Select Type</v>
      </c>
      <c r="J759" s="124"/>
      <c r="K759" s="41" t="str">
        <f>IFERROR(VLOOKUP($J759,'Project Reference'!$S$2:$T$41,2),"Enter Project Number")</f>
        <v>Enter Project Number</v>
      </c>
      <c r="L759" s="41"/>
      <c r="M759" s="41"/>
      <c r="N759" s="15">
        <f t="shared" si="12"/>
        <v>0</v>
      </c>
      <c r="O759" s="19"/>
      <c r="P759" s="42" t="str">
        <f>IFERROR(VLOOKUP($J759,'Project Reference'!$B$2:$C$41,2)," ")</f>
        <v xml:space="preserve"> </v>
      </c>
      <c r="Q759" s="42" t="str">
        <f>IFERROR(VLOOKUP($J759,'Project Reference'!$B$2:$D$41,3)," ")</f>
        <v xml:space="preserve"> </v>
      </c>
      <c r="R759" s="42" t="str">
        <f>IFERROR(VLOOKUP($J759,'Project Reference'!$B$2:$E$41,4)," ")</f>
        <v xml:space="preserve"> </v>
      </c>
      <c r="S759" s="42" t="str">
        <f>IFERROR(VLOOKUP($J759,'Project Reference'!$B$2:$F$41,5,FALSE)," ")</f>
        <v xml:space="preserve"> </v>
      </c>
      <c r="T759" s="42" t="str">
        <f>IFERROR(VLOOKUP($J759,'Project Reference'!$B$2:$G$41,6,FALSE)," ")</f>
        <v xml:space="preserve"> </v>
      </c>
      <c r="U759" s="42" t="str">
        <f>IFERROR(VLOOKUP($J759,'Project Reference'!$B$2:$H$41,7,FALSE)," ")</f>
        <v xml:space="preserve"> </v>
      </c>
      <c r="V759" s="42" t="str">
        <f>IFERROR(VLOOKUP($J759,'Project Reference'!$B$2:$I$41,8,FALSE)," ")</f>
        <v xml:space="preserve"> </v>
      </c>
      <c r="W759" s="42" t="str">
        <f>IFERROR(VLOOKUP($J759,'Project Reference'!$B$2:$J$41,9,FALSE)," ")</f>
        <v xml:space="preserve"> </v>
      </c>
      <c r="X759" s="42" t="str">
        <f>IFERROR(VLOOKUP($J759,'Project Reference'!$B$2:$K$41,10)," ")</f>
        <v xml:space="preserve"> </v>
      </c>
      <c r="Y759" s="42" t="str">
        <f>IFERROR(VLOOKUP($J759,'Project Reference'!$B$2:$L$41,11)," ")</f>
        <v xml:space="preserve"> </v>
      </c>
      <c r="Z759" s="42" t="str">
        <f>IFERROR(VLOOKUP($J759,'Project Reference'!$B$2:$M$41,12)," ")</f>
        <v xml:space="preserve"> </v>
      </c>
      <c r="AA759" s="42" t="str">
        <f>IFERROR(VLOOKUP($J759,'Project Reference'!$B$2:$N$41,13)," ")</f>
        <v xml:space="preserve"> </v>
      </c>
    </row>
    <row r="760" spans="1:27" x14ac:dyDescent="0.45">
      <c r="A760" s="43"/>
      <c r="B760" s="205"/>
      <c r="C760"/>
      <c r="D760" s="72"/>
      <c r="E760" s="72"/>
      <c r="F760" s="72"/>
      <c r="G760" s="72"/>
      <c r="H760" s="17"/>
      <c r="I760" s="41" t="str" cm="1">
        <f t="array" ref="I760">IFERROR(_xlfn.IFS(H760="Hard (Cash)","N/A",H760="Soft (In-Kind)", "Enter Source"),"Select Type")</f>
        <v>Select Type</v>
      </c>
      <c r="J760" s="124"/>
      <c r="K760" s="41" t="str">
        <f>IFERROR(VLOOKUP($J760,'Project Reference'!$S$2:$T$41,2),"Enter Project Number")</f>
        <v>Enter Project Number</v>
      </c>
      <c r="L760" s="41"/>
      <c r="M760" s="41"/>
      <c r="N760" s="15">
        <f t="shared" si="12"/>
        <v>0</v>
      </c>
      <c r="O760" s="19"/>
      <c r="P760" s="42" t="str">
        <f>IFERROR(VLOOKUP($J760,'Project Reference'!$B$2:$C$41,2)," ")</f>
        <v xml:space="preserve"> </v>
      </c>
      <c r="Q760" s="42" t="str">
        <f>IFERROR(VLOOKUP($J760,'Project Reference'!$B$2:$D$41,3)," ")</f>
        <v xml:space="preserve"> </v>
      </c>
      <c r="R760" s="42" t="str">
        <f>IFERROR(VLOOKUP($J760,'Project Reference'!$B$2:$E$41,4)," ")</f>
        <v xml:space="preserve"> </v>
      </c>
      <c r="S760" s="42" t="str">
        <f>IFERROR(VLOOKUP($J760,'Project Reference'!$B$2:$F$41,5,FALSE)," ")</f>
        <v xml:space="preserve"> </v>
      </c>
      <c r="T760" s="42" t="str">
        <f>IFERROR(VLOOKUP($J760,'Project Reference'!$B$2:$G$41,6,FALSE)," ")</f>
        <v xml:space="preserve"> </v>
      </c>
      <c r="U760" s="42" t="str">
        <f>IFERROR(VLOOKUP($J760,'Project Reference'!$B$2:$H$41,7,FALSE)," ")</f>
        <v xml:space="preserve"> </v>
      </c>
      <c r="V760" s="42" t="str">
        <f>IFERROR(VLOOKUP($J760,'Project Reference'!$B$2:$I$41,8,FALSE)," ")</f>
        <v xml:space="preserve"> </v>
      </c>
      <c r="W760" s="42" t="str">
        <f>IFERROR(VLOOKUP($J760,'Project Reference'!$B$2:$J$41,9,FALSE)," ")</f>
        <v xml:space="preserve"> </v>
      </c>
      <c r="X760" s="42" t="str">
        <f>IFERROR(VLOOKUP($J760,'Project Reference'!$B$2:$K$41,10)," ")</f>
        <v xml:space="preserve"> </v>
      </c>
      <c r="Y760" s="42" t="str">
        <f>IFERROR(VLOOKUP($J760,'Project Reference'!$B$2:$L$41,11)," ")</f>
        <v xml:space="preserve"> </v>
      </c>
      <c r="Z760" s="42" t="str">
        <f>IFERROR(VLOOKUP($J760,'Project Reference'!$B$2:$M$41,12)," ")</f>
        <v xml:space="preserve"> </v>
      </c>
      <c r="AA760" s="42" t="str">
        <f>IFERROR(VLOOKUP($J760,'Project Reference'!$B$2:$N$41,13)," ")</f>
        <v xml:space="preserve"> </v>
      </c>
    </row>
    <row r="761" spans="1:27" x14ac:dyDescent="0.45">
      <c r="A761" s="43"/>
      <c r="B761" s="205"/>
      <c r="C761"/>
      <c r="D761" s="72"/>
      <c r="E761" s="72"/>
      <c r="F761" s="72"/>
      <c r="G761" s="72"/>
      <c r="H761" s="17"/>
      <c r="I761" s="41" t="str" cm="1">
        <f t="array" ref="I761">IFERROR(_xlfn.IFS(H761="Hard (Cash)","N/A",H761="Soft (In-Kind)", "Enter Source"),"Select Type")</f>
        <v>Select Type</v>
      </c>
      <c r="J761" s="124"/>
      <c r="K761" s="41" t="str">
        <f>IFERROR(VLOOKUP($J761,'Project Reference'!$S$2:$T$41,2),"Enter Project Number")</f>
        <v>Enter Project Number</v>
      </c>
      <c r="L761" s="41"/>
      <c r="M761" s="41"/>
      <c r="N761" s="15">
        <f t="shared" si="12"/>
        <v>0</v>
      </c>
      <c r="O761" s="19"/>
      <c r="P761" s="42" t="str">
        <f>IFERROR(VLOOKUP($J761,'Project Reference'!$B$2:$C$41,2)," ")</f>
        <v xml:space="preserve"> </v>
      </c>
      <c r="Q761" s="42" t="str">
        <f>IFERROR(VLOOKUP($J761,'Project Reference'!$B$2:$D$41,3)," ")</f>
        <v xml:space="preserve"> </v>
      </c>
      <c r="R761" s="42" t="str">
        <f>IFERROR(VLOOKUP($J761,'Project Reference'!$B$2:$E$41,4)," ")</f>
        <v xml:space="preserve"> </v>
      </c>
      <c r="S761" s="42" t="str">
        <f>IFERROR(VLOOKUP($J761,'Project Reference'!$B$2:$F$41,5,FALSE)," ")</f>
        <v xml:space="preserve"> </v>
      </c>
      <c r="T761" s="42" t="str">
        <f>IFERROR(VLOOKUP($J761,'Project Reference'!$B$2:$G$41,6,FALSE)," ")</f>
        <v xml:space="preserve"> </v>
      </c>
      <c r="U761" s="42" t="str">
        <f>IFERROR(VLOOKUP($J761,'Project Reference'!$B$2:$H$41,7,FALSE)," ")</f>
        <v xml:space="preserve"> </v>
      </c>
      <c r="V761" s="42" t="str">
        <f>IFERROR(VLOOKUP($J761,'Project Reference'!$B$2:$I$41,8,FALSE)," ")</f>
        <v xml:space="preserve"> </v>
      </c>
      <c r="W761" s="42" t="str">
        <f>IFERROR(VLOOKUP($J761,'Project Reference'!$B$2:$J$41,9,FALSE)," ")</f>
        <v xml:space="preserve"> </v>
      </c>
      <c r="X761" s="42" t="str">
        <f>IFERROR(VLOOKUP($J761,'Project Reference'!$B$2:$K$41,10)," ")</f>
        <v xml:space="preserve"> </v>
      </c>
      <c r="Y761" s="42" t="str">
        <f>IFERROR(VLOOKUP($J761,'Project Reference'!$B$2:$L$41,11)," ")</f>
        <v xml:space="preserve"> </v>
      </c>
      <c r="Z761" s="42" t="str">
        <f>IFERROR(VLOOKUP($J761,'Project Reference'!$B$2:$M$41,12)," ")</f>
        <v xml:space="preserve"> </v>
      </c>
      <c r="AA761" s="42" t="str">
        <f>IFERROR(VLOOKUP($J761,'Project Reference'!$B$2:$N$41,13)," ")</f>
        <v xml:space="preserve"> </v>
      </c>
    </row>
    <row r="762" spans="1:27" x14ac:dyDescent="0.45">
      <c r="A762" s="43"/>
      <c r="B762" s="205"/>
      <c r="C762"/>
      <c r="D762" s="72"/>
      <c r="E762" s="72"/>
      <c r="F762" s="72"/>
      <c r="G762" s="72"/>
      <c r="H762" s="17"/>
      <c r="I762" s="41" t="str" cm="1">
        <f t="array" ref="I762">IFERROR(_xlfn.IFS(H762="Hard (Cash)","N/A",H762="Soft (In-Kind)", "Enter Source"),"Select Type")</f>
        <v>Select Type</v>
      </c>
      <c r="J762" s="124"/>
      <c r="K762" s="41" t="str">
        <f>IFERROR(VLOOKUP($J762,'Project Reference'!$S$2:$T$41,2),"Enter Project Number")</f>
        <v>Enter Project Number</v>
      </c>
      <c r="L762" s="41"/>
      <c r="M762" s="41"/>
      <c r="N762" s="15">
        <f t="shared" si="12"/>
        <v>0</v>
      </c>
      <c r="O762" s="19"/>
      <c r="P762" s="42" t="str">
        <f>IFERROR(VLOOKUP($J762,'Project Reference'!$B$2:$C$41,2)," ")</f>
        <v xml:space="preserve"> </v>
      </c>
      <c r="Q762" s="42" t="str">
        <f>IFERROR(VLOOKUP($J762,'Project Reference'!$B$2:$D$41,3)," ")</f>
        <v xml:space="preserve"> </v>
      </c>
      <c r="R762" s="42" t="str">
        <f>IFERROR(VLOOKUP($J762,'Project Reference'!$B$2:$E$41,4)," ")</f>
        <v xml:space="preserve"> </v>
      </c>
      <c r="S762" s="42" t="str">
        <f>IFERROR(VLOOKUP($J762,'Project Reference'!$B$2:$F$41,5,FALSE)," ")</f>
        <v xml:space="preserve"> </v>
      </c>
      <c r="T762" s="42" t="str">
        <f>IFERROR(VLOOKUP($J762,'Project Reference'!$B$2:$G$41,6,FALSE)," ")</f>
        <v xml:space="preserve"> </v>
      </c>
      <c r="U762" s="42" t="str">
        <f>IFERROR(VLOOKUP($J762,'Project Reference'!$B$2:$H$41,7,FALSE)," ")</f>
        <v xml:space="preserve"> </v>
      </c>
      <c r="V762" s="42" t="str">
        <f>IFERROR(VLOOKUP($J762,'Project Reference'!$B$2:$I$41,8,FALSE)," ")</f>
        <v xml:space="preserve"> </v>
      </c>
      <c r="W762" s="42" t="str">
        <f>IFERROR(VLOOKUP($J762,'Project Reference'!$B$2:$J$41,9,FALSE)," ")</f>
        <v xml:space="preserve"> </v>
      </c>
      <c r="X762" s="42" t="str">
        <f>IFERROR(VLOOKUP($J762,'Project Reference'!$B$2:$K$41,10)," ")</f>
        <v xml:space="preserve"> </v>
      </c>
      <c r="Y762" s="42" t="str">
        <f>IFERROR(VLOOKUP($J762,'Project Reference'!$B$2:$L$41,11)," ")</f>
        <v xml:space="preserve"> </v>
      </c>
      <c r="Z762" s="42" t="str">
        <f>IFERROR(VLOOKUP($J762,'Project Reference'!$B$2:$M$41,12)," ")</f>
        <v xml:space="preserve"> </v>
      </c>
      <c r="AA762" s="42" t="str">
        <f>IFERROR(VLOOKUP($J762,'Project Reference'!$B$2:$N$41,13)," ")</f>
        <v xml:space="preserve"> </v>
      </c>
    </row>
    <row r="763" spans="1:27" x14ac:dyDescent="0.45">
      <c r="A763" s="43"/>
      <c r="B763" s="205"/>
      <c r="C763"/>
      <c r="D763" s="72"/>
      <c r="E763" s="72"/>
      <c r="F763" s="72"/>
      <c r="G763" s="72"/>
      <c r="H763" s="17"/>
      <c r="I763" s="41" t="str" cm="1">
        <f t="array" ref="I763">IFERROR(_xlfn.IFS(H763="Hard (Cash)","N/A",H763="Soft (In-Kind)", "Enter Source"),"Select Type")</f>
        <v>Select Type</v>
      </c>
      <c r="J763" s="124"/>
      <c r="K763" s="41" t="str">
        <f>IFERROR(VLOOKUP($J763,'Project Reference'!$S$2:$T$41,2),"Enter Project Number")</f>
        <v>Enter Project Number</v>
      </c>
      <c r="L763" s="41"/>
      <c r="M763" s="41"/>
      <c r="N763" s="15">
        <f t="shared" si="12"/>
        <v>0</v>
      </c>
      <c r="O763" s="19"/>
      <c r="P763" s="42" t="str">
        <f>IFERROR(VLOOKUP($J763,'Project Reference'!$B$2:$C$41,2)," ")</f>
        <v xml:space="preserve"> </v>
      </c>
      <c r="Q763" s="42" t="str">
        <f>IFERROR(VLOOKUP($J763,'Project Reference'!$B$2:$D$41,3)," ")</f>
        <v xml:space="preserve"> </v>
      </c>
      <c r="R763" s="42" t="str">
        <f>IFERROR(VLOOKUP($J763,'Project Reference'!$B$2:$E$41,4)," ")</f>
        <v xml:space="preserve"> </v>
      </c>
      <c r="S763" s="42" t="str">
        <f>IFERROR(VLOOKUP($J763,'Project Reference'!$B$2:$F$41,5,FALSE)," ")</f>
        <v xml:space="preserve"> </v>
      </c>
      <c r="T763" s="42" t="str">
        <f>IFERROR(VLOOKUP($J763,'Project Reference'!$B$2:$G$41,6,FALSE)," ")</f>
        <v xml:space="preserve"> </v>
      </c>
      <c r="U763" s="42" t="str">
        <f>IFERROR(VLOOKUP($J763,'Project Reference'!$B$2:$H$41,7,FALSE)," ")</f>
        <v xml:space="preserve"> </v>
      </c>
      <c r="V763" s="42" t="str">
        <f>IFERROR(VLOOKUP($J763,'Project Reference'!$B$2:$I$41,8,FALSE)," ")</f>
        <v xml:space="preserve"> </v>
      </c>
      <c r="W763" s="42" t="str">
        <f>IFERROR(VLOOKUP($J763,'Project Reference'!$B$2:$J$41,9,FALSE)," ")</f>
        <v xml:space="preserve"> </v>
      </c>
      <c r="X763" s="42" t="str">
        <f>IFERROR(VLOOKUP($J763,'Project Reference'!$B$2:$K$41,10)," ")</f>
        <v xml:space="preserve"> </v>
      </c>
      <c r="Y763" s="42" t="str">
        <f>IFERROR(VLOOKUP($J763,'Project Reference'!$B$2:$L$41,11)," ")</f>
        <v xml:space="preserve"> </v>
      </c>
      <c r="Z763" s="42" t="str">
        <f>IFERROR(VLOOKUP($J763,'Project Reference'!$B$2:$M$41,12)," ")</f>
        <v xml:space="preserve"> </v>
      </c>
      <c r="AA763" s="42" t="str">
        <f>IFERROR(VLOOKUP($J763,'Project Reference'!$B$2:$N$41,13)," ")</f>
        <v xml:space="preserve"> </v>
      </c>
    </row>
    <row r="764" spans="1:27" x14ac:dyDescent="0.45">
      <c r="A764" s="43"/>
      <c r="B764" s="205"/>
      <c r="C764"/>
      <c r="D764" s="72"/>
      <c r="E764" s="72"/>
      <c r="F764" s="72"/>
      <c r="G764" s="72"/>
      <c r="H764" s="17"/>
      <c r="I764" s="41" t="str" cm="1">
        <f t="array" ref="I764">IFERROR(_xlfn.IFS(H764="Hard (Cash)","N/A",H764="Soft (In-Kind)", "Enter Source"),"Select Type")</f>
        <v>Select Type</v>
      </c>
      <c r="J764" s="124"/>
      <c r="K764" s="41" t="str">
        <f>IFERROR(VLOOKUP($J764,'Project Reference'!$S$2:$T$41,2),"Enter Project Number")</f>
        <v>Enter Project Number</v>
      </c>
      <c r="L764" s="41"/>
      <c r="M764" s="41"/>
      <c r="N764" s="15">
        <f t="shared" si="12"/>
        <v>0</v>
      </c>
      <c r="O764" s="19"/>
      <c r="P764" s="42" t="str">
        <f>IFERROR(VLOOKUP($J764,'Project Reference'!$B$2:$C$41,2)," ")</f>
        <v xml:space="preserve"> </v>
      </c>
      <c r="Q764" s="42" t="str">
        <f>IFERROR(VLOOKUP($J764,'Project Reference'!$B$2:$D$41,3)," ")</f>
        <v xml:space="preserve"> </v>
      </c>
      <c r="R764" s="42" t="str">
        <f>IFERROR(VLOOKUP($J764,'Project Reference'!$B$2:$E$41,4)," ")</f>
        <v xml:space="preserve"> </v>
      </c>
      <c r="S764" s="42" t="str">
        <f>IFERROR(VLOOKUP($J764,'Project Reference'!$B$2:$F$41,5,FALSE)," ")</f>
        <v xml:space="preserve"> </v>
      </c>
      <c r="T764" s="42" t="str">
        <f>IFERROR(VLOOKUP($J764,'Project Reference'!$B$2:$G$41,6,FALSE)," ")</f>
        <v xml:space="preserve"> </v>
      </c>
      <c r="U764" s="42" t="str">
        <f>IFERROR(VLOOKUP($J764,'Project Reference'!$B$2:$H$41,7,FALSE)," ")</f>
        <v xml:space="preserve"> </v>
      </c>
      <c r="V764" s="42" t="str">
        <f>IFERROR(VLOOKUP($J764,'Project Reference'!$B$2:$I$41,8,FALSE)," ")</f>
        <v xml:space="preserve"> </v>
      </c>
      <c r="W764" s="42" t="str">
        <f>IFERROR(VLOOKUP($J764,'Project Reference'!$B$2:$J$41,9,FALSE)," ")</f>
        <v xml:space="preserve"> </v>
      </c>
      <c r="X764" s="42" t="str">
        <f>IFERROR(VLOOKUP($J764,'Project Reference'!$B$2:$K$41,10)," ")</f>
        <v xml:space="preserve"> </v>
      </c>
      <c r="Y764" s="42" t="str">
        <f>IFERROR(VLOOKUP($J764,'Project Reference'!$B$2:$L$41,11)," ")</f>
        <v xml:space="preserve"> </v>
      </c>
      <c r="Z764" s="42" t="str">
        <f>IFERROR(VLOOKUP($J764,'Project Reference'!$B$2:$M$41,12)," ")</f>
        <v xml:space="preserve"> </v>
      </c>
      <c r="AA764" s="42" t="str">
        <f>IFERROR(VLOOKUP($J764,'Project Reference'!$B$2:$N$41,13)," ")</f>
        <v xml:space="preserve"> </v>
      </c>
    </row>
    <row r="765" spans="1:27" x14ac:dyDescent="0.45">
      <c r="A765" s="43"/>
      <c r="B765" s="205"/>
      <c r="C765"/>
      <c r="D765" s="72"/>
      <c r="E765" s="72"/>
      <c r="F765" s="72"/>
      <c r="G765" s="72"/>
      <c r="H765" s="17"/>
      <c r="I765" s="41" t="str" cm="1">
        <f t="array" ref="I765">IFERROR(_xlfn.IFS(H765="Hard (Cash)","N/A",H765="Soft (In-Kind)", "Enter Source"),"Select Type")</f>
        <v>Select Type</v>
      </c>
      <c r="J765" s="124"/>
      <c r="K765" s="41" t="str">
        <f>IFERROR(VLOOKUP($J765,'Project Reference'!$S$2:$T$41,2),"Enter Project Number")</f>
        <v>Enter Project Number</v>
      </c>
      <c r="L765" s="41"/>
      <c r="M765" s="41"/>
      <c r="N765" s="15">
        <f t="shared" si="12"/>
        <v>0</v>
      </c>
      <c r="O765" s="19"/>
      <c r="P765" s="42" t="str">
        <f>IFERROR(VLOOKUP($J765,'Project Reference'!$B$2:$C$41,2)," ")</f>
        <v xml:space="preserve"> </v>
      </c>
      <c r="Q765" s="42" t="str">
        <f>IFERROR(VLOOKUP($J765,'Project Reference'!$B$2:$D$41,3)," ")</f>
        <v xml:space="preserve"> </v>
      </c>
      <c r="R765" s="42" t="str">
        <f>IFERROR(VLOOKUP($J765,'Project Reference'!$B$2:$E$41,4)," ")</f>
        <v xml:space="preserve"> </v>
      </c>
      <c r="S765" s="42" t="str">
        <f>IFERROR(VLOOKUP($J765,'Project Reference'!$B$2:$F$41,5,FALSE)," ")</f>
        <v xml:space="preserve"> </v>
      </c>
      <c r="T765" s="42" t="str">
        <f>IFERROR(VLOOKUP($J765,'Project Reference'!$B$2:$G$41,6,FALSE)," ")</f>
        <v xml:space="preserve"> </v>
      </c>
      <c r="U765" s="42" t="str">
        <f>IFERROR(VLOOKUP($J765,'Project Reference'!$B$2:$H$41,7,FALSE)," ")</f>
        <v xml:space="preserve"> </v>
      </c>
      <c r="V765" s="42" t="str">
        <f>IFERROR(VLOOKUP($J765,'Project Reference'!$B$2:$I$41,8,FALSE)," ")</f>
        <v xml:space="preserve"> </v>
      </c>
      <c r="W765" s="42" t="str">
        <f>IFERROR(VLOOKUP($J765,'Project Reference'!$B$2:$J$41,9,FALSE)," ")</f>
        <v xml:space="preserve"> </v>
      </c>
      <c r="X765" s="42" t="str">
        <f>IFERROR(VLOOKUP($J765,'Project Reference'!$B$2:$K$41,10)," ")</f>
        <v xml:space="preserve"> </v>
      </c>
      <c r="Y765" s="42" t="str">
        <f>IFERROR(VLOOKUP($J765,'Project Reference'!$B$2:$L$41,11)," ")</f>
        <v xml:space="preserve"> </v>
      </c>
      <c r="Z765" s="42" t="str">
        <f>IFERROR(VLOOKUP($J765,'Project Reference'!$B$2:$M$41,12)," ")</f>
        <v xml:space="preserve"> </v>
      </c>
      <c r="AA765" s="42" t="str">
        <f>IFERROR(VLOOKUP($J765,'Project Reference'!$B$2:$N$41,13)," ")</f>
        <v xml:space="preserve"> </v>
      </c>
    </row>
    <row r="766" spans="1:27" x14ac:dyDescent="0.45">
      <c r="A766" s="43"/>
      <c r="B766" s="205"/>
      <c r="C766"/>
      <c r="D766" s="72"/>
      <c r="E766" s="72"/>
      <c r="F766" s="72"/>
      <c r="G766" s="72"/>
      <c r="H766" s="17"/>
      <c r="I766" s="41" t="str" cm="1">
        <f t="array" ref="I766">IFERROR(_xlfn.IFS(H766="Hard (Cash)","N/A",H766="Soft (In-Kind)", "Enter Source"),"Select Type")</f>
        <v>Select Type</v>
      </c>
      <c r="J766" s="124"/>
      <c r="K766" s="41" t="str">
        <f>IFERROR(VLOOKUP($J766,'Project Reference'!$S$2:$T$41,2),"Enter Project Number")</f>
        <v>Enter Project Number</v>
      </c>
      <c r="L766" s="41"/>
      <c r="M766" s="41"/>
      <c r="N766" s="15">
        <f t="shared" si="12"/>
        <v>0</v>
      </c>
      <c r="O766" s="19"/>
      <c r="P766" s="42" t="str">
        <f>IFERROR(VLOOKUP($J766,'Project Reference'!$B$2:$C$41,2)," ")</f>
        <v xml:space="preserve"> </v>
      </c>
      <c r="Q766" s="42" t="str">
        <f>IFERROR(VLOOKUP($J766,'Project Reference'!$B$2:$D$41,3)," ")</f>
        <v xml:space="preserve"> </v>
      </c>
      <c r="R766" s="42" t="str">
        <f>IFERROR(VLOOKUP($J766,'Project Reference'!$B$2:$E$41,4)," ")</f>
        <v xml:space="preserve"> </v>
      </c>
      <c r="S766" s="42" t="str">
        <f>IFERROR(VLOOKUP($J766,'Project Reference'!$B$2:$F$41,5,FALSE)," ")</f>
        <v xml:space="preserve"> </v>
      </c>
      <c r="T766" s="42" t="str">
        <f>IFERROR(VLOOKUP($J766,'Project Reference'!$B$2:$G$41,6,FALSE)," ")</f>
        <v xml:space="preserve"> </v>
      </c>
      <c r="U766" s="42" t="str">
        <f>IFERROR(VLOOKUP($J766,'Project Reference'!$B$2:$H$41,7,FALSE)," ")</f>
        <v xml:space="preserve"> </v>
      </c>
      <c r="V766" s="42" t="str">
        <f>IFERROR(VLOOKUP($J766,'Project Reference'!$B$2:$I$41,8,FALSE)," ")</f>
        <v xml:space="preserve"> </v>
      </c>
      <c r="W766" s="42" t="str">
        <f>IFERROR(VLOOKUP($J766,'Project Reference'!$B$2:$J$41,9,FALSE)," ")</f>
        <v xml:space="preserve"> </v>
      </c>
      <c r="X766" s="42" t="str">
        <f>IFERROR(VLOOKUP($J766,'Project Reference'!$B$2:$K$41,10)," ")</f>
        <v xml:space="preserve"> </v>
      </c>
      <c r="Y766" s="42" t="str">
        <f>IFERROR(VLOOKUP($J766,'Project Reference'!$B$2:$L$41,11)," ")</f>
        <v xml:space="preserve"> </v>
      </c>
      <c r="Z766" s="42" t="str">
        <f>IFERROR(VLOOKUP($J766,'Project Reference'!$B$2:$M$41,12)," ")</f>
        <v xml:space="preserve"> </v>
      </c>
      <c r="AA766" s="42" t="str">
        <f>IFERROR(VLOOKUP($J766,'Project Reference'!$B$2:$N$41,13)," ")</f>
        <v xml:space="preserve"> </v>
      </c>
    </row>
    <row r="767" spans="1:27" x14ac:dyDescent="0.45">
      <c r="A767" s="43"/>
      <c r="B767" s="205"/>
      <c r="C767"/>
      <c r="D767" s="72"/>
      <c r="E767" s="72"/>
      <c r="F767" s="72"/>
      <c r="G767" s="72"/>
      <c r="H767" s="17"/>
      <c r="I767" s="41" t="str" cm="1">
        <f t="array" ref="I767">IFERROR(_xlfn.IFS(H767="Hard (Cash)","N/A",H767="Soft (In-Kind)", "Enter Source"),"Select Type")</f>
        <v>Select Type</v>
      </c>
      <c r="J767" s="124"/>
      <c r="K767" s="41" t="str">
        <f>IFERROR(VLOOKUP($J767,'Project Reference'!$S$2:$T$41,2),"Enter Project Number")</f>
        <v>Enter Project Number</v>
      </c>
      <c r="L767" s="41"/>
      <c r="M767" s="41"/>
      <c r="N767" s="15">
        <f t="shared" si="12"/>
        <v>0</v>
      </c>
      <c r="O767" s="19"/>
      <c r="P767" s="42" t="str">
        <f>IFERROR(VLOOKUP($J767,'Project Reference'!$B$2:$C$41,2)," ")</f>
        <v xml:space="preserve"> </v>
      </c>
      <c r="Q767" s="42" t="str">
        <f>IFERROR(VLOOKUP($J767,'Project Reference'!$B$2:$D$41,3)," ")</f>
        <v xml:space="preserve"> </v>
      </c>
      <c r="R767" s="42" t="str">
        <f>IFERROR(VLOOKUP($J767,'Project Reference'!$B$2:$E$41,4)," ")</f>
        <v xml:space="preserve"> </v>
      </c>
      <c r="S767" s="42" t="str">
        <f>IFERROR(VLOOKUP($J767,'Project Reference'!$B$2:$F$41,5,FALSE)," ")</f>
        <v xml:space="preserve"> </v>
      </c>
      <c r="T767" s="42" t="str">
        <f>IFERROR(VLOOKUP($J767,'Project Reference'!$B$2:$G$41,6,FALSE)," ")</f>
        <v xml:space="preserve"> </v>
      </c>
      <c r="U767" s="42" t="str">
        <f>IFERROR(VLOOKUP($J767,'Project Reference'!$B$2:$H$41,7,FALSE)," ")</f>
        <v xml:space="preserve"> </v>
      </c>
      <c r="V767" s="42" t="str">
        <f>IFERROR(VLOOKUP($J767,'Project Reference'!$B$2:$I$41,8,FALSE)," ")</f>
        <v xml:space="preserve"> </v>
      </c>
      <c r="W767" s="42" t="str">
        <f>IFERROR(VLOOKUP($J767,'Project Reference'!$B$2:$J$41,9,FALSE)," ")</f>
        <v xml:space="preserve"> </v>
      </c>
      <c r="X767" s="42" t="str">
        <f>IFERROR(VLOOKUP($J767,'Project Reference'!$B$2:$K$41,10)," ")</f>
        <v xml:space="preserve"> </v>
      </c>
      <c r="Y767" s="42" t="str">
        <f>IFERROR(VLOOKUP($J767,'Project Reference'!$B$2:$L$41,11)," ")</f>
        <v xml:space="preserve"> </v>
      </c>
      <c r="Z767" s="42" t="str">
        <f>IFERROR(VLOOKUP($J767,'Project Reference'!$B$2:$M$41,12)," ")</f>
        <v xml:space="preserve"> </v>
      </c>
      <c r="AA767" s="42" t="str">
        <f>IFERROR(VLOOKUP($J767,'Project Reference'!$B$2:$N$41,13)," ")</f>
        <v xml:space="preserve"> </v>
      </c>
    </row>
    <row r="768" spans="1:27" x14ac:dyDescent="0.45">
      <c r="A768" s="43"/>
      <c r="B768" s="205"/>
      <c r="C768"/>
      <c r="D768" s="72"/>
      <c r="E768" s="72"/>
      <c r="F768" s="72"/>
      <c r="G768" s="72"/>
      <c r="H768" s="17"/>
      <c r="I768" s="41" t="str" cm="1">
        <f t="array" ref="I768">IFERROR(_xlfn.IFS(H768="Hard (Cash)","N/A",H768="Soft (In-Kind)", "Enter Source"),"Select Type")</f>
        <v>Select Type</v>
      </c>
      <c r="J768" s="124"/>
      <c r="K768" s="41" t="str">
        <f>IFERROR(VLOOKUP($J768,'Project Reference'!$S$2:$T$41,2),"Enter Project Number")</f>
        <v>Enter Project Number</v>
      </c>
      <c r="L768" s="41"/>
      <c r="M768" s="41"/>
      <c r="N768" s="15">
        <f t="shared" si="12"/>
        <v>0</v>
      </c>
      <c r="O768" s="19"/>
      <c r="P768" s="42" t="str">
        <f>IFERROR(VLOOKUP($J768,'Project Reference'!$B$2:$C$41,2)," ")</f>
        <v xml:space="preserve"> </v>
      </c>
      <c r="Q768" s="42" t="str">
        <f>IFERROR(VLOOKUP($J768,'Project Reference'!$B$2:$D$41,3)," ")</f>
        <v xml:space="preserve"> </v>
      </c>
      <c r="R768" s="42" t="str">
        <f>IFERROR(VLOOKUP($J768,'Project Reference'!$B$2:$E$41,4)," ")</f>
        <v xml:space="preserve"> </v>
      </c>
      <c r="S768" s="42" t="str">
        <f>IFERROR(VLOOKUP($J768,'Project Reference'!$B$2:$F$41,5,FALSE)," ")</f>
        <v xml:space="preserve"> </v>
      </c>
      <c r="T768" s="42" t="str">
        <f>IFERROR(VLOOKUP($J768,'Project Reference'!$B$2:$G$41,6,FALSE)," ")</f>
        <v xml:space="preserve"> </v>
      </c>
      <c r="U768" s="42" t="str">
        <f>IFERROR(VLOOKUP($J768,'Project Reference'!$B$2:$H$41,7,FALSE)," ")</f>
        <v xml:space="preserve"> </v>
      </c>
      <c r="V768" s="42" t="str">
        <f>IFERROR(VLOOKUP($J768,'Project Reference'!$B$2:$I$41,8,FALSE)," ")</f>
        <v xml:space="preserve"> </v>
      </c>
      <c r="W768" s="42" t="str">
        <f>IFERROR(VLOOKUP($J768,'Project Reference'!$B$2:$J$41,9,FALSE)," ")</f>
        <v xml:space="preserve"> </v>
      </c>
      <c r="X768" s="42" t="str">
        <f>IFERROR(VLOOKUP($J768,'Project Reference'!$B$2:$K$41,10)," ")</f>
        <v xml:space="preserve"> </v>
      </c>
      <c r="Y768" s="42" t="str">
        <f>IFERROR(VLOOKUP($J768,'Project Reference'!$B$2:$L$41,11)," ")</f>
        <v xml:space="preserve"> </v>
      </c>
      <c r="Z768" s="42" t="str">
        <f>IFERROR(VLOOKUP($J768,'Project Reference'!$B$2:$M$41,12)," ")</f>
        <v xml:space="preserve"> </v>
      </c>
      <c r="AA768" s="42" t="str">
        <f>IFERROR(VLOOKUP($J768,'Project Reference'!$B$2:$N$41,13)," ")</f>
        <v xml:space="preserve"> </v>
      </c>
    </row>
    <row r="769" spans="1:27" x14ac:dyDescent="0.45">
      <c r="A769" s="43"/>
      <c r="B769" s="205"/>
      <c r="C769"/>
      <c r="D769" s="72"/>
      <c r="E769" s="72"/>
      <c r="F769" s="72"/>
      <c r="G769" s="72"/>
      <c r="H769" s="17"/>
      <c r="I769" s="41" t="str" cm="1">
        <f t="array" ref="I769">IFERROR(_xlfn.IFS(H769="Hard (Cash)","N/A",H769="Soft (In-Kind)", "Enter Source"),"Select Type")</f>
        <v>Select Type</v>
      </c>
      <c r="J769" s="124"/>
      <c r="K769" s="41" t="str">
        <f>IFERROR(VLOOKUP($J769,'Project Reference'!$S$2:$T$41,2),"Enter Project Number")</f>
        <v>Enter Project Number</v>
      </c>
      <c r="L769" s="41"/>
      <c r="M769" s="41"/>
      <c r="N769" s="15">
        <f t="shared" si="12"/>
        <v>0</v>
      </c>
      <c r="O769" s="19"/>
      <c r="P769" s="42" t="str">
        <f>IFERROR(VLOOKUP($J769,'Project Reference'!$B$2:$C$41,2)," ")</f>
        <v xml:space="preserve"> </v>
      </c>
      <c r="Q769" s="42" t="str">
        <f>IFERROR(VLOOKUP($J769,'Project Reference'!$B$2:$D$41,3)," ")</f>
        <v xml:space="preserve"> </v>
      </c>
      <c r="R769" s="42" t="str">
        <f>IFERROR(VLOOKUP($J769,'Project Reference'!$B$2:$E$41,4)," ")</f>
        <v xml:space="preserve"> </v>
      </c>
      <c r="S769" s="42" t="str">
        <f>IFERROR(VLOOKUP($J769,'Project Reference'!$B$2:$F$41,5,FALSE)," ")</f>
        <v xml:space="preserve"> </v>
      </c>
      <c r="T769" s="42" t="str">
        <f>IFERROR(VLOOKUP($J769,'Project Reference'!$B$2:$G$41,6,FALSE)," ")</f>
        <v xml:space="preserve"> </v>
      </c>
      <c r="U769" s="42" t="str">
        <f>IFERROR(VLOOKUP($J769,'Project Reference'!$B$2:$H$41,7,FALSE)," ")</f>
        <v xml:space="preserve"> </v>
      </c>
      <c r="V769" s="42" t="str">
        <f>IFERROR(VLOOKUP($J769,'Project Reference'!$B$2:$I$41,8,FALSE)," ")</f>
        <v xml:space="preserve"> </v>
      </c>
      <c r="W769" s="42" t="str">
        <f>IFERROR(VLOOKUP($J769,'Project Reference'!$B$2:$J$41,9,FALSE)," ")</f>
        <v xml:space="preserve"> </v>
      </c>
      <c r="X769" s="42" t="str">
        <f>IFERROR(VLOOKUP($J769,'Project Reference'!$B$2:$K$41,10)," ")</f>
        <v xml:space="preserve"> </v>
      </c>
      <c r="Y769" s="42" t="str">
        <f>IFERROR(VLOOKUP($J769,'Project Reference'!$B$2:$L$41,11)," ")</f>
        <v xml:space="preserve"> </v>
      </c>
      <c r="Z769" s="42" t="str">
        <f>IFERROR(VLOOKUP($J769,'Project Reference'!$B$2:$M$41,12)," ")</f>
        <v xml:space="preserve"> </v>
      </c>
      <c r="AA769" s="42" t="str">
        <f>IFERROR(VLOOKUP($J769,'Project Reference'!$B$2:$N$41,13)," ")</f>
        <v xml:space="preserve"> </v>
      </c>
    </row>
    <row r="770" spans="1:27" x14ac:dyDescent="0.45">
      <c r="A770" s="43"/>
      <c r="B770" s="205"/>
      <c r="C770"/>
      <c r="D770" s="72"/>
      <c r="E770" s="72"/>
      <c r="F770" s="72"/>
      <c r="G770" s="72"/>
      <c r="H770" s="17"/>
      <c r="I770" s="41" t="str" cm="1">
        <f t="array" ref="I770">IFERROR(_xlfn.IFS(H770="Hard (Cash)","N/A",H770="Soft (In-Kind)", "Enter Source"),"Select Type")</f>
        <v>Select Type</v>
      </c>
      <c r="J770" s="124"/>
      <c r="K770" s="41" t="str">
        <f>IFERROR(VLOOKUP($J770,'Project Reference'!$S$2:$T$41,2),"Enter Project Number")</f>
        <v>Enter Project Number</v>
      </c>
      <c r="L770" s="41"/>
      <c r="M770" s="41"/>
      <c r="N770" s="15">
        <f t="shared" si="12"/>
        <v>0</v>
      </c>
      <c r="O770" s="19"/>
      <c r="P770" s="42" t="str">
        <f>IFERROR(VLOOKUP($J770,'Project Reference'!$B$2:$C$41,2)," ")</f>
        <v xml:space="preserve"> </v>
      </c>
      <c r="Q770" s="42" t="str">
        <f>IFERROR(VLOOKUP($J770,'Project Reference'!$B$2:$D$41,3)," ")</f>
        <v xml:space="preserve"> </v>
      </c>
      <c r="R770" s="42" t="str">
        <f>IFERROR(VLOOKUP($J770,'Project Reference'!$B$2:$E$41,4)," ")</f>
        <v xml:space="preserve"> </v>
      </c>
      <c r="S770" s="42" t="str">
        <f>IFERROR(VLOOKUP($J770,'Project Reference'!$B$2:$F$41,5,FALSE)," ")</f>
        <v xml:space="preserve"> </v>
      </c>
      <c r="T770" s="42" t="str">
        <f>IFERROR(VLOOKUP($J770,'Project Reference'!$B$2:$G$41,6,FALSE)," ")</f>
        <v xml:space="preserve"> </v>
      </c>
      <c r="U770" s="42" t="str">
        <f>IFERROR(VLOOKUP($J770,'Project Reference'!$B$2:$H$41,7,FALSE)," ")</f>
        <v xml:space="preserve"> </v>
      </c>
      <c r="V770" s="42" t="str">
        <f>IFERROR(VLOOKUP($J770,'Project Reference'!$B$2:$I$41,8,FALSE)," ")</f>
        <v xml:space="preserve"> </v>
      </c>
      <c r="W770" s="42" t="str">
        <f>IFERROR(VLOOKUP($J770,'Project Reference'!$B$2:$J$41,9,FALSE)," ")</f>
        <v xml:space="preserve"> </v>
      </c>
      <c r="X770" s="42" t="str">
        <f>IFERROR(VLOOKUP($J770,'Project Reference'!$B$2:$K$41,10)," ")</f>
        <v xml:space="preserve"> </v>
      </c>
      <c r="Y770" s="42" t="str">
        <f>IFERROR(VLOOKUP($J770,'Project Reference'!$B$2:$L$41,11)," ")</f>
        <v xml:space="preserve"> </v>
      </c>
      <c r="Z770" s="42" t="str">
        <f>IFERROR(VLOOKUP($J770,'Project Reference'!$B$2:$M$41,12)," ")</f>
        <v xml:space="preserve"> </v>
      </c>
      <c r="AA770" s="42" t="str">
        <f>IFERROR(VLOOKUP($J770,'Project Reference'!$B$2:$N$41,13)," ")</f>
        <v xml:space="preserve"> </v>
      </c>
    </row>
    <row r="771" spans="1:27" x14ac:dyDescent="0.45">
      <c r="A771" s="43"/>
      <c r="B771" s="205"/>
      <c r="C771"/>
      <c r="D771" s="72"/>
      <c r="E771" s="72"/>
      <c r="F771" s="72"/>
      <c r="G771" s="72"/>
      <c r="H771" s="17"/>
      <c r="I771" s="41" t="str" cm="1">
        <f t="array" ref="I771">IFERROR(_xlfn.IFS(H771="Hard (Cash)","N/A",H771="Soft (In-Kind)", "Enter Source"),"Select Type")</f>
        <v>Select Type</v>
      </c>
      <c r="J771" s="124"/>
      <c r="K771" s="41" t="str">
        <f>IFERROR(VLOOKUP($J771,'Project Reference'!$S$2:$T$41,2),"Enter Project Number")</f>
        <v>Enter Project Number</v>
      </c>
      <c r="L771" s="41"/>
      <c r="M771" s="41"/>
      <c r="N771" s="15">
        <f t="shared" si="12"/>
        <v>0</v>
      </c>
      <c r="O771" s="19"/>
      <c r="P771" s="42" t="str">
        <f>IFERROR(VLOOKUP($J771,'Project Reference'!$B$2:$C$41,2)," ")</f>
        <v xml:space="preserve"> </v>
      </c>
      <c r="Q771" s="42" t="str">
        <f>IFERROR(VLOOKUP($J771,'Project Reference'!$B$2:$D$41,3)," ")</f>
        <v xml:space="preserve"> </v>
      </c>
      <c r="R771" s="42" t="str">
        <f>IFERROR(VLOOKUP($J771,'Project Reference'!$B$2:$E$41,4)," ")</f>
        <v xml:space="preserve"> </v>
      </c>
      <c r="S771" s="42" t="str">
        <f>IFERROR(VLOOKUP($J771,'Project Reference'!$B$2:$F$41,5,FALSE)," ")</f>
        <v xml:space="preserve"> </v>
      </c>
      <c r="T771" s="42" t="str">
        <f>IFERROR(VLOOKUP($J771,'Project Reference'!$B$2:$G$41,6,FALSE)," ")</f>
        <v xml:space="preserve"> </v>
      </c>
      <c r="U771" s="42" t="str">
        <f>IFERROR(VLOOKUP($J771,'Project Reference'!$B$2:$H$41,7,FALSE)," ")</f>
        <v xml:space="preserve"> </v>
      </c>
      <c r="V771" s="42" t="str">
        <f>IFERROR(VLOOKUP($J771,'Project Reference'!$B$2:$I$41,8,FALSE)," ")</f>
        <v xml:space="preserve"> </v>
      </c>
      <c r="W771" s="42" t="str">
        <f>IFERROR(VLOOKUP($J771,'Project Reference'!$B$2:$J$41,9,FALSE)," ")</f>
        <v xml:space="preserve"> </v>
      </c>
      <c r="X771" s="42" t="str">
        <f>IFERROR(VLOOKUP($J771,'Project Reference'!$B$2:$K$41,10)," ")</f>
        <v xml:space="preserve"> </v>
      </c>
      <c r="Y771" s="42" t="str">
        <f>IFERROR(VLOOKUP($J771,'Project Reference'!$B$2:$L$41,11)," ")</f>
        <v xml:space="preserve"> </v>
      </c>
      <c r="Z771" s="42" t="str">
        <f>IFERROR(VLOOKUP($J771,'Project Reference'!$B$2:$M$41,12)," ")</f>
        <v xml:space="preserve"> </v>
      </c>
      <c r="AA771" s="42" t="str">
        <f>IFERROR(VLOOKUP($J771,'Project Reference'!$B$2:$N$41,13)," ")</f>
        <v xml:space="preserve"> </v>
      </c>
    </row>
    <row r="772" spans="1:27" x14ac:dyDescent="0.45">
      <c r="A772" s="43"/>
      <c r="B772" s="205"/>
      <c r="C772"/>
      <c r="D772" s="72"/>
      <c r="E772" s="72"/>
      <c r="F772" s="72"/>
      <c r="G772" s="72"/>
      <c r="H772" s="17"/>
      <c r="I772" s="41" t="str" cm="1">
        <f t="array" ref="I772">IFERROR(_xlfn.IFS(H772="Hard (Cash)","N/A",H772="Soft (In-Kind)", "Enter Source"),"Select Type")</f>
        <v>Select Type</v>
      </c>
      <c r="J772" s="124"/>
      <c r="K772" s="41" t="str">
        <f>IFERROR(VLOOKUP($J772,'Project Reference'!$S$2:$T$41,2),"Enter Project Number")</f>
        <v>Enter Project Number</v>
      </c>
      <c r="L772" s="41"/>
      <c r="M772" s="41"/>
      <c r="N772" s="15">
        <f t="shared" si="12"/>
        <v>0</v>
      </c>
      <c r="O772" s="19"/>
      <c r="P772" s="42" t="str">
        <f>IFERROR(VLOOKUP($J772,'Project Reference'!$B$2:$C$41,2)," ")</f>
        <v xml:space="preserve"> </v>
      </c>
      <c r="Q772" s="42" t="str">
        <f>IFERROR(VLOOKUP($J772,'Project Reference'!$B$2:$D$41,3)," ")</f>
        <v xml:space="preserve"> </v>
      </c>
      <c r="R772" s="42" t="str">
        <f>IFERROR(VLOOKUP($J772,'Project Reference'!$B$2:$E$41,4)," ")</f>
        <v xml:space="preserve"> </v>
      </c>
      <c r="S772" s="42" t="str">
        <f>IFERROR(VLOOKUP($J772,'Project Reference'!$B$2:$F$41,5,FALSE)," ")</f>
        <v xml:space="preserve"> </v>
      </c>
      <c r="T772" s="42" t="str">
        <f>IFERROR(VLOOKUP($J772,'Project Reference'!$B$2:$G$41,6,FALSE)," ")</f>
        <v xml:space="preserve"> </v>
      </c>
      <c r="U772" s="42" t="str">
        <f>IFERROR(VLOOKUP($J772,'Project Reference'!$B$2:$H$41,7,FALSE)," ")</f>
        <v xml:space="preserve"> </v>
      </c>
      <c r="V772" s="42" t="str">
        <f>IFERROR(VLOOKUP($J772,'Project Reference'!$B$2:$I$41,8,FALSE)," ")</f>
        <v xml:space="preserve"> </v>
      </c>
      <c r="W772" s="42" t="str">
        <f>IFERROR(VLOOKUP($J772,'Project Reference'!$B$2:$J$41,9,FALSE)," ")</f>
        <v xml:space="preserve"> </v>
      </c>
      <c r="X772" s="42" t="str">
        <f>IFERROR(VLOOKUP($J772,'Project Reference'!$B$2:$K$41,10)," ")</f>
        <v xml:space="preserve"> </v>
      </c>
      <c r="Y772" s="42" t="str">
        <f>IFERROR(VLOOKUP($J772,'Project Reference'!$B$2:$L$41,11)," ")</f>
        <v xml:space="preserve"> </v>
      </c>
      <c r="Z772" s="42" t="str">
        <f>IFERROR(VLOOKUP($J772,'Project Reference'!$B$2:$M$41,12)," ")</f>
        <v xml:space="preserve"> </v>
      </c>
      <c r="AA772" s="42" t="str">
        <f>IFERROR(VLOOKUP($J772,'Project Reference'!$B$2:$N$41,13)," ")</f>
        <v xml:space="preserve"> </v>
      </c>
    </row>
    <row r="773" spans="1:27" x14ac:dyDescent="0.45">
      <c r="A773" s="43"/>
      <c r="B773" s="205"/>
      <c r="C773"/>
      <c r="D773" s="72"/>
      <c r="E773" s="72"/>
      <c r="F773" s="72"/>
      <c r="G773" s="72"/>
      <c r="H773" s="17"/>
      <c r="I773" s="41" t="str" cm="1">
        <f t="array" ref="I773">IFERROR(_xlfn.IFS(H773="Hard (Cash)","N/A",H773="Soft (In-Kind)", "Enter Source"),"Select Type")</f>
        <v>Select Type</v>
      </c>
      <c r="J773" s="124"/>
      <c r="K773" s="41" t="str">
        <f>IFERROR(VLOOKUP($J773,'Project Reference'!$S$2:$T$41,2),"Enter Project Number")</f>
        <v>Enter Project Number</v>
      </c>
      <c r="L773" s="41"/>
      <c r="M773" s="41"/>
      <c r="N773" s="15">
        <f t="shared" si="12"/>
        <v>0</v>
      </c>
      <c r="O773" s="19"/>
      <c r="P773" s="42" t="str">
        <f>IFERROR(VLOOKUP($J773,'Project Reference'!$B$2:$C$41,2)," ")</f>
        <v xml:space="preserve"> </v>
      </c>
      <c r="Q773" s="42" t="str">
        <f>IFERROR(VLOOKUP($J773,'Project Reference'!$B$2:$D$41,3)," ")</f>
        <v xml:space="preserve"> </v>
      </c>
      <c r="R773" s="42" t="str">
        <f>IFERROR(VLOOKUP($J773,'Project Reference'!$B$2:$E$41,4)," ")</f>
        <v xml:space="preserve"> </v>
      </c>
      <c r="S773" s="42" t="str">
        <f>IFERROR(VLOOKUP($J773,'Project Reference'!$B$2:$F$41,5,FALSE)," ")</f>
        <v xml:space="preserve"> </v>
      </c>
      <c r="T773" s="42" t="str">
        <f>IFERROR(VLOOKUP($J773,'Project Reference'!$B$2:$G$41,6,FALSE)," ")</f>
        <v xml:space="preserve"> </v>
      </c>
      <c r="U773" s="42" t="str">
        <f>IFERROR(VLOOKUP($J773,'Project Reference'!$B$2:$H$41,7,FALSE)," ")</f>
        <v xml:space="preserve"> </v>
      </c>
      <c r="V773" s="42" t="str">
        <f>IFERROR(VLOOKUP($J773,'Project Reference'!$B$2:$I$41,8,FALSE)," ")</f>
        <v xml:space="preserve"> </v>
      </c>
      <c r="W773" s="42" t="str">
        <f>IFERROR(VLOOKUP($J773,'Project Reference'!$B$2:$J$41,9,FALSE)," ")</f>
        <v xml:space="preserve"> </v>
      </c>
      <c r="X773" s="42" t="str">
        <f>IFERROR(VLOOKUP($J773,'Project Reference'!$B$2:$K$41,10)," ")</f>
        <v xml:space="preserve"> </v>
      </c>
      <c r="Y773" s="42" t="str">
        <f>IFERROR(VLOOKUP($J773,'Project Reference'!$B$2:$L$41,11)," ")</f>
        <v xml:space="preserve"> </v>
      </c>
      <c r="Z773" s="42" t="str">
        <f>IFERROR(VLOOKUP($J773,'Project Reference'!$B$2:$M$41,12)," ")</f>
        <v xml:space="preserve"> </v>
      </c>
      <c r="AA773" s="42" t="str">
        <f>IFERROR(VLOOKUP($J773,'Project Reference'!$B$2:$N$41,13)," ")</f>
        <v xml:space="preserve"> </v>
      </c>
    </row>
    <row r="774" spans="1:27" x14ac:dyDescent="0.45">
      <c r="A774" s="43"/>
      <c r="B774" s="205"/>
      <c r="C774"/>
      <c r="D774" s="72"/>
      <c r="E774" s="72"/>
      <c r="F774" s="72"/>
      <c r="G774" s="72"/>
      <c r="H774" s="17"/>
      <c r="I774" s="41" t="str" cm="1">
        <f t="array" ref="I774">IFERROR(_xlfn.IFS(H774="Hard (Cash)","N/A",H774="Soft (In-Kind)", "Enter Source"),"Select Type")</f>
        <v>Select Type</v>
      </c>
      <c r="J774" s="124"/>
      <c r="K774" s="41" t="str">
        <f>IFERROR(VLOOKUP($J774,'Project Reference'!$S$2:$T$41,2),"Enter Project Number")</f>
        <v>Enter Project Number</v>
      </c>
      <c r="L774" s="41"/>
      <c r="M774" s="41"/>
      <c r="N774" s="15">
        <f t="shared" si="12"/>
        <v>0</v>
      </c>
      <c r="O774" s="19"/>
      <c r="P774" s="42" t="str">
        <f>IFERROR(VLOOKUP($J774,'Project Reference'!$B$2:$C$41,2)," ")</f>
        <v xml:space="preserve"> </v>
      </c>
      <c r="Q774" s="42" t="str">
        <f>IFERROR(VLOOKUP($J774,'Project Reference'!$B$2:$D$41,3)," ")</f>
        <v xml:space="preserve"> </v>
      </c>
      <c r="R774" s="42" t="str">
        <f>IFERROR(VLOOKUP($J774,'Project Reference'!$B$2:$E$41,4)," ")</f>
        <v xml:space="preserve"> </v>
      </c>
      <c r="S774" s="42" t="str">
        <f>IFERROR(VLOOKUP($J774,'Project Reference'!$B$2:$F$41,5,FALSE)," ")</f>
        <v xml:space="preserve"> </v>
      </c>
      <c r="T774" s="42" t="str">
        <f>IFERROR(VLOOKUP($J774,'Project Reference'!$B$2:$G$41,6,FALSE)," ")</f>
        <v xml:space="preserve"> </v>
      </c>
      <c r="U774" s="42" t="str">
        <f>IFERROR(VLOOKUP($J774,'Project Reference'!$B$2:$H$41,7,FALSE)," ")</f>
        <v xml:space="preserve"> </v>
      </c>
      <c r="V774" s="42" t="str">
        <f>IFERROR(VLOOKUP($J774,'Project Reference'!$B$2:$I$41,8,FALSE)," ")</f>
        <v xml:space="preserve"> </v>
      </c>
      <c r="W774" s="42" t="str">
        <f>IFERROR(VLOOKUP($J774,'Project Reference'!$B$2:$J$41,9,FALSE)," ")</f>
        <v xml:space="preserve"> </v>
      </c>
      <c r="X774" s="42" t="str">
        <f>IFERROR(VLOOKUP($J774,'Project Reference'!$B$2:$K$41,10)," ")</f>
        <v xml:space="preserve"> </v>
      </c>
      <c r="Y774" s="42" t="str">
        <f>IFERROR(VLOOKUP($J774,'Project Reference'!$B$2:$L$41,11)," ")</f>
        <v xml:space="preserve"> </v>
      </c>
      <c r="Z774" s="42" t="str">
        <f>IFERROR(VLOOKUP($J774,'Project Reference'!$B$2:$M$41,12)," ")</f>
        <v xml:space="preserve"> </v>
      </c>
      <c r="AA774" s="42" t="str">
        <f>IFERROR(VLOOKUP($J774,'Project Reference'!$B$2:$N$41,13)," ")</f>
        <v xml:space="preserve"> </v>
      </c>
    </row>
    <row r="775" spans="1:27" x14ac:dyDescent="0.45">
      <c r="A775" s="43"/>
      <c r="B775" s="205"/>
      <c r="C775"/>
      <c r="D775" s="72"/>
      <c r="E775" s="72"/>
      <c r="F775" s="72"/>
      <c r="G775" s="72"/>
      <c r="H775" s="17"/>
      <c r="I775" s="41" t="str" cm="1">
        <f t="array" ref="I775">IFERROR(_xlfn.IFS(H775="Hard (Cash)","N/A",H775="Soft (In-Kind)", "Enter Source"),"Select Type")</f>
        <v>Select Type</v>
      </c>
      <c r="J775" s="124"/>
      <c r="K775" s="41" t="str">
        <f>IFERROR(VLOOKUP($J775,'Project Reference'!$S$2:$T$41,2),"Enter Project Number")</f>
        <v>Enter Project Number</v>
      </c>
      <c r="L775" s="41"/>
      <c r="M775" s="41"/>
      <c r="N775" s="15">
        <f t="shared" si="12"/>
        <v>0</v>
      </c>
      <c r="O775" s="19"/>
      <c r="P775" s="42" t="str">
        <f>IFERROR(VLOOKUP($J775,'Project Reference'!$B$2:$C$41,2)," ")</f>
        <v xml:space="preserve"> </v>
      </c>
      <c r="Q775" s="42" t="str">
        <f>IFERROR(VLOOKUP($J775,'Project Reference'!$B$2:$D$41,3)," ")</f>
        <v xml:space="preserve"> </v>
      </c>
      <c r="R775" s="42" t="str">
        <f>IFERROR(VLOOKUP($J775,'Project Reference'!$B$2:$E$41,4)," ")</f>
        <v xml:space="preserve"> </v>
      </c>
      <c r="S775" s="42" t="str">
        <f>IFERROR(VLOOKUP($J775,'Project Reference'!$B$2:$F$41,5,FALSE)," ")</f>
        <v xml:space="preserve"> </v>
      </c>
      <c r="T775" s="42" t="str">
        <f>IFERROR(VLOOKUP($J775,'Project Reference'!$B$2:$G$41,6,FALSE)," ")</f>
        <v xml:space="preserve"> </v>
      </c>
      <c r="U775" s="42" t="str">
        <f>IFERROR(VLOOKUP($J775,'Project Reference'!$B$2:$H$41,7,FALSE)," ")</f>
        <v xml:space="preserve"> </v>
      </c>
      <c r="V775" s="42" t="str">
        <f>IFERROR(VLOOKUP($J775,'Project Reference'!$B$2:$I$41,8,FALSE)," ")</f>
        <v xml:space="preserve"> </v>
      </c>
      <c r="W775" s="42" t="str">
        <f>IFERROR(VLOOKUP($J775,'Project Reference'!$B$2:$J$41,9,FALSE)," ")</f>
        <v xml:space="preserve"> </v>
      </c>
      <c r="X775" s="42" t="str">
        <f>IFERROR(VLOOKUP($J775,'Project Reference'!$B$2:$K$41,10)," ")</f>
        <v xml:space="preserve"> </v>
      </c>
      <c r="Y775" s="42" t="str">
        <f>IFERROR(VLOOKUP($J775,'Project Reference'!$B$2:$L$41,11)," ")</f>
        <v xml:space="preserve"> </v>
      </c>
      <c r="Z775" s="42" t="str">
        <f>IFERROR(VLOOKUP($J775,'Project Reference'!$B$2:$M$41,12)," ")</f>
        <v xml:space="preserve"> </v>
      </c>
      <c r="AA775" s="42" t="str">
        <f>IFERROR(VLOOKUP($J775,'Project Reference'!$B$2:$N$41,13)," ")</f>
        <v xml:space="preserve"> </v>
      </c>
    </row>
    <row r="776" spans="1:27" x14ac:dyDescent="0.45">
      <c r="A776" s="43"/>
      <c r="B776" s="205"/>
      <c r="C776"/>
      <c r="D776" s="72"/>
      <c r="E776" s="72"/>
      <c r="F776" s="72"/>
      <c r="G776" s="72"/>
      <c r="H776" s="17"/>
      <c r="I776" s="41" t="str" cm="1">
        <f t="array" ref="I776">IFERROR(_xlfn.IFS(H776="Hard (Cash)","N/A",H776="Soft (In-Kind)", "Enter Source"),"Select Type")</f>
        <v>Select Type</v>
      </c>
      <c r="J776" s="124"/>
      <c r="K776" s="41" t="str">
        <f>IFERROR(VLOOKUP($J776,'Project Reference'!$S$2:$T$41,2),"Enter Project Number")</f>
        <v>Enter Project Number</v>
      </c>
      <c r="L776" s="41"/>
      <c r="M776" s="41"/>
      <c r="N776" s="15">
        <f t="shared" si="12"/>
        <v>0</v>
      </c>
      <c r="O776" s="19"/>
      <c r="P776" s="42" t="str">
        <f>IFERROR(VLOOKUP($J776,'Project Reference'!$B$2:$C$41,2)," ")</f>
        <v xml:space="preserve"> </v>
      </c>
      <c r="Q776" s="42" t="str">
        <f>IFERROR(VLOOKUP($J776,'Project Reference'!$B$2:$D$41,3)," ")</f>
        <v xml:space="preserve"> </v>
      </c>
      <c r="R776" s="42" t="str">
        <f>IFERROR(VLOOKUP($J776,'Project Reference'!$B$2:$E$41,4)," ")</f>
        <v xml:space="preserve"> </v>
      </c>
      <c r="S776" s="42" t="str">
        <f>IFERROR(VLOOKUP($J776,'Project Reference'!$B$2:$F$41,5,FALSE)," ")</f>
        <v xml:space="preserve"> </v>
      </c>
      <c r="T776" s="42" t="str">
        <f>IFERROR(VLOOKUP($J776,'Project Reference'!$B$2:$G$41,6,FALSE)," ")</f>
        <v xml:space="preserve"> </v>
      </c>
      <c r="U776" s="42" t="str">
        <f>IFERROR(VLOOKUP($J776,'Project Reference'!$B$2:$H$41,7,FALSE)," ")</f>
        <v xml:space="preserve"> </v>
      </c>
      <c r="V776" s="42" t="str">
        <f>IFERROR(VLOOKUP($J776,'Project Reference'!$B$2:$I$41,8,FALSE)," ")</f>
        <v xml:space="preserve"> </v>
      </c>
      <c r="W776" s="42" t="str">
        <f>IFERROR(VLOOKUP($J776,'Project Reference'!$B$2:$J$41,9,FALSE)," ")</f>
        <v xml:space="preserve"> </v>
      </c>
      <c r="X776" s="42" t="str">
        <f>IFERROR(VLOOKUP($J776,'Project Reference'!$B$2:$K$41,10)," ")</f>
        <v xml:space="preserve"> </v>
      </c>
      <c r="Y776" s="42" t="str">
        <f>IFERROR(VLOOKUP($J776,'Project Reference'!$B$2:$L$41,11)," ")</f>
        <v xml:space="preserve"> </v>
      </c>
      <c r="Z776" s="42" t="str">
        <f>IFERROR(VLOOKUP($J776,'Project Reference'!$B$2:$M$41,12)," ")</f>
        <v xml:space="preserve"> </v>
      </c>
      <c r="AA776" s="42" t="str">
        <f>IFERROR(VLOOKUP($J776,'Project Reference'!$B$2:$N$41,13)," ")</f>
        <v xml:space="preserve"> </v>
      </c>
    </row>
    <row r="777" spans="1:27" x14ac:dyDescent="0.45">
      <c r="A777" s="43"/>
      <c r="B777" s="205"/>
      <c r="C777"/>
      <c r="D777" s="72"/>
      <c r="E777" s="72"/>
      <c r="F777" s="72"/>
      <c r="G777" s="72"/>
      <c r="H777" s="17"/>
      <c r="I777" s="41" t="str" cm="1">
        <f t="array" ref="I777">IFERROR(_xlfn.IFS(H777="Hard (Cash)","N/A",H777="Soft (In-Kind)", "Enter Source"),"Select Type")</f>
        <v>Select Type</v>
      </c>
      <c r="J777" s="124"/>
      <c r="K777" s="41" t="str">
        <f>IFERROR(VLOOKUP($J777,'Project Reference'!$S$2:$T$41,2),"Enter Project Number")</f>
        <v>Enter Project Number</v>
      </c>
      <c r="L777" s="41"/>
      <c r="M777" s="41"/>
      <c r="N777" s="15">
        <f t="shared" si="12"/>
        <v>0</v>
      </c>
      <c r="O777" s="19"/>
      <c r="P777" s="42" t="str">
        <f>IFERROR(VLOOKUP($J777,'Project Reference'!$B$2:$C$41,2)," ")</f>
        <v xml:space="preserve"> </v>
      </c>
      <c r="Q777" s="42" t="str">
        <f>IFERROR(VLOOKUP($J777,'Project Reference'!$B$2:$D$41,3)," ")</f>
        <v xml:space="preserve"> </v>
      </c>
      <c r="R777" s="42" t="str">
        <f>IFERROR(VLOOKUP($J777,'Project Reference'!$B$2:$E$41,4)," ")</f>
        <v xml:space="preserve"> </v>
      </c>
      <c r="S777" s="42" t="str">
        <f>IFERROR(VLOOKUP($J777,'Project Reference'!$B$2:$F$41,5,FALSE)," ")</f>
        <v xml:space="preserve"> </v>
      </c>
      <c r="T777" s="42" t="str">
        <f>IFERROR(VLOOKUP($J777,'Project Reference'!$B$2:$G$41,6,FALSE)," ")</f>
        <v xml:space="preserve"> </v>
      </c>
      <c r="U777" s="42" t="str">
        <f>IFERROR(VLOOKUP($J777,'Project Reference'!$B$2:$H$41,7,FALSE)," ")</f>
        <v xml:space="preserve"> </v>
      </c>
      <c r="V777" s="42" t="str">
        <f>IFERROR(VLOOKUP($J777,'Project Reference'!$B$2:$I$41,8,FALSE)," ")</f>
        <v xml:space="preserve"> </v>
      </c>
      <c r="W777" s="42" t="str">
        <f>IFERROR(VLOOKUP($J777,'Project Reference'!$B$2:$J$41,9,FALSE)," ")</f>
        <v xml:space="preserve"> </v>
      </c>
      <c r="X777" s="42" t="str">
        <f>IFERROR(VLOOKUP($J777,'Project Reference'!$B$2:$K$41,10)," ")</f>
        <v xml:space="preserve"> </v>
      </c>
      <c r="Y777" s="42" t="str">
        <f>IFERROR(VLOOKUP($J777,'Project Reference'!$B$2:$L$41,11)," ")</f>
        <v xml:space="preserve"> </v>
      </c>
      <c r="Z777" s="42" t="str">
        <f>IFERROR(VLOOKUP($J777,'Project Reference'!$B$2:$M$41,12)," ")</f>
        <v xml:space="preserve"> </v>
      </c>
      <c r="AA777" s="42" t="str">
        <f>IFERROR(VLOOKUP($J777,'Project Reference'!$B$2:$N$41,13)," ")</f>
        <v xml:space="preserve"> </v>
      </c>
    </row>
    <row r="778" spans="1:27" x14ac:dyDescent="0.45">
      <c r="A778" s="43"/>
      <c r="B778" s="205"/>
      <c r="C778"/>
      <c r="D778" s="72"/>
      <c r="E778" s="72"/>
      <c r="F778" s="72"/>
      <c r="G778" s="72"/>
      <c r="H778" s="17"/>
      <c r="I778" s="41" t="str" cm="1">
        <f t="array" ref="I778">IFERROR(_xlfn.IFS(H778="Hard (Cash)","N/A",H778="Soft (In-Kind)", "Enter Source"),"Select Type")</f>
        <v>Select Type</v>
      </c>
      <c r="J778" s="124"/>
      <c r="K778" s="41" t="str">
        <f>IFERROR(VLOOKUP($J778,'Project Reference'!$S$2:$T$41,2),"Enter Project Number")</f>
        <v>Enter Project Number</v>
      </c>
      <c r="L778" s="41"/>
      <c r="M778" s="41"/>
      <c r="N778" s="15">
        <f t="shared" si="12"/>
        <v>0</v>
      </c>
      <c r="O778" s="19"/>
      <c r="P778" s="42" t="str">
        <f>IFERROR(VLOOKUP($J778,'Project Reference'!$B$2:$C$41,2)," ")</f>
        <v xml:space="preserve"> </v>
      </c>
      <c r="Q778" s="42" t="str">
        <f>IFERROR(VLOOKUP($J778,'Project Reference'!$B$2:$D$41,3)," ")</f>
        <v xml:space="preserve"> </v>
      </c>
      <c r="R778" s="42" t="str">
        <f>IFERROR(VLOOKUP($J778,'Project Reference'!$B$2:$E$41,4)," ")</f>
        <v xml:space="preserve"> </v>
      </c>
      <c r="S778" s="42" t="str">
        <f>IFERROR(VLOOKUP($J778,'Project Reference'!$B$2:$F$41,5,FALSE)," ")</f>
        <v xml:space="preserve"> </v>
      </c>
      <c r="T778" s="42" t="str">
        <f>IFERROR(VLOOKUP($J778,'Project Reference'!$B$2:$G$41,6,FALSE)," ")</f>
        <v xml:space="preserve"> </v>
      </c>
      <c r="U778" s="42" t="str">
        <f>IFERROR(VLOOKUP($J778,'Project Reference'!$B$2:$H$41,7,FALSE)," ")</f>
        <v xml:space="preserve"> </v>
      </c>
      <c r="V778" s="42" t="str">
        <f>IFERROR(VLOOKUP($J778,'Project Reference'!$B$2:$I$41,8,FALSE)," ")</f>
        <v xml:space="preserve"> </v>
      </c>
      <c r="W778" s="42" t="str">
        <f>IFERROR(VLOOKUP($J778,'Project Reference'!$B$2:$J$41,9,FALSE)," ")</f>
        <v xml:space="preserve"> </v>
      </c>
      <c r="X778" s="42" t="str">
        <f>IFERROR(VLOOKUP($J778,'Project Reference'!$B$2:$K$41,10)," ")</f>
        <v xml:space="preserve"> </v>
      </c>
      <c r="Y778" s="42" t="str">
        <f>IFERROR(VLOOKUP($J778,'Project Reference'!$B$2:$L$41,11)," ")</f>
        <v xml:space="preserve"> </v>
      </c>
      <c r="Z778" s="42" t="str">
        <f>IFERROR(VLOOKUP($J778,'Project Reference'!$B$2:$M$41,12)," ")</f>
        <v xml:space="preserve"> </v>
      </c>
      <c r="AA778" s="42" t="str">
        <f>IFERROR(VLOOKUP($J778,'Project Reference'!$B$2:$N$41,13)," ")</f>
        <v xml:space="preserve"> </v>
      </c>
    </row>
    <row r="779" spans="1:27" x14ac:dyDescent="0.45">
      <c r="A779" s="43"/>
      <c r="B779" s="205"/>
      <c r="C779"/>
      <c r="D779" s="72"/>
      <c r="E779" s="72"/>
      <c r="F779" s="72"/>
      <c r="G779" s="72"/>
      <c r="H779" s="17"/>
      <c r="I779" s="41" t="str" cm="1">
        <f t="array" ref="I779">IFERROR(_xlfn.IFS(H779="Hard (Cash)","N/A",H779="Soft (In-Kind)", "Enter Source"),"Select Type")</f>
        <v>Select Type</v>
      </c>
      <c r="J779" s="124"/>
      <c r="K779" s="41" t="str">
        <f>IFERROR(VLOOKUP($J779,'Project Reference'!$S$2:$T$41,2),"Enter Project Number")</f>
        <v>Enter Project Number</v>
      </c>
      <c r="L779" s="41"/>
      <c r="M779" s="41"/>
      <c r="N779" s="15">
        <f t="shared" si="12"/>
        <v>0</v>
      </c>
      <c r="O779" s="19"/>
      <c r="P779" s="42" t="str">
        <f>IFERROR(VLOOKUP($J779,'Project Reference'!$B$2:$C$41,2)," ")</f>
        <v xml:space="preserve"> </v>
      </c>
      <c r="Q779" s="42" t="str">
        <f>IFERROR(VLOOKUP($J779,'Project Reference'!$B$2:$D$41,3)," ")</f>
        <v xml:space="preserve"> </v>
      </c>
      <c r="R779" s="42" t="str">
        <f>IFERROR(VLOOKUP($J779,'Project Reference'!$B$2:$E$41,4)," ")</f>
        <v xml:space="preserve"> </v>
      </c>
      <c r="S779" s="42" t="str">
        <f>IFERROR(VLOOKUP($J779,'Project Reference'!$B$2:$F$41,5,FALSE)," ")</f>
        <v xml:space="preserve"> </v>
      </c>
      <c r="T779" s="42" t="str">
        <f>IFERROR(VLOOKUP($J779,'Project Reference'!$B$2:$G$41,6,FALSE)," ")</f>
        <v xml:space="preserve"> </v>
      </c>
      <c r="U779" s="42" t="str">
        <f>IFERROR(VLOOKUP($J779,'Project Reference'!$B$2:$H$41,7,FALSE)," ")</f>
        <v xml:space="preserve"> </v>
      </c>
      <c r="V779" s="42" t="str">
        <f>IFERROR(VLOOKUP($J779,'Project Reference'!$B$2:$I$41,8,FALSE)," ")</f>
        <v xml:space="preserve"> </v>
      </c>
      <c r="W779" s="42" t="str">
        <f>IFERROR(VLOOKUP($J779,'Project Reference'!$B$2:$J$41,9,FALSE)," ")</f>
        <v xml:space="preserve"> </v>
      </c>
      <c r="X779" s="42" t="str">
        <f>IFERROR(VLOOKUP($J779,'Project Reference'!$B$2:$K$41,10)," ")</f>
        <v xml:space="preserve"> </v>
      </c>
      <c r="Y779" s="42" t="str">
        <f>IFERROR(VLOOKUP($J779,'Project Reference'!$B$2:$L$41,11)," ")</f>
        <v xml:space="preserve"> </v>
      </c>
      <c r="Z779" s="42" t="str">
        <f>IFERROR(VLOOKUP($J779,'Project Reference'!$B$2:$M$41,12)," ")</f>
        <v xml:space="preserve"> </v>
      </c>
      <c r="AA779" s="42" t="str">
        <f>IFERROR(VLOOKUP($J779,'Project Reference'!$B$2:$N$41,13)," ")</f>
        <v xml:space="preserve"> </v>
      </c>
    </row>
    <row r="780" spans="1:27" x14ac:dyDescent="0.45">
      <c r="A780" s="43"/>
      <c r="B780" s="205"/>
      <c r="C780"/>
      <c r="D780" s="72"/>
      <c r="E780" s="72"/>
      <c r="F780" s="72"/>
      <c r="G780" s="72"/>
      <c r="H780" s="17"/>
      <c r="I780" s="41" t="str" cm="1">
        <f t="array" ref="I780">IFERROR(_xlfn.IFS(H780="Hard (Cash)","N/A",H780="Soft (In-Kind)", "Enter Source"),"Select Type")</f>
        <v>Select Type</v>
      </c>
      <c r="J780" s="124"/>
      <c r="K780" s="41" t="str">
        <f>IFERROR(VLOOKUP($J780,'Project Reference'!$S$2:$T$41,2),"Enter Project Number")</f>
        <v>Enter Project Number</v>
      </c>
      <c r="L780" s="41"/>
      <c r="M780" s="41"/>
      <c r="N780" s="15">
        <f t="shared" si="12"/>
        <v>0</v>
      </c>
      <c r="O780" s="19"/>
      <c r="P780" s="42" t="str">
        <f>IFERROR(VLOOKUP($J780,'Project Reference'!$B$2:$C$41,2)," ")</f>
        <v xml:space="preserve"> </v>
      </c>
      <c r="Q780" s="42" t="str">
        <f>IFERROR(VLOOKUP($J780,'Project Reference'!$B$2:$D$41,3)," ")</f>
        <v xml:space="preserve"> </v>
      </c>
      <c r="R780" s="42" t="str">
        <f>IFERROR(VLOOKUP($J780,'Project Reference'!$B$2:$E$41,4)," ")</f>
        <v xml:space="preserve"> </v>
      </c>
      <c r="S780" s="42" t="str">
        <f>IFERROR(VLOOKUP($J780,'Project Reference'!$B$2:$F$41,5,FALSE)," ")</f>
        <v xml:space="preserve"> </v>
      </c>
      <c r="T780" s="42" t="str">
        <f>IFERROR(VLOOKUP($J780,'Project Reference'!$B$2:$G$41,6,FALSE)," ")</f>
        <v xml:space="preserve"> </v>
      </c>
      <c r="U780" s="42" t="str">
        <f>IFERROR(VLOOKUP($J780,'Project Reference'!$B$2:$H$41,7,FALSE)," ")</f>
        <v xml:space="preserve"> </v>
      </c>
      <c r="V780" s="42" t="str">
        <f>IFERROR(VLOOKUP($J780,'Project Reference'!$B$2:$I$41,8,FALSE)," ")</f>
        <v xml:space="preserve"> </v>
      </c>
      <c r="W780" s="42" t="str">
        <f>IFERROR(VLOOKUP($J780,'Project Reference'!$B$2:$J$41,9,FALSE)," ")</f>
        <v xml:space="preserve"> </v>
      </c>
      <c r="X780" s="42" t="str">
        <f>IFERROR(VLOOKUP($J780,'Project Reference'!$B$2:$K$41,10)," ")</f>
        <v xml:space="preserve"> </v>
      </c>
      <c r="Y780" s="42" t="str">
        <f>IFERROR(VLOOKUP($J780,'Project Reference'!$B$2:$L$41,11)," ")</f>
        <v xml:space="preserve"> </v>
      </c>
      <c r="Z780" s="42" t="str">
        <f>IFERROR(VLOOKUP($J780,'Project Reference'!$B$2:$M$41,12)," ")</f>
        <v xml:space="preserve"> </v>
      </c>
      <c r="AA780" s="42" t="str">
        <f>IFERROR(VLOOKUP($J780,'Project Reference'!$B$2:$N$41,13)," ")</f>
        <v xml:space="preserve"> </v>
      </c>
    </row>
    <row r="781" spans="1:27" x14ac:dyDescent="0.45">
      <c r="A781" s="43"/>
      <c r="B781" s="205"/>
      <c r="C781"/>
      <c r="D781" s="72"/>
      <c r="E781" s="72"/>
      <c r="F781" s="72"/>
      <c r="G781" s="72"/>
      <c r="H781" s="17"/>
      <c r="I781" s="41" t="str" cm="1">
        <f t="array" ref="I781">IFERROR(_xlfn.IFS(H781="Hard (Cash)","N/A",H781="Soft (In-Kind)", "Enter Source"),"Select Type")</f>
        <v>Select Type</v>
      </c>
      <c r="J781" s="124"/>
      <c r="K781" s="41" t="str">
        <f>IFERROR(VLOOKUP($J781,'Project Reference'!$S$2:$T$41,2),"Enter Project Number")</f>
        <v>Enter Project Number</v>
      </c>
      <c r="L781" s="41"/>
      <c r="M781" s="41"/>
      <c r="N781" s="15">
        <f t="shared" si="12"/>
        <v>0</v>
      </c>
      <c r="O781" s="19"/>
      <c r="P781" s="42" t="str">
        <f>IFERROR(VLOOKUP($J781,'Project Reference'!$B$2:$C$41,2)," ")</f>
        <v xml:space="preserve"> </v>
      </c>
      <c r="Q781" s="42" t="str">
        <f>IFERROR(VLOOKUP($J781,'Project Reference'!$B$2:$D$41,3)," ")</f>
        <v xml:space="preserve"> </v>
      </c>
      <c r="R781" s="42" t="str">
        <f>IFERROR(VLOOKUP($J781,'Project Reference'!$B$2:$E$41,4)," ")</f>
        <v xml:space="preserve"> </v>
      </c>
      <c r="S781" s="42" t="str">
        <f>IFERROR(VLOOKUP($J781,'Project Reference'!$B$2:$F$41,5,FALSE)," ")</f>
        <v xml:space="preserve"> </v>
      </c>
      <c r="T781" s="42" t="str">
        <f>IFERROR(VLOOKUP($J781,'Project Reference'!$B$2:$G$41,6,FALSE)," ")</f>
        <v xml:space="preserve"> </v>
      </c>
      <c r="U781" s="42" t="str">
        <f>IFERROR(VLOOKUP($J781,'Project Reference'!$B$2:$H$41,7,FALSE)," ")</f>
        <v xml:space="preserve"> </v>
      </c>
      <c r="V781" s="42" t="str">
        <f>IFERROR(VLOOKUP($J781,'Project Reference'!$B$2:$I$41,8,FALSE)," ")</f>
        <v xml:space="preserve"> </v>
      </c>
      <c r="W781" s="42" t="str">
        <f>IFERROR(VLOOKUP($J781,'Project Reference'!$B$2:$J$41,9,FALSE)," ")</f>
        <v xml:space="preserve"> </v>
      </c>
      <c r="X781" s="42" t="str">
        <f>IFERROR(VLOOKUP($J781,'Project Reference'!$B$2:$K$41,10)," ")</f>
        <v xml:space="preserve"> </v>
      </c>
      <c r="Y781" s="42" t="str">
        <f>IFERROR(VLOOKUP($J781,'Project Reference'!$B$2:$L$41,11)," ")</f>
        <v xml:space="preserve"> </v>
      </c>
      <c r="Z781" s="42" t="str">
        <f>IFERROR(VLOOKUP($J781,'Project Reference'!$B$2:$M$41,12)," ")</f>
        <v xml:space="preserve"> </v>
      </c>
      <c r="AA781" s="42" t="str">
        <f>IFERROR(VLOOKUP($J781,'Project Reference'!$B$2:$N$41,13)," ")</f>
        <v xml:space="preserve"> </v>
      </c>
    </row>
    <row r="782" spans="1:27" x14ac:dyDescent="0.45">
      <c r="A782" s="43"/>
      <c r="B782" s="205"/>
      <c r="C782"/>
      <c r="D782" s="72"/>
      <c r="E782" s="72"/>
      <c r="F782" s="72"/>
      <c r="G782" s="72"/>
      <c r="H782" s="17"/>
      <c r="I782" s="41" t="str" cm="1">
        <f t="array" ref="I782">IFERROR(_xlfn.IFS(H782="Hard (Cash)","N/A",H782="Soft (In-Kind)", "Enter Source"),"Select Type")</f>
        <v>Select Type</v>
      </c>
      <c r="J782" s="124"/>
      <c r="K782" s="41" t="str">
        <f>IFERROR(VLOOKUP($J782,'Project Reference'!$S$2:$T$41,2),"Enter Project Number")</f>
        <v>Enter Project Number</v>
      </c>
      <c r="L782" s="41"/>
      <c r="M782" s="41"/>
      <c r="N782" s="15">
        <f t="shared" si="12"/>
        <v>0</v>
      </c>
      <c r="O782" s="19"/>
      <c r="P782" s="42" t="str">
        <f>IFERROR(VLOOKUP($J782,'Project Reference'!$B$2:$C$41,2)," ")</f>
        <v xml:space="preserve"> </v>
      </c>
      <c r="Q782" s="42" t="str">
        <f>IFERROR(VLOOKUP($J782,'Project Reference'!$B$2:$D$41,3)," ")</f>
        <v xml:space="preserve"> </v>
      </c>
      <c r="R782" s="42" t="str">
        <f>IFERROR(VLOOKUP($J782,'Project Reference'!$B$2:$E$41,4)," ")</f>
        <v xml:space="preserve"> </v>
      </c>
      <c r="S782" s="42" t="str">
        <f>IFERROR(VLOOKUP($J782,'Project Reference'!$B$2:$F$41,5,FALSE)," ")</f>
        <v xml:space="preserve"> </v>
      </c>
      <c r="T782" s="42" t="str">
        <f>IFERROR(VLOOKUP($J782,'Project Reference'!$B$2:$G$41,6,FALSE)," ")</f>
        <v xml:space="preserve"> </v>
      </c>
      <c r="U782" s="42" t="str">
        <f>IFERROR(VLOOKUP($J782,'Project Reference'!$B$2:$H$41,7,FALSE)," ")</f>
        <v xml:space="preserve"> </v>
      </c>
      <c r="V782" s="42" t="str">
        <f>IFERROR(VLOOKUP($J782,'Project Reference'!$B$2:$I$41,8,FALSE)," ")</f>
        <v xml:space="preserve"> </v>
      </c>
      <c r="W782" s="42" t="str">
        <f>IFERROR(VLOOKUP($J782,'Project Reference'!$B$2:$J$41,9,FALSE)," ")</f>
        <v xml:space="preserve"> </v>
      </c>
      <c r="X782" s="42" t="str">
        <f>IFERROR(VLOOKUP($J782,'Project Reference'!$B$2:$K$41,10)," ")</f>
        <v xml:space="preserve"> </v>
      </c>
      <c r="Y782" s="42" t="str">
        <f>IFERROR(VLOOKUP($J782,'Project Reference'!$B$2:$L$41,11)," ")</f>
        <v xml:space="preserve"> </v>
      </c>
      <c r="Z782" s="42" t="str">
        <f>IFERROR(VLOOKUP($J782,'Project Reference'!$B$2:$M$41,12)," ")</f>
        <v xml:space="preserve"> </v>
      </c>
      <c r="AA782" s="42" t="str">
        <f>IFERROR(VLOOKUP($J782,'Project Reference'!$B$2:$N$41,13)," ")</f>
        <v xml:space="preserve"> </v>
      </c>
    </row>
    <row r="783" spans="1:27" x14ac:dyDescent="0.45">
      <c r="A783" s="43"/>
      <c r="B783" s="205"/>
      <c r="C783"/>
      <c r="D783" s="72"/>
      <c r="E783" s="72"/>
      <c r="F783" s="72"/>
      <c r="G783" s="72"/>
      <c r="H783" s="17"/>
      <c r="I783" s="41" t="str" cm="1">
        <f t="array" ref="I783">IFERROR(_xlfn.IFS(H783="Hard (Cash)","N/A",H783="Soft (In-Kind)", "Enter Source"),"Select Type")</f>
        <v>Select Type</v>
      </c>
      <c r="J783" s="124"/>
      <c r="K783" s="41" t="str">
        <f>IFERROR(VLOOKUP($J783,'Project Reference'!$S$2:$T$41,2),"Enter Project Number")</f>
        <v>Enter Project Number</v>
      </c>
      <c r="L783" s="41"/>
      <c r="M783" s="41"/>
      <c r="N783" s="15">
        <f t="shared" si="12"/>
        <v>0</v>
      </c>
      <c r="O783" s="19"/>
      <c r="P783" s="42" t="str">
        <f>IFERROR(VLOOKUP($J783,'Project Reference'!$B$2:$C$41,2)," ")</f>
        <v xml:space="preserve"> </v>
      </c>
      <c r="Q783" s="42" t="str">
        <f>IFERROR(VLOOKUP($J783,'Project Reference'!$B$2:$D$41,3)," ")</f>
        <v xml:space="preserve"> </v>
      </c>
      <c r="R783" s="42" t="str">
        <f>IFERROR(VLOOKUP($J783,'Project Reference'!$B$2:$E$41,4)," ")</f>
        <v xml:space="preserve"> </v>
      </c>
      <c r="S783" s="42" t="str">
        <f>IFERROR(VLOOKUP($J783,'Project Reference'!$B$2:$F$41,5,FALSE)," ")</f>
        <v xml:space="preserve"> </v>
      </c>
      <c r="T783" s="42" t="str">
        <f>IFERROR(VLOOKUP($J783,'Project Reference'!$B$2:$G$41,6,FALSE)," ")</f>
        <v xml:space="preserve"> </v>
      </c>
      <c r="U783" s="42" t="str">
        <f>IFERROR(VLOOKUP($J783,'Project Reference'!$B$2:$H$41,7,FALSE)," ")</f>
        <v xml:space="preserve"> </v>
      </c>
      <c r="V783" s="42" t="str">
        <f>IFERROR(VLOOKUP($J783,'Project Reference'!$B$2:$I$41,8,FALSE)," ")</f>
        <v xml:space="preserve"> </v>
      </c>
      <c r="W783" s="42" t="str">
        <f>IFERROR(VLOOKUP($J783,'Project Reference'!$B$2:$J$41,9,FALSE)," ")</f>
        <v xml:space="preserve"> </v>
      </c>
      <c r="X783" s="42" t="str">
        <f>IFERROR(VLOOKUP($J783,'Project Reference'!$B$2:$K$41,10)," ")</f>
        <v xml:space="preserve"> </v>
      </c>
      <c r="Y783" s="42" t="str">
        <f>IFERROR(VLOOKUP($J783,'Project Reference'!$B$2:$L$41,11)," ")</f>
        <v xml:space="preserve"> </v>
      </c>
      <c r="Z783" s="42" t="str">
        <f>IFERROR(VLOOKUP($J783,'Project Reference'!$B$2:$M$41,12)," ")</f>
        <v xml:space="preserve"> </v>
      </c>
      <c r="AA783" s="42" t="str">
        <f>IFERROR(VLOOKUP($J783,'Project Reference'!$B$2:$N$41,13)," ")</f>
        <v xml:space="preserve"> </v>
      </c>
    </row>
    <row r="784" spans="1:27" x14ac:dyDescent="0.45">
      <c r="A784" s="43"/>
      <c r="B784" s="205"/>
      <c r="C784"/>
      <c r="D784" s="72"/>
      <c r="E784" s="72"/>
      <c r="F784" s="72"/>
      <c r="G784" s="72"/>
      <c r="H784" s="17"/>
      <c r="I784" s="41" t="str" cm="1">
        <f t="array" ref="I784">IFERROR(_xlfn.IFS(H784="Hard (Cash)","N/A",H784="Soft (In-Kind)", "Enter Source"),"Select Type")</f>
        <v>Select Type</v>
      </c>
      <c r="J784" s="124"/>
      <c r="K784" s="41" t="str">
        <f>IFERROR(VLOOKUP($J784,'Project Reference'!$S$2:$T$41,2),"Enter Project Number")</f>
        <v>Enter Project Number</v>
      </c>
      <c r="L784" s="41"/>
      <c r="M784" s="41"/>
      <c r="N784" s="15">
        <f t="shared" si="12"/>
        <v>0</v>
      </c>
      <c r="O784" s="19"/>
      <c r="P784" s="42" t="str">
        <f>IFERROR(VLOOKUP($J784,'Project Reference'!$B$2:$C$41,2)," ")</f>
        <v xml:space="preserve"> </v>
      </c>
      <c r="Q784" s="42" t="str">
        <f>IFERROR(VLOOKUP($J784,'Project Reference'!$B$2:$D$41,3)," ")</f>
        <v xml:space="preserve"> </v>
      </c>
      <c r="R784" s="42" t="str">
        <f>IFERROR(VLOOKUP($J784,'Project Reference'!$B$2:$E$41,4)," ")</f>
        <v xml:space="preserve"> </v>
      </c>
      <c r="S784" s="42" t="str">
        <f>IFERROR(VLOOKUP($J784,'Project Reference'!$B$2:$F$41,5,FALSE)," ")</f>
        <v xml:space="preserve"> </v>
      </c>
      <c r="T784" s="42" t="str">
        <f>IFERROR(VLOOKUP($J784,'Project Reference'!$B$2:$G$41,6,FALSE)," ")</f>
        <v xml:space="preserve"> </v>
      </c>
      <c r="U784" s="42" t="str">
        <f>IFERROR(VLOOKUP($J784,'Project Reference'!$B$2:$H$41,7,FALSE)," ")</f>
        <v xml:space="preserve"> </v>
      </c>
      <c r="V784" s="42" t="str">
        <f>IFERROR(VLOOKUP($J784,'Project Reference'!$B$2:$I$41,8,FALSE)," ")</f>
        <v xml:space="preserve"> </v>
      </c>
      <c r="W784" s="42" t="str">
        <f>IFERROR(VLOOKUP($J784,'Project Reference'!$B$2:$J$41,9,FALSE)," ")</f>
        <v xml:space="preserve"> </v>
      </c>
      <c r="X784" s="42" t="str">
        <f>IFERROR(VLOOKUP($J784,'Project Reference'!$B$2:$K$41,10)," ")</f>
        <v xml:space="preserve"> </v>
      </c>
      <c r="Y784" s="42" t="str">
        <f>IFERROR(VLOOKUP($J784,'Project Reference'!$B$2:$L$41,11)," ")</f>
        <v xml:space="preserve"> </v>
      </c>
      <c r="Z784" s="42" t="str">
        <f>IFERROR(VLOOKUP($J784,'Project Reference'!$B$2:$M$41,12)," ")</f>
        <v xml:space="preserve"> </v>
      </c>
      <c r="AA784" s="42" t="str">
        <f>IFERROR(VLOOKUP($J784,'Project Reference'!$B$2:$N$41,13)," ")</f>
        <v xml:space="preserve"> </v>
      </c>
    </row>
    <row r="785" spans="1:27" x14ac:dyDescent="0.45">
      <c r="A785" s="43"/>
      <c r="B785" s="205"/>
      <c r="C785"/>
      <c r="D785" s="72"/>
      <c r="E785" s="72"/>
      <c r="F785" s="72"/>
      <c r="G785" s="72"/>
      <c r="H785" s="17"/>
      <c r="I785" s="41" t="str" cm="1">
        <f t="array" ref="I785">IFERROR(_xlfn.IFS(H785="Hard (Cash)","N/A",H785="Soft (In-Kind)", "Enter Source"),"Select Type")</f>
        <v>Select Type</v>
      </c>
      <c r="J785" s="124"/>
      <c r="K785" s="41" t="str">
        <f>IFERROR(VLOOKUP($J785,'Project Reference'!$S$2:$T$41,2),"Enter Project Number")</f>
        <v>Enter Project Number</v>
      </c>
      <c r="L785" s="41"/>
      <c r="M785" s="41"/>
      <c r="N785" s="15">
        <f t="shared" si="12"/>
        <v>0</v>
      </c>
      <c r="O785" s="19"/>
      <c r="P785" s="42" t="str">
        <f>IFERROR(VLOOKUP($J785,'Project Reference'!$B$2:$C$41,2)," ")</f>
        <v xml:space="preserve"> </v>
      </c>
      <c r="Q785" s="42" t="str">
        <f>IFERROR(VLOOKUP($J785,'Project Reference'!$B$2:$D$41,3)," ")</f>
        <v xml:space="preserve"> </v>
      </c>
      <c r="R785" s="42" t="str">
        <f>IFERROR(VLOOKUP($J785,'Project Reference'!$B$2:$E$41,4)," ")</f>
        <v xml:space="preserve"> </v>
      </c>
      <c r="S785" s="42" t="str">
        <f>IFERROR(VLOOKUP($J785,'Project Reference'!$B$2:$F$41,5,FALSE)," ")</f>
        <v xml:space="preserve"> </v>
      </c>
      <c r="T785" s="42" t="str">
        <f>IFERROR(VLOOKUP($J785,'Project Reference'!$B$2:$G$41,6,FALSE)," ")</f>
        <v xml:space="preserve"> </v>
      </c>
      <c r="U785" s="42" t="str">
        <f>IFERROR(VLOOKUP($J785,'Project Reference'!$B$2:$H$41,7,FALSE)," ")</f>
        <v xml:space="preserve"> </v>
      </c>
      <c r="V785" s="42" t="str">
        <f>IFERROR(VLOOKUP($J785,'Project Reference'!$B$2:$I$41,8,FALSE)," ")</f>
        <v xml:space="preserve"> </v>
      </c>
      <c r="W785" s="42" t="str">
        <f>IFERROR(VLOOKUP($J785,'Project Reference'!$B$2:$J$41,9,FALSE)," ")</f>
        <v xml:space="preserve"> </v>
      </c>
      <c r="X785" s="42" t="str">
        <f>IFERROR(VLOOKUP($J785,'Project Reference'!$B$2:$K$41,10)," ")</f>
        <v xml:space="preserve"> </v>
      </c>
      <c r="Y785" s="42" t="str">
        <f>IFERROR(VLOOKUP($J785,'Project Reference'!$B$2:$L$41,11)," ")</f>
        <v xml:space="preserve"> </v>
      </c>
      <c r="Z785" s="42" t="str">
        <f>IFERROR(VLOOKUP($J785,'Project Reference'!$B$2:$M$41,12)," ")</f>
        <v xml:space="preserve"> </v>
      </c>
      <c r="AA785" s="42" t="str">
        <f>IFERROR(VLOOKUP($J785,'Project Reference'!$B$2:$N$41,13)," ")</f>
        <v xml:space="preserve"> </v>
      </c>
    </row>
    <row r="786" spans="1:27" x14ac:dyDescent="0.45">
      <c r="A786" s="43"/>
      <c r="B786" s="205"/>
      <c r="C786"/>
      <c r="D786" s="72"/>
      <c r="E786" s="72"/>
      <c r="F786" s="72"/>
      <c r="G786" s="72"/>
      <c r="H786" s="17"/>
      <c r="I786" s="41" t="str" cm="1">
        <f t="array" ref="I786">IFERROR(_xlfn.IFS(H786="Hard (Cash)","N/A",H786="Soft (In-Kind)", "Enter Source"),"Select Type")</f>
        <v>Select Type</v>
      </c>
      <c r="J786" s="124"/>
      <c r="K786" s="41" t="str">
        <f>IFERROR(VLOOKUP($J786,'Project Reference'!$S$2:$T$41,2),"Enter Project Number")</f>
        <v>Enter Project Number</v>
      </c>
      <c r="L786" s="41"/>
      <c r="M786" s="41"/>
      <c r="N786" s="15">
        <f t="shared" si="12"/>
        <v>0</v>
      </c>
      <c r="O786" s="19"/>
      <c r="P786" s="42" t="str">
        <f>IFERROR(VLOOKUP($J786,'Project Reference'!$B$2:$C$41,2)," ")</f>
        <v xml:space="preserve"> </v>
      </c>
      <c r="Q786" s="42" t="str">
        <f>IFERROR(VLOOKUP($J786,'Project Reference'!$B$2:$D$41,3)," ")</f>
        <v xml:space="preserve"> </v>
      </c>
      <c r="R786" s="42" t="str">
        <f>IFERROR(VLOOKUP($J786,'Project Reference'!$B$2:$E$41,4)," ")</f>
        <v xml:space="preserve"> </v>
      </c>
      <c r="S786" s="42" t="str">
        <f>IFERROR(VLOOKUP($J786,'Project Reference'!$B$2:$F$41,5,FALSE)," ")</f>
        <v xml:space="preserve"> </v>
      </c>
      <c r="T786" s="42" t="str">
        <f>IFERROR(VLOOKUP($J786,'Project Reference'!$B$2:$G$41,6,FALSE)," ")</f>
        <v xml:space="preserve"> </v>
      </c>
      <c r="U786" s="42" t="str">
        <f>IFERROR(VLOOKUP($J786,'Project Reference'!$B$2:$H$41,7,FALSE)," ")</f>
        <v xml:space="preserve"> </v>
      </c>
      <c r="V786" s="42" t="str">
        <f>IFERROR(VLOOKUP($J786,'Project Reference'!$B$2:$I$41,8,FALSE)," ")</f>
        <v xml:space="preserve"> </v>
      </c>
      <c r="W786" s="42" t="str">
        <f>IFERROR(VLOOKUP($J786,'Project Reference'!$B$2:$J$41,9,FALSE)," ")</f>
        <v xml:space="preserve"> </v>
      </c>
      <c r="X786" s="42" t="str">
        <f>IFERROR(VLOOKUP($J786,'Project Reference'!$B$2:$K$41,10)," ")</f>
        <v xml:space="preserve"> </v>
      </c>
      <c r="Y786" s="42" t="str">
        <f>IFERROR(VLOOKUP($J786,'Project Reference'!$B$2:$L$41,11)," ")</f>
        <v xml:space="preserve"> </v>
      </c>
      <c r="Z786" s="42" t="str">
        <f>IFERROR(VLOOKUP($J786,'Project Reference'!$B$2:$M$41,12)," ")</f>
        <v xml:space="preserve"> </v>
      </c>
      <c r="AA786" s="42" t="str">
        <f>IFERROR(VLOOKUP($J786,'Project Reference'!$B$2:$N$41,13)," ")</f>
        <v xml:space="preserve"> </v>
      </c>
    </row>
    <row r="787" spans="1:27" x14ac:dyDescent="0.45">
      <c r="A787" s="43"/>
      <c r="B787" s="205"/>
      <c r="C787"/>
      <c r="D787" s="72"/>
      <c r="E787" s="72"/>
      <c r="F787" s="72"/>
      <c r="G787" s="72"/>
      <c r="H787" s="17"/>
      <c r="I787" s="41" t="str" cm="1">
        <f t="array" ref="I787">IFERROR(_xlfn.IFS(H787="Hard (Cash)","N/A",H787="Soft (In-Kind)", "Enter Source"),"Select Type")</f>
        <v>Select Type</v>
      </c>
      <c r="J787" s="124"/>
      <c r="K787" s="41" t="str">
        <f>IFERROR(VLOOKUP($J787,'Project Reference'!$S$2:$T$41,2),"Enter Project Number")</f>
        <v>Enter Project Number</v>
      </c>
      <c r="L787" s="41"/>
      <c r="M787" s="41"/>
      <c r="N787" s="15">
        <f t="shared" si="12"/>
        <v>0</v>
      </c>
      <c r="O787" s="19"/>
      <c r="P787" s="42" t="str">
        <f>IFERROR(VLOOKUP($J787,'Project Reference'!$B$2:$C$41,2)," ")</f>
        <v xml:space="preserve"> </v>
      </c>
      <c r="Q787" s="42" t="str">
        <f>IFERROR(VLOOKUP($J787,'Project Reference'!$B$2:$D$41,3)," ")</f>
        <v xml:space="preserve"> </v>
      </c>
      <c r="R787" s="42" t="str">
        <f>IFERROR(VLOOKUP($J787,'Project Reference'!$B$2:$E$41,4)," ")</f>
        <v xml:space="preserve"> </v>
      </c>
      <c r="S787" s="42" t="str">
        <f>IFERROR(VLOOKUP($J787,'Project Reference'!$B$2:$F$41,5,FALSE)," ")</f>
        <v xml:space="preserve"> </v>
      </c>
      <c r="T787" s="42" t="str">
        <f>IFERROR(VLOOKUP($J787,'Project Reference'!$B$2:$G$41,6,FALSE)," ")</f>
        <v xml:space="preserve"> </v>
      </c>
      <c r="U787" s="42" t="str">
        <f>IFERROR(VLOOKUP($J787,'Project Reference'!$B$2:$H$41,7,FALSE)," ")</f>
        <v xml:space="preserve"> </v>
      </c>
      <c r="V787" s="42" t="str">
        <f>IFERROR(VLOOKUP($J787,'Project Reference'!$B$2:$I$41,8,FALSE)," ")</f>
        <v xml:space="preserve"> </v>
      </c>
      <c r="W787" s="42" t="str">
        <f>IFERROR(VLOOKUP($J787,'Project Reference'!$B$2:$J$41,9,FALSE)," ")</f>
        <v xml:space="preserve"> </v>
      </c>
      <c r="X787" s="42" t="str">
        <f>IFERROR(VLOOKUP($J787,'Project Reference'!$B$2:$K$41,10)," ")</f>
        <v xml:space="preserve"> </v>
      </c>
      <c r="Y787" s="42" t="str">
        <f>IFERROR(VLOOKUP($J787,'Project Reference'!$B$2:$L$41,11)," ")</f>
        <v xml:space="preserve"> </v>
      </c>
      <c r="Z787" s="42" t="str">
        <f>IFERROR(VLOOKUP($J787,'Project Reference'!$B$2:$M$41,12)," ")</f>
        <v xml:space="preserve"> </v>
      </c>
      <c r="AA787" s="42" t="str">
        <f>IFERROR(VLOOKUP($J787,'Project Reference'!$B$2:$N$41,13)," ")</f>
        <v xml:space="preserve"> </v>
      </c>
    </row>
    <row r="788" spans="1:27" x14ac:dyDescent="0.45">
      <c r="A788" s="43"/>
      <c r="B788" s="205"/>
      <c r="C788"/>
      <c r="D788" s="72"/>
      <c r="E788" s="72"/>
      <c r="F788" s="72"/>
      <c r="G788" s="72"/>
      <c r="H788" s="17"/>
      <c r="I788" s="41" t="str" cm="1">
        <f t="array" ref="I788">IFERROR(_xlfn.IFS(H788="Hard (Cash)","N/A",H788="Soft (In-Kind)", "Enter Source"),"Select Type")</f>
        <v>Select Type</v>
      </c>
      <c r="J788" s="124"/>
      <c r="K788" s="41" t="str">
        <f>IFERROR(VLOOKUP($J788,'Project Reference'!$S$2:$T$41,2),"Enter Project Number")</f>
        <v>Enter Project Number</v>
      </c>
      <c r="L788" s="41"/>
      <c r="M788" s="41"/>
      <c r="N788" s="15">
        <f t="shared" si="12"/>
        <v>0</v>
      </c>
      <c r="O788" s="19"/>
      <c r="P788" s="42" t="str">
        <f>IFERROR(VLOOKUP($J788,'Project Reference'!$B$2:$C$41,2)," ")</f>
        <v xml:space="preserve"> </v>
      </c>
      <c r="Q788" s="42" t="str">
        <f>IFERROR(VLOOKUP($J788,'Project Reference'!$B$2:$D$41,3)," ")</f>
        <v xml:space="preserve"> </v>
      </c>
      <c r="R788" s="42" t="str">
        <f>IFERROR(VLOOKUP($J788,'Project Reference'!$B$2:$E$41,4)," ")</f>
        <v xml:space="preserve"> </v>
      </c>
      <c r="S788" s="42" t="str">
        <f>IFERROR(VLOOKUP($J788,'Project Reference'!$B$2:$F$41,5,FALSE)," ")</f>
        <v xml:space="preserve"> </v>
      </c>
      <c r="T788" s="42" t="str">
        <f>IFERROR(VLOOKUP($J788,'Project Reference'!$B$2:$G$41,6,FALSE)," ")</f>
        <v xml:space="preserve"> </v>
      </c>
      <c r="U788" s="42" t="str">
        <f>IFERROR(VLOOKUP($J788,'Project Reference'!$B$2:$H$41,7,FALSE)," ")</f>
        <v xml:space="preserve"> </v>
      </c>
      <c r="V788" s="42" t="str">
        <f>IFERROR(VLOOKUP($J788,'Project Reference'!$B$2:$I$41,8,FALSE)," ")</f>
        <v xml:space="preserve"> </v>
      </c>
      <c r="W788" s="42" t="str">
        <f>IFERROR(VLOOKUP($J788,'Project Reference'!$B$2:$J$41,9,FALSE)," ")</f>
        <v xml:space="preserve"> </v>
      </c>
      <c r="X788" s="42" t="str">
        <f>IFERROR(VLOOKUP($J788,'Project Reference'!$B$2:$K$41,10)," ")</f>
        <v xml:space="preserve"> </v>
      </c>
      <c r="Y788" s="42" t="str">
        <f>IFERROR(VLOOKUP($J788,'Project Reference'!$B$2:$L$41,11)," ")</f>
        <v xml:space="preserve"> </v>
      </c>
      <c r="Z788" s="42" t="str">
        <f>IFERROR(VLOOKUP($J788,'Project Reference'!$B$2:$M$41,12)," ")</f>
        <v xml:space="preserve"> </v>
      </c>
      <c r="AA788" s="42" t="str">
        <f>IFERROR(VLOOKUP($J788,'Project Reference'!$B$2:$N$41,13)," ")</f>
        <v xml:space="preserve"> </v>
      </c>
    </row>
    <row r="789" spans="1:27" x14ac:dyDescent="0.45">
      <c r="A789" s="43"/>
      <c r="B789" s="205"/>
      <c r="C789"/>
      <c r="D789" s="72"/>
      <c r="E789" s="72"/>
      <c r="F789" s="72"/>
      <c r="G789" s="72"/>
      <c r="H789" s="17"/>
      <c r="I789" s="41" t="str" cm="1">
        <f t="array" ref="I789">IFERROR(_xlfn.IFS(H789="Hard (Cash)","N/A",H789="Soft (In-Kind)", "Enter Source"),"Select Type")</f>
        <v>Select Type</v>
      </c>
      <c r="J789" s="124"/>
      <c r="K789" s="41" t="str">
        <f>IFERROR(VLOOKUP($J789,'Project Reference'!$S$2:$T$41,2),"Enter Project Number")</f>
        <v>Enter Project Number</v>
      </c>
      <c r="L789" s="41"/>
      <c r="M789" s="41"/>
      <c r="N789" s="15">
        <f t="shared" si="12"/>
        <v>0</v>
      </c>
      <c r="O789" s="19"/>
      <c r="P789" s="42" t="str">
        <f>IFERROR(VLOOKUP($J789,'Project Reference'!$B$2:$C$41,2)," ")</f>
        <v xml:space="preserve"> </v>
      </c>
      <c r="Q789" s="42" t="str">
        <f>IFERROR(VLOOKUP($J789,'Project Reference'!$B$2:$D$41,3)," ")</f>
        <v xml:space="preserve"> </v>
      </c>
      <c r="R789" s="42" t="str">
        <f>IFERROR(VLOOKUP($J789,'Project Reference'!$B$2:$E$41,4)," ")</f>
        <v xml:space="preserve"> </v>
      </c>
      <c r="S789" s="42" t="str">
        <f>IFERROR(VLOOKUP($J789,'Project Reference'!$B$2:$F$41,5,FALSE)," ")</f>
        <v xml:space="preserve"> </v>
      </c>
      <c r="T789" s="42" t="str">
        <f>IFERROR(VLOOKUP($J789,'Project Reference'!$B$2:$G$41,6,FALSE)," ")</f>
        <v xml:space="preserve"> </v>
      </c>
      <c r="U789" s="42" t="str">
        <f>IFERROR(VLOOKUP($J789,'Project Reference'!$B$2:$H$41,7,FALSE)," ")</f>
        <v xml:space="preserve"> </v>
      </c>
      <c r="V789" s="42" t="str">
        <f>IFERROR(VLOOKUP($J789,'Project Reference'!$B$2:$I$41,8,FALSE)," ")</f>
        <v xml:space="preserve"> </v>
      </c>
      <c r="W789" s="42" t="str">
        <f>IFERROR(VLOOKUP($J789,'Project Reference'!$B$2:$J$41,9,FALSE)," ")</f>
        <v xml:space="preserve"> </v>
      </c>
      <c r="X789" s="42" t="str">
        <f>IFERROR(VLOOKUP($J789,'Project Reference'!$B$2:$K$41,10)," ")</f>
        <v xml:space="preserve"> </v>
      </c>
      <c r="Y789" s="42" t="str">
        <f>IFERROR(VLOOKUP($J789,'Project Reference'!$B$2:$L$41,11)," ")</f>
        <v xml:space="preserve"> </v>
      </c>
      <c r="Z789" s="42" t="str">
        <f>IFERROR(VLOOKUP($J789,'Project Reference'!$B$2:$M$41,12)," ")</f>
        <v xml:space="preserve"> </v>
      </c>
      <c r="AA789" s="42" t="str">
        <f>IFERROR(VLOOKUP($J789,'Project Reference'!$B$2:$N$41,13)," ")</f>
        <v xml:space="preserve"> </v>
      </c>
    </row>
    <row r="790" spans="1:27" x14ac:dyDescent="0.45">
      <c r="A790" s="43"/>
      <c r="B790" s="205"/>
      <c r="C790"/>
      <c r="D790" s="72"/>
      <c r="E790" s="72"/>
      <c r="F790" s="72"/>
      <c r="G790" s="72"/>
      <c r="H790" s="17"/>
      <c r="I790" s="41" t="str" cm="1">
        <f t="array" ref="I790">IFERROR(_xlfn.IFS(H790="Hard (Cash)","N/A",H790="Soft (In-Kind)", "Enter Source"),"Select Type")</f>
        <v>Select Type</v>
      </c>
      <c r="J790" s="124"/>
      <c r="K790" s="41" t="str">
        <f>IFERROR(VLOOKUP($J790,'Project Reference'!$S$2:$T$41,2),"Enter Project Number")</f>
        <v>Enter Project Number</v>
      </c>
      <c r="L790" s="41"/>
      <c r="M790" s="41"/>
      <c r="N790" s="15">
        <f t="shared" si="12"/>
        <v>0</v>
      </c>
      <c r="O790" s="19"/>
      <c r="P790" s="42" t="str">
        <f>IFERROR(VLOOKUP($J790,'Project Reference'!$B$2:$C$41,2)," ")</f>
        <v xml:space="preserve"> </v>
      </c>
      <c r="Q790" s="42" t="str">
        <f>IFERROR(VLOOKUP($J790,'Project Reference'!$B$2:$D$41,3)," ")</f>
        <v xml:space="preserve"> </v>
      </c>
      <c r="R790" s="42" t="str">
        <f>IFERROR(VLOOKUP($J790,'Project Reference'!$B$2:$E$41,4)," ")</f>
        <v xml:space="preserve"> </v>
      </c>
      <c r="S790" s="42" t="str">
        <f>IFERROR(VLOOKUP($J790,'Project Reference'!$B$2:$F$41,5,FALSE)," ")</f>
        <v xml:space="preserve"> </v>
      </c>
      <c r="T790" s="42" t="str">
        <f>IFERROR(VLOOKUP($J790,'Project Reference'!$B$2:$G$41,6,FALSE)," ")</f>
        <v xml:space="preserve"> </v>
      </c>
      <c r="U790" s="42" t="str">
        <f>IFERROR(VLOOKUP($J790,'Project Reference'!$B$2:$H$41,7,FALSE)," ")</f>
        <v xml:space="preserve"> </v>
      </c>
      <c r="V790" s="42" t="str">
        <f>IFERROR(VLOOKUP($J790,'Project Reference'!$B$2:$I$41,8,FALSE)," ")</f>
        <v xml:space="preserve"> </v>
      </c>
      <c r="W790" s="42" t="str">
        <f>IFERROR(VLOOKUP($J790,'Project Reference'!$B$2:$J$41,9,FALSE)," ")</f>
        <v xml:space="preserve"> </v>
      </c>
      <c r="X790" s="42" t="str">
        <f>IFERROR(VLOOKUP($J790,'Project Reference'!$B$2:$K$41,10)," ")</f>
        <v xml:space="preserve"> </v>
      </c>
      <c r="Y790" s="42" t="str">
        <f>IFERROR(VLOOKUP($J790,'Project Reference'!$B$2:$L$41,11)," ")</f>
        <v xml:space="preserve"> </v>
      </c>
      <c r="Z790" s="42" t="str">
        <f>IFERROR(VLOOKUP($J790,'Project Reference'!$B$2:$M$41,12)," ")</f>
        <v xml:space="preserve"> </v>
      </c>
      <c r="AA790" s="42" t="str">
        <f>IFERROR(VLOOKUP($J790,'Project Reference'!$B$2:$N$41,13)," ")</f>
        <v xml:space="preserve"> </v>
      </c>
    </row>
    <row r="791" spans="1:27" x14ac:dyDescent="0.45">
      <c r="A791" s="43"/>
      <c r="B791" s="205"/>
      <c r="C791"/>
      <c r="D791" s="72"/>
      <c r="E791" s="72"/>
      <c r="F791" s="72"/>
      <c r="G791" s="72"/>
      <c r="H791" s="17"/>
      <c r="I791" s="41" t="str" cm="1">
        <f t="array" ref="I791">IFERROR(_xlfn.IFS(H791="Hard (Cash)","N/A",H791="Soft (In-Kind)", "Enter Source"),"Select Type")</f>
        <v>Select Type</v>
      </c>
      <c r="J791" s="124"/>
      <c r="K791" s="41" t="str">
        <f>IFERROR(VLOOKUP($J791,'Project Reference'!$S$2:$T$41,2),"Enter Project Number")</f>
        <v>Enter Project Number</v>
      </c>
      <c r="L791" s="41"/>
      <c r="M791" s="41"/>
      <c r="N791" s="15">
        <f t="shared" si="12"/>
        <v>0</v>
      </c>
      <c r="O791" s="19"/>
      <c r="P791" s="42" t="str">
        <f>IFERROR(VLOOKUP($J791,'Project Reference'!$B$2:$C$41,2)," ")</f>
        <v xml:space="preserve"> </v>
      </c>
      <c r="Q791" s="42" t="str">
        <f>IFERROR(VLOOKUP($J791,'Project Reference'!$B$2:$D$41,3)," ")</f>
        <v xml:space="preserve"> </v>
      </c>
      <c r="R791" s="42" t="str">
        <f>IFERROR(VLOOKUP($J791,'Project Reference'!$B$2:$E$41,4)," ")</f>
        <v xml:space="preserve"> </v>
      </c>
      <c r="S791" s="42" t="str">
        <f>IFERROR(VLOOKUP($J791,'Project Reference'!$B$2:$F$41,5,FALSE)," ")</f>
        <v xml:space="preserve"> </v>
      </c>
      <c r="T791" s="42" t="str">
        <f>IFERROR(VLOOKUP($J791,'Project Reference'!$B$2:$G$41,6,FALSE)," ")</f>
        <v xml:space="preserve"> </v>
      </c>
      <c r="U791" s="42" t="str">
        <f>IFERROR(VLOOKUP($J791,'Project Reference'!$B$2:$H$41,7,FALSE)," ")</f>
        <v xml:space="preserve"> </v>
      </c>
      <c r="V791" s="42" t="str">
        <f>IFERROR(VLOOKUP($J791,'Project Reference'!$B$2:$I$41,8,FALSE)," ")</f>
        <v xml:space="preserve"> </v>
      </c>
      <c r="W791" s="42" t="str">
        <f>IFERROR(VLOOKUP($J791,'Project Reference'!$B$2:$J$41,9,FALSE)," ")</f>
        <v xml:space="preserve"> </v>
      </c>
      <c r="X791" s="42" t="str">
        <f>IFERROR(VLOOKUP($J791,'Project Reference'!$B$2:$K$41,10)," ")</f>
        <v xml:space="preserve"> </v>
      </c>
      <c r="Y791" s="42" t="str">
        <f>IFERROR(VLOOKUP($J791,'Project Reference'!$B$2:$L$41,11)," ")</f>
        <v xml:space="preserve"> </v>
      </c>
      <c r="Z791" s="42" t="str">
        <f>IFERROR(VLOOKUP($J791,'Project Reference'!$B$2:$M$41,12)," ")</f>
        <v xml:space="preserve"> </v>
      </c>
      <c r="AA791" s="42" t="str">
        <f>IFERROR(VLOOKUP($J791,'Project Reference'!$B$2:$N$41,13)," ")</f>
        <v xml:space="preserve"> </v>
      </c>
    </row>
    <row r="792" spans="1:27" x14ac:dyDescent="0.45">
      <c r="A792" s="43"/>
      <c r="B792" s="205"/>
      <c r="C792"/>
      <c r="D792" s="72"/>
      <c r="E792" s="72"/>
      <c r="F792" s="72"/>
      <c r="G792" s="72"/>
      <c r="H792" s="17"/>
      <c r="I792" s="41" t="str" cm="1">
        <f t="array" ref="I792">IFERROR(_xlfn.IFS(H792="Hard (Cash)","N/A",H792="Soft (In-Kind)", "Enter Source"),"Select Type")</f>
        <v>Select Type</v>
      </c>
      <c r="J792" s="124"/>
      <c r="K792" s="41" t="str">
        <f>IFERROR(VLOOKUP($J792,'Project Reference'!$S$2:$T$41,2),"Enter Project Number")</f>
        <v>Enter Project Number</v>
      </c>
      <c r="L792" s="41"/>
      <c r="M792" s="41"/>
      <c r="N792" s="15">
        <f t="shared" si="12"/>
        <v>0</v>
      </c>
      <c r="O792" s="19"/>
      <c r="P792" s="42" t="str">
        <f>IFERROR(VLOOKUP($J792,'Project Reference'!$B$2:$C$41,2)," ")</f>
        <v xml:space="preserve"> </v>
      </c>
      <c r="Q792" s="42" t="str">
        <f>IFERROR(VLOOKUP($J792,'Project Reference'!$B$2:$D$41,3)," ")</f>
        <v xml:space="preserve"> </v>
      </c>
      <c r="R792" s="42" t="str">
        <f>IFERROR(VLOOKUP($J792,'Project Reference'!$B$2:$E$41,4)," ")</f>
        <v xml:space="preserve"> </v>
      </c>
      <c r="S792" s="42" t="str">
        <f>IFERROR(VLOOKUP($J792,'Project Reference'!$B$2:$F$41,5,FALSE)," ")</f>
        <v xml:space="preserve"> </v>
      </c>
      <c r="T792" s="42" t="str">
        <f>IFERROR(VLOOKUP($J792,'Project Reference'!$B$2:$G$41,6,FALSE)," ")</f>
        <v xml:space="preserve"> </v>
      </c>
      <c r="U792" s="42" t="str">
        <f>IFERROR(VLOOKUP($J792,'Project Reference'!$B$2:$H$41,7,FALSE)," ")</f>
        <v xml:space="preserve"> </v>
      </c>
      <c r="V792" s="42" t="str">
        <f>IFERROR(VLOOKUP($J792,'Project Reference'!$B$2:$I$41,8,FALSE)," ")</f>
        <v xml:space="preserve"> </v>
      </c>
      <c r="W792" s="42" t="str">
        <f>IFERROR(VLOOKUP($J792,'Project Reference'!$B$2:$J$41,9,FALSE)," ")</f>
        <v xml:space="preserve"> </v>
      </c>
      <c r="X792" s="42" t="str">
        <f>IFERROR(VLOOKUP($J792,'Project Reference'!$B$2:$K$41,10)," ")</f>
        <v xml:space="preserve"> </v>
      </c>
      <c r="Y792" s="42" t="str">
        <f>IFERROR(VLOOKUP($J792,'Project Reference'!$B$2:$L$41,11)," ")</f>
        <v xml:space="preserve"> </v>
      </c>
      <c r="Z792" s="42" t="str">
        <f>IFERROR(VLOOKUP($J792,'Project Reference'!$B$2:$M$41,12)," ")</f>
        <v xml:space="preserve"> </v>
      </c>
      <c r="AA792" s="42" t="str">
        <f>IFERROR(VLOOKUP($J792,'Project Reference'!$B$2:$N$41,13)," ")</f>
        <v xml:space="preserve"> </v>
      </c>
    </row>
    <row r="793" spans="1:27" x14ac:dyDescent="0.45">
      <c r="A793" s="43"/>
      <c r="B793" s="205"/>
      <c r="C793"/>
      <c r="D793" s="72"/>
      <c r="E793" s="72"/>
      <c r="F793" s="72"/>
      <c r="G793" s="72"/>
      <c r="H793" s="17"/>
      <c r="I793" s="41" t="str" cm="1">
        <f t="array" ref="I793">IFERROR(_xlfn.IFS(H793="Hard (Cash)","N/A",H793="Soft (In-Kind)", "Enter Source"),"Select Type")</f>
        <v>Select Type</v>
      </c>
      <c r="J793" s="124"/>
      <c r="K793" s="41" t="str">
        <f>IFERROR(VLOOKUP($J793,'Project Reference'!$S$2:$T$41,2),"Enter Project Number")</f>
        <v>Enter Project Number</v>
      </c>
      <c r="L793" s="41"/>
      <c r="M793" s="41"/>
      <c r="N793" s="15">
        <f t="shared" si="12"/>
        <v>0</v>
      </c>
      <c r="O793" s="19"/>
      <c r="P793" s="42" t="str">
        <f>IFERROR(VLOOKUP($J793,'Project Reference'!$B$2:$C$41,2)," ")</f>
        <v xml:space="preserve"> </v>
      </c>
      <c r="Q793" s="42" t="str">
        <f>IFERROR(VLOOKUP($J793,'Project Reference'!$B$2:$D$41,3)," ")</f>
        <v xml:space="preserve"> </v>
      </c>
      <c r="R793" s="42" t="str">
        <f>IFERROR(VLOOKUP($J793,'Project Reference'!$B$2:$E$41,4)," ")</f>
        <v xml:space="preserve"> </v>
      </c>
      <c r="S793" s="42" t="str">
        <f>IFERROR(VLOOKUP($J793,'Project Reference'!$B$2:$F$41,5,FALSE)," ")</f>
        <v xml:space="preserve"> </v>
      </c>
      <c r="T793" s="42" t="str">
        <f>IFERROR(VLOOKUP($J793,'Project Reference'!$B$2:$G$41,6,FALSE)," ")</f>
        <v xml:space="preserve"> </v>
      </c>
      <c r="U793" s="42" t="str">
        <f>IFERROR(VLOOKUP($J793,'Project Reference'!$B$2:$H$41,7,FALSE)," ")</f>
        <v xml:space="preserve"> </v>
      </c>
      <c r="V793" s="42" t="str">
        <f>IFERROR(VLOOKUP($J793,'Project Reference'!$B$2:$I$41,8,FALSE)," ")</f>
        <v xml:space="preserve"> </v>
      </c>
      <c r="W793" s="42" t="str">
        <f>IFERROR(VLOOKUP($J793,'Project Reference'!$B$2:$J$41,9,FALSE)," ")</f>
        <v xml:space="preserve"> </v>
      </c>
      <c r="X793" s="42" t="str">
        <f>IFERROR(VLOOKUP($J793,'Project Reference'!$B$2:$K$41,10)," ")</f>
        <v xml:space="preserve"> </v>
      </c>
      <c r="Y793" s="42" t="str">
        <f>IFERROR(VLOOKUP($J793,'Project Reference'!$B$2:$L$41,11)," ")</f>
        <v xml:space="preserve"> </v>
      </c>
      <c r="Z793" s="42" t="str">
        <f>IFERROR(VLOOKUP($J793,'Project Reference'!$B$2:$M$41,12)," ")</f>
        <v xml:space="preserve"> </v>
      </c>
      <c r="AA793" s="42" t="str">
        <f>IFERROR(VLOOKUP($J793,'Project Reference'!$B$2:$N$41,13)," ")</f>
        <v xml:space="preserve"> </v>
      </c>
    </row>
    <row r="794" spans="1:27" x14ac:dyDescent="0.45">
      <c r="A794" s="43"/>
      <c r="B794" s="205"/>
      <c r="C794"/>
      <c r="D794" s="72"/>
      <c r="E794" s="72"/>
      <c r="F794" s="72"/>
      <c r="G794" s="72"/>
      <c r="H794" s="17"/>
      <c r="I794" s="41" t="str" cm="1">
        <f t="array" ref="I794">IFERROR(_xlfn.IFS(H794="Hard (Cash)","N/A",H794="Soft (In-Kind)", "Enter Source"),"Select Type")</f>
        <v>Select Type</v>
      </c>
      <c r="J794" s="124"/>
      <c r="K794" s="41" t="str">
        <f>IFERROR(VLOOKUP($J794,'Project Reference'!$S$2:$T$41,2),"Enter Project Number")</f>
        <v>Enter Project Number</v>
      </c>
      <c r="L794" s="41"/>
      <c r="M794" s="41"/>
      <c r="N794" s="15">
        <f t="shared" si="12"/>
        <v>0</v>
      </c>
      <c r="O794" s="19"/>
      <c r="P794" s="42" t="str">
        <f>IFERROR(VLOOKUP($J794,'Project Reference'!$B$2:$C$41,2)," ")</f>
        <v xml:space="preserve"> </v>
      </c>
      <c r="Q794" s="42" t="str">
        <f>IFERROR(VLOOKUP($J794,'Project Reference'!$B$2:$D$41,3)," ")</f>
        <v xml:space="preserve"> </v>
      </c>
      <c r="R794" s="42" t="str">
        <f>IFERROR(VLOOKUP($J794,'Project Reference'!$B$2:$E$41,4)," ")</f>
        <v xml:space="preserve"> </v>
      </c>
      <c r="S794" s="42" t="str">
        <f>IFERROR(VLOOKUP($J794,'Project Reference'!$B$2:$F$41,5,FALSE)," ")</f>
        <v xml:space="preserve"> </v>
      </c>
      <c r="T794" s="42" t="str">
        <f>IFERROR(VLOOKUP($J794,'Project Reference'!$B$2:$G$41,6,FALSE)," ")</f>
        <v xml:space="preserve"> </v>
      </c>
      <c r="U794" s="42" t="str">
        <f>IFERROR(VLOOKUP($J794,'Project Reference'!$B$2:$H$41,7,FALSE)," ")</f>
        <v xml:space="preserve"> </v>
      </c>
      <c r="V794" s="42" t="str">
        <f>IFERROR(VLOOKUP($J794,'Project Reference'!$B$2:$I$41,8,FALSE)," ")</f>
        <v xml:space="preserve"> </v>
      </c>
      <c r="W794" s="42" t="str">
        <f>IFERROR(VLOOKUP($J794,'Project Reference'!$B$2:$J$41,9,FALSE)," ")</f>
        <v xml:space="preserve"> </v>
      </c>
      <c r="X794" s="42" t="str">
        <f>IFERROR(VLOOKUP($J794,'Project Reference'!$B$2:$K$41,10)," ")</f>
        <v xml:space="preserve"> </v>
      </c>
      <c r="Y794" s="42" t="str">
        <f>IFERROR(VLOOKUP($J794,'Project Reference'!$B$2:$L$41,11)," ")</f>
        <v xml:space="preserve"> </v>
      </c>
      <c r="Z794" s="42" t="str">
        <f>IFERROR(VLOOKUP($J794,'Project Reference'!$B$2:$M$41,12)," ")</f>
        <v xml:space="preserve"> </v>
      </c>
      <c r="AA794" s="42" t="str">
        <f>IFERROR(VLOOKUP($J794,'Project Reference'!$B$2:$N$41,13)," ")</f>
        <v xml:space="preserve"> </v>
      </c>
    </row>
    <row r="795" spans="1:27" x14ac:dyDescent="0.45">
      <c r="A795" s="43"/>
      <c r="B795" s="205"/>
      <c r="C795"/>
      <c r="D795" s="72"/>
      <c r="E795" s="72"/>
      <c r="F795" s="72"/>
      <c r="G795" s="72"/>
      <c r="H795" s="17"/>
      <c r="I795" s="41" t="str" cm="1">
        <f t="array" ref="I795">IFERROR(_xlfn.IFS(H795="Hard (Cash)","N/A",H795="Soft (In-Kind)", "Enter Source"),"Select Type")</f>
        <v>Select Type</v>
      </c>
      <c r="J795" s="124"/>
      <c r="K795" s="41" t="str">
        <f>IFERROR(VLOOKUP($J795,'Project Reference'!$S$2:$T$41,2),"Enter Project Number")</f>
        <v>Enter Project Number</v>
      </c>
      <c r="L795" s="41"/>
      <c r="M795" s="41"/>
      <c r="N795" s="15">
        <f t="shared" si="12"/>
        <v>0</v>
      </c>
      <c r="O795" s="19"/>
      <c r="P795" s="42" t="str">
        <f>IFERROR(VLOOKUP($J795,'Project Reference'!$B$2:$C$41,2)," ")</f>
        <v xml:space="preserve"> </v>
      </c>
      <c r="Q795" s="42" t="str">
        <f>IFERROR(VLOOKUP($J795,'Project Reference'!$B$2:$D$41,3)," ")</f>
        <v xml:space="preserve"> </v>
      </c>
      <c r="R795" s="42" t="str">
        <f>IFERROR(VLOOKUP($J795,'Project Reference'!$B$2:$E$41,4)," ")</f>
        <v xml:space="preserve"> </v>
      </c>
      <c r="S795" s="42" t="str">
        <f>IFERROR(VLOOKUP($J795,'Project Reference'!$B$2:$F$41,5,FALSE)," ")</f>
        <v xml:space="preserve"> </v>
      </c>
      <c r="T795" s="42" t="str">
        <f>IFERROR(VLOOKUP($J795,'Project Reference'!$B$2:$G$41,6,FALSE)," ")</f>
        <v xml:space="preserve"> </v>
      </c>
      <c r="U795" s="42" t="str">
        <f>IFERROR(VLOOKUP($J795,'Project Reference'!$B$2:$H$41,7,FALSE)," ")</f>
        <v xml:space="preserve"> </v>
      </c>
      <c r="V795" s="42" t="str">
        <f>IFERROR(VLOOKUP($J795,'Project Reference'!$B$2:$I$41,8,FALSE)," ")</f>
        <v xml:space="preserve"> </v>
      </c>
      <c r="W795" s="42" t="str">
        <f>IFERROR(VLOOKUP($J795,'Project Reference'!$B$2:$J$41,9,FALSE)," ")</f>
        <v xml:space="preserve"> </v>
      </c>
      <c r="X795" s="42" t="str">
        <f>IFERROR(VLOOKUP($J795,'Project Reference'!$B$2:$K$41,10)," ")</f>
        <v xml:space="preserve"> </v>
      </c>
      <c r="Y795" s="42" t="str">
        <f>IFERROR(VLOOKUP($J795,'Project Reference'!$B$2:$L$41,11)," ")</f>
        <v xml:space="preserve"> </v>
      </c>
      <c r="Z795" s="42" t="str">
        <f>IFERROR(VLOOKUP($J795,'Project Reference'!$B$2:$M$41,12)," ")</f>
        <v xml:space="preserve"> </v>
      </c>
      <c r="AA795" s="42" t="str">
        <f>IFERROR(VLOOKUP($J795,'Project Reference'!$B$2:$N$41,13)," ")</f>
        <v xml:space="preserve"> </v>
      </c>
    </row>
    <row r="796" spans="1:27" x14ac:dyDescent="0.45">
      <c r="A796" s="43"/>
      <c r="B796" s="205"/>
      <c r="C796"/>
      <c r="D796" s="72"/>
      <c r="E796" s="72"/>
      <c r="F796" s="72"/>
      <c r="G796" s="72"/>
      <c r="H796" s="17"/>
      <c r="I796" s="41" t="str" cm="1">
        <f t="array" ref="I796">IFERROR(_xlfn.IFS(H796="Hard (Cash)","N/A",H796="Soft (In-Kind)", "Enter Source"),"Select Type")</f>
        <v>Select Type</v>
      </c>
      <c r="J796" s="124"/>
      <c r="K796" s="41" t="str">
        <f>IFERROR(VLOOKUP($J796,'Project Reference'!$S$2:$T$41,2),"Enter Project Number")</f>
        <v>Enter Project Number</v>
      </c>
      <c r="L796" s="41"/>
      <c r="M796" s="41"/>
      <c r="N796" s="15">
        <f t="shared" si="12"/>
        <v>0</v>
      </c>
      <c r="O796" s="19"/>
      <c r="P796" s="42" t="str">
        <f>IFERROR(VLOOKUP($J796,'Project Reference'!$B$2:$C$41,2)," ")</f>
        <v xml:space="preserve"> </v>
      </c>
      <c r="Q796" s="42" t="str">
        <f>IFERROR(VLOOKUP($J796,'Project Reference'!$B$2:$D$41,3)," ")</f>
        <v xml:space="preserve"> </v>
      </c>
      <c r="R796" s="42" t="str">
        <f>IFERROR(VLOOKUP($J796,'Project Reference'!$B$2:$E$41,4)," ")</f>
        <v xml:space="preserve"> </v>
      </c>
      <c r="S796" s="42" t="str">
        <f>IFERROR(VLOOKUP($J796,'Project Reference'!$B$2:$F$41,5,FALSE)," ")</f>
        <v xml:space="preserve"> </v>
      </c>
      <c r="T796" s="42" t="str">
        <f>IFERROR(VLOOKUP($J796,'Project Reference'!$B$2:$G$41,6,FALSE)," ")</f>
        <v xml:space="preserve"> </v>
      </c>
      <c r="U796" s="42" t="str">
        <f>IFERROR(VLOOKUP($J796,'Project Reference'!$B$2:$H$41,7,FALSE)," ")</f>
        <v xml:space="preserve"> </v>
      </c>
      <c r="V796" s="42" t="str">
        <f>IFERROR(VLOOKUP($J796,'Project Reference'!$B$2:$I$41,8,FALSE)," ")</f>
        <v xml:space="preserve"> </v>
      </c>
      <c r="W796" s="42" t="str">
        <f>IFERROR(VLOOKUP($J796,'Project Reference'!$B$2:$J$41,9,FALSE)," ")</f>
        <v xml:space="preserve"> </v>
      </c>
      <c r="X796" s="42" t="str">
        <f>IFERROR(VLOOKUP($J796,'Project Reference'!$B$2:$K$41,10)," ")</f>
        <v xml:space="preserve"> </v>
      </c>
      <c r="Y796" s="42" t="str">
        <f>IFERROR(VLOOKUP($J796,'Project Reference'!$B$2:$L$41,11)," ")</f>
        <v xml:space="preserve"> </v>
      </c>
      <c r="Z796" s="42" t="str">
        <f>IFERROR(VLOOKUP($J796,'Project Reference'!$B$2:$M$41,12)," ")</f>
        <v xml:space="preserve"> </v>
      </c>
      <c r="AA796" s="42" t="str">
        <f>IFERROR(VLOOKUP($J796,'Project Reference'!$B$2:$N$41,13)," ")</f>
        <v xml:space="preserve"> </v>
      </c>
    </row>
    <row r="797" spans="1:27" x14ac:dyDescent="0.45">
      <c r="A797" s="43"/>
      <c r="B797" s="205"/>
      <c r="C797"/>
      <c r="D797" s="72"/>
      <c r="E797" s="72"/>
      <c r="F797" s="72"/>
      <c r="G797" s="72"/>
      <c r="H797" s="17"/>
      <c r="I797" s="41" t="str" cm="1">
        <f t="array" ref="I797">IFERROR(_xlfn.IFS(H797="Hard (Cash)","N/A",H797="Soft (In-Kind)", "Enter Source"),"Select Type")</f>
        <v>Select Type</v>
      </c>
      <c r="J797" s="124"/>
      <c r="K797" s="41" t="str">
        <f>IFERROR(VLOOKUP($J797,'Project Reference'!$S$2:$T$41,2),"Enter Project Number")</f>
        <v>Enter Project Number</v>
      </c>
      <c r="L797" s="41"/>
      <c r="M797" s="41"/>
      <c r="N797" s="15">
        <f t="shared" si="12"/>
        <v>0</v>
      </c>
      <c r="O797" s="19"/>
      <c r="P797" s="42" t="str">
        <f>IFERROR(VLOOKUP($J797,'Project Reference'!$B$2:$C$41,2)," ")</f>
        <v xml:space="preserve"> </v>
      </c>
      <c r="Q797" s="42" t="str">
        <f>IFERROR(VLOOKUP($J797,'Project Reference'!$B$2:$D$41,3)," ")</f>
        <v xml:space="preserve"> </v>
      </c>
      <c r="R797" s="42" t="str">
        <f>IFERROR(VLOOKUP($J797,'Project Reference'!$B$2:$E$41,4)," ")</f>
        <v xml:space="preserve"> </v>
      </c>
      <c r="S797" s="42" t="str">
        <f>IFERROR(VLOOKUP($J797,'Project Reference'!$B$2:$F$41,5,FALSE)," ")</f>
        <v xml:space="preserve"> </v>
      </c>
      <c r="T797" s="42" t="str">
        <f>IFERROR(VLOOKUP($J797,'Project Reference'!$B$2:$G$41,6,FALSE)," ")</f>
        <v xml:space="preserve"> </v>
      </c>
      <c r="U797" s="42" t="str">
        <f>IFERROR(VLOOKUP($J797,'Project Reference'!$B$2:$H$41,7,FALSE)," ")</f>
        <v xml:space="preserve"> </v>
      </c>
      <c r="V797" s="42" t="str">
        <f>IFERROR(VLOOKUP($J797,'Project Reference'!$B$2:$I$41,8,FALSE)," ")</f>
        <v xml:space="preserve"> </v>
      </c>
      <c r="W797" s="42" t="str">
        <f>IFERROR(VLOOKUP($J797,'Project Reference'!$B$2:$J$41,9,FALSE)," ")</f>
        <v xml:space="preserve"> </v>
      </c>
      <c r="X797" s="42" t="str">
        <f>IFERROR(VLOOKUP($J797,'Project Reference'!$B$2:$K$41,10)," ")</f>
        <v xml:space="preserve"> </v>
      </c>
      <c r="Y797" s="42" t="str">
        <f>IFERROR(VLOOKUP($J797,'Project Reference'!$B$2:$L$41,11)," ")</f>
        <v xml:space="preserve"> </v>
      </c>
      <c r="Z797" s="42" t="str">
        <f>IFERROR(VLOOKUP($J797,'Project Reference'!$B$2:$M$41,12)," ")</f>
        <v xml:space="preserve"> </v>
      </c>
      <c r="AA797" s="42" t="str">
        <f>IFERROR(VLOOKUP($J797,'Project Reference'!$B$2:$N$41,13)," ")</f>
        <v xml:space="preserve"> </v>
      </c>
    </row>
    <row r="798" spans="1:27" x14ac:dyDescent="0.45">
      <c r="A798" s="43"/>
      <c r="B798" s="205"/>
      <c r="C798"/>
      <c r="D798" s="72"/>
      <c r="E798" s="72"/>
      <c r="F798" s="72"/>
      <c r="G798" s="72"/>
      <c r="H798" s="17"/>
      <c r="I798" s="41" t="str" cm="1">
        <f t="array" ref="I798">IFERROR(_xlfn.IFS(H798="Hard (Cash)","N/A",H798="Soft (In-Kind)", "Enter Source"),"Select Type")</f>
        <v>Select Type</v>
      </c>
      <c r="J798" s="124"/>
      <c r="K798" s="41" t="str">
        <f>IFERROR(VLOOKUP($J798,'Project Reference'!$S$2:$T$41,2),"Enter Project Number")</f>
        <v>Enter Project Number</v>
      </c>
      <c r="L798" s="41"/>
      <c r="M798" s="41"/>
      <c r="N798" s="15">
        <f t="shared" si="12"/>
        <v>0</v>
      </c>
      <c r="O798" s="19"/>
      <c r="P798" s="42" t="str">
        <f>IFERROR(VLOOKUP($J798,'Project Reference'!$B$2:$C$41,2)," ")</f>
        <v xml:space="preserve"> </v>
      </c>
      <c r="Q798" s="42" t="str">
        <f>IFERROR(VLOOKUP($J798,'Project Reference'!$B$2:$D$41,3)," ")</f>
        <v xml:space="preserve"> </v>
      </c>
      <c r="R798" s="42" t="str">
        <f>IFERROR(VLOOKUP($J798,'Project Reference'!$B$2:$E$41,4)," ")</f>
        <v xml:space="preserve"> </v>
      </c>
      <c r="S798" s="42" t="str">
        <f>IFERROR(VLOOKUP($J798,'Project Reference'!$B$2:$F$41,5,FALSE)," ")</f>
        <v xml:space="preserve"> </v>
      </c>
      <c r="T798" s="42" t="str">
        <f>IFERROR(VLOOKUP($J798,'Project Reference'!$B$2:$G$41,6,FALSE)," ")</f>
        <v xml:space="preserve"> </v>
      </c>
      <c r="U798" s="42" t="str">
        <f>IFERROR(VLOOKUP($J798,'Project Reference'!$B$2:$H$41,7,FALSE)," ")</f>
        <v xml:space="preserve"> </v>
      </c>
      <c r="V798" s="42" t="str">
        <f>IFERROR(VLOOKUP($J798,'Project Reference'!$B$2:$I$41,8,FALSE)," ")</f>
        <v xml:space="preserve"> </v>
      </c>
      <c r="W798" s="42" t="str">
        <f>IFERROR(VLOOKUP($J798,'Project Reference'!$B$2:$J$41,9,FALSE)," ")</f>
        <v xml:space="preserve"> </v>
      </c>
      <c r="X798" s="42" t="str">
        <f>IFERROR(VLOOKUP($J798,'Project Reference'!$B$2:$K$41,10)," ")</f>
        <v xml:space="preserve"> </v>
      </c>
      <c r="Y798" s="42" t="str">
        <f>IFERROR(VLOOKUP($J798,'Project Reference'!$B$2:$L$41,11)," ")</f>
        <v xml:space="preserve"> </v>
      </c>
      <c r="Z798" s="42" t="str">
        <f>IFERROR(VLOOKUP($J798,'Project Reference'!$B$2:$M$41,12)," ")</f>
        <v xml:space="preserve"> </v>
      </c>
      <c r="AA798" s="42" t="str">
        <f>IFERROR(VLOOKUP($J798,'Project Reference'!$B$2:$N$41,13)," ")</f>
        <v xml:space="preserve"> </v>
      </c>
    </row>
    <row r="799" spans="1:27" x14ac:dyDescent="0.45">
      <c r="A799" s="43"/>
      <c r="B799" s="205"/>
      <c r="C799"/>
      <c r="D799" s="72"/>
      <c r="E799" s="72"/>
      <c r="F799" s="72"/>
      <c r="G799" s="72"/>
      <c r="H799" s="17"/>
      <c r="I799" s="41" t="str" cm="1">
        <f t="array" ref="I799">IFERROR(_xlfn.IFS(H799="Hard (Cash)","N/A",H799="Soft (In-Kind)", "Enter Source"),"Select Type")</f>
        <v>Select Type</v>
      </c>
      <c r="J799" s="124"/>
      <c r="K799" s="41" t="str">
        <f>IFERROR(VLOOKUP($J799,'Project Reference'!$S$2:$T$41,2),"Enter Project Number")</f>
        <v>Enter Project Number</v>
      </c>
      <c r="L799" s="41"/>
      <c r="M799" s="41"/>
      <c r="N799" s="15">
        <f t="shared" si="12"/>
        <v>0</v>
      </c>
      <c r="O799" s="19"/>
      <c r="P799" s="42" t="str">
        <f>IFERROR(VLOOKUP($J799,'Project Reference'!$B$2:$C$41,2)," ")</f>
        <v xml:space="preserve"> </v>
      </c>
      <c r="Q799" s="42" t="str">
        <f>IFERROR(VLOOKUP($J799,'Project Reference'!$B$2:$D$41,3)," ")</f>
        <v xml:space="preserve"> </v>
      </c>
      <c r="R799" s="42" t="str">
        <f>IFERROR(VLOOKUP($J799,'Project Reference'!$B$2:$E$41,4)," ")</f>
        <v xml:space="preserve"> </v>
      </c>
      <c r="S799" s="42" t="str">
        <f>IFERROR(VLOOKUP($J799,'Project Reference'!$B$2:$F$41,5,FALSE)," ")</f>
        <v xml:space="preserve"> </v>
      </c>
      <c r="T799" s="42" t="str">
        <f>IFERROR(VLOOKUP($J799,'Project Reference'!$B$2:$G$41,6,FALSE)," ")</f>
        <v xml:space="preserve"> </v>
      </c>
      <c r="U799" s="42" t="str">
        <f>IFERROR(VLOOKUP($J799,'Project Reference'!$B$2:$H$41,7,FALSE)," ")</f>
        <v xml:space="preserve"> </v>
      </c>
      <c r="V799" s="42" t="str">
        <f>IFERROR(VLOOKUP($J799,'Project Reference'!$B$2:$I$41,8,FALSE)," ")</f>
        <v xml:space="preserve"> </v>
      </c>
      <c r="W799" s="42" t="str">
        <f>IFERROR(VLOOKUP($J799,'Project Reference'!$B$2:$J$41,9,FALSE)," ")</f>
        <v xml:space="preserve"> </v>
      </c>
      <c r="X799" s="42" t="str">
        <f>IFERROR(VLOOKUP($J799,'Project Reference'!$B$2:$K$41,10)," ")</f>
        <v xml:space="preserve"> </v>
      </c>
      <c r="Y799" s="42" t="str">
        <f>IFERROR(VLOOKUP($J799,'Project Reference'!$B$2:$L$41,11)," ")</f>
        <v xml:space="preserve"> </v>
      </c>
      <c r="Z799" s="42" t="str">
        <f>IFERROR(VLOOKUP($J799,'Project Reference'!$B$2:$M$41,12)," ")</f>
        <v xml:space="preserve"> </v>
      </c>
      <c r="AA799" s="42" t="str">
        <f>IFERROR(VLOOKUP($J799,'Project Reference'!$B$2:$N$41,13)," ")</f>
        <v xml:space="preserve"> </v>
      </c>
    </row>
    <row r="800" spans="1:27" x14ac:dyDescent="0.45">
      <c r="A800" s="43"/>
      <c r="B800" s="205"/>
      <c r="C800"/>
      <c r="D800" s="72"/>
      <c r="E800" s="72"/>
      <c r="F800" s="72"/>
      <c r="G800" s="72"/>
      <c r="H800" s="17"/>
      <c r="I800" s="41" t="str" cm="1">
        <f t="array" ref="I800">IFERROR(_xlfn.IFS(H800="Hard (Cash)","N/A",H800="Soft (In-Kind)", "Enter Source"),"Select Type")</f>
        <v>Select Type</v>
      </c>
      <c r="J800" s="124"/>
      <c r="K800" s="41" t="str">
        <f>IFERROR(VLOOKUP($J800,'Project Reference'!$S$2:$T$41,2),"Enter Project Number")</f>
        <v>Enter Project Number</v>
      </c>
      <c r="L800" s="41"/>
      <c r="M800" s="41"/>
      <c r="N800" s="15">
        <f t="shared" si="12"/>
        <v>0</v>
      </c>
      <c r="O800" s="19"/>
      <c r="P800" s="42" t="str">
        <f>IFERROR(VLOOKUP($J800,'Project Reference'!$B$2:$C$41,2)," ")</f>
        <v xml:space="preserve"> </v>
      </c>
      <c r="Q800" s="42" t="str">
        <f>IFERROR(VLOOKUP($J800,'Project Reference'!$B$2:$D$41,3)," ")</f>
        <v xml:space="preserve"> </v>
      </c>
      <c r="R800" s="42" t="str">
        <f>IFERROR(VLOOKUP($J800,'Project Reference'!$B$2:$E$41,4)," ")</f>
        <v xml:space="preserve"> </v>
      </c>
      <c r="S800" s="42" t="str">
        <f>IFERROR(VLOOKUP($J800,'Project Reference'!$B$2:$F$41,5,FALSE)," ")</f>
        <v xml:space="preserve"> </v>
      </c>
      <c r="T800" s="42" t="str">
        <f>IFERROR(VLOOKUP($J800,'Project Reference'!$B$2:$G$41,6,FALSE)," ")</f>
        <v xml:space="preserve"> </v>
      </c>
      <c r="U800" s="42" t="str">
        <f>IFERROR(VLOOKUP($J800,'Project Reference'!$B$2:$H$41,7,FALSE)," ")</f>
        <v xml:space="preserve"> </v>
      </c>
      <c r="V800" s="42" t="str">
        <f>IFERROR(VLOOKUP($J800,'Project Reference'!$B$2:$I$41,8,FALSE)," ")</f>
        <v xml:space="preserve"> </v>
      </c>
      <c r="W800" s="42" t="str">
        <f>IFERROR(VLOOKUP($J800,'Project Reference'!$B$2:$J$41,9,FALSE)," ")</f>
        <v xml:space="preserve"> </v>
      </c>
      <c r="X800" s="42" t="str">
        <f>IFERROR(VLOOKUP($J800,'Project Reference'!$B$2:$K$41,10)," ")</f>
        <v xml:space="preserve"> </v>
      </c>
      <c r="Y800" s="42" t="str">
        <f>IFERROR(VLOOKUP($J800,'Project Reference'!$B$2:$L$41,11)," ")</f>
        <v xml:space="preserve"> </v>
      </c>
      <c r="Z800" s="42" t="str">
        <f>IFERROR(VLOOKUP($J800,'Project Reference'!$B$2:$M$41,12)," ")</f>
        <v xml:space="preserve"> </v>
      </c>
      <c r="AA800" s="42" t="str">
        <f>IFERROR(VLOOKUP($J800,'Project Reference'!$B$2:$N$41,13)," ")</f>
        <v xml:space="preserve"> </v>
      </c>
    </row>
    <row r="801" spans="1:27" x14ac:dyDescent="0.45">
      <c r="A801" s="43"/>
      <c r="B801" s="205"/>
      <c r="C801"/>
      <c r="D801" s="72"/>
      <c r="E801" s="72"/>
      <c r="F801" s="72"/>
      <c r="G801" s="72"/>
      <c r="H801" s="17"/>
      <c r="I801" s="41" t="str" cm="1">
        <f t="array" ref="I801">IFERROR(_xlfn.IFS(H801="Hard (Cash)","N/A",H801="Soft (In-Kind)", "Enter Source"),"Select Type")</f>
        <v>Select Type</v>
      </c>
      <c r="J801" s="124"/>
      <c r="K801" s="41" t="str">
        <f>IFERROR(VLOOKUP($J801,'Project Reference'!$S$2:$T$41,2),"Enter Project Number")</f>
        <v>Enter Project Number</v>
      </c>
      <c r="L801" s="41"/>
      <c r="M801" s="41"/>
      <c r="N801" s="15">
        <f t="shared" si="12"/>
        <v>0</v>
      </c>
      <c r="O801" s="19"/>
      <c r="P801" s="42" t="str">
        <f>IFERROR(VLOOKUP($J801,'Project Reference'!$B$2:$C$41,2)," ")</f>
        <v xml:space="preserve"> </v>
      </c>
      <c r="Q801" s="42" t="str">
        <f>IFERROR(VLOOKUP($J801,'Project Reference'!$B$2:$D$41,3)," ")</f>
        <v xml:space="preserve"> </v>
      </c>
      <c r="R801" s="42" t="str">
        <f>IFERROR(VLOOKUP($J801,'Project Reference'!$B$2:$E$41,4)," ")</f>
        <v xml:space="preserve"> </v>
      </c>
      <c r="S801" s="42" t="str">
        <f>IFERROR(VLOOKUP($J801,'Project Reference'!$B$2:$F$41,5,FALSE)," ")</f>
        <v xml:space="preserve"> </v>
      </c>
      <c r="T801" s="42" t="str">
        <f>IFERROR(VLOOKUP($J801,'Project Reference'!$B$2:$G$41,6,FALSE)," ")</f>
        <v xml:space="preserve"> </v>
      </c>
      <c r="U801" s="42" t="str">
        <f>IFERROR(VLOOKUP($J801,'Project Reference'!$B$2:$H$41,7,FALSE)," ")</f>
        <v xml:space="preserve"> </v>
      </c>
      <c r="V801" s="42" t="str">
        <f>IFERROR(VLOOKUP($J801,'Project Reference'!$B$2:$I$41,8,FALSE)," ")</f>
        <v xml:space="preserve"> </v>
      </c>
      <c r="W801" s="42" t="str">
        <f>IFERROR(VLOOKUP($J801,'Project Reference'!$B$2:$J$41,9,FALSE)," ")</f>
        <v xml:space="preserve"> </v>
      </c>
      <c r="X801" s="42" t="str">
        <f>IFERROR(VLOOKUP($J801,'Project Reference'!$B$2:$K$41,10)," ")</f>
        <v xml:space="preserve"> </v>
      </c>
      <c r="Y801" s="42" t="str">
        <f>IFERROR(VLOOKUP($J801,'Project Reference'!$B$2:$L$41,11)," ")</f>
        <v xml:space="preserve"> </v>
      </c>
      <c r="Z801" s="42" t="str">
        <f>IFERROR(VLOOKUP($J801,'Project Reference'!$B$2:$M$41,12)," ")</f>
        <v xml:space="preserve"> </v>
      </c>
      <c r="AA801" s="42" t="str">
        <f>IFERROR(VLOOKUP($J801,'Project Reference'!$B$2:$N$41,13)," ")</f>
        <v xml:space="preserve"> </v>
      </c>
    </row>
    <row r="802" spans="1:27" x14ac:dyDescent="0.45">
      <c r="A802" s="43"/>
      <c r="B802" s="205"/>
      <c r="C802"/>
      <c r="D802" s="72"/>
      <c r="E802" s="72"/>
      <c r="F802" s="72"/>
      <c r="G802" s="72"/>
      <c r="H802" s="17"/>
      <c r="I802" s="41" t="str" cm="1">
        <f t="array" ref="I802">IFERROR(_xlfn.IFS(H802="Hard (Cash)","N/A",H802="Soft (In-Kind)", "Enter Source"),"Select Type")</f>
        <v>Select Type</v>
      </c>
      <c r="J802" s="124"/>
      <c r="K802" s="41" t="str">
        <f>IFERROR(VLOOKUP($J802,'Project Reference'!$S$2:$T$41,2),"Enter Project Number")</f>
        <v>Enter Project Number</v>
      </c>
      <c r="L802" s="41"/>
      <c r="M802" s="41"/>
      <c r="N802" s="15">
        <f t="shared" si="12"/>
        <v>0</v>
      </c>
      <c r="O802" s="19"/>
      <c r="P802" s="42" t="str">
        <f>IFERROR(VLOOKUP($J802,'Project Reference'!$B$2:$C$41,2)," ")</f>
        <v xml:space="preserve"> </v>
      </c>
      <c r="Q802" s="42" t="str">
        <f>IFERROR(VLOOKUP($J802,'Project Reference'!$B$2:$D$41,3)," ")</f>
        <v xml:space="preserve"> </v>
      </c>
      <c r="R802" s="42" t="str">
        <f>IFERROR(VLOOKUP($J802,'Project Reference'!$B$2:$E$41,4)," ")</f>
        <v xml:space="preserve"> </v>
      </c>
      <c r="S802" s="42" t="str">
        <f>IFERROR(VLOOKUP($J802,'Project Reference'!$B$2:$F$41,5,FALSE)," ")</f>
        <v xml:space="preserve"> </v>
      </c>
      <c r="T802" s="42" t="str">
        <f>IFERROR(VLOOKUP($J802,'Project Reference'!$B$2:$G$41,6,FALSE)," ")</f>
        <v xml:space="preserve"> </v>
      </c>
      <c r="U802" s="42" t="str">
        <f>IFERROR(VLOOKUP($J802,'Project Reference'!$B$2:$H$41,7,FALSE)," ")</f>
        <v xml:space="preserve"> </v>
      </c>
      <c r="V802" s="42" t="str">
        <f>IFERROR(VLOOKUP($J802,'Project Reference'!$B$2:$I$41,8,FALSE)," ")</f>
        <v xml:space="preserve"> </v>
      </c>
      <c r="W802" s="42" t="str">
        <f>IFERROR(VLOOKUP($J802,'Project Reference'!$B$2:$J$41,9,FALSE)," ")</f>
        <v xml:space="preserve"> </v>
      </c>
      <c r="X802" s="42" t="str">
        <f>IFERROR(VLOOKUP($J802,'Project Reference'!$B$2:$K$41,10)," ")</f>
        <v xml:space="preserve"> </v>
      </c>
      <c r="Y802" s="42" t="str">
        <f>IFERROR(VLOOKUP($J802,'Project Reference'!$B$2:$L$41,11)," ")</f>
        <v xml:space="preserve"> </v>
      </c>
      <c r="Z802" s="42" t="str">
        <f>IFERROR(VLOOKUP($J802,'Project Reference'!$B$2:$M$41,12)," ")</f>
        <v xml:space="preserve"> </v>
      </c>
      <c r="AA802" s="42" t="str">
        <f>IFERROR(VLOOKUP($J802,'Project Reference'!$B$2:$N$41,13)," ")</f>
        <v xml:space="preserve"> </v>
      </c>
    </row>
    <row r="803" spans="1:27" x14ac:dyDescent="0.45">
      <c r="A803" s="43"/>
      <c r="B803" s="205"/>
      <c r="C803"/>
      <c r="D803" s="72"/>
      <c r="E803" s="72"/>
      <c r="F803" s="72"/>
      <c r="G803" s="72"/>
      <c r="H803" s="17"/>
      <c r="I803" s="41" t="str" cm="1">
        <f t="array" ref="I803">IFERROR(_xlfn.IFS(H803="Hard (Cash)","N/A",H803="Soft (In-Kind)", "Enter Source"),"Select Type")</f>
        <v>Select Type</v>
      </c>
      <c r="J803" s="124"/>
      <c r="K803" s="41" t="str">
        <f>IFERROR(VLOOKUP($J803,'Project Reference'!$S$2:$T$41,2),"Enter Project Number")</f>
        <v>Enter Project Number</v>
      </c>
      <c r="L803" s="41"/>
      <c r="M803" s="41"/>
      <c r="N803" s="15">
        <f t="shared" si="12"/>
        <v>0</v>
      </c>
      <c r="O803" s="19"/>
      <c r="P803" s="42" t="str">
        <f>IFERROR(VLOOKUP($J803,'Project Reference'!$B$2:$C$41,2)," ")</f>
        <v xml:space="preserve"> </v>
      </c>
      <c r="Q803" s="42" t="str">
        <f>IFERROR(VLOOKUP($J803,'Project Reference'!$B$2:$D$41,3)," ")</f>
        <v xml:space="preserve"> </v>
      </c>
      <c r="R803" s="42" t="str">
        <f>IFERROR(VLOOKUP($J803,'Project Reference'!$B$2:$E$41,4)," ")</f>
        <v xml:space="preserve"> </v>
      </c>
      <c r="S803" s="42" t="str">
        <f>IFERROR(VLOOKUP($J803,'Project Reference'!$B$2:$F$41,5,FALSE)," ")</f>
        <v xml:space="preserve"> </v>
      </c>
      <c r="T803" s="42" t="str">
        <f>IFERROR(VLOOKUP($J803,'Project Reference'!$B$2:$G$41,6,FALSE)," ")</f>
        <v xml:space="preserve"> </v>
      </c>
      <c r="U803" s="42" t="str">
        <f>IFERROR(VLOOKUP($J803,'Project Reference'!$B$2:$H$41,7,FALSE)," ")</f>
        <v xml:space="preserve"> </v>
      </c>
      <c r="V803" s="42" t="str">
        <f>IFERROR(VLOOKUP($J803,'Project Reference'!$B$2:$I$41,8,FALSE)," ")</f>
        <v xml:space="preserve"> </v>
      </c>
      <c r="W803" s="42" t="str">
        <f>IFERROR(VLOOKUP($J803,'Project Reference'!$B$2:$J$41,9,FALSE)," ")</f>
        <v xml:space="preserve"> </v>
      </c>
      <c r="X803" s="42" t="str">
        <f>IFERROR(VLOOKUP($J803,'Project Reference'!$B$2:$K$41,10)," ")</f>
        <v xml:space="preserve"> </v>
      </c>
      <c r="Y803" s="42" t="str">
        <f>IFERROR(VLOOKUP($J803,'Project Reference'!$B$2:$L$41,11)," ")</f>
        <v xml:space="preserve"> </v>
      </c>
      <c r="Z803" s="42" t="str">
        <f>IFERROR(VLOOKUP($J803,'Project Reference'!$B$2:$M$41,12)," ")</f>
        <v xml:space="preserve"> </v>
      </c>
      <c r="AA803" s="42" t="str">
        <f>IFERROR(VLOOKUP($J803,'Project Reference'!$B$2:$N$41,13)," ")</f>
        <v xml:space="preserve"> </v>
      </c>
    </row>
    <row r="804" spans="1:27" x14ac:dyDescent="0.45">
      <c r="A804" s="43"/>
      <c r="B804" s="205"/>
      <c r="C804"/>
      <c r="D804" s="72"/>
      <c r="E804" s="72"/>
      <c r="F804" s="72"/>
      <c r="G804" s="72"/>
      <c r="H804" s="17"/>
      <c r="I804" s="41" t="str" cm="1">
        <f t="array" ref="I804">IFERROR(_xlfn.IFS(H804="Hard (Cash)","N/A",H804="Soft (In-Kind)", "Enter Source"),"Select Type")</f>
        <v>Select Type</v>
      </c>
      <c r="J804" s="124"/>
      <c r="K804" s="41" t="str">
        <f>IFERROR(VLOOKUP($J804,'Project Reference'!$S$2:$T$41,2),"Enter Project Number")</f>
        <v>Enter Project Number</v>
      </c>
      <c r="L804" s="41"/>
      <c r="M804" s="41"/>
      <c r="N804" s="15">
        <f t="shared" si="12"/>
        <v>0</v>
      </c>
      <c r="O804" s="19"/>
      <c r="P804" s="42" t="str">
        <f>IFERROR(VLOOKUP($J804,'Project Reference'!$B$2:$C$41,2)," ")</f>
        <v xml:space="preserve"> </v>
      </c>
      <c r="Q804" s="42" t="str">
        <f>IFERROR(VLOOKUP($J804,'Project Reference'!$B$2:$D$41,3)," ")</f>
        <v xml:space="preserve"> </v>
      </c>
      <c r="R804" s="42" t="str">
        <f>IFERROR(VLOOKUP($J804,'Project Reference'!$B$2:$E$41,4)," ")</f>
        <v xml:space="preserve"> </v>
      </c>
      <c r="S804" s="42" t="str">
        <f>IFERROR(VLOOKUP($J804,'Project Reference'!$B$2:$F$41,5,FALSE)," ")</f>
        <v xml:space="preserve"> </v>
      </c>
      <c r="T804" s="42" t="str">
        <f>IFERROR(VLOOKUP($J804,'Project Reference'!$B$2:$G$41,6,FALSE)," ")</f>
        <v xml:space="preserve"> </v>
      </c>
      <c r="U804" s="42" t="str">
        <f>IFERROR(VLOOKUP($J804,'Project Reference'!$B$2:$H$41,7,FALSE)," ")</f>
        <v xml:space="preserve"> </v>
      </c>
      <c r="V804" s="42" t="str">
        <f>IFERROR(VLOOKUP($J804,'Project Reference'!$B$2:$I$41,8,FALSE)," ")</f>
        <v xml:space="preserve"> </v>
      </c>
      <c r="W804" s="42" t="str">
        <f>IFERROR(VLOOKUP($J804,'Project Reference'!$B$2:$J$41,9,FALSE)," ")</f>
        <v xml:space="preserve"> </v>
      </c>
      <c r="X804" s="42" t="str">
        <f>IFERROR(VLOOKUP($J804,'Project Reference'!$B$2:$K$41,10)," ")</f>
        <v xml:space="preserve"> </v>
      </c>
      <c r="Y804" s="42" t="str">
        <f>IFERROR(VLOOKUP($J804,'Project Reference'!$B$2:$L$41,11)," ")</f>
        <v xml:space="preserve"> </v>
      </c>
      <c r="Z804" s="42" t="str">
        <f>IFERROR(VLOOKUP($J804,'Project Reference'!$B$2:$M$41,12)," ")</f>
        <v xml:space="preserve"> </v>
      </c>
      <c r="AA804" s="42" t="str">
        <f>IFERROR(VLOOKUP($J804,'Project Reference'!$B$2:$N$41,13)," ")</f>
        <v xml:space="preserve"> </v>
      </c>
    </row>
    <row r="805" spans="1:27" x14ac:dyDescent="0.45">
      <c r="A805" s="43"/>
      <c r="B805" s="205"/>
      <c r="C805"/>
      <c r="D805" s="72"/>
      <c r="E805" s="72"/>
      <c r="F805" s="72"/>
      <c r="G805" s="72"/>
      <c r="H805" s="17"/>
      <c r="I805" s="41" t="str" cm="1">
        <f t="array" ref="I805">IFERROR(_xlfn.IFS(H805="Hard (Cash)","N/A",H805="Soft (In-Kind)", "Enter Source"),"Select Type")</f>
        <v>Select Type</v>
      </c>
      <c r="J805" s="124"/>
      <c r="K805" s="41" t="str">
        <f>IFERROR(VLOOKUP($J805,'Project Reference'!$S$2:$T$41,2),"Enter Project Number")</f>
        <v>Enter Project Number</v>
      </c>
      <c r="L805" s="41"/>
      <c r="M805" s="41"/>
      <c r="N805" s="15">
        <f t="shared" si="12"/>
        <v>0</v>
      </c>
      <c r="O805" s="19"/>
      <c r="P805" s="42" t="str">
        <f>IFERROR(VLOOKUP($J805,'Project Reference'!$B$2:$C$41,2)," ")</f>
        <v xml:space="preserve"> </v>
      </c>
      <c r="Q805" s="42" t="str">
        <f>IFERROR(VLOOKUP($J805,'Project Reference'!$B$2:$D$41,3)," ")</f>
        <v xml:space="preserve"> </v>
      </c>
      <c r="R805" s="42" t="str">
        <f>IFERROR(VLOOKUP($J805,'Project Reference'!$B$2:$E$41,4)," ")</f>
        <v xml:space="preserve"> </v>
      </c>
      <c r="S805" s="42" t="str">
        <f>IFERROR(VLOOKUP($J805,'Project Reference'!$B$2:$F$41,5,FALSE)," ")</f>
        <v xml:space="preserve"> </v>
      </c>
      <c r="T805" s="42" t="str">
        <f>IFERROR(VLOOKUP($J805,'Project Reference'!$B$2:$G$41,6,FALSE)," ")</f>
        <v xml:space="preserve"> </v>
      </c>
      <c r="U805" s="42" t="str">
        <f>IFERROR(VLOOKUP($J805,'Project Reference'!$B$2:$H$41,7,FALSE)," ")</f>
        <v xml:space="preserve"> </v>
      </c>
      <c r="V805" s="42" t="str">
        <f>IFERROR(VLOOKUP($J805,'Project Reference'!$B$2:$I$41,8,FALSE)," ")</f>
        <v xml:space="preserve"> </v>
      </c>
      <c r="W805" s="42" t="str">
        <f>IFERROR(VLOOKUP($J805,'Project Reference'!$B$2:$J$41,9,FALSE)," ")</f>
        <v xml:space="preserve"> </v>
      </c>
      <c r="X805" s="42" t="str">
        <f>IFERROR(VLOOKUP($J805,'Project Reference'!$B$2:$K$41,10)," ")</f>
        <v xml:space="preserve"> </v>
      </c>
      <c r="Y805" s="42" t="str">
        <f>IFERROR(VLOOKUP($J805,'Project Reference'!$B$2:$L$41,11)," ")</f>
        <v xml:space="preserve"> </v>
      </c>
      <c r="Z805" s="42" t="str">
        <f>IFERROR(VLOOKUP($J805,'Project Reference'!$B$2:$M$41,12)," ")</f>
        <v xml:space="preserve"> </v>
      </c>
      <c r="AA805" s="42" t="str">
        <f>IFERROR(VLOOKUP($J805,'Project Reference'!$B$2:$N$41,13)," ")</f>
        <v xml:space="preserve"> </v>
      </c>
    </row>
    <row r="806" spans="1:27" x14ac:dyDescent="0.45">
      <c r="A806" s="43"/>
      <c r="B806" s="205"/>
      <c r="C806"/>
      <c r="D806" s="72"/>
      <c r="E806" s="72"/>
      <c r="F806" s="72"/>
      <c r="G806" s="72"/>
      <c r="H806" s="17"/>
      <c r="I806" s="41" t="str" cm="1">
        <f t="array" ref="I806">IFERROR(_xlfn.IFS(H806="Hard (Cash)","N/A",H806="Soft (In-Kind)", "Enter Source"),"Select Type")</f>
        <v>Select Type</v>
      </c>
      <c r="J806" s="124"/>
      <c r="K806" s="41" t="str">
        <f>IFERROR(VLOOKUP($J806,'Project Reference'!$S$2:$T$41,2),"Enter Project Number")</f>
        <v>Enter Project Number</v>
      </c>
      <c r="L806" s="41"/>
      <c r="M806" s="41"/>
      <c r="N806" s="15">
        <f t="shared" si="12"/>
        <v>0</v>
      </c>
      <c r="O806" s="19"/>
      <c r="P806" s="42" t="str">
        <f>IFERROR(VLOOKUP($J806,'Project Reference'!$B$2:$C$41,2)," ")</f>
        <v xml:space="preserve"> </v>
      </c>
      <c r="Q806" s="42" t="str">
        <f>IFERROR(VLOOKUP($J806,'Project Reference'!$B$2:$D$41,3)," ")</f>
        <v xml:space="preserve"> </v>
      </c>
      <c r="R806" s="42" t="str">
        <f>IFERROR(VLOOKUP($J806,'Project Reference'!$B$2:$E$41,4)," ")</f>
        <v xml:space="preserve"> </v>
      </c>
      <c r="S806" s="42" t="str">
        <f>IFERROR(VLOOKUP($J806,'Project Reference'!$B$2:$F$41,5,FALSE)," ")</f>
        <v xml:space="preserve"> </v>
      </c>
      <c r="T806" s="42" t="str">
        <f>IFERROR(VLOOKUP($J806,'Project Reference'!$B$2:$G$41,6,FALSE)," ")</f>
        <v xml:space="preserve"> </v>
      </c>
      <c r="U806" s="42" t="str">
        <f>IFERROR(VLOOKUP($J806,'Project Reference'!$B$2:$H$41,7,FALSE)," ")</f>
        <v xml:space="preserve"> </v>
      </c>
      <c r="V806" s="42" t="str">
        <f>IFERROR(VLOOKUP($J806,'Project Reference'!$B$2:$I$41,8,FALSE)," ")</f>
        <v xml:space="preserve"> </v>
      </c>
      <c r="W806" s="42" t="str">
        <f>IFERROR(VLOOKUP($J806,'Project Reference'!$B$2:$J$41,9,FALSE)," ")</f>
        <v xml:space="preserve"> </v>
      </c>
      <c r="X806" s="42" t="str">
        <f>IFERROR(VLOOKUP($J806,'Project Reference'!$B$2:$K$41,10)," ")</f>
        <v xml:space="preserve"> </v>
      </c>
      <c r="Y806" s="42" t="str">
        <f>IFERROR(VLOOKUP($J806,'Project Reference'!$B$2:$L$41,11)," ")</f>
        <v xml:space="preserve"> </v>
      </c>
      <c r="Z806" s="42" t="str">
        <f>IFERROR(VLOOKUP($J806,'Project Reference'!$B$2:$M$41,12)," ")</f>
        <v xml:space="preserve"> </v>
      </c>
      <c r="AA806" s="42" t="str">
        <f>IFERROR(VLOOKUP($J806,'Project Reference'!$B$2:$N$41,13)," ")</f>
        <v xml:space="preserve"> </v>
      </c>
    </row>
    <row r="807" spans="1:27" x14ac:dyDescent="0.45">
      <c r="A807" s="43"/>
      <c r="B807" s="205"/>
      <c r="C807"/>
      <c r="D807" s="72"/>
      <c r="E807" s="72"/>
      <c r="F807" s="72"/>
      <c r="G807" s="72"/>
      <c r="H807" s="17"/>
      <c r="I807" s="41" t="str" cm="1">
        <f t="array" ref="I807">IFERROR(_xlfn.IFS(H807="Hard (Cash)","N/A",H807="Soft (In-Kind)", "Enter Source"),"Select Type")</f>
        <v>Select Type</v>
      </c>
      <c r="J807" s="124"/>
      <c r="K807" s="41" t="str">
        <f>IFERROR(VLOOKUP($J807,'Project Reference'!$S$2:$T$41,2),"Enter Project Number")</f>
        <v>Enter Project Number</v>
      </c>
      <c r="L807" s="41"/>
      <c r="M807" s="41"/>
      <c r="N807" s="15">
        <f t="shared" si="12"/>
        <v>0</v>
      </c>
      <c r="O807" s="19"/>
      <c r="P807" s="42" t="str">
        <f>IFERROR(VLOOKUP($J807,'Project Reference'!$B$2:$C$41,2)," ")</f>
        <v xml:space="preserve"> </v>
      </c>
      <c r="Q807" s="42" t="str">
        <f>IFERROR(VLOOKUP($J807,'Project Reference'!$B$2:$D$41,3)," ")</f>
        <v xml:space="preserve"> </v>
      </c>
      <c r="R807" s="42" t="str">
        <f>IFERROR(VLOOKUP($J807,'Project Reference'!$B$2:$E$41,4)," ")</f>
        <v xml:space="preserve"> </v>
      </c>
      <c r="S807" s="42" t="str">
        <f>IFERROR(VLOOKUP($J807,'Project Reference'!$B$2:$F$41,5,FALSE)," ")</f>
        <v xml:space="preserve"> </v>
      </c>
      <c r="T807" s="42" t="str">
        <f>IFERROR(VLOOKUP($J807,'Project Reference'!$B$2:$G$41,6,FALSE)," ")</f>
        <v xml:space="preserve"> </v>
      </c>
      <c r="U807" s="42" t="str">
        <f>IFERROR(VLOOKUP($J807,'Project Reference'!$B$2:$H$41,7,FALSE)," ")</f>
        <v xml:space="preserve"> </v>
      </c>
      <c r="V807" s="42" t="str">
        <f>IFERROR(VLOOKUP($J807,'Project Reference'!$B$2:$I$41,8,FALSE)," ")</f>
        <v xml:space="preserve"> </v>
      </c>
      <c r="W807" s="42" t="str">
        <f>IFERROR(VLOOKUP($J807,'Project Reference'!$B$2:$J$41,9,FALSE)," ")</f>
        <v xml:space="preserve"> </v>
      </c>
      <c r="X807" s="42" t="str">
        <f>IFERROR(VLOOKUP($J807,'Project Reference'!$B$2:$K$41,10)," ")</f>
        <v xml:space="preserve"> </v>
      </c>
      <c r="Y807" s="42" t="str">
        <f>IFERROR(VLOOKUP($J807,'Project Reference'!$B$2:$L$41,11)," ")</f>
        <v xml:space="preserve"> </v>
      </c>
      <c r="Z807" s="42" t="str">
        <f>IFERROR(VLOOKUP($J807,'Project Reference'!$B$2:$M$41,12)," ")</f>
        <v xml:space="preserve"> </v>
      </c>
      <c r="AA807" s="42" t="str">
        <f>IFERROR(VLOOKUP($J807,'Project Reference'!$B$2:$N$41,13)," ")</f>
        <v xml:space="preserve"> </v>
      </c>
    </row>
    <row r="808" spans="1:27" x14ac:dyDescent="0.45">
      <c r="A808" s="43"/>
      <c r="B808" s="205"/>
      <c r="C808"/>
      <c r="D808" s="72"/>
      <c r="E808" s="72"/>
      <c r="F808" s="72"/>
      <c r="G808" s="72"/>
      <c r="H808" s="17"/>
      <c r="I808" s="41" t="str" cm="1">
        <f t="array" ref="I808">IFERROR(_xlfn.IFS(H808="Hard (Cash)","N/A",H808="Soft (In-Kind)", "Enter Source"),"Select Type")</f>
        <v>Select Type</v>
      </c>
      <c r="J808" s="124"/>
      <c r="K808" s="41" t="str">
        <f>IFERROR(VLOOKUP($J808,'Project Reference'!$S$2:$T$41,2),"Enter Project Number")</f>
        <v>Enter Project Number</v>
      </c>
      <c r="L808" s="41"/>
      <c r="M808" s="41"/>
      <c r="N808" s="15">
        <f t="shared" si="12"/>
        <v>0</v>
      </c>
      <c r="O808" s="19"/>
      <c r="P808" s="42" t="str">
        <f>IFERROR(VLOOKUP($J808,'Project Reference'!$B$2:$C$41,2)," ")</f>
        <v xml:space="preserve"> </v>
      </c>
      <c r="Q808" s="42" t="str">
        <f>IFERROR(VLOOKUP($J808,'Project Reference'!$B$2:$D$41,3)," ")</f>
        <v xml:space="preserve"> </v>
      </c>
      <c r="R808" s="42" t="str">
        <f>IFERROR(VLOOKUP($J808,'Project Reference'!$B$2:$E$41,4)," ")</f>
        <v xml:space="preserve"> </v>
      </c>
      <c r="S808" s="42" t="str">
        <f>IFERROR(VLOOKUP($J808,'Project Reference'!$B$2:$F$41,5,FALSE)," ")</f>
        <v xml:space="preserve"> </v>
      </c>
      <c r="T808" s="42" t="str">
        <f>IFERROR(VLOOKUP($J808,'Project Reference'!$B$2:$G$41,6,FALSE)," ")</f>
        <v xml:space="preserve"> </v>
      </c>
      <c r="U808" s="42" t="str">
        <f>IFERROR(VLOOKUP($J808,'Project Reference'!$B$2:$H$41,7,FALSE)," ")</f>
        <v xml:space="preserve"> </v>
      </c>
      <c r="V808" s="42" t="str">
        <f>IFERROR(VLOOKUP($J808,'Project Reference'!$B$2:$I$41,8,FALSE)," ")</f>
        <v xml:space="preserve"> </v>
      </c>
      <c r="W808" s="42" t="str">
        <f>IFERROR(VLOOKUP($J808,'Project Reference'!$B$2:$J$41,9,FALSE)," ")</f>
        <v xml:space="preserve"> </v>
      </c>
      <c r="X808" s="42" t="str">
        <f>IFERROR(VLOOKUP($J808,'Project Reference'!$B$2:$K$41,10)," ")</f>
        <v xml:space="preserve"> </v>
      </c>
      <c r="Y808" s="42" t="str">
        <f>IFERROR(VLOOKUP($J808,'Project Reference'!$B$2:$L$41,11)," ")</f>
        <v xml:space="preserve"> </v>
      </c>
      <c r="Z808" s="42" t="str">
        <f>IFERROR(VLOOKUP($J808,'Project Reference'!$B$2:$M$41,12)," ")</f>
        <v xml:space="preserve"> </v>
      </c>
      <c r="AA808" s="42" t="str">
        <f>IFERROR(VLOOKUP($J808,'Project Reference'!$B$2:$N$41,13)," ")</f>
        <v xml:space="preserve"> </v>
      </c>
    </row>
    <row r="809" spans="1:27" x14ac:dyDescent="0.45">
      <c r="A809" s="43"/>
      <c r="B809" s="205"/>
      <c r="C809"/>
      <c r="D809" s="72"/>
      <c r="E809" s="72"/>
      <c r="F809" s="72"/>
      <c r="G809" s="72"/>
      <c r="H809" s="17"/>
      <c r="I809" s="41" t="str" cm="1">
        <f t="array" ref="I809">IFERROR(_xlfn.IFS(H809="Hard (Cash)","N/A",H809="Soft (In-Kind)", "Enter Source"),"Select Type")</f>
        <v>Select Type</v>
      </c>
      <c r="J809" s="124"/>
      <c r="K809" s="41" t="str">
        <f>IFERROR(VLOOKUP($J809,'Project Reference'!$S$2:$T$41,2),"Enter Project Number")</f>
        <v>Enter Project Number</v>
      </c>
      <c r="L809" s="41"/>
      <c r="M809" s="41"/>
      <c r="N809" s="15">
        <f t="shared" si="12"/>
        <v>0</v>
      </c>
      <c r="O809" s="19"/>
      <c r="P809" s="42" t="str">
        <f>IFERROR(VLOOKUP($J809,'Project Reference'!$B$2:$C$41,2)," ")</f>
        <v xml:space="preserve"> </v>
      </c>
      <c r="Q809" s="42" t="str">
        <f>IFERROR(VLOOKUP($J809,'Project Reference'!$B$2:$D$41,3)," ")</f>
        <v xml:space="preserve"> </v>
      </c>
      <c r="R809" s="42" t="str">
        <f>IFERROR(VLOOKUP($J809,'Project Reference'!$B$2:$E$41,4)," ")</f>
        <v xml:space="preserve"> </v>
      </c>
      <c r="S809" s="42" t="str">
        <f>IFERROR(VLOOKUP($J809,'Project Reference'!$B$2:$F$41,5,FALSE)," ")</f>
        <v xml:space="preserve"> </v>
      </c>
      <c r="T809" s="42" t="str">
        <f>IFERROR(VLOOKUP($J809,'Project Reference'!$B$2:$G$41,6,FALSE)," ")</f>
        <v xml:space="preserve"> </v>
      </c>
      <c r="U809" s="42" t="str">
        <f>IFERROR(VLOOKUP($J809,'Project Reference'!$B$2:$H$41,7,FALSE)," ")</f>
        <v xml:space="preserve"> </v>
      </c>
      <c r="V809" s="42" t="str">
        <f>IFERROR(VLOOKUP($J809,'Project Reference'!$B$2:$I$41,8,FALSE)," ")</f>
        <v xml:space="preserve"> </v>
      </c>
      <c r="W809" s="42" t="str">
        <f>IFERROR(VLOOKUP($J809,'Project Reference'!$B$2:$J$41,9,FALSE)," ")</f>
        <v xml:space="preserve"> </v>
      </c>
      <c r="X809" s="42" t="str">
        <f>IFERROR(VLOOKUP($J809,'Project Reference'!$B$2:$K$41,10)," ")</f>
        <v xml:space="preserve"> </v>
      </c>
      <c r="Y809" s="42" t="str">
        <f>IFERROR(VLOOKUP($J809,'Project Reference'!$B$2:$L$41,11)," ")</f>
        <v xml:space="preserve"> </v>
      </c>
      <c r="Z809" s="42" t="str">
        <f>IFERROR(VLOOKUP($J809,'Project Reference'!$B$2:$M$41,12)," ")</f>
        <v xml:space="preserve"> </v>
      </c>
      <c r="AA809" s="42" t="str">
        <f>IFERROR(VLOOKUP($J809,'Project Reference'!$B$2:$N$41,13)," ")</f>
        <v xml:space="preserve"> </v>
      </c>
    </row>
    <row r="810" spans="1:27" x14ac:dyDescent="0.45">
      <c r="A810" s="43"/>
      <c r="B810" s="205"/>
      <c r="C810"/>
      <c r="D810" s="72"/>
      <c r="E810" s="72"/>
      <c r="F810" s="72"/>
      <c r="G810" s="72"/>
      <c r="H810" s="17"/>
      <c r="I810" s="41" t="str" cm="1">
        <f t="array" ref="I810">IFERROR(_xlfn.IFS(H810="Hard (Cash)","N/A",H810="Soft (In-Kind)", "Enter Source"),"Select Type")</f>
        <v>Select Type</v>
      </c>
      <c r="J810" s="124"/>
      <c r="K810" s="41" t="str">
        <f>IFERROR(VLOOKUP($J810,'Project Reference'!$S$2:$T$41,2),"Enter Project Number")</f>
        <v>Enter Project Number</v>
      </c>
      <c r="L810" s="41"/>
      <c r="M810" s="41"/>
      <c r="N810" s="15">
        <f t="shared" si="12"/>
        <v>0</v>
      </c>
      <c r="O810" s="19"/>
      <c r="P810" s="42" t="str">
        <f>IFERROR(VLOOKUP($J810,'Project Reference'!$B$2:$C$41,2)," ")</f>
        <v xml:space="preserve"> </v>
      </c>
      <c r="Q810" s="42" t="str">
        <f>IFERROR(VLOOKUP($J810,'Project Reference'!$B$2:$D$41,3)," ")</f>
        <v xml:space="preserve"> </v>
      </c>
      <c r="R810" s="42" t="str">
        <f>IFERROR(VLOOKUP($J810,'Project Reference'!$B$2:$E$41,4)," ")</f>
        <v xml:space="preserve"> </v>
      </c>
      <c r="S810" s="42" t="str">
        <f>IFERROR(VLOOKUP($J810,'Project Reference'!$B$2:$F$41,5,FALSE)," ")</f>
        <v xml:space="preserve"> </v>
      </c>
      <c r="T810" s="42" t="str">
        <f>IFERROR(VLOOKUP($J810,'Project Reference'!$B$2:$G$41,6,FALSE)," ")</f>
        <v xml:space="preserve"> </v>
      </c>
      <c r="U810" s="42" t="str">
        <f>IFERROR(VLOOKUP($J810,'Project Reference'!$B$2:$H$41,7,FALSE)," ")</f>
        <v xml:space="preserve"> </v>
      </c>
      <c r="V810" s="42" t="str">
        <f>IFERROR(VLOOKUP($J810,'Project Reference'!$B$2:$I$41,8,FALSE)," ")</f>
        <v xml:space="preserve"> </v>
      </c>
      <c r="W810" s="42" t="str">
        <f>IFERROR(VLOOKUP($J810,'Project Reference'!$B$2:$J$41,9,FALSE)," ")</f>
        <v xml:space="preserve"> </v>
      </c>
      <c r="X810" s="42" t="str">
        <f>IFERROR(VLOOKUP($J810,'Project Reference'!$B$2:$K$41,10)," ")</f>
        <v xml:space="preserve"> </v>
      </c>
      <c r="Y810" s="42" t="str">
        <f>IFERROR(VLOOKUP($J810,'Project Reference'!$B$2:$L$41,11)," ")</f>
        <v xml:space="preserve"> </v>
      </c>
      <c r="Z810" s="42" t="str">
        <f>IFERROR(VLOOKUP($J810,'Project Reference'!$B$2:$M$41,12)," ")</f>
        <v xml:space="preserve"> </v>
      </c>
      <c r="AA810" s="42" t="str">
        <f>IFERROR(VLOOKUP($J810,'Project Reference'!$B$2:$N$41,13)," ")</f>
        <v xml:space="preserve"> </v>
      </c>
    </row>
    <row r="811" spans="1:27" x14ac:dyDescent="0.45">
      <c r="A811" s="43"/>
      <c r="B811" s="205"/>
      <c r="C811"/>
      <c r="D811" s="72"/>
      <c r="E811" s="72"/>
      <c r="F811" s="72"/>
      <c r="G811" s="72"/>
      <c r="H811" s="17"/>
      <c r="I811" s="41" t="str" cm="1">
        <f t="array" ref="I811">IFERROR(_xlfn.IFS(H811="Hard (Cash)","N/A",H811="Soft (In-Kind)", "Enter Source"),"Select Type")</f>
        <v>Select Type</v>
      </c>
      <c r="J811" s="124"/>
      <c r="K811" s="41" t="str">
        <f>IFERROR(VLOOKUP($J811,'Project Reference'!$S$2:$T$41,2),"Enter Project Number")</f>
        <v>Enter Project Number</v>
      </c>
      <c r="L811" s="41"/>
      <c r="M811" s="41"/>
      <c r="N811" s="15">
        <f t="shared" si="12"/>
        <v>0</v>
      </c>
      <c r="O811" s="19"/>
      <c r="P811" s="42" t="str">
        <f>IFERROR(VLOOKUP($J811,'Project Reference'!$B$2:$C$41,2)," ")</f>
        <v xml:space="preserve"> </v>
      </c>
      <c r="Q811" s="42" t="str">
        <f>IFERROR(VLOOKUP($J811,'Project Reference'!$B$2:$D$41,3)," ")</f>
        <v xml:space="preserve"> </v>
      </c>
      <c r="R811" s="42" t="str">
        <f>IFERROR(VLOOKUP($J811,'Project Reference'!$B$2:$E$41,4)," ")</f>
        <v xml:space="preserve"> </v>
      </c>
      <c r="S811" s="42" t="str">
        <f>IFERROR(VLOOKUP($J811,'Project Reference'!$B$2:$F$41,5,FALSE)," ")</f>
        <v xml:space="preserve"> </v>
      </c>
      <c r="T811" s="42" t="str">
        <f>IFERROR(VLOOKUP($J811,'Project Reference'!$B$2:$G$41,6,FALSE)," ")</f>
        <v xml:space="preserve"> </v>
      </c>
      <c r="U811" s="42" t="str">
        <f>IFERROR(VLOOKUP($J811,'Project Reference'!$B$2:$H$41,7,FALSE)," ")</f>
        <v xml:space="preserve"> </v>
      </c>
      <c r="V811" s="42" t="str">
        <f>IFERROR(VLOOKUP($J811,'Project Reference'!$B$2:$I$41,8,FALSE)," ")</f>
        <v xml:space="preserve"> </v>
      </c>
      <c r="W811" s="42" t="str">
        <f>IFERROR(VLOOKUP($J811,'Project Reference'!$B$2:$J$41,9,FALSE)," ")</f>
        <v xml:space="preserve"> </v>
      </c>
      <c r="X811" s="42" t="str">
        <f>IFERROR(VLOOKUP($J811,'Project Reference'!$B$2:$K$41,10)," ")</f>
        <v xml:space="preserve"> </v>
      </c>
      <c r="Y811" s="42" t="str">
        <f>IFERROR(VLOOKUP($J811,'Project Reference'!$B$2:$L$41,11)," ")</f>
        <v xml:space="preserve"> </v>
      </c>
      <c r="Z811" s="42" t="str">
        <f>IFERROR(VLOOKUP($J811,'Project Reference'!$B$2:$M$41,12)," ")</f>
        <v xml:space="preserve"> </v>
      </c>
      <c r="AA811" s="42" t="str">
        <f>IFERROR(VLOOKUP($J811,'Project Reference'!$B$2:$N$41,13)," ")</f>
        <v xml:space="preserve"> </v>
      </c>
    </row>
    <row r="812" spans="1:27" x14ac:dyDescent="0.45">
      <c r="A812" s="43"/>
      <c r="B812" s="205"/>
      <c r="C812"/>
      <c r="D812" s="72"/>
      <c r="E812" s="72"/>
      <c r="F812" s="72"/>
      <c r="G812" s="72"/>
      <c r="H812" s="17"/>
      <c r="I812" s="41" t="str" cm="1">
        <f t="array" ref="I812">IFERROR(_xlfn.IFS(H812="Hard (Cash)","N/A",H812="Soft (In-Kind)", "Enter Source"),"Select Type")</f>
        <v>Select Type</v>
      </c>
      <c r="J812" s="124"/>
      <c r="K812" s="41" t="str">
        <f>IFERROR(VLOOKUP($J812,'Project Reference'!$S$2:$T$41,2),"Enter Project Number")</f>
        <v>Enter Project Number</v>
      </c>
      <c r="L812" s="41"/>
      <c r="M812" s="41"/>
      <c r="N812" s="15">
        <f t="shared" si="12"/>
        <v>0</v>
      </c>
      <c r="O812" s="19"/>
      <c r="P812" s="42" t="str">
        <f>IFERROR(VLOOKUP($J812,'Project Reference'!$B$2:$C$41,2)," ")</f>
        <v xml:space="preserve"> </v>
      </c>
      <c r="Q812" s="42" t="str">
        <f>IFERROR(VLOOKUP($J812,'Project Reference'!$B$2:$D$41,3)," ")</f>
        <v xml:space="preserve"> </v>
      </c>
      <c r="R812" s="42" t="str">
        <f>IFERROR(VLOOKUP($J812,'Project Reference'!$B$2:$E$41,4)," ")</f>
        <v xml:space="preserve"> </v>
      </c>
      <c r="S812" s="42" t="str">
        <f>IFERROR(VLOOKUP($J812,'Project Reference'!$B$2:$F$41,5,FALSE)," ")</f>
        <v xml:space="preserve"> </v>
      </c>
      <c r="T812" s="42" t="str">
        <f>IFERROR(VLOOKUP($J812,'Project Reference'!$B$2:$G$41,6,FALSE)," ")</f>
        <v xml:space="preserve"> </v>
      </c>
      <c r="U812" s="42" t="str">
        <f>IFERROR(VLOOKUP($J812,'Project Reference'!$B$2:$H$41,7,FALSE)," ")</f>
        <v xml:space="preserve"> </v>
      </c>
      <c r="V812" s="42" t="str">
        <f>IFERROR(VLOOKUP($J812,'Project Reference'!$B$2:$I$41,8,FALSE)," ")</f>
        <v xml:space="preserve"> </v>
      </c>
      <c r="W812" s="42" t="str">
        <f>IFERROR(VLOOKUP($J812,'Project Reference'!$B$2:$J$41,9,FALSE)," ")</f>
        <v xml:space="preserve"> </v>
      </c>
      <c r="X812" s="42" t="str">
        <f>IFERROR(VLOOKUP($J812,'Project Reference'!$B$2:$K$41,10)," ")</f>
        <v xml:space="preserve"> </v>
      </c>
      <c r="Y812" s="42" t="str">
        <f>IFERROR(VLOOKUP($J812,'Project Reference'!$B$2:$L$41,11)," ")</f>
        <v xml:space="preserve"> </v>
      </c>
      <c r="Z812" s="42" t="str">
        <f>IFERROR(VLOOKUP($J812,'Project Reference'!$B$2:$M$41,12)," ")</f>
        <v xml:space="preserve"> </v>
      </c>
      <c r="AA812" s="42" t="str">
        <f>IFERROR(VLOOKUP($J812,'Project Reference'!$B$2:$N$41,13)," ")</f>
        <v xml:space="preserve"> </v>
      </c>
    </row>
    <row r="813" spans="1:27" x14ac:dyDescent="0.45">
      <c r="A813" s="43"/>
      <c r="B813" s="205"/>
      <c r="C813"/>
      <c r="D813" s="72"/>
      <c r="E813" s="72"/>
      <c r="F813" s="72"/>
      <c r="G813" s="72"/>
      <c r="H813" s="17"/>
      <c r="I813" s="41" t="str" cm="1">
        <f t="array" ref="I813">IFERROR(_xlfn.IFS(H813="Hard (Cash)","N/A",H813="Soft (In-Kind)", "Enter Source"),"Select Type")</f>
        <v>Select Type</v>
      </c>
      <c r="J813" s="124"/>
      <c r="K813" s="41" t="str">
        <f>IFERROR(VLOOKUP($J813,'Project Reference'!$S$2:$T$41,2),"Enter Project Number")</f>
        <v>Enter Project Number</v>
      </c>
      <c r="L813" s="41"/>
      <c r="M813" s="41"/>
      <c r="N813" s="15">
        <f t="shared" si="12"/>
        <v>0</v>
      </c>
      <c r="O813" s="19"/>
      <c r="P813" s="42" t="str">
        <f>IFERROR(VLOOKUP($J813,'Project Reference'!$B$2:$C$41,2)," ")</f>
        <v xml:space="preserve"> </v>
      </c>
      <c r="Q813" s="42" t="str">
        <f>IFERROR(VLOOKUP($J813,'Project Reference'!$B$2:$D$41,3)," ")</f>
        <v xml:space="preserve"> </v>
      </c>
      <c r="R813" s="42" t="str">
        <f>IFERROR(VLOOKUP($J813,'Project Reference'!$B$2:$E$41,4)," ")</f>
        <v xml:space="preserve"> </v>
      </c>
      <c r="S813" s="42" t="str">
        <f>IFERROR(VLOOKUP($J813,'Project Reference'!$B$2:$F$41,5,FALSE)," ")</f>
        <v xml:space="preserve"> </v>
      </c>
      <c r="T813" s="42" t="str">
        <f>IFERROR(VLOOKUP($J813,'Project Reference'!$B$2:$G$41,6,FALSE)," ")</f>
        <v xml:space="preserve"> </v>
      </c>
      <c r="U813" s="42" t="str">
        <f>IFERROR(VLOOKUP($J813,'Project Reference'!$B$2:$H$41,7,FALSE)," ")</f>
        <v xml:space="preserve"> </v>
      </c>
      <c r="V813" s="42" t="str">
        <f>IFERROR(VLOOKUP($J813,'Project Reference'!$B$2:$I$41,8,FALSE)," ")</f>
        <v xml:space="preserve"> </v>
      </c>
      <c r="W813" s="42" t="str">
        <f>IFERROR(VLOOKUP($J813,'Project Reference'!$B$2:$J$41,9,FALSE)," ")</f>
        <v xml:space="preserve"> </v>
      </c>
      <c r="X813" s="42" t="str">
        <f>IFERROR(VLOOKUP($J813,'Project Reference'!$B$2:$K$41,10)," ")</f>
        <v xml:space="preserve"> </v>
      </c>
      <c r="Y813" s="42" t="str">
        <f>IFERROR(VLOOKUP($J813,'Project Reference'!$B$2:$L$41,11)," ")</f>
        <v xml:space="preserve"> </v>
      </c>
      <c r="Z813" s="42" t="str">
        <f>IFERROR(VLOOKUP($J813,'Project Reference'!$B$2:$M$41,12)," ")</f>
        <v xml:space="preserve"> </v>
      </c>
      <c r="AA813" s="42" t="str">
        <f>IFERROR(VLOOKUP($J813,'Project Reference'!$B$2:$N$41,13)," ")</f>
        <v xml:space="preserve"> </v>
      </c>
    </row>
    <row r="814" spans="1:27" x14ac:dyDescent="0.45">
      <c r="A814" s="43"/>
      <c r="B814" s="205"/>
      <c r="C814"/>
      <c r="D814" s="72"/>
      <c r="E814" s="72"/>
      <c r="F814" s="72"/>
      <c r="G814" s="72"/>
      <c r="H814" s="17"/>
      <c r="I814" s="41" t="str" cm="1">
        <f t="array" ref="I814">IFERROR(_xlfn.IFS(H814="Hard (Cash)","N/A",H814="Soft (In-Kind)", "Enter Source"),"Select Type")</f>
        <v>Select Type</v>
      </c>
      <c r="J814" s="124"/>
      <c r="K814" s="41" t="str">
        <f>IFERROR(VLOOKUP($J814,'Project Reference'!$S$2:$T$41,2),"Enter Project Number")</f>
        <v>Enter Project Number</v>
      </c>
      <c r="L814" s="41"/>
      <c r="M814" s="41"/>
      <c r="N814" s="15">
        <f t="shared" si="12"/>
        <v>0</v>
      </c>
      <c r="O814" s="19"/>
      <c r="P814" s="42" t="str">
        <f>IFERROR(VLOOKUP($J814,'Project Reference'!$B$2:$C$41,2)," ")</f>
        <v xml:space="preserve"> </v>
      </c>
      <c r="Q814" s="42" t="str">
        <f>IFERROR(VLOOKUP($J814,'Project Reference'!$B$2:$D$41,3)," ")</f>
        <v xml:space="preserve"> </v>
      </c>
      <c r="R814" s="42" t="str">
        <f>IFERROR(VLOOKUP($J814,'Project Reference'!$B$2:$E$41,4)," ")</f>
        <v xml:space="preserve"> </v>
      </c>
      <c r="S814" s="42" t="str">
        <f>IFERROR(VLOOKUP($J814,'Project Reference'!$B$2:$F$41,5,FALSE)," ")</f>
        <v xml:space="preserve"> </v>
      </c>
      <c r="T814" s="42" t="str">
        <f>IFERROR(VLOOKUP($J814,'Project Reference'!$B$2:$G$41,6,FALSE)," ")</f>
        <v xml:space="preserve"> </v>
      </c>
      <c r="U814" s="42" t="str">
        <f>IFERROR(VLOOKUP($J814,'Project Reference'!$B$2:$H$41,7,FALSE)," ")</f>
        <v xml:space="preserve"> </v>
      </c>
      <c r="V814" s="42" t="str">
        <f>IFERROR(VLOOKUP($J814,'Project Reference'!$B$2:$I$41,8,FALSE)," ")</f>
        <v xml:space="preserve"> </v>
      </c>
      <c r="W814" s="42" t="str">
        <f>IFERROR(VLOOKUP($J814,'Project Reference'!$B$2:$J$41,9,FALSE)," ")</f>
        <v xml:space="preserve"> </v>
      </c>
      <c r="X814" s="42" t="str">
        <f>IFERROR(VLOOKUP($J814,'Project Reference'!$B$2:$K$41,10)," ")</f>
        <v xml:space="preserve"> </v>
      </c>
      <c r="Y814" s="42" t="str">
        <f>IFERROR(VLOOKUP($J814,'Project Reference'!$B$2:$L$41,11)," ")</f>
        <v xml:space="preserve"> </v>
      </c>
      <c r="Z814" s="42" t="str">
        <f>IFERROR(VLOOKUP($J814,'Project Reference'!$B$2:$M$41,12)," ")</f>
        <v xml:space="preserve"> </v>
      </c>
      <c r="AA814" s="42" t="str">
        <f>IFERROR(VLOOKUP($J814,'Project Reference'!$B$2:$N$41,13)," ")</f>
        <v xml:space="preserve"> </v>
      </c>
    </row>
    <row r="815" spans="1:27" x14ac:dyDescent="0.45">
      <c r="A815" s="43"/>
      <c r="B815" s="205"/>
      <c r="C815"/>
      <c r="D815" s="72"/>
      <c r="E815" s="72"/>
      <c r="F815" s="72"/>
      <c r="G815" s="72"/>
      <c r="H815" s="17"/>
      <c r="I815" s="41" t="str" cm="1">
        <f t="array" ref="I815">IFERROR(_xlfn.IFS(H815="Hard (Cash)","N/A",H815="Soft (In-Kind)", "Enter Source"),"Select Type")</f>
        <v>Select Type</v>
      </c>
      <c r="J815" s="124"/>
      <c r="K815" s="41" t="str">
        <f>IFERROR(VLOOKUP($J815,'Project Reference'!$S$2:$T$41,2),"Enter Project Number")</f>
        <v>Enter Project Number</v>
      </c>
      <c r="L815" s="41"/>
      <c r="M815" s="41"/>
      <c r="N815" s="15">
        <f t="shared" si="12"/>
        <v>0</v>
      </c>
      <c r="O815" s="19"/>
      <c r="P815" s="42" t="str">
        <f>IFERROR(VLOOKUP($J815,'Project Reference'!$B$2:$C$41,2)," ")</f>
        <v xml:space="preserve"> </v>
      </c>
      <c r="Q815" s="42" t="str">
        <f>IFERROR(VLOOKUP($J815,'Project Reference'!$B$2:$D$41,3)," ")</f>
        <v xml:space="preserve"> </v>
      </c>
      <c r="R815" s="42" t="str">
        <f>IFERROR(VLOOKUP($J815,'Project Reference'!$B$2:$E$41,4)," ")</f>
        <v xml:space="preserve"> </v>
      </c>
      <c r="S815" s="42" t="str">
        <f>IFERROR(VLOOKUP($J815,'Project Reference'!$B$2:$F$41,5,FALSE)," ")</f>
        <v xml:space="preserve"> </v>
      </c>
      <c r="T815" s="42" t="str">
        <f>IFERROR(VLOOKUP($J815,'Project Reference'!$B$2:$G$41,6,FALSE)," ")</f>
        <v xml:space="preserve"> </v>
      </c>
      <c r="U815" s="42" t="str">
        <f>IFERROR(VLOOKUP($J815,'Project Reference'!$B$2:$H$41,7,FALSE)," ")</f>
        <v xml:space="preserve"> </v>
      </c>
      <c r="V815" s="42" t="str">
        <f>IFERROR(VLOOKUP($J815,'Project Reference'!$B$2:$I$41,8,FALSE)," ")</f>
        <v xml:space="preserve"> </v>
      </c>
      <c r="W815" s="42" t="str">
        <f>IFERROR(VLOOKUP($J815,'Project Reference'!$B$2:$J$41,9,FALSE)," ")</f>
        <v xml:space="preserve"> </v>
      </c>
      <c r="X815" s="42" t="str">
        <f>IFERROR(VLOOKUP($J815,'Project Reference'!$B$2:$K$41,10)," ")</f>
        <v xml:space="preserve"> </v>
      </c>
      <c r="Y815" s="42" t="str">
        <f>IFERROR(VLOOKUP($J815,'Project Reference'!$B$2:$L$41,11)," ")</f>
        <v xml:space="preserve"> </v>
      </c>
      <c r="Z815" s="42" t="str">
        <f>IFERROR(VLOOKUP($J815,'Project Reference'!$B$2:$M$41,12)," ")</f>
        <v xml:space="preserve"> </v>
      </c>
      <c r="AA815" s="42" t="str">
        <f>IFERROR(VLOOKUP($J815,'Project Reference'!$B$2:$N$41,13)," ")</f>
        <v xml:space="preserve"> </v>
      </c>
    </row>
    <row r="816" spans="1:27" x14ac:dyDescent="0.45">
      <c r="A816" s="43"/>
      <c r="B816" s="205"/>
      <c r="C816"/>
      <c r="D816" s="72"/>
      <c r="E816" s="72"/>
      <c r="F816" s="72"/>
      <c r="G816" s="72"/>
      <c r="H816" s="17"/>
      <c r="I816" s="41" t="str" cm="1">
        <f t="array" ref="I816">IFERROR(_xlfn.IFS(H816="Hard (Cash)","N/A",H816="Soft (In-Kind)", "Enter Source"),"Select Type")</f>
        <v>Select Type</v>
      </c>
      <c r="J816" s="124"/>
      <c r="K816" s="41" t="str">
        <f>IFERROR(VLOOKUP($J816,'Project Reference'!$S$2:$T$41,2),"Enter Project Number")</f>
        <v>Enter Project Number</v>
      </c>
      <c r="L816" s="41"/>
      <c r="M816" s="41"/>
      <c r="N816" s="15">
        <f t="shared" si="12"/>
        <v>0</v>
      </c>
      <c r="O816" s="19"/>
      <c r="P816" s="42" t="str">
        <f>IFERROR(VLOOKUP($J816,'Project Reference'!$B$2:$C$41,2)," ")</f>
        <v xml:space="preserve"> </v>
      </c>
      <c r="Q816" s="42" t="str">
        <f>IFERROR(VLOOKUP($J816,'Project Reference'!$B$2:$D$41,3)," ")</f>
        <v xml:space="preserve"> </v>
      </c>
      <c r="R816" s="42" t="str">
        <f>IFERROR(VLOOKUP($J816,'Project Reference'!$B$2:$E$41,4)," ")</f>
        <v xml:space="preserve"> </v>
      </c>
      <c r="S816" s="42" t="str">
        <f>IFERROR(VLOOKUP($J816,'Project Reference'!$B$2:$F$41,5,FALSE)," ")</f>
        <v xml:space="preserve"> </v>
      </c>
      <c r="T816" s="42" t="str">
        <f>IFERROR(VLOOKUP($J816,'Project Reference'!$B$2:$G$41,6,FALSE)," ")</f>
        <v xml:space="preserve"> </v>
      </c>
      <c r="U816" s="42" t="str">
        <f>IFERROR(VLOOKUP($J816,'Project Reference'!$B$2:$H$41,7,FALSE)," ")</f>
        <v xml:space="preserve"> </v>
      </c>
      <c r="V816" s="42" t="str">
        <f>IFERROR(VLOOKUP($J816,'Project Reference'!$B$2:$I$41,8,FALSE)," ")</f>
        <v xml:space="preserve"> </v>
      </c>
      <c r="W816" s="42" t="str">
        <f>IFERROR(VLOOKUP($J816,'Project Reference'!$B$2:$J$41,9,FALSE)," ")</f>
        <v xml:space="preserve"> </v>
      </c>
      <c r="X816" s="42" t="str">
        <f>IFERROR(VLOOKUP($J816,'Project Reference'!$B$2:$K$41,10)," ")</f>
        <v xml:space="preserve"> </v>
      </c>
      <c r="Y816" s="42" t="str">
        <f>IFERROR(VLOOKUP($J816,'Project Reference'!$B$2:$L$41,11)," ")</f>
        <v xml:space="preserve"> </v>
      </c>
      <c r="Z816" s="42" t="str">
        <f>IFERROR(VLOOKUP($J816,'Project Reference'!$B$2:$M$41,12)," ")</f>
        <v xml:space="preserve"> </v>
      </c>
      <c r="AA816" s="42" t="str">
        <f>IFERROR(VLOOKUP($J816,'Project Reference'!$B$2:$N$41,13)," ")</f>
        <v xml:space="preserve"> </v>
      </c>
    </row>
    <row r="817" spans="1:27" x14ac:dyDescent="0.45">
      <c r="A817" s="43"/>
      <c r="B817" s="205"/>
      <c r="C817"/>
      <c r="D817" s="72"/>
      <c r="E817" s="72"/>
      <c r="F817" s="72"/>
      <c r="G817" s="72"/>
      <c r="H817" s="17"/>
      <c r="I817" s="41" t="str" cm="1">
        <f t="array" ref="I817">IFERROR(_xlfn.IFS(H817="Hard (Cash)","N/A",H817="Soft (In-Kind)", "Enter Source"),"Select Type")</f>
        <v>Select Type</v>
      </c>
      <c r="J817" s="124"/>
      <c r="K817" s="41" t="str">
        <f>IFERROR(VLOOKUP($J817,'Project Reference'!$S$2:$T$41,2),"Enter Project Number")</f>
        <v>Enter Project Number</v>
      </c>
      <c r="L817" s="41"/>
      <c r="M817" s="41"/>
      <c r="N817" s="15">
        <f t="shared" ref="N817:N880" si="13">SUM(D817:G817)</f>
        <v>0</v>
      </c>
      <c r="O817" s="19"/>
      <c r="P817" s="42" t="str">
        <f>IFERROR(VLOOKUP($J817,'Project Reference'!$B$2:$C$41,2)," ")</f>
        <v xml:space="preserve"> </v>
      </c>
      <c r="Q817" s="42" t="str">
        <f>IFERROR(VLOOKUP($J817,'Project Reference'!$B$2:$D$41,3)," ")</f>
        <v xml:space="preserve"> </v>
      </c>
      <c r="R817" s="42" t="str">
        <f>IFERROR(VLOOKUP($J817,'Project Reference'!$B$2:$E$41,4)," ")</f>
        <v xml:space="preserve"> </v>
      </c>
      <c r="S817" s="42" t="str">
        <f>IFERROR(VLOOKUP($J817,'Project Reference'!$B$2:$F$41,5,FALSE)," ")</f>
        <v xml:space="preserve"> </v>
      </c>
      <c r="T817" s="42" t="str">
        <f>IFERROR(VLOOKUP($J817,'Project Reference'!$B$2:$G$41,6,FALSE)," ")</f>
        <v xml:space="preserve"> </v>
      </c>
      <c r="U817" s="42" t="str">
        <f>IFERROR(VLOOKUP($J817,'Project Reference'!$B$2:$H$41,7,FALSE)," ")</f>
        <v xml:space="preserve"> </v>
      </c>
      <c r="V817" s="42" t="str">
        <f>IFERROR(VLOOKUP($J817,'Project Reference'!$B$2:$I$41,8,FALSE)," ")</f>
        <v xml:space="preserve"> </v>
      </c>
      <c r="W817" s="42" t="str">
        <f>IFERROR(VLOOKUP($J817,'Project Reference'!$B$2:$J$41,9,FALSE)," ")</f>
        <v xml:space="preserve"> </v>
      </c>
      <c r="X817" s="42" t="str">
        <f>IFERROR(VLOOKUP($J817,'Project Reference'!$B$2:$K$41,10)," ")</f>
        <v xml:space="preserve"> </v>
      </c>
      <c r="Y817" s="42" t="str">
        <f>IFERROR(VLOOKUP($J817,'Project Reference'!$B$2:$L$41,11)," ")</f>
        <v xml:space="preserve"> </v>
      </c>
      <c r="Z817" s="42" t="str">
        <f>IFERROR(VLOOKUP($J817,'Project Reference'!$B$2:$M$41,12)," ")</f>
        <v xml:space="preserve"> </v>
      </c>
      <c r="AA817" s="42" t="str">
        <f>IFERROR(VLOOKUP($J817,'Project Reference'!$B$2:$N$41,13)," ")</f>
        <v xml:space="preserve"> </v>
      </c>
    </row>
    <row r="818" spans="1:27" x14ac:dyDescent="0.45">
      <c r="A818" s="43"/>
      <c r="B818" s="205"/>
      <c r="C818"/>
      <c r="D818" s="72"/>
      <c r="E818" s="72"/>
      <c r="F818" s="72"/>
      <c r="G818" s="72"/>
      <c r="H818" s="17"/>
      <c r="I818" s="41" t="str" cm="1">
        <f t="array" ref="I818">IFERROR(_xlfn.IFS(H818="Hard (Cash)","N/A",H818="Soft (In-Kind)", "Enter Source"),"Select Type")</f>
        <v>Select Type</v>
      </c>
      <c r="J818" s="124"/>
      <c r="K818" s="41" t="str">
        <f>IFERROR(VLOOKUP($J818,'Project Reference'!$S$2:$T$41,2),"Enter Project Number")</f>
        <v>Enter Project Number</v>
      </c>
      <c r="L818" s="41"/>
      <c r="M818" s="41"/>
      <c r="N818" s="15">
        <f t="shared" si="13"/>
        <v>0</v>
      </c>
      <c r="O818" s="19"/>
      <c r="P818" s="42" t="str">
        <f>IFERROR(VLOOKUP($J818,'Project Reference'!$B$2:$C$41,2)," ")</f>
        <v xml:space="preserve"> </v>
      </c>
      <c r="Q818" s="42" t="str">
        <f>IFERROR(VLOOKUP($J818,'Project Reference'!$B$2:$D$41,3)," ")</f>
        <v xml:space="preserve"> </v>
      </c>
      <c r="R818" s="42" t="str">
        <f>IFERROR(VLOOKUP($J818,'Project Reference'!$B$2:$E$41,4)," ")</f>
        <v xml:space="preserve"> </v>
      </c>
      <c r="S818" s="42" t="str">
        <f>IFERROR(VLOOKUP($J818,'Project Reference'!$B$2:$F$41,5,FALSE)," ")</f>
        <v xml:space="preserve"> </v>
      </c>
      <c r="T818" s="42" t="str">
        <f>IFERROR(VLOOKUP($J818,'Project Reference'!$B$2:$G$41,6,FALSE)," ")</f>
        <v xml:space="preserve"> </v>
      </c>
      <c r="U818" s="42" t="str">
        <f>IFERROR(VLOOKUP($J818,'Project Reference'!$B$2:$H$41,7,FALSE)," ")</f>
        <v xml:space="preserve"> </v>
      </c>
      <c r="V818" s="42" t="str">
        <f>IFERROR(VLOOKUP($J818,'Project Reference'!$B$2:$I$41,8,FALSE)," ")</f>
        <v xml:space="preserve"> </v>
      </c>
      <c r="W818" s="42" t="str">
        <f>IFERROR(VLOOKUP($J818,'Project Reference'!$B$2:$J$41,9,FALSE)," ")</f>
        <v xml:space="preserve"> </v>
      </c>
      <c r="X818" s="42" t="str">
        <f>IFERROR(VLOOKUP($J818,'Project Reference'!$B$2:$K$41,10)," ")</f>
        <v xml:space="preserve"> </v>
      </c>
      <c r="Y818" s="42" t="str">
        <f>IFERROR(VLOOKUP($J818,'Project Reference'!$B$2:$L$41,11)," ")</f>
        <v xml:space="preserve"> </v>
      </c>
      <c r="Z818" s="42" t="str">
        <f>IFERROR(VLOOKUP($J818,'Project Reference'!$B$2:$M$41,12)," ")</f>
        <v xml:space="preserve"> </v>
      </c>
      <c r="AA818" s="42" t="str">
        <f>IFERROR(VLOOKUP($J818,'Project Reference'!$B$2:$N$41,13)," ")</f>
        <v xml:space="preserve"> </v>
      </c>
    </row>
    <row r="819" spans="1:27" x14ac:dyDescent="0.45">
      <c r="A819" s="43"/>
      <c r="B819" s="205"/>
      <c r="C819"/>
      <c r="D819" s="72"/>
      <c r="E819" s="72"/>
      <c r="F819" s="72"/>
      <c r="G819" s="72"/>
      <c r="H819" s="17"/>
      <c r="I819" s="41" t="str" cm="1">
        <f t="array" ref="I819">IFERROR(_xlfn.IFS(H819="Hard (Cash)","N/A",H819="Soft (In-Kind)", "Enter Source"),"Select Type")</f>
        <v>Select Type</v>
      </c>
      <c r="J819" s="124"/>
      <c r="K819" s="41" t="str">
        <f>IFERROR(VLOOKUP($J819,'Project Reference'!$S$2:$T$41,2),"Enter Project Number")</f>
        <v>Enter Project Number</v>
      </c>
      <c r="L819" s="41"/>
      <c r="M819" s="41"/>
      <c r="N819" s="15">
        <f t="shared" si="13"/>
        <v>0</v>
      </c>
      <c r="O819" s="19"/>
      <c r="P819" s="42" t="str">
        <f>IFERROR(VLOOKUP($J819,'Project Reference'!$B$2:$C$41,2)," ")</f>
        <v xml:space="preserve"> </v>
      </c>
      <c r="Q819" s="42" t="str">
        <f>IFERROR(VLOOKUP($J819,'Project Reference'!$B$2:$D$41,3)," ")</f>
        <v xml:space="preserve"> </v>
      </c>
      <c r="R819" s="42" t="str">
        <f>IFERROR(VLOOKUP($J819,'Project Reference'!$B$2:$E$41,4)," ")</f>
        <v xml:space="preserve"> </v>
      </c>
      <c r="S819" s="42" t="str">
        <f>IFERROR(VLOOKUP($J819,'Project Reference'!$B$2:$F$41,5,FALSE)," ")</f>
        <v xml:space="preserve"> </v>
      </c>
      <c r="T819" s="42" t="str">
        <f>IFERROR(VLOOKUP($J819,'Project Reference'!$B$2:$G$41,6,FALSE)," ")</f>
        <v xml:space="preserve"> </v>
      </c>
      <c r="U819" s="42" t="str">
        <f>IFERROR(VLOOKUP($J819,'Project Reference'!$B$2:$H$41,7,FALSE)," ")</f>
        <v xml:space="preserve"> </v>
      </c>
      <c r="V819" s="42" t="str">
        <f>IFERROR(VLOOKUP($J819,'Project Reference'!$B$2:$I$41,8,FALSE)," ")</f>
        <v xml:space="preserve"> </v>
      </c>
      <c r="W819" s="42" t="str">
        <f>IFERROR(VLOOKUP($J819,'Project Reference'!$B$2:$J$41,9,FALSE)," ")</f>
        <v xml:space="preserve"> </v>
      </c>
      <c r="X819" s="42" t="str">
        <f>IFERROR(VLOOKUP($J819,'Project Reference'!$B$2:$K$41,10)," ")</f>
        <v xml:space="preserve"> </v>
      </c>
      <c r="Y819" s="42" t="str">
        <f>IFERROR(VLOOKUP($J819,'Project Reference'!$B$2:$L$41,11)," ")</f>
        <v xml:space="preserve"> </v>
      </c>
      <c r="Z819" s="42" t="str">
        <f>IFERROR(VLOOKUP($J819,'Project Reference'!$B$2:$M$41,12)," ")</f>
        <v xml:space="preserve"> </v>
      </c>
      <c r="AA819" s="42" t="str">
        <f>IFERROR(VLOOKUP($J819,'Project Reference'!$B$2:$N$41,13)," ")</f>
        <v xml:space="preserve"> </v>
      </c>
    </row>
    <row r="820" spans="1:27" x14ac:dyDescent="0.45">
      <c r="A820" s="43"/>
      <c r="B820" s="205"/>
      <c r="C820"/>
      <c r="D820" s="72"/>
      <c r="E820" s="72"/>
      <c r="F820" s="72"/>
      <c r="G820" s="72"/>
      <c r="H820" s="17"/>
      <c r="I820" s="41" t="str" cm="1">
        <f t="array" ref="I820">IFERROR(_xlfn.IFS(H820="Hard (Cash)","N/A",H820="Soft (In-Kind)", "Enter Source"),"Select Type")</f>
        <v>Select Type</v>
      </c>
      <c r="J820" s="124"/>
      <c r="K820" s="41" t="str">
        <f>IFERROR(VLOOKUP($J820,'Project Reference'!$S$2:$T$41,2),"Enter Project Number")</f>
        <v>Enter Project Number</v>
      </c>
      <c r="L820" s="41"/>
      <c r="M820" s="41"/>
      <c r="N820" s="15">
        <f t="shared" si="13"/>
        <v>0</v>
      </c>
      <c r="O820" s="19"/>
      <c r="P820" s="42" t="str">
        <f>IFERROR(VLOOKUP($J820,'Project Reference'!$B$2:$C$41,2)," ")</f>
        <v xml:space="preserve"> </v>
      </c>
      <c r="Q820" s="42" t="str">
        <f>IFERROR(VLOOKUP($J820,'Project Reference'!$B$2:$D$41,3)," ")</f>
        <v xml:space="preserve"> </v>
      </c>
      <c r="R820" s="42" t="str">
        <f>IFERROR(VLOOKUP($J820,'Project Reference'!$B$2:$E$41,4)," ")</f>
        <v xml:space="preserve"> </v>
      </c>
      <c r="S820" s="42" t="str">
        <f>IFERROR(VLOOKUP($J820,'Project Reference'!$B$2:$F$41,5,FALSE)," ")</f>
        <v xml:space="preserve"> </v>
      </c>
      <c r="T820" s="42" t="str">
        <f>IFERROR(VLOOKUP($J820,'Project Reference'!$B$2:$G$41,6,FALSE)," ")</f>
        <v xml:space="preserve"> </v>
      </c>
      <c r="U820" s="42" t="str">
        <f>IFERROR(VLOOKUP($J820,'Project Reference'!$B$2:$H$41,7,FALSE)," ")</f>
        <v xml:space="preserve"> </v>
      </c>
      <c r="V820" s="42" t="str">
        <f>IFERROR(VLOOKUP($J820,'Project Reference'!$B$2:$I$41,8,FALSE)," ")</f>
        <v xml:space="preserve"> </v>
      </c>
      <c r="W820" s="42" t="str">
        <f>IFERROR(VLOOKUP($J820,'Project Reference'!$B$2:$J$41,9,FALSE)," ")</f>
        <v xml:space="preserve"> </v>
      </c>
      <c r="X820" s="42" t="str">
        <f>IFERROR(VLOOKUP($J820,'Project Reference'!$B$2:$K$41,10)," ")</f>
        <v xml:space="preserve"> </v>
      </c>
      <c r="Y820" s="42" t="str">
        <f>IFERROR(VLOOKUP($J820,'Project Reference'!$B$2:$L$41,11)," ")</f>
        <v xml:space="preserve"> </v>
      </c>
      <c r="Z820" s="42" t="str">
        <f>IFERROR(VLOOKUP($J820,'Project Reference'!$B$2:$M$41,12)," ")</f>
        <v xml:space="preserve"> </v>
      </c>
      <c r="AA820" s="42" t="str">
        <f>IFERROR(VLOOKUP($J820,'Project Reference'!$B$2:$N$41,13)," ")</f>
        <v xml:space="preserve"> </v>
      </c>
    </row>
    <row r="821" spans="1:27" x14ac:dyDescent="0.45">
      <c r="A821" s="43"/>
      <c r="B821" s="205"/>
      <c r="C821"/>
      <c r="D821" s="72"/>
      <c r="E821" s="72"/>
      <c r="F821" s="72"/>
      <c r="G821" s="72"/>
      <c r="H821" s="17"/>
      <c r="I821" s="41" t="str" cm="1">
        <f t="array" ref="I821">IFERROR(_xlfn.IFS(H821="Hard (Cash)","N/A",H821="Soft (In-Kind)", "Enter Source"),"Select Type")</f>
        <v>Select Type</v>
      </c>
      <c r="J821" s="124"/>
      <c r="K821" s="41" t="str">
        <f>IFERROR(VLOOKUP($J821,'Project Reference'!$S$2:$T$41,2),"Enter Project Number")</f>
        <v>Enter Project Number</v>
      </c>
      <c r="L821" s="41"/>
      <c r="M821" s="41"/>
      <c r="N821" s="15">
        <f t="shared" si="13"/>
        <v>0</v>
      </c>
      <c r="O821" s="19"/>
      <c r="P821" s="42" t="str">
        <f>IFERROR(VLOOKUP($J821,'Project Reference'!$B$2:$C$41,2)," ")</f>
        <v xml:space="preserve"> </v>
      </c>
      <c r="Q821" s="42" t="str">
        <f>IFERROR(VLOOKUP($J821,'Project Reference'!$B$2:$D$41,3)," ")</f>
        <v xml:space="preserve"> </v>
      </c>
      <c r="R821" s="42" t="str">
        <f>IFERROR(VLOOKUP($J821,'Project Reference'!$B$2:$E$41,4)," ")</f>
        <v xml:space="preserve"> </v>
      </c>
      <c r="S821" s="42" t="str">
        <f>IFERROR(VLOOKUP($J821,'Project Reference'!$B$2:$F$41,5,FALSE)," ")</f>
        <v xml:space="preserve"> </v>
      </c>
      <c r="T821" s="42" t="str">
        <f>IFERROR(VLOOKUP($J821,'Project Reference'!$B$2:$G$41,6,FALSE)," ")</f>
        <v xml:space="preserve"> </v>
      </c>
      <c r="U821" s="42" t="str">
        <f>IFERROR(VLOOKUP($J821,'Project Reference'!$B$2:$H$41,7,FALSE)," ")</f>
        <v xml:space="preserve"> </v>
      </c>
      <c r="V821" s="42" t="str">
        <f>IFERROR(VLOOKUP($J821,'Project Reference'!$B$2:$I$41,8,FALSE)," ")</f>
        <v xml:space="preserve"> </v>
      </c>
      <c r="W821" s="42" t="str">
        <f>IFERROR(VLOOKUP($J821,'Project Reference'!$B$2:$J$41,9,FALSE)," ")</f>
        <v xml:space="preserve"> </v>
      </c>
      <c r="X821" s="42" t="str">
        <f>IFERROR(VLOOKUP($J821,'Project Reference'!$B$2:$K$41,10)," ")</f>
        <v xml:space="preserve"> </v>
      </c>
      <c r="Y821" s="42" t="str">
        <f>IFERROR(VLOOKUP($J821,'Project Reference'!$B$2:$L$41,11)," ")</f>
        <v xml:space="preserve"> </v>
      </c>
      <c r="Z821" s="42" t="str">
        <f>IFERROR(VLOOKUP($J821,'Project Reference'!$B$2:$M$41,12)," ")</f>
        <v xml:space="preserve"> </v>
      </c>
      <c r="AA821" s="42" t="str">
        <f>IFERROR(VLOOKUP($J821,'Project Reference'!$B$2:$N$41,13)," ")</f>
        <v xml:space="preserve"> </v>
      </c>
    </row>
    <row r="822" spans="1:27" x14ac:dyDescent="0.45">
      <c r="A822" s="43"/>
      <c r="B822" s="205"/>
      <c r="C822"/>
      <c r="D822" s="72"/>
      <c r="E822" s="72"/>
      <c r="F822" s="72"/>
      <c r="G822" s="72"/>
      <c r="H822" s="17"/>
      <c r="I822" s="41" t="str" cm="1">
        <f t="array" ref="I822">IFERROR(_xlfn.IFS(H822="Hard (Cash)","N/A",H822="Soft (In-Kind)", "Enter Source"),"Select Type")</f>
        <v>Select Type</v>
      </c>
      <c r="J822" s="124"/>
      <c r="K822" s="41" t="str">
        <f>IFERROR(VLOOKUP($J822,'Project Reference'!$S$2:$T$41,2),"Enter Project Number")</f>
        <v>Enter Project Number</v>
      </c>
      <c r="L822" s="41"/>
      <c r="M822" s="41"/>
      <c r="N822" s="15">
        <f t="shared" si="13"/>
        <v>0</v>
      </c>
      <c r="O822" s="19"/>
      <c r="P822" s="42" t="str">
        <f>IFERROR(VLOOKUP($J822,'Project Reference'!$B$2:$C$41,2)," ")</f>
        <v xml:space="preserve"> </v>
      </c>
      <c r="Q822" s="42" t="str">
        <f>IFERROR(VLOOKUP($J822,'Project Reference'!$B$2:$D$41,3)," ")</f>
        <v xml:space="preserve"> </v>
      </c>
      <c r="R822" s="42" t="str">
        <f>IFERROR(VLOOKUP($J822,'Project Reference'!$B$2:$E$41,4)," ")</f>
        <v xml:space="preserve"> </v>
      </c>
      <c r="S822" s="42" t="str">
        <f>IFERROR(VLOOKUP($J822,'Project Reference'!$B$2:$F$41,5,FALSE)," ")</f>
        <v xml:space="preserve"> </v>
      </c>
      <c r="T822" s="42" t="str">
        <f>IFERROR(VLOOKUP($J822,'Project Reference'!$B$2:$G$41,6,FALSE)," ")</f>
        <v xml:space="preserve"> </v>
      </c>
      <c r="U822" s="42" t="str">
        <f>IFERROR(VLOOKUP($J822,'Project Reference'!$B$2:$H$41,7,FALSE)," ")</f>
        <v xml:space="preserve"> </v>
      </c>
      <c r="V822" s="42" t="str">
        <f>IFERROR(VLOOKUP($J822,'Project Reference'!$B$2:$I$41,8,FALSE)," ")</f>
        <v xml:space="preserve"> </v>
      </c>
      <c r="W822" s="42" t="str">
        <f>IFERROR(VLOOKUP($J822,'Project Reference'!$B$2:$J$41,9,FALSE)," ")</f>
        <v xml:space="preserve"> </v>
      </c>
      <c r="X822" s="42" t="str">
        <f>IFERROR(VLOOKUP($J822,'Project Reference'!$B$2:$K$41,10)," ")</f>
        <v xml:space="preserve"> </v>
      </c>
      <c r="Y822" s="42" t="str">
        <f>IFERROR(VLOOKUP($J822,'Project Reference'!$B$2:$L$41,11)," ")</f>
        <v xml:space="preserve"> </v>
      </c>
      <c r="Z822" s="42" t="str">
        <f>IFERROR(VLOOKUP($J822,'Project Reference'!$B$2:$M$41,12)," ")</f>
        <v xml:space="preserve"> </v>
      </c>
      <c r="AA822" s="42" t="str">
        <f>IFERROR(VLOOKUP($J822,'Project Reference'!$B$2:$N$41,13)," ")</f>
        <v xml:space="preserve"> </v>
      </c>
    </row>
    <row r="823" spans="1:27" x14ac:dyDescent="0.45">
      <c r="A823" s="43"/>
      <c r="B823" s="205"/>
      <c r="C823"/>
      <c r="D823" s="72"/>
      <c r="E823" s="72"/>
      <c r="F823" s="72"/>
      <c r="G823" s="72"/>
      <c r="H823" s="17"/>
      <c r="I823" s="41" t="str" cm="1">
        <f t="array" ref="I823">IFERROR(_xlfn.IFS(H823="Hard (Cash)","N/A",H823="Soft (In-Kind)", "Enter Source"),"Select Type")</f>
        <v>Select Type</v>
      </c>
      <c r="J823" s="124"/>
      <c r="K823" s="41" t="str">
        <f>IFERROR(VLOOKUP($J823,'Project Reference'!$S$2:$T$41,2),"Enter Project Number")</f>
        <v>Enter Project Number</v>
      </c>
      <c r="L823" s="41"/>
      <c r="M823" s="41"/>
      <c r="N823" s="15">
        <f t="shared" si="13"/>
        <v>0</v>
      </c>
      <c r="O823" s="19"/>
      <c r="P823" s="42" t="str">
        <f>IFERROR(VLOOKUP($J823,'Project Reference'!$B$2:$C$41,2)," ")</f>
        <v xml:space="preserve"> </v>
      </c>
      <c r="Q823" s="42" t="str">
        <f>IFERROR(VLOOKUP($J823,'Project Reference'!$B$2:$D$41,3)," ")</f>
        <v xml:space="preserve"> </v>
      </c>
      <c r="R823" s="42" t="str">
        <f>IFERROR(VLOOKUP($J823,'Project Reference'!$B$2:$E$41,4)," ")</f>
        <v xml:space="preserve"> </v>
      </c>
      <c r="S823" s="42" t="str">
        <f>IFERROR(VLOOKUP($J823,'Project Reference'!$B$2:$F$41,5,FALSE)," ")</f>
        <v xml:space="preserve"> </v>
      </c>
      <c r="T823" s="42" t="str">
        <f>IFERROR(VLOOKUP($J823,'Project Reference'!$B$2:$G$41,6,FALSE)," ")</f>
        <v xml:space="preserve"> </v>
      </c>
      <c r="U823" s="42" t="str">
        <f>IFERROR(VLOOKUP($J823,'Project Reference'!$B$2:$H$41,7,FALSE)," ")</f>
        <v xml:space="preserve"> </v>
      </c>
      <c r="V823" s="42" t="str">
        <f>IFERROR(VLOOKUP($J823,'Project Reference'!$B$2:$I$41,8,FALSE)," ")</f>
        <v xml:space="preserve"> </v>
      </c>
      <c r="W823" s="42" t="str">
        <f>IFERROR(VLOOKUP($J823,'Project Reference'!$B$2:$J$41,9,FALSE)," ")</f>
        <v xml:space="preserve"> </v>
      </c>
      <c r="X823" s="42" t="str">
        <f>IFERROR(VLOOKUP($J823,'Project Reference'!$B$2:$K$41,10)," ")</f>
        <v xml:space="preserve"> </v>
      </c>
      <c r="Y823" s="42" t="str">
        <f>IFERROR(VLOOKUP($J823,'Project Reference'!$B$2:$L$41,11)," ")</f>
        <v xml:space="preserve"> </v>
      </c>
      <c r="Z823" s="42" t="str">
        <f>IFERROR(VLOOKUP($J823,'Project Reference'!$B$2:$M$41,12)," ")</f>
        <v xml:space="preserve"> </v>
      </c>
      <c r="AA823" s="42" t="str">
        <f>IFERROR(VLOOKUP($J823,'Project Reference'!$B$2:$N$41,13)," ")</f>
        <v xml:space="preserve"> </v>
      </c>
    </row>
    <row r="824" spans="1:27" x14ac:dyDescent="0.45">
      <c r="A824" s="43"/>
      <c r="B824" s="205"/>
      <c r="C824"/>
      <c r="D824" s="72"/>
      <c r="E824" s="72"/>
      <c r="F824" s="72"/>
      <c r="G824" s="72"/>
      <c r="H824" s="17"/>
      <c r="I824" s="41" t="str" cm="1">
        <f t="array" ref="I824">IFERROR(_xlfn.IFS(H824="Hard (Cash)","N/A",H824="Soft (In-Kind)", "Enter Source"),"Select Type")</f>
        <v>Select Type</v>
      </c>
      <c r="J824" s="124"/>
      <c r="K824" s="41" t="str">
        <f>IFERROR(VLOOKUP($J824,'Project Reference'!$S$2:$T$41,2),"Enter Project Number")</f>
        <v>Enter Project Number</v>
      </c>
      <c r="L824" s="41"/>
      <c r="M824" s="41"/>
      <c r="N824" s="15">
        <f t="shared" si="13"/>
        <v>0</v>
      </c>
      <c r="O824" s="19"/>
      <c r="P824" s="42" t="str">
        <f>IFERROR(VLOOKUP($J824,'Project Reference'!$B$2:$C$41,2)," ")</f>
        <v xml:space="preserve"> </v>
      </c>
      <c r="Q824" s="42" t="str">
        <f>IFERROR(VLOOKUP($J824,'Project Reference'!$B$2:$D$41,3)," ")</f>
        <v xml:space="preserve"> </v>
      </c>
      <c r="R824" s="42" t="str">
        <f>IFERROR(VLOOKUP($J824,'Project Reference'!$B$2:$E$41,4)," ")</f>
        <v xml:space="preserve"> </v>
      </c>
      <c r="S824" s="42" t="str">
        <f>IFERROR(VLOOKUP($J824,'Project Reference'!$B$2:$F$41,5,FALSE)," ")</f>
        <v xml:space="preserve"> </v>
      </c>
      <c r="T824" s="42" t="str">
        <f>IFERROR(VLOOKUP($J824,'Project Reference'!$B$2:$G$41,6,FALSE)," ")</f>
        <v xml:space="preserve"> </v>
      </c>
      <c r="U824" s="42" t="str">
        <f>IFERROR(VLOOKUP($J824,'Project Reference'!$B$2:$H$41,7,FALSE)," ")</f>
        <v xml:space="preserve"> </v>
      </c>
      <c r="V824" s="42" t="str">
        <f>IFERROR(VLOOKUP($J824,'Project Reference'!$B$2:$I$41,8,FALSE)," ")</f>
        <v xml:space="preserve"> </v>
      </c>
      <c r="W824" s="42" t="str">
        <f>IFERROR(VLOOKUP($J824,'Project Reference'!$B$2:$J$41,9,FALSE)," ")</f>
        <v xml:space="preserve"> </v>
      </c>
      <c r="X824" s="42" t="str">
        <f>IFERROR(VLOOKUP($J824,'Project Reference'!$B$2:$K$41,10)," ")</f>
        <v xml:space="preserve"> </v>
      </c>
      <c r="Y824" s="42" t="str">
        <f>IFERROR(VLOOKUP($J824,'Project Reference'!$B$2:$L$41,11)," ")</f>
        <v xml:space="preserve"> </v>
      </c>
      <c r="Z824" s="42" t="str">
        <f>IFERROR(VLOOKUP($J824,'Project Reference'!$B$2:$M$41,12)," ")</f>
        <v xml:space="preserve"> </v>
      </c>
      <c r="AA824" s="42" t="str">
        <f>IFERROR(VLOOKUP($J824,'Project Reference'!$B$2:$N$41,13)," ")</f>
        <v xml:space="preserve"> </v>
      </c>
    </row>
    <row r="825" spans="1:27" x14ac:dyDescent="0.45">
      <c r="A825" s="43"/>
      <c r="B825" s="205"/>
      <c r="C825"/>
      <c r="D825" s="72"/>
      <c r="E825" s="72"/>
      <c r="F825" s="72"/>
      <c r="G825" s="72"/>
      <c r="H825" s="17"/>
      <c r="I825" s="41" t="str" cm="1">
        <f t="array" ref="I825">IFERROR(_xlfn.IFS(H825="Hard (Cash)","N/A",H825="Soft (In-Kind)", "Enter Source"),"Select Type")</f>
        <v>Select Type</v>
      </c>
      <c r="J825" s="124"/>
      <c r="K825" s="41" t="str">
        <f>IFERROR(VLOOKUP($J825,'Project Reference'!$S$2:$T$41,2),"Enter Project Number")</f>
        <v>Enter Project Number</v>
      </c>
      <c r="L825" s="41"/>
      <c r="M825" s="41"/>
      <c r="N825" s="15">
        <f t="shared" si="13"/>
        <v>0</v>
      </c>
      <c r="O825" s="19"/>
      <c r="P825" s="42" t="str">
        <f>IFERROR(VLOOKUP($J825,'Project Reference'!$B$2:$C$41,2)," ")</f>
        <v xml:space="preserve"> </v>
      </c>
      <c r="Q825" s="42" t="str">
        <f>IFERROR(VLOOKUP($J825,'Project Reference'!$B$2:$D$41,3)," ")</f>
        <v xml:space="preserve"> </v>
      </c>
      <c r="R825" s="42" t="str">
        <f>IFERROR(VLOOKUP($J825,'Project Reference'!$B$2:$E$41,4)," ")</f>
        <v xml:space="preserve"> </v>
      </c>
      <c r="S825" s="42" t="str">
        <f>IFERROR(VLOOKUP($J825,'Project Reference'!$B$2:$F$41,5,FALSE)," ")</f>
        <v xml:space="preserve"> </v>
      </c>
      <c r="T825" s="42" t="str">
        <f>IFERROR(VLOOKUP($J825,'Project Reference'!$B$2:$G$41,6,FALSE)," ")</f>
        <v xml:space="preserve"> </v>
      </c>
      <c r="U825" s="42" t="str">
        <f>IFERROR(VLOOKUP($J825,'Project Reference'!$B$2:$H$41,7,FALSE)," ")</f>
        <v xml:space="preserve"> </v>
      </c>
      <c r="V825" s="42" t="str">
        <f>IFERROR(VLOOKUP($J825,'Project Reference'!$B$2:$I$41,8,FALSE)," ")</f>
        <v xml:space="preserve"> </v>
      </c>
      <c r="W825" s="42" t="str">
        <f>IFERROR(VLOOKUP($J825,'Project Reference'!$B$2:$J$41,9,FALSE)," ")</f>
        <v xml:space="preserve"> </v>
      </c>
      <c r="X825" s="42" t="str">
        <f>IFERROR(VLOOKUP($J825,'Project Reference'!$B$2:$K$41,10)," ")</f>
        <v xml:space="preserve"> </v>
      </c>
      <c r="Y825" s="42" t="str">
        <f>IFERROR(VLOOKUP($J825,'Project Reference'!$B$2:$L$41,11)," ")</f>
        <v xml:space="preserve"> </v>
      </c>
      <c r="Z825" s="42" t="str">
        <f>IFERROR(VLOOKUP($J825,'Project Reference'!$B$2:$M$41,12)," ")</f>
        <v xml:space="preserve"> </v>
      </c>
      <c r="AA825" s="42" t="str">
        <f>IFERROR(VLOOKUP($J825,'Project Reference'!$B$2:$N$41,13)," ")</f>
        <v xml:space="preserve"> </v>
      </c>
    </row>
    <row r="826" spans="1:27" x14ac:dyDescent="0.45">
      <c r="A826" s="43"/>
      <c r="B826" s="205"/>
      <c r="C826"/>
      <c r="D826" s="72"/>
      <c r="E826" s="72"/>
      <c r="F826" s="72"/>
      <c r="G826" s="72"/>
      <c r="H826" s="17"/>
      <c r="I826" s="41" t="str" cm="1">
        <f t="array" ref="I826">IFERROR(_xlfn.IFS(H826="Hard (Cash)","N/A",H826="Soft (In-Kind)", "Enter Source"),"Select Type")</f>
        <v>Select Type</v>
      </c>
      <c r="J826" s="124"/>
      <c r="K826" s="41" t="str">
        <f>IFERROR(VLOOKUP($J826,'Project Reference'!$S$2:$T$41,2),"Enter Project Number")</f>
        <v>Enter Project Number</v>
      </c>
      <c r="L826" s="41"/>
      <c r="M826" s="41"/>
      <c r="N826" s="15">
        <f t="shared" si="13"/>
        <v>0</v>
      </c>
      <c r="O826" s="19"/>
      <c r="P826" s="42" t="str">
        <f>IFERROR(VLOOKUP($J826,'Project Reference'!$B$2:$C$41,2)," ")</f>
        <v xml:space="preserve"> </v>
      </c>
      <c r="Q826" s="42" t="str">
        <f>IFERROR(VLOOKUP($J826,'Project Reference'!$B$2:$D$41,3)," ")</f>
        <v xml:space="preserve"> </v>
      </c>
      <c r="R826" s="42" t="str">
        <f>IFERROR(VLOOKUP($J826,'Project Reference'!$B$2:$E$41,4)," ")</f>
        <v xml:space="preserve"> </v>
      </c>
      <c r="S826" s="42" t="str">
        <f>IFERROR(VLOOKUP($J826,'Project Reference'!$B$2:$F$41,5,FALSE)," ")</f>
        <v xml:space="preserve"> </v>
      </c>
      <c r="T826" s="42" t="str">
        <f>IFERROR(VLOOKUP($J826,'Project Reference'!$B$2:$G$41,6,FALSE)," ")</f>
        <v xml:space="preserve"> </v>
      </c>
      <c r="U826" s="42" t="str">
        <f>IFERROR(VLOOKUP($J826,'Project Reference'!$B$2:$H$41,7,FALSE)," ")</f>
        <v xml:space="preserve"> </v>
      </c>
      <c r="V826" s="42" t="str">
        <f>IFERROR(VLOOKUP($J826,'Project Reference'!$B$2:$I$41,8,FALSE)," ")</f>
        <v xml:space="preserve"> </v>
      </c>
      <c r="W826" s="42" t="str">
        <f>IFERROR(VLOOKUP($J826,'Project Reference'!$B$2:$J$41,9,FALSE)," ")</f>
        <v xml:space="preserve"> </v>
      </c>
      <c r="X826" s="42" t="str">
        <f>IFERROR(VLOOKUP($J826,'Project Reference'!$B$2:$K$41,10)," ")</f>
        <v xml:space="preserve"> </v>
      </c>
      <c r="Y826" s="42" t="str">
        <f>IFERROR(VLOOKUP($J826,'Project Reference'!$B$2:$L$41,11)," ")</f>
        <v xml:space="preserve"> </v>
      </c>
      <c r="Z826" s="42" t="str">
        <f>IFERROR(VLOOKUP($J826,'Project Reference'!$B$2:$M$41,12)," ")</f>
        <v xml:space="preserve"> </v>
      </c>
      <c r="AA826" s="42" t="str">
        <f>IFERROR(VLOOKUP($J826,'Project Reference'!$B$2:$N$41,13)," ")</f>
        <v xml:space="preserve"> </v>
      </c>
    </row>
    <row r="827" spans="1:27" x14ac:dyDescent="0.45">
      <c r="A827" s="43"/>
      <c r="B827" s="205"/>
      <c r="C827"/>
      <c r="D827" s="72"/>
      <c r="E827" s="72"/>
      <c r="F827" s="72"/>
      <c r="G827" s="72"/>
      <c r="H827" s="17"/>
      <c r="I827" s="41" t="str" cm="1">
        <f t="array" ref="I827">IFERROR(_xlfn.IFS(H827="Hard (Cash)","N/A",H827="Soft (In-Kind)", "Enter Source"),"Select Type")</f>
        <v>Select Type</v>
      </c>
      <c r="J827" s="124"/>
      <c r="K827" s="41" t="str">
        <f>IFERROR(VLOOKUP($J827,'Project Reference'!$S$2:$T$41,2),"Enter Project Number")</f>
        <v>Enter Project Number</v>
      </c>
      <c r="L827" s="41"/>
      <c r="M827" s="41"/>
      <c r="N827" s="15">
        <f t="shared" si="13"/>
        <v>0</v>
      </c>
      <c r="O827" s="19"/>
      <c r="P827" s="42" t="str">
        <f>IFERROR(VLOOKUP($J827,'Project Reference'!$B$2:$C$41,2)," ")</f>
        <v xml:space="preserve"> </v>
      </c>
      <c r="Q827" s="42" t="str">
        <f>IFERROR(VLOOKUP($J827,'Project Reference'!$B$2:$D$41,3)," ")</f>
        <v xml:space="preserve"> </v>
      </c>
      <c r="R827" s="42" t="str">
        <f>IFERROR(VLOOKUP($J827,'Project Reference'!$B$2:$E$41,4)," ")</f>
        <v xml:space="preserve"> </v>
      </c>
      <c r="S827" s="42" t="str">
        <f>IFERROR(VLOOKUP($J827,'Project Reference'!$B$2:$F$41,5,FALSE)," ")</f>
        <v xml:space="preserve"> </v>
      </c>
      <c r="T827" s="42" t="str">
        <f>IFERROR(VLOOKUP($J827,'Project Reference'!$B$2:$G$41,6,FALSE)," ")</f>
        <v xml:space="preserve"> </v>
      </c>
      <c r="U827" s="42" t="str">
        <f>IFERROR(VLOOKUP($J827,'Project Reference'!$B$2:$H$41,7,FALSE)," ")</f>
        <v xml:space="preserve"> </v>
      </c>
      <c r="V827" s="42" t="str">
        <f>IFERROR(VLOOKUP($J827,'Project Reference'!$B$2:$I$41,8,FALSE)," ")</f>
        <v xml:space="preserve"> </v>
      </c>
      <c r="W827" s="42" t="str">
        <f>IFERROR(VLOOKUP($J827,'Project Reference'!$B$2:$J$41,9,FALSE)," ")</f>
        <v xml:space="preserve"> </v>
      </c>
      <c r="X827" s="42" t="str">
        <f>IFERROR(VLOOKUP($J827,'Project Reference'!$B$2:$K$41,10)," ")</f>
        <v xml:space="preserve"> </v>
      </c>
      <c r="Y827" s="42" t="str">
        <f>IFERROR(VLOOKUP($J827,'Project Reference'!$B$2:$L$41,11)," ")</f>
        <v xml:space="preserve"> </v>
      </c>
      <c r="Z827" s="42" t="str">
        <f>IFERROR(VLOOKUP($J827,'Project Reference'!$B$2:$M$41,12)," ")</f>
        <v xml:space="preserve"> </v>
      </c>
      <c r="AA827" s="42" t="str">
        <f>IFERROR(VLOOKUP($J827,'Project Reference'!$B$2:$N$41,13)," ")</f>
        <v xml:space="preserve"> </v>
      </c>
    </row>
    <row r="828" spans="1:27" x14ac:dyDescent="0.45">
      <c r="A828" s="43"/>
      <c r="B828" s="205"/>
      <c r="C828"/>
      <c r="D828" s="72"/>
      <c r="E828" s="72"/>
      <c r="F828" s="72"/>
      <c r="G828" s="72"/>
      <c r="H828" s="17"/>
      <c r="I828" s="41" t="str" cm="1">
        <f t="array" ref="I828">IFERROR(_xlfn.IFS(H828="Hard (Cash)","N/A",H828="Soft (In-Kind)", "Enter Source"),"Select Type")</f>
        <v>Select Type</v>
      </c>
      <c r="J828" s="124"/>
      <c r="K828" s="41" t="str">
        <f>IFERROR(VLOOKUP($J828,'Project Reference'!$S$2:$T$41,2),"Enter Project Number")</f>
        <v>Enter Project Number</v>
      </c>
      <c r="L828" s="41"/>
      <c r="M828" s="41"/>
      <c r="N828" s="15">
        <f t="shared" si="13"/>
        <v>0</v>
      </c>
      <c r="O828" s="19"/>
      <c r="P828" s="42" t="str">
        <f>IFERROR(VLOOKUP($J828,'Project Reference'!$B$2:$C$41,2)," ")</f>
        <v xml:space="preserve"> </v>
      </c>
      <c r="Q828" s="42" t="str">
        <f>IFERROR(VLOOKUP($J828,'Project Reference'!$B$2:$D$41,3)," ")</f>
        <v xml:space="preserve"> </v>
      </c>
      <c r="R828" s="42" t="str">
        <f>IFERROR(VLOOKUP($J828,'Project Reference'!$B$2:$E$41,4)," ")</f>
        <v xml:space="preserve"> </v>
      </c>
      <c r="S828" s="42" t="str">
        <f>IFERROR(VLOOKUP($J828,'Project Reference'!$B$2:$F$41,5,FALSE)," ")</f>
        <v xml:space="preserve"> </v>
      </c>
      <c r="T828" s="42" t="str">
        <f>IFERROR(VLOOKUP($J828,'Project Reference'!$B$2:$G$41,6,FALSE)," ")</f>
        <v xml:space="preserve"> </v>
      </c>
      <c r="U828" s="42" t="str">
        <f>IFERROR(VLOOKUP($J828,'Project Reference'!$B$2:$H$41,7,FALSE)," ")</f>
        <v xml:space="preserve"> </v>
      </c>
      <c r="V828" s="42" t="str">
        <f>IFERROR(VLOOKUP($J828,'Project Reference'!$B$2:$I$41,8,FALSE)," ")</f>
        <v xml:space="preserve"> </v>
      </c>
      <c r="W828" s="42" t="str">
        <f>IFERROR(VLOOKUP($J828,'Project Reference'!$B$2:$J$41,9,FALSE)," ")</f>
        <v xml:space="preserve"> </v>
      </c>
      <c r="X828" s="42" t="str">
        <f>IFERROR(VLOOKUP($J828,'Project Reference'!$B$2:$K$41,10)," ")</f>
        <v xml:space="preserve"> </v>
      </c>
      <c r="Y828" s="42" t="str">
        <f>IFERROR(VLOOKUP($J828,'Project Reference'!$B$2:$L$41,11)," ")</f>
        <v xml:space="preserve"> </v>
      </c>
      <c r="Z828" s="42" t="str">
        <f>IFERROR(VLOOKUP($J828,'Project Reference'!$B$2:$M$41,12)," ")</f>
        <v xml:space="preserve"> </v>
      </c>
      <c r="AA828" s="42" t="str">
        <f>IFERROR(VLOOKUP($J828,'Project Reference'!$B$2:$N$41,13)," ")</f>
        <v xml:space="preserve"> </v>
      </c>
    </row>
    <row r="829" spans="1:27" x14ac:dyDescent="0.45">
      <c r="A829" s="43"/>
      <c r="B829" s="205"/>
      <c r="C829"/>
      <c r="D829" s="72"/>
      <c r="E829" s="72"/>
      <c r="F829" s="72"/>
      <c r="G829" s="72"/>
      <c r="H829" s="17"/>
      <c r="I829" s="41" t="str" cm="1">
        <f t="array" ref="I829">IFERROR(_xlfn.IFS(H829="Hard (Cash)","N/A",H829="Soft (In-Kind)", "Enter Source"),"Select Type")</f>
        <v>Select Type</v>
      </c>
      <c r="J829" s="124"/>
      <c r="K829" s="41" t="str">
        <f>IFERROR(VLOOKUP($J829,'Project Reference'!$S$2:$T$41,2),"Enter Project Number")</f>
        <v>Enter Project Number</v>
      </c>
      <c r="L829" s="41"/>
      <c r="M829" s="41"/>
      <c r="N829" s="15">
        <f t="shared" si="13"/>
        <v>0</v>
      </c>
      <c r="O829" s="19"/>
      <c r="P829" s="42" t="str">
        <f>IFERROR(VLOOKUP($J829,'Project Reference'!$B$2:$C$41,2)," ")</f>
        <v xml:space="preserve"> </v>
      </c>
      <c r="Q829" s="42" t="str">
        <f>IFERROR(VLOOKUP($J829,'Project Reference'!$B$2:$D$41,3)," ")</f>
        <v xml:space="preserve"> </v>
      </c>
      <c r="R829" s="42" t="str">
        <f>IFERROR(VLOOKUP($J829,'Project Reference'!$B$2:$E$41,4)," ")</f>
        <v xml:space="preserve"> </v>
      </c>
      <c r="S829" s="42" t="str">
        <f>IFERROR(VLOOKUP($J829,'Project Reference'!$B$2:$F$41,5,FALSE)," ")</f>
        <v xml:space="preserve"> </v>
      </c>
      <c r="T829" s="42" t="str">
        <f>IFERROR(VLOOKUP($J829,'Project Reference'!$B$2:$G$41,6,FALSE)," ")</f>
        <v xml:space="preserve"> </v>
      </c>
      <c r="U829" s="42" t="str">
        <f>IFERROR(VLOOKUP($J829,'Project Reference'!$B$2:$H$41,7,FALSE)," ")</f>
        <v xml:space="preserve"> </v>
      </c>
      <c r="V829" s="42" t="str">
        <f>IFERROR(VLOOKUP($J829,'Project Reference'!$B$2:$I$41,8,FALSE)," ")</f>
        <v xml:space="preserve"> </v>
      </c>
      <c r="W829" s="42" t="str">
        <f>IFERROR(VLOOKUP($J829,'Project Reference'!$B$2:$J$41,9,FALSE)," ")</f>
        <v xml:space="preserve"> </v>
      </c>
      <c r="X829" s="42" t="str">
        <f>IFERROR(VLOOKUP($J829,'Project Reference'!$B$2:$K$41,10)," ")</f>
        <v xml:space="preserve"> </v>
      </c>
      <c r="Y829" s="42" t="str">
        <f>IFERROR(VLOOKUP($J829,'Project Reference'!$B$2:$L$41,11)," ")</f>
        <v xml:space="preserve"> </v>
      </c>
      <c r="Z829" s="42" t="str">
        <f>IFERROR(VLOOKUP($J829,'Project Reference'!$B$2:$M$41,12)," ")</f>
        <v xml:space="preserve"> </v>
      </c>
      <c r="AA829" s="42" t="str">
        <f>IFERROR(VLOOKUP($J829,'Project Reference'!$B$2:$N$41,13)," ")</f>
        <v xml:space="preserve"> </v>
      </c>
    </row>
    <row r="830" spans="1:27" x14ac:dyDescent="0.45">
      <c r="A830" s="43"/>
      <c r="B830" s="205"/>
      <c r="C830"/>
      <c r="D830" s="72"/>
      <c r="E830" s="72"/>
      <c r="F830" s="72"/>
      <c r="G830" s="72"/>
      <c r="H830" s="17"/>
      <c r="I830" s="41" t="str" cm="1">
        <f t="array" ref="I830">IFERROR(_xlfn.IFS(H830="Hard (Cash)","N/A",H830="Soft (In-Kind)", "Enter Source"),"Select Type")</f>
        <v>Select Type</v>
      </c>
      <c r="J830" s="124"/>
      <c r="K830" s="41" t="str">
        <f>IFERROR(VLOOKUP($J830,'Project Reference'!$S$2:$T$41,2),"Enter Project Number")</f>
        <v>Enter Project Number</v>
      </c>
      <c r="L830" s="41"/>
      <c r="M830" s="41"/>
      <c r="N830" s="15">
        <f t="shared" si="13"/>
        <v>0</v>
      </c>
      <c r="O830" s="19"/>
      <c r="P830" s="42" t="str">
        <f>IFERROR(VLOOKUP($J830,'Project Reference'!$B$2:$C$41,2)," ")</f>
        <v xml:space="preserve"> </v>
      </c>
      <c r="Q830" s="42" t="str">
        <f>IFERROR(VLOOKUP($J830,'Project Reference'!$B$2:$D$41,3)," ")</f>
        <v xml:space="preserve"> </v>
      </c>
      <c r="R830" s="42" t="str">
        <f>IFERROR(VLOOKUP($J830,'Project Reference'!$B$2:$E$41,4)," ")</f>
        <v xml:space="preserve"> </v>
      </c>
      <c r="S830" s="42" t="str">
        <f>IFERROR(VLOOKUP($J830,'Project Reference'!$B$2:$F$41,5,FALSE)," ")</f>
        <v xml:space="preserve"> </v>
      </c>
      <c r="T830" s="42" t="str">
        <f>IFERROR(VLOOKUP($J830,'Project Reference'!$B$2:$G$41,6,FALSE)," ")</f>
        <v xml:space="preserve"> </v>
      </c>
      <c r="U830" s="42" t="str">
        <f>IFERROR(VLOOKUP($J830,'Project Reference'!$B$2:$H$41,7,FALSE)," ")</f>
        <v xml:space="preserve"> </v>
      </c>
      <c r="V830" s="42" t="str">
        <f>IFERROR(VLOOKUP($J830,'Project Reference'!$B$2:$I$41,8,FALSE)," ")</f>
        <v xml:space="preserve"> </v>
      </c>
      <c r="W830" s="42" t="str">
        <f>IFERROR(VLOOKUP($J830,'Project Reference'!$B$2:$J$41,9,FALSE)," ")</f>
        <v xml:space="preserve"> </v>
      </c>
      <c r="X830" s="42" t="str">
        <f>IFERROR(VLOOKUP($J830,'Project Reference'!$B$2:$K$41,10)," ")</f>
        <v xml:space="preserve"> </v>
      </c>
      <c r="Y830" s="42" t="str">
        <f>IFERROR(VLOOKUP($J830,'Project Reference'!$B$2:$L$41,11)," ")</f>
        <v xml:space="preserve"> </v>
      </c>
      <c r="Z830" s="42" t="str">
        <f>IFERROR(VLOOKUP($J830,'Project Reference'!$B$2:$M$41,12)," ")</f>
        <v xml:space="preserve"> </v>
      </c>
      <c r="AA830" s="42" t="str">
        <f>IFERROR(VLOOKUP($J830,'Project Reference'!$B$2:$N$41,13)," ")</f>
        <v xml:space="preserve"> </v>
      </c>
    </row>
    <row r="831" spans="1:27" x14ac:dyDescent="0.45">
      <c r="A831" s="43"/>
      <c r="B831" s="205"/>
      <c r="C831"/>
      <c r="D831" s="72"/>
      <c r="E831" s="72"/>
      <c r="F831" s="72"/>
      <c r="G831" s="72"/>
      <c r="H831" s="17"/>
      <c r="I831" s="41" t="str" cm="1">
        <f t="array" ref="I831">IFERROR(_xlfn.IFS(H831="Hard (Cash)","N/A",H831="Soft (In-Kind)", "Enter Source"),"Select Type")</f>
        <v>Select Type</v>
      </c>
      <c r="J831" s="124"/>
      <c r="K831" s="41" t="str">
        <f>IFERROR(VLOOKUP($J831,'Project Reference'!$S$2:$T$41,2),"Enter Project Number")</f>
        <v>Enter Project Number</v>
      </c>
      <c r="L831" s="41"/>
      <c r="M831" s="41"/>
      <c r="N831" s="15">
        <f t="shared" si="13"/>
        <v>0</v>
      </c>
      <c r="O831" s="19"/>
      <c r="P831" s="42" t="str">
        <f>IFERROR(VLOOKUP($J831,'Project Reference'!$B$2:$C$41,2)," ")</f>
        <v xml:space="preserve"> </v>
      </c>
      <c r="Q831" s="42" t="str">
        <f>IFERROR(VLOOKUP($J831,'Project Reference'!$B$2:$D$41,3)," ")</f>
        <v xml:space="preserve"> </v>
      </c>
      <c r="R831" s="42" t="str">
        <f>IFERROR(VLOOKUP($J831,'Project Reference'!$B$2:$E$41,4)," ")</f>
        <v xml:space="preserve"> </v>
      </c>
      <c r="S831" s="42" t="str">
        <f>IFERROR(VLOOKUP($J831,'Project Reference'!$B$2:$F$41,5,FALSE)," ")</f>
        <v xml:space="preserve"> </v>
      </c>
      <c r="T831" s="42" t="str">
        <f>IFERROR(VLOOKUP($J831,'Project Reference'!$B$2:$G$41,6,FALSE)," ")</f>
        <v xml:space="preserve"> </v>
      </c>
      <c r="U831" s="42" t="str">
        <f>IFERROR(VLOOKUP($J831,'Project Reference'!$B$2:$H$41,7,FALSE)," ")</f>
        <v xml:space="preserve"> </v>
      </c>
      <c r="V831" s="42" t="str">
        <f>IFERROR(VLOOKUP($J831,'Project Reference'!$B$2:$I$41,8,FALSE)," ")</f>
        <v xml:space="preserve"> </v>
      </c>
      <c r="W831" s="42" t="str">
        <f>IFERROR(VLOOKUP($J831,'Project Reference'!$B$2:$J$41,9,FALSE)," ")</f>
        <v xml:space="preserve"> </v>
      </c>
      <c r="X831" s="42" t="str">
        <f>IFERROR(VLOOKUP($J831,'Project Reference'!$B$2:$K$41,10)," ")</f>
        <v xml:space="preserve"> </v>
      </c>
      <c r="Y831" s="42" t="str">
        <f>IFERROR(VLOOKUP($J831,'Project Reference'!$B$2:$L$41,11)," ")</f>
        <v xml:space="preserve"> </v>
      </c>
      <c r="Z831" s="42" t="str">
        <f>IFERROR(VLOOKUP($J831,'Project Reference'!$B$2:$M$41,12)," ")</f>
        <v xml:space="preserve"> </v>
      </c>
      <c r="AA831" s="42" t="str">
        <f>IFERROR(VLOOKUP($J831,'Project Reference'!$B$2:$N$41,13)," ")</f>
        <v xml:space="preserve"> </v>
      </c>
    </row>
    <row r="832" spans="1:27" x14ac:dyDescent="0.45">
      <c r="A832" s="43"/>
      <c r="B832" s="205"/>
      <c r="C832"/>
      <c r="D832" s="72"/>
      <c r="E832" s="72"/>
      <c r="F832" s="72"/>
      <c r="G832" s="72"/>
      <c r="H832" s="17"/>
      <c r="I832" s="41" t="str" cm="1">
        <f t="array" ref="I832">IFERROR(_xlfn.IFS(H832="Hard (Cash)","N/A",H832="Soft (In-Kind)", "Enter Source"),"Select Type")</f>
        <v>Select Type</v>
      </c>
      <c r="J832" s="124"/>
      <c r="K832" s="41" t="str">
        <f>IFERROR(VLOOKUP($J832,'Project Reference'!$S$2:$T$41,2),"Enter Project Number")</f>
        <v>Enter Project Number</v>
      </c>
      <c r="L832" s="41"/>
      <c r="M832" s="41"/>
      <c r="N832" s="15">
        <f t="shared" si="13"/>
        <v>0</v>
      </c>
      <c r="O832" s="19"/>
      <c r="P832" s="42" t="str">
        <f>IFERROR(VLOOKUP($J832,'Project Reference'!$B$2:$C$41,2)," ")</f>
        <v xml:space="preserve"> </v>
      </c>
      <c r="Q832" s="42" t="str">
        <f>IFERROR(VLOOKUP($J832,'Project Reference'!$B$2:$D$41,3)," ")</f>
        <v xml:space="preserve"> </v>
      </c>
      <c r="R832" s="42" t="str">
        <f>IFERROR(VLOOKUP($J832,'Project Reference'!$B$2:$E$41,4)," ")</f>
        <v xml:space="preserve"> </v>
      </c>
      <c r="S832" s="42" t="str">
        <f>IFERROR(VLOOKUP($J832,'Project Reference'!$B$2:$F$41,5,FALSE)," ")</f>
        <v xml:space="preserve"> </v>
      </c>
      <c r="T832" s="42" t="str">
        <f>IFERROR(VLOOKUP($J832,'Project Reference'!$B$2:$G$41,6,FALSE)," ")</f>
        <v xml:space="preserve"> </v>
      </c>
      <c r="U832" s="42" t="str">
        <f>IFERROR(VLOOKUP($J832,'Project Reference'!$B$2:$H$41,7,FALSE)," ")</f>
        <v xml:space="preserve"> </v>
      </c>
      <c r="V832" s="42" t="str">
        <f>IFERROR(VLOOKUP($J832,'Project Reference'!$B$2:$I$41,8,FALSE)," ")</f>
        <v xml:space="preserve"> </v>
      </c>
      <c r="W832" s="42" t="str">
        <f>IFERROR(VLOOKUP($J832,'Project Reference'!$B$2:$J$41,9,FALSE)," ")</f>
        <v xml:space="preserve"> </v>
      </c>
      <c r="X832" s="42" t="str">
        <f>IFERROR(VLOOKUP($J832,'Project Reference'!$B$2:$K$41,10)," ")</f>
        <v xml:space="preserve"> </v>
      </c>
      <c r="Y832" s="42" t="str">
        <f>IFERROR(VLOOKUP($J832,'Project Reference'!$B$2:$L$41,11)," ")</f>
        <v xml:space="preserve"> </v>
      </c>
      <c r="Z832" s="42" t="str">
        <f>IFERROR(VLOOKUP($J832,'Project Reference'!$B$2:$M$41,12)," ")</f>
        <v xml:space="preserve"> </v>
      </c>
      <c r="AA832" s="42" t="str">
        <f>IFERROR(VLOOKUP($J832,'Project Reference'!$B$2:$N$41,13)," ")</f>
        <v xml:space="preserve"> </v>
      </c>
    </row>
    <row r="833" spans="1:27" x14ac:dyDescent="0.45">
      <c r="A833" s="43"/>
      <c r="B833" s="205"/>
      <c r="C833"/>
      <c r="D833" s="72"/>
      <c r="E833" s="72"/>
      <c r="F833" s="72"/>
      <c r="G833" s="72"/>
      <c r="H833" s="17"/>
      <c r="I833" s="41" t="str" cm="1">
        <f t="array" ref="I833">IFERROR(_xlfn.IFS(H833="Hard (Cash)","N/A",H833="Soft (In-Kind)", "Enter Source"),"Select Type")</f>
        <v>Select Type</v>
      </c>
      <c r="J833" s="124"/>
      <c r="K833" s="41" t="str">
        <f>IFERROR(VLOOKUP($J833,'Project Reference'!$S$2:$T$41,2),"Enter Project Number")</f>
        <v>Enter Project Number</v>
      </c>
      <c r="L833" s="41"/>
      <c r="M833" s="41"/>
      <c r="N833" s="15">
        <f t="shared" si="13"/>
        <v>0</v>
      </c>
      <c r="O833" s="19"/>
      <c r="P833" s="42" t="str">
        <f>IFERROR(VLOOKUP($J833,'Project Reference'!$B$2:$C$41,2)," ")</f>
        <v xml:space="preserve"> </v>
      </c>
      <c r="Q833" s="42" t="str">
        <f>IFERROR(VLOOKUP($J833,'Project Reference'!$B$2:$D$41,3)," ")</f>
        <v xml:space="preserve"> </v>
      </c>
      <c r="R833" s="42" t="str">
        <f>IFERROR(VLOOKUP($J833,'Project Reference'!$B$2:$E$41,4)," ")</f>
        <v xml:space="preserve"> </v>
      </c>
      <c r="S833" s="42" t="str">
        <f>IFERROR(VLOOKUP($J833,'Project Reference'!$B$2:$F$41,5,FALSE)," ")</f>
        <v xml:space="preserve"> </v>
      </c>
      <c r="T833" s="42" t="str">
        <f>IFERROR(VLOOKUP($J833,'Project Reference'!$B$2:$G$41,6,FALSE)," ")</f>
        <v xml:space="preserve"> </v>
      </c>
      <c r="U833" s="42" t="str">
        <f>IFERROR(VLOOKUP($J833,'Project Reference'!$B$2:$H$41,7,FALSE)," ")</f>
        <v xml:space="preserve"> </v>
      </c>
      <c r="V833" s="42" t="str">
        <f>IFERROR(VLOOKUP($J833,'Project Reference'!$B$2:$I$41,8,FALSE)," ")</f>
        <v xml:space="preserve"> </v>
      </c>
      <c r="W833" s="42" t="str">
        <f>IFERROR(VLOOKUP($J833,'Project Reference'!$B$2:$J$41,9,FALSE)," ")</f>
        <v xml:space="preserve"> </v>
      </c>
      <c r="X833" s="42" t="str">
        <f>IFERROR(VLOOKUP($J833,'Project Reference'!$B$2:$K$41,10)," ")</f>
        <v xml:space="preserve"> </v>
      </c>
      <c r="Y833" s="42" t="str">
        <f>IFERROR(VLOOKUP($J833,'Project Reference'!$B$2:$L$41,11)," ")</f>
        <v xml:space="preserve"> </v>
      </c>
      <c r="Z833" s="42" t="str">
        <f>IFERROR(VLOOKUP($J833,'Project Reference'!$B$2:$M$41,12)," ")</f>
        <v xml:space="preserve"> </v>
      </c>
      <c r="AA833" s="42" t="str">
        <f>IFERROR(VLOOKUP($J833,'Project Reference'!$B$2:$N$41,13)," ")</f>
        <v xml:space="preserve"> </v>
      </c>
    </row>
    <row r="834" spans="1:27" x14ac:dyDescent="0.45">
      <c r="A834" s="43"/>
      <c r="B834" s="205"/>
      <c r="C834"/>
      <c r="D834" s="72"/>
      <c r="E834" s="72"/>
      <c r="F834" s="72"/>
      <c r="G834" s="72"/>
      <c r="H834" s="17"/>
      <c r="I834" s="41" t="str" cm="1">
        <f t="array" ref="I834">IFERROR(_xlfn.IFS(H834="Hard (Cash)","N/A",H834="Soft (In-Kind)", "Enter Source"),"Select Type")</f>
        <v>Select Type</v>
      </c>
      <c r="J834" s="124"/>
      <c r="K834" s="41" t="str">
        <f>IFERROR(VLOOKUP($J834,'Project Reference'!$S$2:$T$41,2),"Enter Project Number")</f>
        <v>Enter Project Number</v>
      </c>
      <c r="L834" s="41"/>
      <c r="M834" s="41"/>
      <c r="N834" s="15">
        <f t="shared" si="13"/>
        <v>0</v>
      </c>
      <c r="O834" s="19"/>
      <c r="P834" s="42" t="str">
        <f>IFERROR(VLOOKUP($J834,'Project Reference'!$B$2:$C$41,2)," ")</f>
        <v xml:space="preserve"> </v>
      </c>
      <c r="Q834" s="42" t="str">
        <f>IFERROR(VLOOKUP($J834,'Project Reference'!$B$2:$D$41,3)," ")</f>
        <v xml:space="preserve"> </v>
      </c>
      <c r="R834" s="42" t="str">
        <f>IFERROR(VLOOKUP($J834,'Project Reference'!$B$2:$E$41,4)," ")</f>
        <v xml:space="preserve"> </v>
      </c>
      <c r="S834" s="42" t="str">
        <f>IFERROR(VLOOKUP($J834,'Project Reference'!$B$2:$F$41,5,FALSE)," ")</f>
        <v xml:space="preserve"> </v>
      </c>
      <c r="T834" s="42" t="str">
        <f>IFERROR(VLOOKUP($J834,'Project Reference'!$B$2:$G$41,6,FALSE)," ")</f>
        <v xml:space="preserve"> </v>
      </c>
      <c r="U834" s="42" t="str">
        <f>IFERROR(VLOOKUP($J834,'Project Reference'!$B$2:$H$41,7,FALSE)," ")</f>
        <v xml:space="preserve"> </v>
      </c>
      <c r="V834" s="42" t="str">
        <f>IFERROR(VLOOKUP($J834,'Project Reference'!$B$2:$I$41,8,FALSE)," ")</f>
        <v xml:space="preserve"> </v>
      </c>
      <c r="W834" s="42" t="str">
        <f>IFERROR(VLOOKUP($J834,'Project Reference'!$B$2:$J$41,9,FALSE)," ")</f>
        <v xml:space="preserve"> </v>
      </c>
      <c r="X834" s="42" t="str">
        <f>IFERROR(VLOOKUP($J834,'Project Reference'!$B$2:$K$41,10)," ")</f>
        <v xml:space="preserve"> </v>
      </c>
      <c r="Y834" s="42" t="str">
        <f>IFERROR(VLOOKUP($J834,'Project Reference'!$B$2:$L$41,11)," ")</f>
        <v xml:space="preserve"> </v>
      </c>
      <c r="Z834" s="42" t="str">
        <f>IFERROR(VLOOKUP($J834,'Project Reference'!$B$2:$M$41,12)," ")</f>
        <v xml:space="preserve"> </v>
      </c>
      <c r="AA834" s="42" t="str">
        <f>IFERROR(VLOOKUP($J834,'Project Reference'!$B$2:$N$41,13)," ")</f>
        <v xml:space="preserve"> </v>
      </c>
    </row>
    <row r="835" spans="1:27" x14ac:dyDescent="0.45">
      <c r="A835" s="43"/>
      <c r="B835" s="205"/>
      <c r="C835"/>
      <c r="D835" s="72"/>
      <c r="E835" s="72"/>
      <c r="F835" s="72"/>
      <c r="G835" s="72"/>
      <c r="H835" s="17"/>
      <c r="I835" s="41" t="str" cm="1">
        <f t="array" ref="I835">IFERROR(_xlfn.IFS(H835="Hard (Cash)","N/A",H835="Soft (In-Kind)", "Enter Source"),"Select Type")</f>
        <v>Select Type</v>
      </c>
      <c r="J835" s="124"/>
      <c r="K835" s="41" t="str">
        <f>IFERROR(VLOOKUP($J835,'Project Reference'!$S$2:$T$41,2),"Enter Project Number")</f>
        <v>Enter Project Number</v>
      </c>
      <c r="L835" s="41"/>
      <c r="M835" s="41"/>
      <c r="N835" s="15">
        <f t="shared" si="13"/>
        <v>0</v>
      </c>
      <c r="O835" s="19"/>
      <c r="P835" s="42" t="str">
        <f>IFERROR(VLOOKUP($J835,'Project Reference'!$B$2:$C$41,2)," ")</f>
        <v xml:space="preserve"> </v>
      </c>
      <c r="Q835" s="42" t="str">
        <f>IFERROR(VLOOKUP($J835,'Project Reference'!$B$2:$D$41,3)," ")</f>
        <v xml:space="preserve"> </v>
      </c>
      <c r="R835" s="42" t="str">
        <f>IFERROR(VLOOKUP($J835,'Project Reference'!$B$2:$E$41,4)," ")</f>
        <v xml:space="preserve"> </v>
      </c>
      <c r="S835" s="42" t="str">
        <f>IFERROR(VLOOKUP($J835,'Project Reference'!$B$2:$F$41,5,FALSE)," ")</f>
        <v xml:space="preserve"> </v>
      </c>
      <c r="T835" s="42" t="str">
        <f>IFERROR(VLOOKUP($J835,'Project Reference'!$B$2:$G$41,6,FALSE)," ")</f>
        <v xml:space="preserve"> </v>
      </c>
      <c r="U835" s="42" t="str">
        <f>IFERROR(VLOOKUP($J835,'Project Reference'!$B$2:$H$41,7,FALSE)," ")</f>
        <v xml:space="preserve"> </v>
      </c>
      <c r="V835" s="42" t="str">
        <f>IFERROR(VLOOKUP($J835,'Project Reference'!$B$2:$I$41,8,FALSE)," ")</f>
        <v xml:space="preserve"> </v>
      </c>
      <c r="W835" s="42" t="str">
        <f>IFERROR(VLOOKUP($J835,'Project Reference'!$B$2:$J$41,9,FALSE)," ")</f>
        <v xml:space="preserve"> </v>
      </c>
      <c r="X835" s="42" t="str">
        <f>IFERROR(VLOOKUP($J835,'Project Reference'!$B$2:$K$41,10)," ")</f>
        <v xml:space="preserve"> </v>
      </c>
      <c r="Y835" s="42" t="str">
        <f>IFERROR(VLOOKUP($J835,'Project Reference'!$B$2:$L$41,11)," ")</f>
        <v xml:space="preserve"> </v>
      </c>
      <c r="Z835" s="42" t="str">
        <f>IFERROR(VLOOKUP($J835,'Project Reference'!$B$2:$M$41,12)," ")</f>
        <v xml:space="preserve"> </v>
      </c>
      <c r="AA835" s="42" t="str">
        <f>IFERROR(VLOOKUP($J835,'Project Reference'!$B$2:$N$41,13)," ")</f>
        <v xml:space="preserve"> </v>
      </c>
    </row>
    <row r="836" spans="1:27" x14ac:dyDescent="0.45">
      <c r="A836" s="43"/>
      <c r="B836" s="205"/>
      <c r="C836"/>
      <c r="D836" s="72"/>
      <c r="E836" s="72"/>
      <c r="F836" s="72"/>
      <c r="G836" s="72"/>
      <c r="H836" s="17"/>
      <c r="I836" s="41" t="str" cm="1">
        <f t="array" ref="I836">IFERROR(_xlfn.IFS(H836="Hard (Cash)","N/A",H836="Soft (In-Kind)", "Enter Source"),"Select Type")</f>
        <v>Select Type</v>
      </c>
      <c r="J836" s="124"/>
      <c r="K836" s="41" t="str">
        <f>IFERROR(VLOOKUP($J836,'Project Reference'!$S$2:$T$41,2),"Enter Project Number")</f>
        <v>Enter Project Number</v>
      </c>
      <c r="L836" s="41"/>
      <c r="M836" s="41"/>
      <c r="N836" s="15">
        <f t="shared" si="13"/>
        <v>0</v>
      </c>
      <c r="O836" s="19"/>
      <c r="P836" s="42" t="str">
        <f>IFERROR(VLOOKUP($J836,'Project Reference'!$B$2:$C$41,2)," ")</f>
        <v xml:space="preserve"> </v>
      </c>
      <c r="Q836" s="42" t="str">
        <f>IFERROR(VLOOKUP($J836,'Project Reference'!$B$2:$D$41,3)," ")</f>
        <v xml:space="preserve"> </v>
      </c>
      <c r="R836" s="42" t="str">
        <f>IFERROR(VLOOKUP($J836,'Project Reference'!$B$2:$E$41,4)," ")</f>
        <v xml:space="preserve"> </v>
      </c>
      <c r="S836" s="42" t="str">
        <f>IFERROR(VLOOKUP($J836,'Project Reference'!$B$2:$F$41,5,FALSE)," ")</f>
        <v xml:space="preserve"> </v>
      </c>
      <c r="T836" s="42" t="str">
        <f>IFERROR(VLOOKUP($J836,'Project Reference'!$B$2:$G$41,6,FALSE)," ")</f>
        <v xml:space="preserve"> </v>
      </c>
      <c r="U836" s="42" t="str">
        <f>IFERROR(VLOOKUP($J836,'Project Reference'!$B$2:$H$41,7,FALSE)," ")</f>
        <v xml:space="preserve"> </v>
      </c>
      <c r="V836" s="42" t="str">
        <f>IFERROR(VLOOKUP($J836,'Project Reference'!$B$2:$I$41,8,FALSE)," ")</f>
        <v xml:space="preserve"> </v>
      </c>
      <c r="W836" s="42" t="str">
        <f>IFERROR(VLOOKUP($J836,'Project Reference'!$B$2:$J$41,9,FALSE)," ")</f>
        <v xml:space="preserve"> </v>
      </c>
      <c r="X836" s="42" t="str">
        <f>IFERROR(VLOOKUP($J836,'Project Reference'!$B$2:$K$41,10)," ")</f>
        <v xml:space="preserve"> </v>
      </c>
      <c r="Y836" s="42" t="str">
        <f>IFERROR(VLOOKUP($J836,'Project Reference'!$B$2:$L$41,11)," ")</f>
        <v xml:space="preserve"> </v>
      </c>
      <c r="Z836" s="42" t="str">
        <f>IFERROR(VLOOKUP($J836,'Project Reference'!$B$2:$M$41,12)," ")</f>
        <v xml:space="preserve"> </v>
      </c>
      <c r="AA836" s="42" t="str">
        <f>IFERROR(VLOOKUP($J836,'Project Reference'!$B$2:$N$41,13)," ")</f>
        <v xml:space="preserve"> </v>
      </c>
    </row>
    <row r="837" spans="1:27" x14ac:dyDescent="0.45">
      <c r="A837" s="43"/>
      <c r="B837" s="205"/>
      <c r="C837"/>
      <c r="D837" s="72"/>
      <c r="E837" s="72"/>
      <c r="F837" s="72"/>
      <c r="G837" s="72"/>
      <c r="H837" s="17"/>
      <c r="I837" s="41" t="str" cm="1">
        <f t="array" ref="I837">IFERROR(_xlfn.IFS(H837="Hard (Cash)","N/A",H837="Soft (In-Kind)", "Enter Source"),"Select Type")</f>
        <v>Select Type</v>
      </c>
      <c r="J837" s="124"/>
      <c r="K837" s="41" t="str">
        <f>IFERROR(VLOOKUP($J837,'Project Reference'!$S$2:$T$41,2),"Enter Project Number")</f>
        <v>Enter Project Number</v>
      </c>
      <c r="L837" s="41"/>
      <c r="M837" s="41"/>
      <c r="N837" s="15">
        <f t="shared" si="13"/>
        <v>0</v>
      </c>
      <c r="O837" s="19"/>
      <c r="P837" s="42" t="str">
        <f>IFERROR(VLOOKUP($J837,'Project Reference'!$B$2:$C$41,2)," ")</f>
        <v xml:space="preserve"> </v>
      </c>
      <c r="Q837" s="42" t="str">
        <f>IFERROR(VLOOKUP($J837,'Project Reference'!$B$2:$D$41,3)," ")</f>
        <v xml:space="preserve"> </v>
      </c>
      <c r="R837" s="42" t="str">
        <f>IFERROR(VLOOKUP($J837,'Project Reference'!$B$2:$E$41,4)," ")</f>
        <v xml:space="preserve"> </v>
      </c>
      <c r="S837" s="42" t="str">
        <f>IFERROR(VLOOKUP($J837,'Project Reference'!$B$2:$F$41,5,FALSE)," ")</f>
        <v xml:space="preserve"> </v>
      </c>
      <c r="T837" s="42" t="str">
        <f>IFERROR(VLOOKUP($J837,'Project Reference'!$B$2:$G$41,6,FALSE)," ")</f>
        <v xml:space="preserve"> </v>
      </c>
      <c r="U837" s="42" t="str">
        <f>IFERROR(VLOOKUP($J837,'Project Reference'!$B$2:$H$41,7,FALSE)," ")</f>
        <v xml:space="preserve"> </v>
      </c>
      <c r="V837" s="42" t="str">
        <f>IFERROR(VLOOKUP($J837,'Project Reference'!$B$2:$I$41,8,FALSE)," ")</f>
        <v xml:space="preserve"> </v>
      </c>
      <c r="W837" s="42" t="str">
        <f>IFERROR(VLOOKUP($J837,'Project Reference'!$B$2:$J$41,9,FALSE)," ")</f>
        <v xml:space="preserve"> </v>
      </c>
      <c r="X837" s="42" t="str">
        <f>IFERROR(VLOOKUP($J837,'Project Reference'!$B$2:$K$41,10)," ")</f>
        <v xml:space="preserve"> </v>
      </c>
      <c r="Y837" s="42" t="str">
        <f>IFERROR(VLOOKUP($J837,'Project Reference'!$B$2:$L$41,11)," ")</f>
        <v xml:space="preserve"> </v>
      </c>
      <c r="Z837" s="42" t="str">
        <f>IFERROR(VLOOKUP($J837,'Project Reference'!$B$2:$M$41,12)," ")</f>
        <v xml:space="preserve"> </v>
      </c>
      <c r="AA837" s="42" t="str">
        <f>IFERROR(VLOOKUP($J837,'Project Reference'!$B$2:$N$41,13)," ")</f>
        <v xml:space="preserve"> </v>
      </c>
    </row>
    <row r="838" spans="1:27" x14ac:dyDescent="0.45">
      <c r="A838" s="43"/>
      <c r="B838" s="205"/>
      <c r="C838"/>
      <c r="D838" s="72"/>
      <c r="E838" s="72"/>
      <c r="F838" s="72"/>
      <c r="G838" s="72"/>
      <c r="H838" s="17"/>
      <c r="I838" s="41" t="str" cm="1">
        <f t="array" ref="I838">IFERROR(_xlfn.IFS(H838="Hard (Cash)","N/A",H838="Soft (In-Kind)", "Enter Source"),"Select Type")</f>
        <v>Select Type</v>
      </c>
      <c r="J838" s="124"/>
      <c r="K838" s="41" t="str">
        <f>IFERROR(VLOOKUP($J838,'Project Reference'!$S$2:$T$41,2),"Enter Project Number")</f>
        <v>Enter Project Number</v>
      </c>
      <c r="L838" s="41"/>
      <c r="M838" s="41"/>
      <c r="N838" s="15">
        <f t="shared" si="13"/>
        <v>0</v>
      </c>
      <c r="O838" s="19"/>
      <c r="P838" s="42" t="str">
        <f>IFERROR(VLOOKUP($J838,'Project Reference'!$B$2:$C$41,2)," ")</f>
        <v xml:space="preserve"> </v>
      </c>
      <c r="Q838" s="42" t="str">
        <f>IFERROR(VLOOKUP($J838,'Project Reference'!$B$2:$D$41,3)," ")</f>
        <v xml:space="preserve"> </v>
      </c>
      <c r="R838" s="42" t="str">
        <f>IFERROR(VLOOKUP($J838,'Project Reference'!$B$2:$E$41,4)," ")</f>
        <v xml:space="preserve"> </v>
      </c>
      <c r="S838" s="42" t="str">
        <f>IFERROR(VLOOKUP($J838,'Project Reference'!$B$2:$F$41,5,FALSE)," ")</f>
        <v xml:space="preserve"> </v>
      </c>
      <c r="T838" s="42" t="str">
        <f>IFERROR(VLOOKUP($J838,'Project Reference'!$B$2:$G$41,6,FALSE)," ")</f>
        <v xml:space="preserve"> </v>
      </c>
      <c r="U838" s="42" t="str">
        <f>IFERROR(VLOOKUP($J838,'Project Reference'!$B$2:$H$41,7,FALSE)," ")</f>
        <v xml:space="preserve"> </v>
      </c>
      <c r="V838" s="42" t="str">
        <f>IFERROR(VLOOKUP($J838,'Project Reference'!$B$2:$I$41,8,FALSE)," ")</f>
        <v xml:space="preserve"> </v>
      </c>
      <c r="W838" s="42" t="str">
        <f>IFERROR(VLOOKUP($J838,'Project Reference'!$B$2:$J$41,9,FALSE)," ")</f>
        <v xml:space="preserve"> </v>
      </c>
      <c r="X838" s="42" t="str">
        <f>IFERROR(VLOOKUP($J838,'Project Reference'!$B$2:$K$41,10)," ")</f>
        <v xml:space="preserve"> </v>
      </c>
      <c r="Y838" s="42" t="str">
        <f>IFERROR(VLOOKUP($J838,'Project Reference'!$B$2:$L$41,11)," ")</f>
        <v xml:space="preserve"> </v>
      </c>
      <c r="Z838" s="42" t="str">
        <f>IFERROR(VLOOKUP($J838,'Project Reference'!$B$2:$M$41,12)," ")</f>
        <v xml:space="preserve"> </v>
      </c>
      <c r="AA838" s="42" t="str">
        <f>IFERROR(VLOOKUP($J838,'Project Reference'!$B$2:$N$41,13)," ")</f>
        <v xml:space="preserve"> </v>
      </c>
    </row>
    <row r="839" spans="1:27" x14ac:dyDescent="0.45">
      <c r="A839" s="43"/>
      <c r="B839" s="205"/>
      <c r="C839"/>
      <c r="D839" s="72"/>
      <c r="E839" s="72"/>
      <c r="F839" s="72"/>
      <c r="G839" s="72"/>
      <c r="H839" s="17"/>
      <c r="I839" s="41" t="str" cm="1">
        <f t="array" ref="I839">IFERROR(_xlfn.IFS(H839="Hard (Cash)","N/A",H839="Soft (In-Kind)", "Enter Source"),"Select Type")</f>
        <v>Select Type</v>
      </c>
      <c r="J839" s="124"/>
      <c r="K839" s="41" t="str">
        <f>IFERROR(VLOOKUP($J839,'Project Reference'!$S$2:$T$41,2),"Enter Project Number")</f>
        <v>Enter Project Number</v>
      </c>
      <c r="L839" s="41"/>
      <c r="M839" s="41"/>
      <c r="N839" s="15">
        <f t="shared" si="13"/>
        <v>0</v>
      </c>
      <c r="O839" s="19"/>
      <c r="P839" s="42" t="str">
        <f>IFERROR(VLOOKUP($J839,'Project Reference'!$B$2:$C$41,2)," ")</f>
        <v xml:space="preserve"> </v>
      </c>
      <c r="Q839" s="42" t="str">
        <f>IFERROR(VLOOKUP($J839,'Project Reference'!$B$2:$D$41,3)," ")</f>
        <v xml:space="preserve"> </v>
      </c>
      <c r="R839" s="42" t="str">
        <f>IFERROR(VLOOKUP($J839,'Project Reference'!$B$2:$E$41,4)," ")</f>
        <v xml:space="preserve"> </v>
      </c>
      <c r="S839" s="42" t="str">
        <f>IFERROR(VLOOKUP($J839,'Project Reference'!$B$2:$F$41,5,FALSE)," ")</f>
        <v xml:space="preserve"> </v>
      </c>
      <c r="T839" s="42" t="str">
        <f>IFERROR(VLOOKUP($J839,'Project Reference'!$B$2:$G$41,6,FALSE)," ")</f>
        <v xml:space="preserve"> </v>
      </c>
      <c r="U839" s="42" t="str">
        <f>IFERROR(VLOOKUP($J839,'Project Reference'!$B$2:$H$41,7,FALSE)," ")</f>
        <v xml:space="preserve"> </v>
      </c>
      <c r="V839" s="42" t="str">
        <f>IFERROR(VLOOKUP($J839,'Project Reference'!$B$2:$I$41,8,FALSE)," ")</f>
        <v xml:space="preserve"> </v>
      </c>
      <c r="W839" s="42" t="str">
        <f>IFERROR(VLOOKUP($J839,'Project Reference'!$B$2:$J$41,9,FALSE)," ")</f>
        <v xml:space="preserve"> </v>
      </c>
      <c r="X839" s="42" t="str">
        <f>IFERROR(VLOOKUP($J839,'Project Reference'!$B$2:$K$41,10)," ")</f>
        <v xml:space="preserve"> </v>
      </c>
      <c r="Y839" s="42" t="str">
        <f>IFERROR(VLOOKUP($J839,'Project Reference'!$B$2:$L$41,11)," ")</f>
        <v xml:space="preserve"> </v>
      </c>
      <c r="Z839" s="42" t="str">
        <f>IFERROR(VLOOKUP($J839,'Project Reference'!$B$2:$M$41,12)," ")</f>
        <v xml:space="preserve"> </v>
      </c>
      <c r="AA839" s="42" t="str">
        <f>IFERROR(VLOOKUP($J839,'Project Reference'!$B$2:$N$41,13)," ")</f>
        <v xml:space="preserve"> </v>
      </c>
    </row>
    <row r="840" spans="1:27" x14ac:dyDescent="0.45">
      <c r="A840" s="43"/>
      <c r="B840" s="205"/>
      <c r="C840"/>
      <c r="D840" s="72"/>
      <c r="E840" s="72"/>
      <c r="F840" s="72"/>
      <c r="G840" s="72"/>
      <c r="H840" s="17"/>
      <c r="I840" s="41" t="str" cm="1">
        <f t="array" ref="I840">IFERROR(_xlfn.IFS(H840="Hard (Cash)","N/A",H840="Soft (In-Kind)", "Enter Source"),"Select Type")</f>
        <v>Select Type</v>
      </c>
      <c r="J840" s="124"/>
      <c r="K840" s="41" t="str">
        <f>IFERROR(VLOOKUP($J840,'Project Reference'!$S$2:$T$41,2),"Enter Project Number")</f>
        <v>Enter Project Number</v>
      </c>
      <c r="L840" s="41"/>
      <c r="M840" s="41"/>
      <c r="N840" s="15">
        <f t="shared" si="13"/>
        <v>0</v>
      </c>
      <c r="O840" s="19"/>
      <c r="P840" s="42" t="str">
        <f>IFERROR(VLOOKUP($J840,'Project Reference'!$B$2:$C$41,2)," ")</f>
        <v xml:space="preserve"> </v>
      </c>
      <c r="Q840" s="42" t="str">
        <f>IFERROR(VLOOKUP($J840,'Project Reference'!$B$2:$D$41,3)," ")</f>
        <v xml:space="preserve"> </v>
      </c>
      <c r="R840" s="42" t="str">
        <f>IFERROR(VLOOKUP($J840,'Project Reference'!$B$2:$E$41,4)," ")</f>
        <v xml:space="preserve"> </v>
      </c>
      <c r="S840" s="42" t="str">
        <f>IFERROR(VLOOKUP($J840,'Project Reference'!$B$2:$F$41,5,FALSE)," ")</f>
        <v xml:space="preserve"> </v>
      </c>
      <c r="T840" s="42" t="str">
        <f>IFERROR(VLOOKUP($J840,'Project Reference'!$B$2:$G$41,6,FALSE)," ")</f>
        <v xml:space="preserve"> </v>
      </c>
      <c r="U840" s="42" t="str">
        <f>IFERROR(VLOOKUP($J840,'Project Reference'!$B$2:$H$41,7,FALSE)," ")</f>
        <v xml:space="preserve"> </v>
      </c>
      <c r="V840" s="42" t="str">
        <f>IFERROR(VLOOKUP($J840,'Project Reference'!$B$2:$I$41,8,FALSE)," ")</f>
        <v xml:space="preserve"> </v>
      </c>
      <c r="W840" s="42" t="str">
        <f>IFERROR(VLOOKUP($J840,'Project Reference'!$B$2:$J$41,9,FALSE)," ")</f>
        <v xml:space="preserve"> </v>
      </c>
      <c r="X840" s="42" t="str">
        <f>IFERROR(VLOOKUP($J840,'Project Reference'!$B$2:$K$41,10)," ")</f>
        <v xml:space="preserve"> </v>
      </c>
      <c r="Y840" s="42" t="str">
        <f>IFERROR(VLOOKUP($J840,'Project Reference'!$B$2:$L$41,11)," ")</f>
        <v xml:space="preserve"> </v>
      </c>
      <c r="Z840" s="42" t="str">
        <f>IFERROR(VLOOKUP($J840,'Project Reference'!$B$2:$M$41,12)," ")</f>
        <v xml:space="preserve"> </v>
      </c>
      <c r="AA840" s="42" t="str">
        <f>IFERROR(VLOOKUP($J840,'Project Reference'!$B$2:$N$41,13)," ")</f>
        <v xml:space="preserve"> </v>
      </c>
    </row>
    <row r="841" spans="1:27" x14ac:dyDescent="0.45">
      <c r="A841" s="43"/>
      <c r="B841" s="205"/>
      <c r="C841"/>
      <c r="D841" s="72"/>
      <c r="E841" s="72"/>
      <c r="F841" s="72"/>
      <c r="G841" s="72"/>
      <c r="H841" s="17"/>
      <c r="I841" s="41" t="str" cm="1">
        <f t="array" ref="I841">IFERROR(_xlfn.IFS(H841="Hard (Cash)","N/A",H841="Soft (In-Kind)", "Enter Source"),"Select Type")</f>
        <v>Select Type</v>
      </c>
      <c r="J841" s="124"/>
      <c r="K841" s="41" t="str">
        <f>IFERROR(VLOOKUP($J841,'Project Reference'!$S$2:$T$41,2),"Enter Project Number")</f>
        <v>Enter Project Number</v>
      </c>
      <c r="L841" s="41"/>
      <c r="M841" s="41"/>
      <c r="N841" s="15">
        <f t="shared" si="13"/>
        <v>0</v>
      </c>
      <c r="O841" s="19"/>
      <c r="P841" s="42" t="str">
        <f>IFERROR(VLOOKUP($J841,'Project Reference'!$B$2:$C$41,2)," ")</f>
        <v xml:space="preserve"> </v>
      </c>
      <c r="Q841" s="42" t="str">
        <f>IFERROR(VLOOKUP($J841,'Project Reference'!$B$2:$D$41,3)," ")</f>
        <v xml:space="preserve"> </v>
      </c>
      <c r="R841" s="42" t="str">
        <f>IFERROR(VLOOKUP($J841,'Project Reference'!$B$2:$E$41,4)," ")</f>
        <v xml:space="preserve"> </v>
      </c>
      <c r="S841" s="42" t="str">
        <f>IFERROR(VLOOKUP($J841,'Project Reference'!$B$2:$F$41,5,FALSE)," ")</f>
        <v xml:space="preserve"> </v>
      </c>
      <c r="T841" s="42" t="str">
        <f>IFERROR(VLOOKUP($J841,'Project Reference'!$B$2:$G$41,6,FALSE)," ")</f>
        <v xml:space="preserve"> </v>
      </c>
      <c r="U841" s="42" t="str">
        <f>IFERROR(VLOOKUP($J841,'Project Reference'!$B$2:$H$41,7,FALSE)," ")</f>
        <v xml:space="preserve"> </v>
      </c>
      <c r="V841" s="42" t="str">
        <f>IFERROR(VLOOKUP($J841,'Project Reference'!$B$2:$I$41,8,FALSE)," ")</f>
        <v xml:space="preserve"> </v>
      </c>
      <c r="W841" s="42" t="str">
        <f>IFERROR(VLOOKUP($J841,'Project Reference'!$B$2:$J$41,9,FALSE)," ")</f>
        <v xml:space="preserve"> </v>
      </c>
      <c r="X841" s="42" t="str">
        <f>IFERROR(VLOOKUP($J841,'Project Reference'!$B$2:$K$41,10)," ")</f>
        <v xml:space="preserve"> </v>
      </c>
      <c r="Y841" s="42" t="str">
        <f>IFERROR(VLOOKUP($J841,'Project Reference'!$B$2:$L$41,11)," ")</f>
        <v xml:space="preserve"> </v>
      </c>
      <c r="Z841" s="42" t="str">
        <f>IFERROR(VLOOKUP($J841,'Project Reference'!$B$2:$M$41,12)," ")</f>
        <v xml:space="preserve"> </v>
      </c>
      <c r="AA841" s="42" t="str">
        <f>IFERROR(VLOOKUP($J841,'Project Reference'!$B$2:$N$41,13)," ")</f>
        <v xml:space="preserve"> </v>
      </c>
    </row>
    <row r="842" spans="1:27" x14ac:dyDescent="0.45">
      <c r="A842" s="43"/>
      <c r="B842" s="205"/>
      <c r="C842"/>
      <c r="D842" s="72"/>
      <c r="E842" s="72"/>
      <c r="F842" s="72"/>
      <c r="G842" s="72"/>
      <c r="H842" s="17"/>
      <c r="I842" s="41" t="str" cm="1">
        <f t="array" ref="I842">IFERROR(_xlfn.IFS(H842="Hard (Cash)","N/A",H842="Soft (In-Kind)", "Enter Source"),"Select Type")</f>
        <v>Select Type</v>
      </c>
      <c r="J842" s="124"/>
      <c r="K842" s="41" t="str">
        <f>IFERROR(VLOOKUP($J842,'Project Reference'!$S$2:$T$41,2),"Enter Project Number")</f>
        <v>Enter Project Number</v>
      </c>
      <c r="L842" s="41"/>
      <c r="M842" s="41"/>
      <c r="N842" s="15">
        <f t="shared" si="13"/>
        <v>0</v>
      </c>
      <c r="O842" s="19"/>
      <c r="P842" s="42" t="str">
        <f>IFERROR(VLOOKUP($J842,'Project Reference'!$B$2:$C$41,2)," ")</f>
        <v xml:space="preserve"> </v>
      </c>
      <c r="Q842" s="42" t="str">
        <f>IFERROR(VLOOKUP($J842,'Project Reference'!$B$2:$D$41,3)," ")</f>
        <v xml:space="preserve"> </v>
      </c>
      <c r="R842" s="42" t="str">
        <f>IFERROR(VLOOKUP($J842,'Project Reference'!$B$2:$E$41,4)," ")</f>
        <v xml:space="preserve"> </v>
      </c>
      <c r="S842" s="42" t="str">
        <f>IFERROR(VLOOKUP($J842,'Project Reference'!$B$2:$F$41,5,FALSE)," ")</f>
        <v xml:space="preserve"> </v>
      </c>
      <c r="T842" s="42" t="str">
        <f>IFERROR(VLOOKUP($J842,'Project Reference'!$B$2:$G$41,6,FALSE)," ")</f>
        <v xml:space="preserve"> </v>
      </c>
      <c r="U842" s="42" t="str">
        <f>IFERROR(VLOOKUP($J842,'Project Reference'!$B$2:$H$41,7,FALSE)," ")</f>
        <v xml:space="preserve"> </v>
      </c>
      <c r="V842" s="42" t="str">
        <f>IFERROR(VLOOKUP($J842,'Project Reference'!$B$2:$I$41,8,FALSE)," ")</f>
        <v xml:space="preserve"> </v>
      </c>
      <c r="W842" s="42" t="str">
        <f>IFERROR(VLOOKUP($J842,'Project Reference'!$B$2:$J$41,9,FALSE)," ")</f>
        <v xml:space="preserve"> </v>
      </c>
      <c r="X842" s="42" t="str">
        <f>IFERROR(VLOOKUP($J842,'Project Reference'!$B$2:$K$41,10)," ")</f>
        <v xml:space="preserve"> </v>
      </c>
      <c r="Y842" s="42" t="str">
        <f>IFERROR(VLOOKUP($J842,'Project Reference'!$B$2:$L$41,11)," ")</f>
        <v xml:space="preserve"> </v>
      </c>
      <c r="Z842" s="42" t="str">
        <f>IFERROR(VLOOKUP($J842,'Project Reference'!$B$2:$M$41,12)," ")</f>
        <v xml:space="preserve"> </v>
      </c>
      <c r="AA842" s="42" t="str">
        <f>IFERROR(VLOOKUP($J842,'Project Reference'!$B$2:$N$41,13)," ")</f>
        <v xml:space="preserve"> </v>
      </c>
    </row>
    <row r="843" spans="1:27" x14ac:dyDescent="0.45">
      <c r="A843" s="43"/>
      <c r="B843" s="205"/>
      <c r="C843"/>
      <c r="D843" s="72"/>
      <c r="E843" s="72"/>
      <c r="F843" s="72"/>
      <c r="G843" s="72"/>
      <c r="H843" s="17"/>
      <c r="I843" s="41" t="str" cm="1">
        <f t="array" ref="I843">IFERROR(_xlfn.IFS(H843="Hard (Cash)","N/A",H843="Soft (In-Kind)", "Enter Source"),"Select Type")</f>
        <v>Select Type</v>
      </c>
      <c r="J843" s="124"/>
      <c r="K843" s="41" t="str">
        <f>IFERROR(VLOOKUP($J843,'Project Reference'!$S$2:$T$41,2),"Enter Project Number")</f>
        <v>Enter Project Number</v>
      </c>
      <c r="L843" s="41"/>
      <c r="M843" s="41"/>
      <c r="N843" s="15">
        <f t="shared" si="13"/>
        <v>0</v>
      </c>
      <c r="O843" s="19"/>
      <c r="P843" s="42" t="str">
        <f>IFERROR(VLOOKUP($J843,'Project Reference'!$B$2:$C$41,2)," ")</f>
        <v xml:space="preserve"> </v>
      </c>
      <c r="Q843" s="42" t="str">
        <f>IFERROR(VLOOKUP($J843,'Project Reference'!$B$2:$D$41,3)," ")</f>
        <v xml:space="preserve"> </v>
      </c>
      <c r="R843" s="42" t="str">
        <f>IFERROR(VLOOKUP($J843,'Project Reference'!$B$2:$E$41,4)," ")</f>
        <v xml:space="preserve"> </v>
      </c>
      <c r="S843" s="42" t="str">
        <f>IFERROR(VLOOKUP($J843,'Project Reference'!$B$2:$F$41,5,FALSE)," ")</f>
        <v xml:space="preserve"> </v>
      </c>
      <c r="T843" s="42" t="str">
        <f>IFERROR(VLOOKUP($J843,'Project Reference'!$B$2:$G$41,6,FALSE)," ")</f>
        <v xml:space="preserve"> </v>
      </c>
      <c r="U843" s="42" t="str">
        <f>IFERROR(VLOOKUP($J843,'Project Reference'!$B$2:$H$41,7,FALSE)," ")</f>
        <v xml:space="preserve"> </v>
      </c>
      <c r="V843" s="42" t="str">
        <f>IFERROR(VLOOKUP($J843,'Project Reference'!$B$2:$I$41,8,FALSE)," ")</f>
        <v xml:space="preserve"> </v>
      </c>
      <c r="W843" s="42" t="str">
        <f>IFERROR(VLOOKUP($J843,'Project Reference'!$B$2:$J$41,9,FALSE)," ")</f>
        <v xml:space="preserve"> </v>
      </c>
      <c r="X843" s="42" t="str">
        <f>IFERROR(VLOOKUP($J843,'Project Reference'!$B$2:$K$41,10)," ")</f>
        <v xml:space="preserve"> </v>
      </c>
      <c r="Y843" s="42" t="str">
        <f>IFERROR(VLOOKUP($J843,'Project Reference'!$B$2:$L$41,11)," ")</f>
        <v xml:space="preserve"> </v>
      </c>
      <c r="Z843" s="42" t="str">
        <f>IFERROR(VLOOKUP($J843,'Project Reference'!$B$2:$M$41,12)," ")</f>
        <v xml:space="preserve"> </v>
      </c>
      <c r="AA843" s="42" t="str">
        <f>IFERROR(VLOOKUP($J843,'Project Reference'!$B$2:$N$41,13)," ")</f>
        <v xml:space="preserve"> </v>
      </c>
    </row>
    <row r="844" spans="1:27" x14ac:dyDescent="0.45">
      <c r="A844" s="43"/>
      <c r="B844" s="205"/>
      <c r="C844"/>
      <c r="D844" s="72"/>
      <c r="E844" s="72"/>
      <c r="F844" s="72"/>
      <c r="G844" s="72"/>
      <c r="H844" s="17"/>
      <c r="I844" s="41" t="str" cm="1">
        <f t="array" ref="I844">IFERROR(_xlfn.IFS(H844="Hard (Cash)","N/A",H844="Soft (In-Kind)", "Enter Source"),"Select Type")</f>
        <v>Select Type</v>
      </c>
      <c r="J844" s="124"/>
      <c r="K844" s="41" t="str">
        <f>IFERROR(VLOOKUP($J844,'Project Reference'!$S$2:$T$41,2),"Enter Project Number")</f>
        <v>Enter Project Number</v>
      </c>
      <c r="L844" s="41"/>
      <c r="M844" s="41"/>
      <c r="N844" s="15">
        <f t="shared" si="13"/>
        <v>0</v>
      </c>
      <c r="O844" s="19"/>
      <c r="P844" s="42" t="str">
        <f>IFERROR(VLOOKUP($J844,'Project Reference'!$B$2:$C$41,2)," ")</f>
        <v xml:space="preserve"> </v>
      </c>
      <c r="Q844" s="42" t="str">
        <f>IFERROR(VLOOKUP($J844,'Project Reference'!$B$2:$D$41,3)," ")</f>
        <v xml:space="preserve"> </v>
      </c>
      <c r="R844" s="42" t="str">
        <f>IFERROR(VLOOKUP($J844,'Project Reference'!$B$2:$E$41,4)," ")</f>
        <v xml:space="preserve"> </v>
      </c>
      <c r="S844" s="42" t="str">
        <f>IFERROR(VLOOKUP($J844,'Project Reference'!$B$2:$F$41,5,FALSE)," ")</f>
        <v xml:space="preserve"> </v>
      </c>
      <c r="T844" s="42" t="str">
        <f>IFERROR(VLOOKUP($J844,'Project Reference'!$B$2:$G$41,6,FALSE)," ")</f>
        <v xml:space="preserve"> </v>
      </c>
      <c r="U844" s="42" t="str">
        <f>IFERROR(VLOOKUP($J844,'Project Reference'!$B$2:$H$41,7,FALSE)," ")</f>
        <v xml:space="preserve"> </v>
      </c>
      <c r="V844" s="42" t="str">
        <f>IFERROR(VLOOKUP($J844,'Project Reference'!$B$2:$I$41,8,FALSE)," ")</f>
        <v xml:space="preserve"> </v>
      </c>
      <c r="W844" s="42" t="str">
        <f>IFERROR(VLOOKUP($J844,'Project Reference'!$B$2:$J$41,9,FALSE)," ")</f>
        <v xml:space="preserve"> </v>
      </c>
      <c r="X844" s="42" t="str">
        <f>IFERROR(VLOOKUP($J844,'Project Reference'!$B$2:$K$41,10)," ")</f>
        <v xml:space="preserve"> </v>
      </c>
      <c r="Y844" s="42" t="str">
        <f>IFERROR(VLOOKUP($J844,'Project Reference'!$B$2:$L$41,11)," ")</f>
        <v xml:space="preserve"> </v>
      </c>
      <c r="Z844" s="42" t="str">
        <f>IFERROR(VLOOKUP($J844,'Project Reference'!$B$2:$M$41,12)," ")</f>
        <v xml:space="preserve"> </v>
      </c>
      <c r="AA844" s="42" t="str">
        <f>IFERROR(VLOOKUP($J844,'Project Reference'!$B$2:$N$41,13)," ")</f>
        <v xml:space="preserve"> </v>
      </c>
    </row>
    <row r="845" spans="1:27" x14ac:dyDescent="0.45">
      <c r="A845" s="43"/>
      <c r="B845" s="205"/>
      <c r="C845"/>
      <c r="D845" s="72"/>
      <c r="E845" s="72"/>
      <c r="F845" s="72"/>
      <c r="G845" s="72"/>
      <c r="H845" s="17"/>
      <c r="I845" s="41" t="str" cm="1">
        <f t="array" ref="I845">IFERROR(_xlfn.IFS(H845="Hard (Cash)","N/A",H845="Soft (In-Kind)", "Enter Source"),"Select Type")</f>
        <v>Select Type</v>
      </c>
      <c r="J845" s="124"/>
      <c r="K845" s="41" t="str">
        <f>IFERROR(VLOOKUP($J845,'Project Reference'!$S$2:$T$41,2),"Enter Project Number")</f>
        <v>Enter Project Number</v>
      </c>
      <c r="L845" s="41"/>
      <c r="M845" s="41"/>
      <c r="N845" s="15">
        <f t="shared" si="13"/>
        <v>0</v>
      </c>
      <c r="O845" s="19"/>
      <c r="P845" s="42" t="str">
        <f>IFERROR(VLOOKUP($J845,'Project Reference'!$B$2:$C$41,2)," ")</f>
        <v xml:space="preserve"> </v>
      </c>
      <c r="Q845" s="42" t="str">
        <f>IFERROR(VLOOKUP($J845,'Project Reference'!$B$2:$D$41,3)," ")</f>
        <v xml:space="preserve"> </v>
      </c>
      <c r="R845" s="42" t="str">
        <f>IFERROR(VLOOKUP($J845,'Project Reference'!$B$2:$E$41,4)," ")</f>
        <v xml:space="preserve"> </v>
      </c>
      <c r="S845" s="42" t="str">
        <f>IFERROR(VLOOKUP($J845,'Project Reference'!$B$2:$F$41,5,FALSE)," ")</f>
        <v xml:space="preserve"> </v>
      </c>
      <c r="T845" s="42" t="str">
        <f>IFERROR(VLOOKUP($J845,'Project Reference'!$B$2:$G$41,6,FALSE)," ")</f>
        <v xml:space="preserve"> </v>
      </c>
      <c r="U845" s="42" t="str">
        <f>IFERROR(VLOOKUP($J845,'Project Reference'!$B$2:$H$41,7,FALSE)," ")</f>
        <v xml:space="preserve"> </v>
      </c>
      <c r="V845" s="42" t="str">
        <f>IFERROR(VLOOKUP($J845,'Project Reference'!$B$2:$I$41,8,FALSE)," ")</f>
        <v xml:space="preserve"> </v>
      </c>
      <c r="W845" s="42" t="str">
        <f>IFERROR(VLOOKUP($J845,'Project Reference'!$B$2:$J$41,9,FALSE)," ")</f>
        <v xml:space="preserve"> </v>
      </c>
      <c r="X845" s="42" t="str">
        <f>IFERROR(VLOOKUP($J845,'Project Reference'!$B$2:$K$41,10)," ")</f>
        <v xml:space="preserve"> </v>
      </c>
      <c r="Y845" s="42" t="str">
        <f>IFERROR(VLOOKUP($J845,'Project Reference'!$B$2:$L$41,11)," ")</f>
        <v xml:space="preserve"> </v>
      </c>
      <c r="Z845" s="42" t="str">
        <f>IFERROR(VLOOKUP($J845,'Project Reference'!$B$2:$M$41,12)," ")</f>
        <v xml:space="preserve"> </v>
      </c>
      <c r="AA845" s="42" t="str">
        <f>IFERROR(VLOOKUP($J845,'Project Reference'!$B$2:$N$41,13)," ")</f>
        <v xml:space="preserve"> </v>
      </c>
    </row>
    <row r="846" spans="1:27" x14ac:dyDescent="0.45">
      <c r="A846" s="43"/>
      <c r="B846" s="205"/>
      <c r="C846"/>
      <c r="D846" s="72"/>
      <c r="E846" s="72"/>
      <c r="F846" s="72"/>
      <c r="G846" s="72"/>
      <c r="H846" s="17"/>
      <c r="I846" s="41" t="str" cm="1">
        <f t="array" ref="I846">IFERROR(_xlfn.IFS(H846="Hard (Cash)","N/A",H846="Soft (In-Kind)", "Enter Source"),"Select Type")</f>
        <v>Select Type</v>
      </c>
      <c r="J846" s="124"/>
      <c r="K846" s="41" t="str">
        <f>IFERROR(VLOOKUP($J846,'Project Reference'!$S$2:$T$41,2),"Enter Project Number")</f>
        <v>Enter Project Number</v>
      </c>
      <c r="L846" s="41"/>
      <c r="M846" s="41"/>
      <c r="N846" s="15">
        <f t="shared" si="13"/>
        <v>0</v>
      </c>
      <c r="O846" s="19"/>
      <c r="P846" s="42" t="str">
        <f>IFERROR(VLOOKUP($J846,'Project Reference'!$B$2:$C$41,2)," ")</f>
        <v xml:space="preserve"> </v>
      </c>
      <c r="Q846" s="42" t="str">
        <f>IFERROR(VLOOKUP($J846,'Project Reference'!$B$2:$D$41,3)," ")</f>
        <v xml:space="preserve"> </v>
      </c>
      <c r="R846" s="42" t="str">
        <f>IFERROR(VLOOKUP($J846,'Project Reference'!$B$2:$E$41,4)," ")</f>
        <v xml:space="preserve"> </v>
      </c>
      <c r="S846" s="42" t="str">
        <f>IFERROR(VLOOKUP($J846,'Project Reference'!$B$2:$F$41,5,FALSE)," ")</f>
        <v xml:space="preserve"> </v>
      </c>
      <c r="T846" s="42" t="str">
        <f>IFERROR(VLOOKUP($J846,'Project Reference'!$B$2:$G$41,6,FALSE)," ")</f>
        <v xml:space="preserve"> </v>
      </c>
      <c r="U846" s="42" t="str">
        <f>IFERROR(VLOOKUP($J846,'Project Reference'!$B$2:$H$41,7,FALSE)," ")</f>
        <v xml:space="preserve"> </v>
      </c>
      <c r="V846" s="42" t="str">
        <f>IFERROR(VLOOKUP($J846,'Project Reference'!$B$2:$I$41,8,FALSE)," ")</f>
        <v xml:space="preserve"> </v>
      </c>
      <c r="W846" s="42" t="str">
        <f>IFERROR(VLOOKUP($J846,'Project Reference'!$B$2:$J$41,9,FALSE)," ")</f>
        <v xml:space="preserve"> </v>
      </c>
      <c r="X846" s="42" t="str">
        <f>IFERROR(VLOOKUP($J846,'Project Reference'!$B$2:$K$41,10)," ")</f>
        <v xml:space="preserve"> </v>
      </c>
      <c r="Y846" s="42" t="str">
        <f>IFERROR(VLOOKUP($J846,'Project Reference'!$B$2:$L$41,11)," ")</f>
        <v xml:space="preserve"> </v>
      </c>
      <c r="Z846" s="42" t="str">
        <f>IFERROR(VLOOKUP($J846,'Project Reference'!$B$2:$M$41,12)," ")</f>
        <v xml:space="preserve"> </v>
      </c>
      <c r="AA846" s="42" t="str">
        <f>IFERROR(VLOOKUP($J846,'Project Reference'!$B$2:$N$41,13)," ")</f>
        <v xml:space="preserve"> </v>
      </c>
    </row>
    <row r="847" spans="1:27" x14ac:dyDescent="0.45">
      <c r="A847" s="43"/>
      <c r="B847" s="205"/>
      <c r="C847"/>
      <c r="D847" s="72"/>
      <c r="E847" s="72"/>
      <c r="F847" s="72"/>
      <c r="G847" s="72"/>
      <c r="H847" s="17"/>
      <c r="I847" s="41" t="str" cm="1">
        <f t="array" ref="I847">IFERROR(_xlfn.IFS(H847="Hard (Cash)","N/A",H847="Soft (In-Kind)", "Enter Source"),"Select Type")</f>
        <v>Select Type</v>
      </c>
      <c r="J847" s="124"/>
      <c r="K847" s="41" t="str">
        <f>IFERROR(VLOOKUP($J847,'Project Reference'!$S$2:$T$41,2),"Enter Project Number")</f>
        <v>Enter Project Number</v>
      </c>
      <c r="L847" s="41"/>
      <c r="M847" s="41"/>
      <c r="N847" s="15">
        <f t="shared" si="13"/>
        <v>0</v>
      </c>
      <c r="O847" s="19"/>
      <c r="P847" s="42" t="str">
        <f>IFERROR(VLOOKUP($J847,'Project Reference'!$B$2:$C$41,2)," ")</f>
        <v xml:space="preserve"> </v>
      </c>
      <c r="Q847" s="42" t="str">
        <f>IFERROR(VLOOKUP($J847,'Project Reference'!$B$2:$D$41,3)," ")</f>
        <v xml:space="preserve"> </v>
      </c>
      <c r="R847" s="42" t="str">
        <f>IFERROR(VLOOKUP($J847,'Project Reference'!$B$2:$E$41,4)," ")</f>
        <v xml:space="preserve"> </v>
      </c>
      <c r="S847" s="42" t="str">
        <f>IFERROR(VLOOKUP($J847,'Project Reference'!$B$2:$F$41,5,FALSE)," ")</f>
        <v xml:space="preserve"> </v>
      </c>
      <c r="T847" s="42" t="str">
        <f>IFERROR(VLOOKUP($J847,'Project Reference'!$B$2:$G$41,6,FALSE)," ")</f>
        <v xml:space="preserve"> </v>
      </c>
      <c r="U847" s="42" t="str">
        <f>IFERROR(VLOOKUP($J847,'Project Reference'!$B$2:$H$41,7,FALSE)," ")</f>
        <v xml:space="preserve"> </v>
      </c>
      <c r="V847" s="42" t="str">
        <f>IFERROR(VLOOKUP($J847,'Project Reference'!$B$2:$I$41,8,FALSE)," ")</f>
        <v xml:space="preserve"> </v>
      </c>
      <c r="W847" s="42" t="str">
        <f>IFERROR(VLOOKUP($J847,'Project Reference'!$B$2:$J$41,9,FALSE)," ")</f>
        <v xml:space="preserve"> </v>
      </c>
      <c r="X847" s="42" t="str">
        <f>IFERROR(VLOOKUP($J847,'Project Reference'!$B$2:$K$41,10)," ")</f>
        <v xml:space="preserve"> </v>
      </c>
      <c r="Y847" s="42" t="str">
        <f>IFERROR(VLOOKUP($J847,'Project Reference'!$B$2:$L$41,11)," ")</f>
        <v xml:space="preserve"> </v>
      </c>
      <c r="Z847" s="42" t="str">
        <f>IFERROR(VLOOKUP($J847,'Project Reference'!$B$2:$M$41,12)," ")</f>
        <v xml:space="preserve"> </v>
      </c>
      <c r="AA847" s="42" t="str">
        <f>IFERROR(VLOOKUP($J847,'Project Reference'!$B$2:$N$41,13)," ")</f>
        <v xml:space="preserve"> </v>
      </c>
    </row>
    <row r="848" spans="1:27" x14ac:dyDescent="0.45">
      <c r="A848" s="43"/>
      <c r="B848" s="205"/>
      <c r="C848"/>
      <c r="D848" s="72"/>
      <c r="E848" s="72"/>
      <c r="F848" s="72"/>
      <c r="G848" s="72"/>
      <c r="H848" s="17"/>
      <c r="I848" s="41" t="str" cm="1">
        <f t="array" ref="I848">IFERROR(_xlfn.IFS(H848="Hard (Cash)","N/A",H848="Soft (In-Kind)", "Enter Source"),"Select Type")</f>
        <v>Select Type</v>
      </c>
      <c r="J848" s="124"/>
      <c r="K848" s="41" t="str">
        <f>IFERROR(VLOOKUP($J848,'Project Reference'!$S$2:$T$41,2),"Enter Project Number")</f>
        <v>Enter Project Number</v>
      </c>
      <c r="L848" s="41"/>
      <c r="M848" s="41"/>
      <c r="N848" s="15">
        <f t="shared" si="13"/>
        <v>0</v>
      </c>
      <c r="O848" s="19"/>
      <c r="P848" s="42" t="str">
        <f>IFERROR(VLOOKUP($J848,'Project Reference'!$B$2:$C$41,2)," ")</f>
        <v xml:space="preserve"> </v>
      </c>
      <c r="Q848" s="42" t="str">
        <f>IFERROR(VLOOKUP($J848,'Project Reference'!$B$2:$D$41,3)," ")</f>
        <v xml:space="preserve"> </v>
      </c>
      <c r="R848" s="42" t="str">
        <f>IFERROR(VLOOKUP($J848,'Project Reference'!$B$2:$E$41,4)," ")</f>
        <v xml:space="preserve"> </v>
      </c>
      <c r="S848" s="42" t="str">
        <f>IFERROR(VLOOKUP($J848,'Project Reference'!$B$2:$F$41,5,FALSE)," ")</f>
        <v xml:space="preserve"> </v>
      </c>
      <c r="T848" s="42" t="str">
        <f>IFERROR(VLOOKUP($J848,'Project Reference'!$B$2:$G$41,6,FALSE)," ")</f>
        <v xml:space="preserve"> </v>
      </c>
      <c r="U848" s="42" t="str">
        <f>IFERROR(VLOOKUP($J848,'Project Reference'!$B$2:$H$41,7,FALSE)," ")</f>
        <v xml:space="preserve"> </v>
      </c>
      <c r="V848" s="42" t="str">
        <f>IFERROR(VLOOKUP($J848,'Project Reference'!$B$2:$I$41,8,FALSE)," ")</f>
        <v xml:space="preserve"> </v>
      </c>
      <c r="W848" s="42" t="str">
        <f>IFERROR(VLOOKUP($J848,'Project Reference'!$B$2:$J$41,9,FALSE)," ")</f>
        <v xml:space="preserve"> </v>
      </c>
      <c r="X848" s="42" t="str">
        <f>IFERROR(VLOOKUP($J848,'Project Reference'!$B$2:$K$41,10)," ")</f>
        <v xml:space="preserve"> </v>
      </c>
      <c r="Y848" s="42" t="str">
        <f>IFERROR(VLOOKUP($J848,'Project Reference'!$B$2:$L$41,11)," ")</f>
        <v xml:space="preserve"> </v>
      </c>
      <c r="Z848" s="42" t="str">
        <f>IFERROR(VLOOKUP($J848,'Project Reference'!$B$2:$M$41,12)," ")</f>
        <v xml:space="preserve"> </v>
      </c>
      <c r="AA848" s="42" t="str">
        <f>IFERROR(VLOOKUP($J848,'Project Reference'!$B$2:$N$41,13)," ")</f>
        <v xml:space="preserve"> </v>
      </c>
    </row>
    <row r="849" spans="1:27" x14ac:dyDescent="0.45">
      <c r="A849" s="43"/>
      <c r="B849" s="205"/>
      <c r="C849"/>
      <c r="D849" s="72"/>
      <c r="E849" s="72"/>
      <c r="F849" s="72"/>
      <c r="G849" s="72"/>
      <c r="H849" s="17"/>
      <c r="I849" s="41" t="str" cm="1">
        <f t="array" ref="I849">IFERROR(_xlfn.IFS(H849="Hard (Cash)","N/A",H849="Soft (In-Kind)", "Enter Source"),"Select Type")</f>
        <v>Select Type</v>
      </c>
      <c r="J849" s="124"/>
      <c r="K849" s="41" t="str">
        <f>IFERROR(VLOOKUP($J849,'Project Reference'!$S$2:$T$41,2),"Enter Project Number")</f>
        <v>Enter Project Number</v>
      </c>
      <c r="L849" s="41"/>
      <c r="M849" s="41"/>
      <c r="N849" s="15">
        <f t="shared" si="13"/>
        <v>0</v>
      </c>
      <c r="O849" s="19"/>
      <c r="P849" s="42" t="str">
        <f>IFERROR(VLOOKUP($J849,'Project Reference'!$B$2:$C$41,2)," ")</f>
        <v xml:space="preserve"> </v>
      </c>
      <c r="Q849" s="42" t="str">
        <f>IFERROR(VLOOKUP($J849,'Project Reference'!$B$2:$D$41,3)," ")</f>
        <v xml:space="preserve"> </v>
      </c>
      <c r="R849" s="42" t="str">
        <f>IFERROR(VLOOKUP($J849,'Project Reference'!$B$2:$E$41,4)," ")</f>
        <v xml:space="preserve"> </v>
      </c>
      <c r="S849" s="42" t="str">
        <f>IFERROR(VLOOKUP($J849,'Project Reference'!$B$2:$F$41,5,FALSE)," ")</f>
        <v xml:space="preserve"> </v>
      </c>
      <c r="T849" s="42" t="str">
        <f>IFERROR(VLOOKUP($J849,'Project Reference'!$B$2:$G$41,6,FALSE)," ")</f>
        <v xml:space="preserve"> </v>
      </c>
      <c r="U849" s="42" t="str">
        <f>IFERROR(VLOOKUP($J849,'Project Reference'!$B$2:$H$41,7,FALSE)," ")</f>
        <v xml:space="preserve"> </v>
      </c>
      <c r="V849" s="42" t="str">
        <f>IFERROR(VLOOKUP($J849,'Project Reference'!$B$2:$I$41,8,FALSE)," ")</f>
        <v xml:space="preserve"> </v>
      </c>
      <c r="W849" s="42" t="str">
        <f>IFERROR(VLOOKUP($J849,'Project Reference'!$B$2:$J$41,9,FALSE)," ")</f>
        <v xml:space="preserve"> </v>
      </c>
      <c r="X849" s="42" t="str">
        <f>IFERROR(VLOOKUP($J849,'Project Reference'!$B$2:$K$41,10)," ")</f>
        <v xml:space="preserve"> </v>
      </c>
      <c r="Y849" s="42" t="str">
        <f>IFERROR(VLOOKUP($J849,'Project Reference'!$B$2:$L$41,11)," ")</f>
        <v xml:space="preserve"> </v>
      </c>
      <c r="Z849" s="42" t="str">
        <f>IFERROR(VLOOKUP($J849,'Project Reference'!$B$2:$M$41,12)," ")</f>
        <v xml:space="preserve"> </v>
      </c>
      <c r="AA849" s="42" t="str">
        <f>IFERROR(VLOOKUP($J849,'Project Reference'!$B$2:$N$41,13)," ")</f>
        <v xml:space="preserve"> </v>
      </c>
    </row>
    <row r="850" spans="1:27" x14ac:dyDescent="0.45">
      <c r="A850" s="43"/>
      <c r="B850" s="205"/>
      <c r="C850"/>
      <c r="D850" s="72"/>
      <c r="E850" s="72"/>
      <c r="F850" s="72"/>
      <c r="G850" s="72"/>
      <c r="H850" s="17"/>
      <c r="I850" s="41" t="str" cm="1">
        <f t="array" ref="I850">IFERROR(_xlfn.IFS(H850="Hard (Cash)","N/A",H850="Soft (In-Kind)", "Enter Source"),"Select Type")</f>
        <v>Select Type</v>
      </c>
      <c r="J850" s="124"/>
      <c r="K850" s="41" t="str">
        <f>IFERROR(VLOOKUP($J850,'Project Reference'!$S$2:$T$41,2),"Enter Project Number")</f>
        <v>Enter Project Number</v>
      </c>
      <c r="L850" s="41"/>
      <c r="M850" s="41"/>
      <c r="N850" s="15">
        <f t="shared" si="13"/>
        <v>0</v>
      </c>
      <c r="O850" s="19"/>
      <c r="P850" s="42" t="str">
        <f>IFERROR(VLOOKUP($J850,'Project Reference'!$B$2:$C$41,2)," ")</f>
        <v xml:space="preserve"> </v>
      </c>
      <c r="Q850" s="42" t="str">
        <f>IFERROR(VLOOKUP($J850,'Project Reference'!$B$2:$D$41,3)," ")</f>
        <v xml:space="preserve"> </v>
      </c>
      <c r="R850" s="42" t="str">
        <f>IFERROR(VLOOKUP($J850,'Project Reference'!$B$2:$E$41,4)," ")</f>
        <v xml:space="preserve"> </v>
      </c>
      <c r="S850" s="42" t="str">
        <f>IFERROR(VLOOKUP($J850,'Project Reference'!$B$2:$F$41,5,FALSE)," ")</f>
        <v xml:space="preserve"> </v>
      </c>
      <c r="T850" s="42" t="str">
        <f>IFERROR(VLOOKUP($J850,'Project Reference'!$B$2:$G$41,6,FALSE)," ")</f>
        <v xml:space="preserve"> </v>
      </c>
      <c r="U850" s="42" t="str">
        <f>IFERROR(VLOOKUP($J850,'Project Reference'!$B$2:$H$41,7,FALSE)," ")</f>
        <v xml:space="preserve"> </v>
      </c>
      <c r="V850" s="42" t="str">
        <f>IFERROR(VLOOKUP($J850,'Project Reference'!$B$2:$I$41,8,FALSE)," ")</f>
        <v xml:space="preserve"> </v>
      </c>
      <c r="W850" s="42" t="str">
        <f>IFERROR(VLOOKUP($J850,'Project Reference'!$B$2:$J$41,9,FALSE)," ")</f>
        <v xml:space="preserve"> </v>
      </c>
      <c r="X850" s="42" t="str">
        <f>IFERROR(VLOOKUP($J850,'Project Reference'!$B$2:$K$41,10)," ")</f>
        <v xml:space="preserve"> </v>
      </c>
      <c r="Y850" s="42" t="str">
        <f>IFERROR(VLOOKUP($J850,'Project Reference'!$B$2:$L$41,11)," ")</f>
        <v xml:space="preserve"> </v>
      </c>
      <c r="Z850" s="42" t="str">
        <f>IFERROR(VLOOKUP($J850,'Project Reference'!$B$2:$M$41,12)," ")</f>
        <v xml:space="preserve"> </v>
      </c>
      <c r="AA850" s="42" t="str">
        <f>IFERROR(VLOOKUP($J850,'Project Reference'!$B$2:$N$41,13)," ")</f>
        <v xml:space="preserve"> </v>
      </c>
    </row>
    <row r="851" spans="1:27" x14ac:dyDescent="0.45">
      <c r="A851" s="43"/>
      <c r="B851" s="205"/>
      <c r="C851"/>
      <c r="D851" s="72"/>
      <c r="E851" s="72"/>
      <c r="F851" s="72"/>
      <c r="G851" s="72"/>
      <c r="H851" s="17"/>
      <c r="I851" s="41" t="str" cm="1">
        <f t="array" ref="I851">IFERROR(_xlfn.IFS(H851="Hard (Cash)","N/A",H851="Soft (In-Kind)", "Enter Source"),"Select Type")</f>
        <v>Select Type</v>
      </c>
      <c r="J851" s="124"/>
      <c r="K851" s="41" t="str">
        <f>IFERROR(VLOOKUP($J851,'Project Reference'!$S$2:$T$41,2),"Enter Project Number")</f>
        <v>Enter Project Number</v>
      </c>
      <c r="L851" s="41"/>
      <c r="M851" s="41"/>
      <c r="N851" s="15">
        <f t="shared" si="13"/>
        <v>0</v>
      </c>
      <c r="O851" s="19"/>
      <c r="P851" s="42" t="str">
        <f>IFERROR(VLOOKUP($J851,'Project Reference'!$B$2:$C$41,2)," ")</f>
        <v xml:space="preserve"> </v>
      </c>
      <c r="Q851" s="42" t="str">
        <f>IFERROR(VLOOKUP($J851,'Project Reference'!$B$2:$D$41,3)," ")</f>
        <v xml:space="preserve"> </v>
      </c>
      <c r="R851" s="42" t="str">
        <f>IFERROR(VLOOKUP($J851,'Project Reference'!$B$2:$E$41,4)," ")</f>
        <v xml:space="preserve"> </v>
      </c>
      <c r="S851" s="42" t="str">
        <f>IFERROR(VLOOKUP($J851,'Project Reference'!$B$2:$F$41,5,FALSE)," ")</f>
        <v xml:space="preserve"> </v>
      </c>
      <c r="T851" s="42" t="str">
        <f>IFERROR(VLOOKUP($J851,'Project Reference'!$B$2:$G$41,6,FALSE)," ")</f>
        <v xml:space="preserve"> </v>
      </c>
      <c r="U851" s="42" t="str">
        <f>IFERROR(VLOOKUP($J851,'Project Reference'!$B$2:$H$41,7,FALSE)," ")</f>
        <v xml:space="preserve"> </v>
      </c>
      <c r="V851" s="42" t="str">
        <f>IFERROR(VLOOKUP($J851,'Project Reference'!$B$2:$I$41,8,FALSE)," ")</f>
        <v xml:space="preserve"> </v>
      </c>
      <c r="W851" s="42" t="str">
        <f>IFERROR(VLOOKUP($J851,'Project Reference'!$B$2:$J$41,9,FALSE)," ")</f>
        <v xml:space="preserve"> </v>
      </c>
      <c r="X851" s="42" t="str">
        <f>IFERROR(VLOOKUP($J851,'Project Reference'!$B$2:$K$41,10)," ")</f>
        <v xml:space="preserve"> </v>
      </c>
      <c r="Y851" s="42" t="str">
        <f>IFERROR(VLOOKUP($J851,'Project Reference'!$B$2:$L$41,11)," ")</f>
        <v xml:space="preserve"> </v>
      </c>
      <c r="Z851" s="42" t="str">
        <f>IFERROR(VLOOKUP($J851,'Project Reference'!$B$2:$M$41,12)," ")</f>
        <v xml:space="preserve"> </v>
      </c>
      <c r="AA851" s="42" t="str">
        <f>IFERROR(VLOOKUP($J851,'Project Reference'!$B$2:$N$41,13)," ")</f>
        <v xml:space="preserve"> </v>
      </c>
    </row>
    <row r="852" spans="1:27" x14ac:dyDescent="0.45">
      <c r="A852" s="43"/>
      <c r="B852" s="205"/>
      <c r="C852"/>
      <c r="D852" s="72"/>
      <c r="E852" s="72"/>
      <c r="F852" s="72"/>
      <c r="G852" s="72"/>
      <c r="H852" s="17"/>
      <c r="I852" s="41" t="str" cm="1">
        <f t="array" ref="I852">IFERROR(_xlfn.IFS(H852="Hard (Cash)","N/A",H852="Soft (In-Kind)", "Enter Source"),"Select Type")</f>
        <v>Select Type</v>
      </c>
      <c r="J852" s="124"/>
      <c r="K852" s="41" t="str">
        <f>IFERROR(VLOOKUP($J852,'Project Reference'!$S$2:$T$41,2),"Enter Project Number")</f>
        <v>Enter Project Number</v>
      </c>
      <c r="L852" s="41"/>
      <c r="M852" s="41"/>
      <c r="N852" s="15">
        <f t="shared" si="13"/>
        <v>0</v>
      </c>
      <c r="O852" s="19"/>
      <c r="P852" s="42" t="str">
        <f>IFERROR(VLOOKUP($J852,'Project Reference'!$B$2:$C$41,2)," ")</f>
        <v xml:space="preserve"> </v>
      </c>
      <c r="Q852" s="42" t="str">
        <f>IFERROR(VLOOKUP($J852,'Project Reference'!$B$2:$D$41,3)," ")</f>
        <v xml:space="preserve"> </v>
      </c>
      <c r="R852" s="42" t="str">
        <f>IFERROR(VLOOKUP($J852,'Project Reference'!$B$2:$E$41,4)," ")</f>
        <v xml:space="preserve"> </v>
      </c>
      <c r="S852" s="42" t="str">
        <f>IFERROR(VLOOKUP($J852,'Project Reference'!$B$2:$F$41,5,FALSE)," ")</f>
        <v xml:space="preserve"> </v>
      </c>
      <c r="T852" s="42" t="str">
        <f>IFERROR(VLOOKUP($J852,'Project Reference'!$B$2:$G$41,6,FALSE)," ")</f>
        <v xml:space="preserve"> </v>
      </c>
      <c r="U852" s="42" t="str">
        <f>IFERROR(VLOOKUP($J852,'Project Reference'!$B$2:$H$41,7,FALSE)," ")</f>
        <v xml:space="preserve"> </v>
      </c>
      <c r="V852" s="42" t="str">
        <f>IFERROR(VLOOKUP($J852,'Project Reference'!$B$2:$I$41,8,FALSE)," ")</f>
        <v xml:space="preserve"> </v>
      </c>
      <c r="W852" s="42" t="str">
        <f>IFERROR(VLOOKUP($J852,'Project Reference'!$B$2:$J$41,9,FALSE)," ")</f>
        <v xml:space="preserve"> </v>
      </c>
      <c r="X852" s="42" t="str">
        <f>IFERROR(VLOOKUP($J852,'Project Reference'!$B$2:$K$41,10)," ")</f>
        <v xml:space="preserve"> </v>
      </c>
      <c r="Y852" s="42" t="str">
        <f>IFERROR(VLOOKUP($J852,'Project Reference'!$B$2:$L$41,11)," ")</f>
        <v xml:space="preserve"> </v>
      </c>
      <c r="Z852" s="42" t="str">
        <f>IFERROR(VLOOKUP($J852,'Project Reference'!$B$2:$M$41,12)," ")</f>
        <v xml:space="preserve"> </v>
      </c>
      <c r="AA852" s="42" t="str">
        <f>IFERROR(VLOOKUP($J852,'Project Reference'!$B$2:$N$41,13)," ")</f>
        <v xml:space="preserve"> </v>
      </c>
    </row>
    <row r="853" spans="1:27" x14ac:dyDescent="0.45">
      <c r="A853" s="43"/>
      <c r="B853" s="205"/>
      <c r="C853"/>
      <c r="D853" s="72"/>
      <c r="E853" s="72"/>
      <c r="F853" s="72"/>
      <c r="G853" s="72"/>
      <c r="H853" s="17"/>
      <c r="I853" s="41" t="str" cm="1">
        <f t="array" ref="I853">IFERROR(_xlfn.IFS(H853="Hard (Cash)","N/A",H853="Soft (In-Kind)", "Enter Source"),"Select Type")</f>
        <v>Select Type</v>
      </c>
      <c r="J853" s="124"/>
      <c r="K853" s="41" t="str">
        <f>IFERROR(VLOOKUP($J853,'Project Reference'!$S$2:$T$41,2),"Enter Project Number")</f>
        <v>Enter Project Number</v>
      </c>
      <c r="L853" s="41"/>
      <c r="M853" s="41"/>
      <c r="N853" s="15">
        <f t="shared" si="13"/>
        <v>0</v>
      </c>
      <c r="O853" s="19"/>
      <c r="P853" s="42" t="str">
        <f>IFERROR(VLOOKUP($J853,'Project Reference'!$B$2:$C$41,2)," ")</f>
        <v xml:space="preserve"> </v>
      </c>
      <c r="Q853" s="42" t="str">
        <f>IFERROR(VLOOKUP($J853,'Project Reference'!$B$2:$D$41,3)," ")</f>
        <v xml:space="preserve"> </v>
      </c>
      <c r="R853" s="42" t="str">
        <f>IFERROR(VLOOKUP($J853,'Project Reference'!$B$2:$E$41,4)," ")</f>
        <v xml:space="preserve"> </v>
      </c>
      <c r="S853" s="42" t="str">
        <f>IFERROR(VLOOKUP($J853,'Project Reference'!$B$2:$F$41,5,FALSE)," ")</f>
        <v xml:space="preserve"> </v>
      </c>
      <c r="T853" s="42" t="str">
        <f>IFERROR(VLOOKUP($J853,'Project Reference'!$B$2:$G$41,6,FALSE)," ")</f>
        <v xml:space="preserve"> </v>
      </c>
      <c r="U853" s="42" t="str">
        <f>IFERROR(VLOOKUP($J853,'Project Reference'!$B$2:$H$41,7,FALSE)," ")</f>
        <v xml:space="preserve"> </v>
      </c>
      <c r="V853" s="42" t="str">
        <f>IFERROR(VLOOKUP($J853,'Project Reference'!$B$2:$I$41,8,FALSE)," ")</f>
        <v xml:space="preserve"> </v>
      </c>
      <c r="W853" s="42" t="str">
        <f>IFERROR(VLOOKUP($J853,'Project Reference'!$B$2:$J$41,9,FALSE)," ")</f>
        <v xml:space="preserve"> </v>
      </c>
      <c r="X853" s="42" t="str">
        <f>IFERROR(VLOOKUP($J853,'Project Reference'!$B$2:$K$41,10)," ")</f>
        <v xml:space="preserve"> </v>
      </c>
      <c r="Y853" s="42" t="str">
        <f>IFERROR(VLOOKUP($J853,'Project Reference'!$B$2:$L$41,11)," ")</f>
        <v xml:space="preserve"> </v>
      </c>
      <c r="Z853" s="42" t="str">
        <f>IFERROR(VLOOKUP($J853,'Project Reference'!$B$2:$M$41,12)," ")</f>
        <v xml:space="preserve"> </v>
      </c>
      <c r="AA853" s="42" t="str">
        <f>IFERROR(VLOOKUP($J853,'Project Reference'!$B$2:$N$41,13)," ")</f>
        <v xml:space="preserve"> </v>
      </c>
    </row>
    <row r="854" spans="1:27" x14ac:dyDescent="0.45">
      <c r="A854" s="43"/>
      <c r="B854" s="205"/>
      <c r="C854"/>
      <c r="D854" s="72"/>
      <c r="E854" s="72"/>
      <c r="F854" s="72"/>
      <c r="G854" s="72"/>
      <c r="H854" s="17"/>
      <c r="I854" s="41" t="str" cm="1">
        <f t="array" ref="I854">IFERROR(_xlfn.IFS(H854="Hard (Cash)","N/A",H854="Soft (In-Kind)", "Enter Source"),"Select Type")</f>
        <v>Select Type</v>
      </c>
      <c r="J854" s="124"/>
      <c r="K854" s="41" t="str">
        <f>IFERROR(VLOOKUP($J854,'Project Reference'!$S$2:$T$41,2),"Enter Project Number")</f>
        <v>Enter Project Number</v>
      </c>
      <c r="L854" s="41"/>
      <c r="M854" s="41"/>
      <c r="N854" s="15">
        <f t="shared" si="13"/>
        <v>0</v>
      </c>
      <c r="O854" s="19"/>
      <c r="P854" s="42" t="str">
        <f>IFERROR(VLOOKUP($J854,'Project Reference'!$B$2:$C$41,2)," ")</f>
        <v xml:space="preserve"> </v>
      </c>
      <c r="Q854" s="42" t="str">
        <f>IFERROR(VLOOKUP($J854,'Project Reference'!$B$2:$D$41,3)," ")</f>
        <v xml:space="preserve"> </v>
      </c>
      <c r="R854" s="42" t="str">
        <f>IFERROR(VLOOKUP($J854,'Project Reference'!$B$2:$E$41,4)," ")</f>
        <v xml:space="preserve"> </v>
      </c>
      <c r="S854" s="42" t="str">
        <f>IFERROR(VLOOKUP($J854,'Project Reference'!$B$2:$F$41,5,FALSE)," ")</f>
        <v xml:space="preserve"> </v>
      </c>
      <c r="T854" s="42" t="str">
        <f>IFERROR(VLOOKUP($J854,'Project Reference'!$B$2:$G$41,6,FALSE)," ")</f>
        <v xml:space="preserve"> </v>
      </c>
      <c r="U854" s="42" t="str">
        <f>IFERROR(VLOOKUP($J854,'Project Reference'!$B$2:$H$41,7,FALSE)," ")</f>
        <v xml:space="preserve"> </v>
      </c>
      <c r="V854" s="42" t="str">
        <f>IFERROR(VLOOKUP($J854,'Project Reference'!$B$2:$I$41,8,FALSE)," ")</f>
        <v xml:space="preserve"> </v>
      </c>
      <c r="W854" s="42" t="str">
        <f>IFERROR(VLOOKUP($J854,'Project Reference'!$B$2:$J$41,9,FALSE)," ")</f>
        <v xml:space="preserve"> </v>
      </c>
      <c r="X854" s="42" t="str">
        <f>IFERROR(VLOOKUP($J854,'Project Reference'!$B$2:$K$41,10)," ")</f>
        <v xml:space="preserve"> </v>
      </c>
      <c r="Y854" s="42" t="str">
        <f>IFERROR(VLOOKUP($J854,'Project Reference'!$B$2:$L$41,11)," ")</f>
        <v xml:space="preserve"> </v>
      </c>
      <c r="Z854" s="42" t="str">
        <f>IFERROR(VLOOKUP($J854,'Project Reference'!$B$2:$M$41,12)," ")</f>
        <v xml:space="preserve"> </v>
      </c>
      <c r="AA854" s="42" t="str">
        <f>IFERROR(VLOOKUP($J854,'Project Reference'!$B$2:$N$41,13)," ")</f>
        <v xml:space="preserve"> </v>
      </c>
    </row>
    <row r="855" spans="1:27" x14ac:dyDescent="0.45">
      <c r="A855" s="43"/>
      <c r="B855" s="205"/>
      <c r="C855"/>
      <c r="D855" s="72"/>
      <c r="E855" s="72"/>
      <c r="F855" s="72"/>
      <c r="G855" s="72"/>
      <c r="H855" s="17"/>
      <c r="I855" s="41" t="str" cm="1">
        <f t="array" ref="I855">IFERROR(_xlfn.IFS(H855="Hard (Cash)","N/A",H855="Soft (In-Kind)", "Enter Source"),"Select Type")</f>
        <v>Select Type</v>
      </c>
      <c r="J855" s="124"/>
      <c r="K855" s="41" t="str">
        <f>IFERROR(VLOOKUP($J855,'Project Reference'!$S$2:$T$41,2),"Enter Project Number")</f>
        <v>Enter Project Number</v>
      </c>
      <c r="L855" s="41"/>
      <c r="M855" s="41"/>
      <c r="N855" s="15">
        <f t="shared" si="13"/>
        <v>0</v>
      </c>
      <c r="O855" s="19"/>
      <c r="P855" s="42" t="str">
        <f>IFERROR(VLOOKUP($J855,'Project Reference'!$B$2:$C$41,2)," ")</f>
        <v xml:space="preserve"> </v>
      </c>
      <c r="Q855" s="42" t="str">
        <f>IFERROR(VLOOKUP($J855,'Project Reference'!$B$2:$D$41,3)," ")</f>
        <v xml:space="preserve"> </v>
      </c>
      <c r="R855" s="42" t="str">
        <f>IFERROR(VLOOKUP($J855,'Project Reference'!$B$2:$E$41,4)," ")</f>
        <v xml:space="preserve"> </v>
      </c>
      <c r="S855" s="42" t="str">
        <f>IFERROR(VLOOKUP($J855,'Project Reference'!$B$2:$F$41,5,FALSE)," ")</f>
        <v xml:space="preserve"> </v>
      </c>
      <c r="T855" s="42" t="str">
        <f>IFERROR(VLOOKUP($J855,'Project Reference'!$B$2:$G$41,6,FALSE)," ")</f>
        <v xml:space="preserve"> </v>
      </c>
      <c r="U855" s="42" t="str">
        <f>IFERROR(VLOOKUP($J855,'Project Reference'!$B$2:$H$41,7,FALSE)," ")</f>
        <v xml:space="preserve"> </v>
      </c>
      <c r="V855" s="42" t="str">
        <f>IFERROR(VLOOKUP($J855,'Project Reference'!$B$2:$I$41,8,FALSE)," ")</f>
        <v xml:space="preserve"> </v>
      </c>
      <c r="W855" s="42" t="str">
        <f>IFERROR(VLOOKUP($J855,'Project Reference'!$B$2:$J$41,9,FALSE)," ")</f>
        <v xml:space="preserve"> </v>
      </c>
      <c r="X855" s="42" t="str">
        <f>IFERROR(VLOOKUP($J855,'Project Reference'!$B$2:$K$41,10)," ")</f>
        <v xml:space="preserve"> </v>
      </c>
      <c r="Y855" s="42" t="str">
        <f>IFERROR(VLOOKUP($J855,'Project Reference'!$B$2:$L$41,11)," ")</f>
        <v xml:space="preserve"> </v>
      </c>
      <c r="Z855" s="42" t="str">
        <f>IFERROR(VLOOKUP($J855,'Project Reference'!$B$2:$M$41,12)," ")</f>
        <v xml:space="preserve"> </v>
      </c>
      <c r="AA855" s="42" t="str">
        <f>IFERROR(VLOOKUP($J855,'Project Reference'!$B$2:$N$41,13)," ")</f>
        <v xml:space="preserve"> </v>
      </c>
    </row>
    <row r="856" spans="1:27" x14ac:dyDescent="0.45">
      <c r="A856" s="43"/>
      <c r="B856" s="205"/>
      <c r="C856"/>
      <c r="D856" s="72"/>
      <c r="E856" s="72"/>
      <c r="F856" s="72"/>
      <c r="G856" s="72"/>
      <c r="H856" s="17"/>
      <c r="I856" s="41" t="str" cm="1">
        <f t="array" ref="I856">IFERROR(_xlfn.IFS(H856="Hard (Cash)","N/A",H856="Soft (In-Kind)", "Enter Source"),"Select Type")</f>
        <v>Select Type</v>
      </c>
      <c r="J856" s="124"/>
      <c r="K856" s="41" t="str">
        <f>IFERROR(VLOOKUP($J856,'Project Reference'!$S$2:$T$41,2),"Enter Project Number")</f>
        <v>Enter Project Number</v>
      </c>
      <c r="L856" s="41"/>
      <c r="M856" s="41"/>
      <c r="N856" s="15">
        <f t="shared" si="13"/>
        <v>0</v>
      </c>
      <c r="O856" s="19"/>
      <c r="P856" s="42" t="str">
        <f>IFERROR(VLOOKUP($J856,'Project Reference'!$B$2:$C$41,2)," ")</f>
        <v xml:space="preserve"> </v>
      </c>
      <c r="Q856" s="42" t="str">
        <f>IFERROR(VLOOKUP($J856,'Project Reference'!$B$2:$D$41,3)," ")</f>
        <v xml:space="preserve"> </v>
      </c>
      <c r="R856" s="42" t="str">
        <f>IFERROR(VLOOKUP($J856,'Project Reference'!$B$2:$E$41,4)," ")</f>
        <v xml:space="preserve"> </v>
      </c>
      <c r="S856" s="42" t="str">
        <f>IFERROR(VLOOKUP($J856,'Project Reference'!$B$2:$F$41,5,FALSE)," ")</f>
        <v xml:space="preserve"> </v>
      </c>
      <c r="T856" s="42" t="str">
        <f>IFERROR(VLOOKUP($J856,'Project Reference'!$B$2:$G$41,6,FALSE)," ")</f>
        <v xml:space="preserve"> </v>
      </c>
      <c r="U856" s="42" t="str">
        <f>IFERROR(VLOOKUP($J856,'Project Reference'!$B$2:$H$41,7,FALSE)," ")</f>
        <v xml:space="preserve"> </v>
      </c>
      <c r="V856" s="42" t="str">
        <f>IFERROR(VLOOKUP($J856,'Project Reference'!$B$2:$I$41,8,FALSE)," ")</f>
        <v xml:space="preserve"> </v>
      </c>
      <c r="W856" s="42" t="str">
        <f>IFERROR(VLOOKUP($J856,'Project Reference'!$B$2:$J$41,9,FALSE)," ")</f>
        <v xml:space="preserve"> </v>
      </c>
      <c r="X856" s="42" t="str">
        <f>IFERROR(VLOOKUP($J856,'Project Reference'!$B$2:$K$41,10)," ")</f>
        <v xml:space="preserve"> </v>
      </c>
      <c r="Y856" s="42" t="str">
        <f>IFERROR(VLOOKUP($J856,'Project Reference'!$B$2:$L$41,11)," ")</f>
        <v xml:space="preserve"> </v>
      </c>
      <c r="Z856" s="42" t="str">
        <f>IFERROR(VLOOKUP($J856,'Project Reference'!$B$2:$M$41,12)," ")</f>
        <v xml:space="preserve"> </v>
      </c>
      <c r="AA856" s="42" t="str">
        <f>IFERROR(VLOOKUP($J856,'Project Reference'!$B$2:$N$41,13)," ")</f>
        <v xml:space="preserve"> </v>
      </c>
    </row>
    <row r="857" spans="1:27" x14ac:dyDescent="0.45">
      <c r="A857" s="43"/>
      <c r="B857" s="205"/>
      <c r="C857"/>
      <c r="D857" s="72"/>
      <c r="E857" s="72"/>
      <c r="F857" s="72"/>
      <c r="G857" s="72"/>
      <c r="H857" s="17"/>
      <c r="I857" s="41" t="str" cm="1">
        <f t="array" ref="I857">IFERROR(_xlfn.IFS(H857="Hard (Cash)","N/A",H857="Soft (In-Kind)", "Enter Source"),"Select Type")</f>
        <v>Select Type</v>
      </c>
      <c r="J857" s="124"/>
      <c r="K857" s="41" t="str">
        <f>IFERROR(VLOOKUP($J857,'Project Reference'!$S$2:$T$41,2),"Enter Project Number")</f>
        <v>Enter Project Number</v>
      </c>
      <c r="L857" s="41"/>
      <c r="M857" s="41"/>
      <c r="N857" s="15">
        <f t="shared" si="13"/>
        <v>0</v>
      </c>
      <c r="O857" s="19"/>
      <c r="P857" s="42" t="str">
        <f>IFERROR(VLOOKUP($J857,'Project Reference'!$B$2:$C$41,2)," ")</f>
        <v xml:space="preserve"> </v>
      </c>
      <c r="Q857" s="42" t="str">
        <f>IFERROR(VLOOKUP($J857,'Project Reference'!$B$2:$D$41,3)," ")</f>
        <v xml:space="preserve"> </v>
      </c>
      <c r="R857" s="42" t="str">
        <f>IFERROR(VLOOKUP($J857,'Project Reference'!$B$2:$E$41,4)," ")</f>
        <v xml:space="preserve"> </v>
      </c>
      <c r="S857" s="42" t="str">
        <f>IFERROR(VLOOKUP($J857,'Project Reference'!$B$2:$F$41,5,FALSE)," ")</f>
        <v xml:space="preserve"> </v>
      </c>
      <c r="T857" s="42" t="str">
        <f>IFERROR(VLOOKUP($J857,'Project Reference'!$B$2:$G$41,6,FALSE)," ")</f>
        <v xml:space="preserve"> </v>
      </c>
      <c r="U857" s="42" t="str">
        <f>IFERROR(VLOOKUP($J857,'Project Reference'!$B$2:$H$41,7,FALSE)," ")</f>
        <v xml:space="preserve"> </v>
      </c>
      <c r="V857" s="42" t="str">
        <f>IFERROR(VLOOKUP($J857,'Project Reference'!$B$2:$I$41,8,FALSE)," ")</f>
        <v xml:space="preserve"> </v>
      </c>
      <c r="W857" s="42" t="str">
        <f>IFERROR(VLOOKUP($J857,'Project Reference'!$B$2:$J$41,9,FALSE)," ")</f>
        <v xml:space="preserve"> </v>
      </c>
      <c r="X857" s="42" t="str">
        <f>IFERROR(VLOOKUP($J857,'Project Reference'!$B$2:$K$41,10)," ")</f>
        <v xml:space="preserve"> </v>
      </c>
      <c r="Y857" s="42" t="str">
        <f>IFERROR(VLOOKUP($J857,'Project Reference'!$B$2:$L$41,11)," ")</f>
        <v xml:space="preserve"> </v>
      </c>
      <c r="Z857" s="42" t="str">
        <f>IFERROR(VLOOKUP($J857,'Project Reference'!$B$2:$M$41,12)," ")</f>
        <v xml:space="preserve"> </v>
      </c>
      <c r="AA857" s="42" t="str">
        <f>IFERROR(VLOOKUP($J857,'Project Reference'!$B$2:$N$41,13)," ")</f>
        <v xml:space="preserve"> </v>
      </c>
    </row>
    <row r="858" spans="1:27" x14ac:dyDescent="0.45">
      <c r="A858" s="43"/>
      <c r="B858" s="205"/>
      <c r="C858"/>
      <c r="D858" s="72"/>
      <c r="E858" s="72"/>
      <c r="F858" s="72"/>
      <c r="G858" s="72"/>
      <c r="H858" s="17"/>
      <c r="I858" s="41" t="str" cm="1">
        <f t="array" ref="I858">IFERROR(_xlfn.IFS(H858="Hard (Cash)","N/A",H858="Soft (In-Kind)", "Enter Source"),"Select Type")</f>
        <v>Select Type</v>
      </c>
      <c r="J858" s="124"/>
      <c r="K858" s="41" t="str">
        <f>IFERROR(VLOOKUP($J858,'Project Reference'!$S$2:$T$41,2),"Enter Project Number")</f>
        <v>Enter Project Number</v>
      </c>
      <c r="L858" s="41"/>
      <c r="M858" s="41"/>
      <c r="N858" s="15">
        <f t="shared" si="13"/>
        <v>0</v>
      </c>
      <c r="O858" s="19"/>
      <c r="P858" s="42" t="str">
        <f>IFERROR(VLOOKUP($J858,'Project Reference'!$B$2:$C$41,2)," ")</f>
        <v xml:space="preserve"> </v>
      </c>
      <c r="Q858" s="42" t="str">
        <f>IFERROR(VLOOKUP($J858,'Project Reference'!$B$2:$D$41,3)," ")</f>
        <v xml:space="preserve"> </v>
      </c>
      <c r="R858" s="42" t="str">
        <f>IFERROR(VLOOKUP($J858,'Project Reference'!$B$2:$E$41,4)," ")</f>
        <v xml:space="preserve"> </v>
      </c>
      <c r="S858" s="42" t="str">
        <f>IFERROR(VLOOKUP($J858,'Project Reference'!$B$2:$F$41,5,FALSE)," ")</f>
        <v xml:space="preserve"> </v>
      </c>
      <c r="T858" s="42" t="str">
        <f>IFERROR(VLOOKUP($J858,'Project Reference'!$B$2:$G$41,6,FALSE)," ")</f>
        <v xml:space="preserve"> </v>
      </c>
      <c r="U858" s="42" t="str">
        <f>IFERROR(VLOOKUP($J858,'Project Reference'!$B$2:$H$41,7,FALSE)," ")</f>
        <v xml:space="preserve"> </v>
      </c>
      <c r="V858" s="42" t="str">
        <f>IFERROR(VLOOKUP($J858,'Project Reference'!$B$2:$I$41,8,FALSE)," ")</f>
        <v xml:space="preserve"> </v>
      </c>
      <c r="W858" s="42" t="str">
        <f>IFERROR(VLOOKUP($J858,'Project Reference'!$B$2:$J$41,9,FALSE)," ")</f>
        <v xml:space="preserve"> </v>
      </c>
      <c r="X858" s="42" t="str">
        <f>IFERROR(VLOOKUP($J858,'Project Reference'!$B$2:$K$41,10)," ")</f>
        <v xml:space="preserve"> </v>
      </c>
      <c r="Y858" s="42" t="str">
        <f>IFERROR(VLOOKUP($J858,'Project Reference'!$B$2:$L$41,11)," ")</f>
        <v xml:space="preserve"> </v>
      </c>
      <c r="Z858" s="42" t="str">
        <f>IFERROR(VLOOKUP($J858,'Project Reference'!$B$2:$M$41,12)," ")</f>
        <v xml:space="preserve"> </v>
      </c>
      <c r="AA858" s="42" t="str">
        <f>IFERROR(VLOOKUP($J858,'Project Reference'!$B$2:$N$41,13)," ")</f>
        <v xml:space="preserve"> </v>
      </c>
    </row>
    <row r="859" spans="1:27" x14ac:dyDescent="0.45">
      <c r="A859" s="43"/>
      <c r="B859" s="205"/>
      <c r="C859"/>
      <c r="D859" s="72"/>
      <c r="E859" s="72"/>
      <c r="F859" s="72"/>
      <c r="G859" s="72"/>
      <c r="H859" s="17"/>
      <c r="I859" s="41" t="str" cm="1">
        <f t="array" ref="I859">IFERROR(_xlfn.IFS(H859="Hard (Cash)","N/A",H859="Soft (In-Kind)", "Enter Source"),"Select Type")</f>
        <v>Select Type</v>
      </c>
      <c r="J859" s="124"/>
      <c r="K859" s="41" t="str">
        <f>IFERROR(VLOOKUP($J859,'Project Reference'!$S$2:$T$41,2),"Enter Project Number")</f>
        <v>Enter Project Number</v>
      </c>
      <c r="L859" s="41"/>
      <c r="M859" s="41"/>
      <c r="N859" s="15">
        <f t="shared" si="13"/>
        <v>0</v>
      </c>
      <c r="O859" s="19"/>
      <c r="P859" s="42" t="str">
        <f>IFERROR(VLOOKUP($J859,'Project Reference'!$B$2:$C$41,2)," ")</f>
        <v xml:space="preserve"> </v>
      </c>
      <c r="Q859" s="42" t="str">
        <f>IFERROR(VLOOKUP($J859,'Project Reference'!$B$2:$D$41,3)," ")</f>
        <v xml:space="preserve"> </v>
      </c>
      <c r="R859" s="42" t="str">
        <f>IFERROR(VLOOKUP($J859,'Project Reference'!$B$2:$E$41,4)," ")</f>
        <v xml:space="preserve"> </v>
      </c>
      <c r="S859" s="42" t="str">
        <f>IFERROR(VLOOKUP($J859,'Project Reference'!$B$2:$F$41,5,FALSE)," ")</f>
        <v xml:space="preserve"> </v>
      </c>
      <c r="T859" s="42" t="str">
        <f>IFERROR(VLOOKUP($J859,'Project Reference'!$B$2:$G$41,6,FALSE)," ")</f>
        <v xml:space="preserve"> </v>
      </c>
      <c r="U859" s="42" t="str">
        <f>IFERROR(VLOOKUP($J859,'Project Reference'!$B$2:$H$41,7,FALSE)," ")</f>
        <v xml:space="preserve"> </v>
      </c>
      <c r="V859" s="42" t="str">
        <f>IFERROR(VLOOKUP($J859,'Project Reference'!$B$2:$I$41,8,FALSE)," ")</f>
        <v xml:space="preserve"> </v>
      </c>
      <c r="W859" s="42" t="str">
        <f>IFERROR(VLOOKUP($J859,'Project Reference'!$B$2:$J$41,9,FALSE)," ")</f>
        <v xml:space="preserve"> </v>
      </c>
      <c r="X859" s="42" t="str">
        <f>IFERROR(VLOOKUP($J859,'Project Reference'!$B$2:$K$41,10)," ")</f>
        <v xml:space="preserve"> </v>
      </c>
      <c r="Y859" s="42" t="str">
        <f>IFERROR(VLOOKUP($J859,'Project Reference'!$B$2:$L$41,11)," ")</f>
        <v xml:space="preserve"> </v>
      </c>
      <c r="Z859" s="42" t="str">
        <f>IFERROR(VLOOKUP($J859,'Project Reference'!$B$2:$M$41,12)," ")</f>
        <v xml:space="preserve"> </v>
      </c>
      <c r="AA859" s="42" t="str">
        <f>IFERROR(VLOOKUP($J859,'Project Reference'!$B$2:$N$41,13)," ")</f>
        <v xml:space="preserve"> </v>
      </c>
    </row>
    <row r="860" spans="1:27" x14ac:dyDescent="0.45">
      <c r="A860" s="43"/>
      <c r="B860" s="205"/>
      <c r="C860"/>
      <c r="D860" s="72"/>
      <c r="E860" s="72"/>
      <c r="F860" s="72"/>
      <c r="G860" s="72"/>
      <c r="H860" s="17"/>
      <c r="I860" s="41" t="str" cm="1">
        <f t="array" ref="I860">IFERROR(_xlfn.IFS(H860="Hard (Cash)","N/A",H860="Soft (In-Kind)", "Enter Source"),"Select Type")</f>
        <v>Select Type</v>
      </c>
      <c r="J860" s="124"/>
      <c r="K860" s="41" t="str">
        <f>IFERROR(VLOOKUP($J860,'Project Reference'!$S$2:$T$41,2),"Enter Project Number")</f>
        <v>Enter Project Number</v>
      </c>
      <c r="L860" s="41"/>
      <c r="M860" s="41"/>
      <c r="N860" s="15">
        <f t="shared" si="13"/>
        <v>0</v>
      </c>
      <c r="O860" s="19"/>
      <c r="P860" s="42" t="str">
        <f>IFERROR(VLOOKUP($J860,'Project Reference'!$B$2:$C$41,2)," ")</f>
        <v xml:space="preserve"> </v>
      </c>
      <c r="Q860" s="42" t="str">
        <f>IFERROR(VLOOKUP($J860,'Project Reference'!$B$2:$D$41,3)," ")</f>
        <v xml:space="preserve"> </v>
      </c>
      <c r="R860" s="42" t="str">
        <f>IFERROR(VLOOKUP($J860,'Project Reference'!$B$2:$E$41,4)," ")</f>
        <v xml:space="preserve"> </v>
      </c>
      <c r="S860" s="42" t="str">
        <f>IFERROR(VLOOKUP($J860,'Project Reference'!$B$2:$F$41,5,FALSE)," ")</f>
        <v xml:space="preserve"> </v>
      </c>
      <c r="T860" s="42" t="str">
        <f>IFERROR(VLOOKUP($J860,'Project Reference'!$B$2:$G$41,6,FALSE)," ")</f>
        <v xml:space="preserve"> </v>
      </c>
      <c r="U860" s="42" t="str">
        <f>IFERROR(VLOOKUP($J860,'Project Reference'!$B$2:$H$41,7,FALSE)," ")</f>
        <v xml:space="preserve"> </v>
      </c>
      <c r="V860" s="42" t="str">
        <f>IFERROR(VLOOKUP($J860,'Project Reference'!$B$2:$I$41,8,FALSE)," ")</f>
        <v xml:space="preserve"> </v>
      </c>
      <c r="W860" s="42" t="str">
        <f>IFERROR(VLOOKUP($J860,'Project Reference'!$B$2:$J$41,9,FALSE)," ")</f>
        <v xml:space="preserve"> </v>
      </c>
      <c r="X860" s="42" t="str">
        <f>IFERROR(VLOOKUP($J860,'Project Reference'!$B$2:$K$41,10)," ")</f>
        <v xml:space="preserve"> </v>
      </c>
      <c r="Y860" s="42" t="str">
        <f>IFERROR(VLOOKUP($J860,'Project Reference'!$B$2:$L$41,11)," ")</f>
        <v xml:space="preserve"> </v>
      </c>
      <c r="Z860" s="42" t="str">
        <f>IFERROR(VLOOKUP($J860,'Project Reference'!$B$2:$M$41,12)," ")</f>
        <v xml:space="preserve"> </v>
      </c>
      <c r="AA860" s="42" t="str">
        <f>IFERROR(VLOOKUP($J860,'Project Reference'!$B$2:$N$41,13)," ")</f>
        <v xml:space="preserve"> </v>
      </c>
    </row>
    <row r="861" spans="1:27" x14ac:dyDescent="0.45">
      <c r="A861" s="43"/>
      <c r="B861" s="205"/>
      <c r="C861"/>
      <c r="D861" s="72"/>
      <c r="E861" s="72"/>
      <c r="F861" s="72"/>
      <c r="G861" s="72"/>
      <c r="H861" s="17"/>
      <c r="I861" s="41" t="str" cm="1">
        <f t="array" ref="I861">IFERROR(_xlfn.IFS(H861="Hard (Cash)","N/A",H861="Soft (In-Kind)", "Enter Source"),"Select Type")</f>
        <v>Select Type</v>
      </c>
      <c r="J861" s="124"/>
      <c r="K861" s="41" t="str">
        <f>IFERROR(VLOOKUP($J861,'Project Reference'!$S$2:$T$41,2),"Enter Project Number")</f>
        <v>Enter Project Number</v>
      </c>
      <c r="L861" s="41"/>
      <c r="M861" s="41"/>
      <c r="N861" s="15">
        <f t="shared" si="13"/>
        <v>0</v>
      </c>
      <c r="O861" s="19"/>
      <c r="P861" s="42" t="str">
        <f>IFERROR(VLOOKUP($J861,'Project Reference'!$B$2:$C$41,2)," ")</f>
        <v xml:space="preserve"> </v>
      </c>
      <c r="Q861" s="42" t="str">
        <f>IFERROR(VLOOKUP($J861,'Project Reference'!$B$2:$D$41,3)," ")</f>
        <v xml:space="preserve"> </v>
      </c>
      <c r="R861" s="42" t="str">
        <f>IFERROR(VLOOKUP($J861,'Project Reference'!$B$2:$E$41,4)," ")</f>
        <v xml:space="preserve"> </v>
      </c>
      <c r="S861" s="42" t="str">
        <f>IFERROR(VLOOKUP($J861,'Project Reference'!$B$2:$F$41,5,FALSE)," ")</f>
        <v xml:space="preserve"> </v>
      </c>
      <c r="T861" s="42" t="str">
        <f>IFERROR(VLOOKUP($J861,'Project Reference'!$B$2:$G$41,6,FALSE)," ")</f>
        <v xml:space="preserve"> </v>
      </c>
      <c r="U861" s="42" t="str">
        <f>IFERROR(VLOOKUP($J861,'Project Reference'!$B$2:$H$41,7,FALSE)," ")</f>
        <v xml:space="preserve"> </v>
      </c>
      <c r="V861" s="42" t="str">
        <f>IFERROR(VLOOKUP($J861,'Project Reference'!$B$2:$I$41,8,FALSE)," ")</f>
        <v xml:space="preserve"> </v>
      </c>
      <c r="W861" s="42" t="str">
        <f>IFERROR(VLOOKUP($J861,'Project Reference'!$B$2:$J$41,9,FALSE)," ")</f>
        <v xml:space="preserve"> </v>
      </c>
      <c r="X861" s="42" t="str">
        <f>IFERROR(VLOOKUP($J861,'Project Reference'!$B$2:$K$41,10)," ")</f>
        <v xml:space="preserve"> </v>
      </c>
      <c r="Y861" s="42" t="str">
        <f>IFERROR(VLOOKUP($J861,'Project Reference'!$B$2:$L$41,11)," ")</f>
        <v xml:space="preserve"> </v>
      </c>
      <c r="Z861" s="42" t="str">
        <f>IFERROR(VLOOKUP($J861,'Project Reference'!$B$2:$M$41,12)," ")</f>
        <v xml:space="preserve"> </v>
      </c>
      <c r="AA861" s="42" t="str">
        <f>IFERROR(VLOOKUP($J861,'Project Reference'!$B$2:$N$41,13)," ")</f>
        <v xml:space="preserve"> </v>
      </c>
    </row>
    <row r="862" spans="1:27" x14ac:dyDescent="0.45">
      <c r="A862" s="43"/>
      <c r="B862" s="205"/>
      <c r="C862"/>
      <c r="D862" s="72"/>
      <c r="E862" s="72"/>
      <c r="F862" s="72"/>
      <c r="G862" s="72"/>
      <c r="H862" s="17"/>
      <c r="I862" s="41" t="str" cm="1">
        <f t="array" ref="I862">IFERROR(_xlfn.IFS(H862="Hard (Cash)","N/A",H862="Soft (In-Kind)", "Enter Source"),"Select Type")</f>
        <v>Select Type</v>
      </c>
      <c r="J862" s="124"/>
      <c r="K862" s="41" t="str">
        <f>IFERROR(VLOOKUP($J862,'Project Reference'!$S$2:$T$41,2),"Enter Project Number")</f>
        <v>Enter Project Number</v>
      </c>
      <c r="L862" s="41"/>
      <c r="M862" s="41"/>
      <c r="N862" s="15">
        <f t="shared" si="13"/>
        <v>0</v>
      </c>
      <c r="O862" s="19"/>
      <c r="P862" s="42" t="str">
        <f>IFERROR(VLOOKUP($J862,'Project Reference'!$B$2:$C$41,2)," ")</f>
        <v xml:space="preserve"> </v>
      </c>
      <c r="Q862" s="42" t="str">
        <f>IFERROR(VLOOKUP($J862,'Project Reference'!$B$2:$D$41,3)," ")</f>
        <v xml:space="preserve"> </v>
      </c>
      <c r="R862" s="42" t="str">
        <f>IFERROR(VLOOKUP($J862,'Project Reference'!$B$2:$E$41,4)," ")</f>
        <v xml:space="preserve"> </v>
      </c>
      <c r="S862" s="42" t="str">
        <f>IFERROR(VLOOKUP($J862,'Project Reference'!$B$2:$F$41,5,FALSE)," ")</f>
        <v xml:space="preserve"> </v>
      </c>
      <c r="T862" s="42" t="str">
        <f>IFERROR(VLOOKUP($J862,'Project Reference'!$B$2:$G$41,6,FALSE)," ")</f>
        <v xml:space="preserve"> </v>
      </c>
      <c r="U862" s="42" t="str">
        <f>IFERROR(VLOOKUP($J862,'Project Reference'!$B$2:$H$41,7,FALSE)," ")</f>
        <v xml:space="preserve"> </v>
      </c>
      <c r="V862" s="42" t="str">
        <f>IFERROR(VLOOKUP($J862,'Project Reference'!$B$2:$I$41,8,FALSE)," ")</f>
        <v xml:space="preserve"> </v>
      </c>
      <c r="W862" s="42" t="str">
        <f>IFERROR(VLOOKUP($J862,'Project Reference'!$B$2:$J$41,9,FALSE)," ")</f>
        <v xml:space="preserve"> </v>
      </c>
      <c r="X862" s="42" t="str">
        <f>IFERROR(VLOOKUP($J862,'Project Reference'!$B$2:$K$41,10)," ")</f>
        <v xml:space="preserve"> </v>
      </c>
      <c r="Y862" s="42" t="str">
        <f>IFERROR(VLOOKUP($J862,'Project Reference'!$B$2:$L$41,11)," ")</f>
        <v xml:space="preserve"> </v>
      </c>
      <c r="Z862" s="42" t="str">
        <f>IFERROR(VLOOKUP($J862,'Project Reference'!$B$2:$M$41,12)," ")</f>
        <v xml:space="preserve"> </v>
      </c>
      <c r="AA862" s="42" t="str">
        <f>IFERROR(VLOOKUP($J862,'Project Reference'!$B$2:$N$41,13)," ")</f>
        <v xml:space="preserve"> </v>
      </c>
    </row>
    <row r="863" spans="1:27" x14ac:dyDescent="0.45">
      <c r="A863" s="43"/>
      <c r="B863" s="205"/>
      <c r="C863"/>
      <c r="D863" s="72"/>
      <c r="E863" s="72"/>
      <c r="F863" s="72"/>
      <c r="G863" s="72"/>
      <c r="H863" s="17"/>
      <c r="I863" s="41" t="str" cm="1">
        <f t="array" ref="I863">IFERROR(_xlfn.IFS(H863="Hard (Cash)","N/A",H863="Soft (In-Kind)", "Enter Source"),"Select Type")</f>
        <v>Select Type</v>
      </c>
      <c r="J863" s="124"/>
      <c r="K863" s="41" t="str">
        <f>IFERROR(VLOOKUP($J863,'Project Reference'!$S$2:$T$41,2),"Enter Project Number")</f>
        <v>Enter Project Number</v>
      </c>
      <c r="L863" s="41"/>
      <c r="M863" s="41"/>
      <c r="N863" s="15">
        <f t="shared" si="13"/>
        <v>0</v>
      </c>
      <c r="O863" s="19"/>
      <c r="P863" s="42" t="str">
        <f>IFERROR(VLOOKUP($J863,'Project Reference'!$B$2:$C$41,2)," ")</f>
        <v xml:space="preserve"> </v>
      </c>
      <c r="Q863" s="42" t="str">
        <f>IFERROR(VLOOKUP($J863,'Project Reference'!$B$2:$D$41,3)," ")</f>
        <v xml:space="preserve"> </v>
      </c>
      <c r="R863" s="42" t="str">
        <f>IFERROR(VLOOKUP($J863,'Project Reference'!$B$2:$E$41,4)," ")</f>
        <v xml:space="preserve"> </v>
      </c>
      <c r="S863" s="42" t="str">
        <f>IFERROR(VLOOKUP($J863,'Project Reference'!$B$2:$F$41,5,FALSE)," ")</f>
        <v xml:space="preserve"> </v>
      </c>
      <c r="T863" s="42" t="str">
        <f>IFERROR(VLOOKUP($J863,'Project Reference'!$B$2:$G$41,6,FALSE)," ")</f>
        <v xml:space="preserve"> </v>
      </c>
      <c r="U863" s="42" t="str">
        <f>IFERROR(VLOOKUP($J863,'Project Reference'!$B$2:$H$41,7,FALSE)," ")</f>
        <v xml:space="preserve"> </v>
      </c>
      <c r="V863" s="42" t="str">
        <f>IFERROR(VLOOKUP($J863,'Project Reference'!$B$2:$I$41,8,FALSE)," ")</f>
        <v xml:space="preserve"> </v>
      </c>
      <c r="W863" s="42" t="str">
        <f>IFERROR(VLOOKUP($J863,'Project Reference'!$B$2:$J$41,9,FALSE)," ")</f>
        <v xml:space="preserve"> </v>
      </c>
      <c r="X863" s="42" t="str">
        <f>IFERROR(VLOOKUP($J863,'Project Reference'!$B$2:$K$41,10)," ")</f>
        <v xml:space="preserve"> </v>
      </c>
      <c r="Y863" s="42" t="str">
        <f>IFERROR(VLOOKUP($J863,'Project Reference'!$B$2:$L$41,11)," ")</f>
        <v xml:space="preserve"> </v>
      </c>
      <c r="Z863" s="42" t="str">
        <f>IFERROR(VLOOKUP($J863,'Project Reference'!$B$2:$M$41,12)," ")</f>
        <v xml:space="preserve"> </v>
      </c>
      <c r="AA863" s="42" t="str">
        <f>IFERROR(VLOOKUP($J863,'Project Reference'!$B$2:$N$41,13)," ")</f>
        <v xml:space="preserve"> </v>
      </c>
    </row>
    <row r="864" spans="1:27" x14ac:dyDescent="0.45">
      <c r="A864" s="43"/>
      <c r="B864" s="205"/>
      <c r="C864"/>
      <c r="D864" s="72"/>
      <c r="E864" s="72"/>
      <c r="F864" s="72"/>
      <c r="G864" s="72"/>
      <c r="H864" s="17"/>
      <c r="I864" s="41" t="str" cm="1">
        <f t="array" ref="I864">IFERROR(_xlfn.IFS(H864="Hard (Cash)","N/A",H864="Soft (In-Kind)", "Enter Source"),"Select Type")</f>
        <v>Select Type</v>
      </c>
      <c r="J864" s="124"/>
      <c r="K864" s="41" t="str">
        <f>IFERROR(VLOOKUP($J864,'Project Reference'!$S$2:$T$41,2),"Enter Project Number")</f>
        <v>Enter Project Number</v>
      </c>
      <c r="L864" s="41"/>
      <c r="M864" s="41"/>
      <c r="N864" s="15">
        <f t="shared" si="13"/>
        <v>0</v>
      </c>
      <c r="O864" s="19"/>
      <c r="P864" s="42" t="str">
        <f>IFERROR(VLOOKUP($J864,'Project Reference'!$B$2:$C$41,2)," ")</f>
        <v xml:space="preserve"> </v>
      </c>
      <c r="Q864" s="42" t="str">
        <f>IFERROR(VLOOKUP($J864,'Project Reference'!$B$2:$D$41,3)," ")</f>
        <v xml:space="preserve"> </v>
      </c>
      <c r="R864" s="42" t="str">
        <f>IFERROR(VLOOKUP($J864,'Project Reference'!$B$2:$E$41,4)," ")</f>
        <v xml:space="preserve"> </v>
      </c>
      <c r="S864" s="42" t="str">
        <f>IFERROR(VLOOKUP($J864,'Project Reference'!$B$2:$F$41,5,FALSE)," ")</f>
        <v xml:space="preserve"> </v>
      </c>
      <c r="T864" s="42" t="str">
        <f>IFERROR(VLOOKUP($J864,'Project Reference'!$B$2:$G$41,6,FALSE)," ")</f>
        <v xml:space="preserve"> </v>
      </c>
      <c r="U864" s="42" t="str">
        <f>IFERROR(VLOOKUP($J864,'Project Reference'!$B$2:$H$41,7,FALSE)," ")</f>
        <v xml:space="preserve"> </v>
      </c>
      <c r="V864" s="42" t="str">
        <f>IFERROR(VLOOKUP($J864,'Project Reference'!$B$2:$I$41,8,FALSE)," ")</f>
        <v xml:space="preserve"> </v>
      </c>
      <c r="W864" s="42" t="str">
        <f>IFERROR(VLOOKUP($J864,'Project Reference'!$B$2:$J$41,9,FALSE)," ")</f>
        <v xml:space="preserve"> </v>
      </c>
      <c r="X864" s="42" t="str">
        <f>IFERROR(VLOOKUP($J864,'Project Reference'!$B$2:$K$41,10)," ")</f>
        <v xml:space="preserve"> </v>
      </c>
      <c r="Y864" s="42" t="str">
        <f>IFERROR(VLOOKUP($J864,'Project Reference'!$B$2:$L$41,11)," ")</f>
        <v xml:space="preserve"> </v>
      </c>
      <c r="Z864" s="42" t="str">
        <f>IFERROR(VLOOKUP($J864,'Project Reference'!$B$2:$M$41,12)," ")</f>
        <v xml:space="preserve"> </v>
      </c>
      <c r="AA864" s="42" t="str">
        <f>IFERROR(VLOOKUP($J864,'Project Reference'!$B$2:$N$41,13)," ")</f>
        <v xml:space="preserve"> </v>
      </c>
    </row>
    <row r="865" spans="1:27" x14ac:dyDescent="0.45">
      <c r="A865" s="43"/>
      <c r="B865" s="205"/>
      <c r="C865"/>
      <c r="D865" s="72"/>
      <c r="E865" s="72"/>
      <c r="F865" s="72"/>
      <c r="G865" s="72"/>
      <c r="H865" s="17"/>
      <c r="I865" s="41" t="str" cm="1">
        <f t="array" ref="I865">IFERROR(_xlfn.IFS(H865="Hard (Cash)","N/A",H865="Soft (In-Kind)", "Enter Source"),"Select Type")</f>
        <v>Select Type</v>
      </c>
      <c r="J865" s="124"/>
      <c r="K865" s="41" t="str">
        <f>IFERROR(VLOOKUP($J865,'Project Reference'!$S$2:$T$41,2),"Enter Project Number")</f>
        <v>Enter Project Number</v>
      </c>
      <c r="L865" s="41"/>
      <c r="M865" s="41"/>
      <c r="N865" s="15">
        <f t="shared" si="13"/>
        <v>0</v>
      </c>
      <c r="O865" s="19"/>
      <c r="P865" s="42" t="str">
        <f>IFERROR(VLOOKUP($J865,'Project Reference'!$B$2:$C$41,2)," ")</f>
        <v xml:space="preserve"> </v>
      </c>
      <c r="Q865" s="42" t="str">
        <f>IFERROR(VLOOKUP($J865,'Project Reference'!$B$2:$D$41,3)," ")</f>
        <v xml:space="preserve"> </v>
      </c>
      <c r="R865" s="42" t="str">
        <f>IFERROR(VLOOKUP($J865,'Project Reference'!$B$2:$E$41,4)," ")</f>
        <v xml:space="preserve"> </v>
      </c>
      <c r="S865" s="42" t="str">
        <f>IFERROR(VLOOKUP($J865,'Project Reference'!$B$2:$F$41,5,FALSE)," ")</f>
        <v xml:space="preserve"> </v>
      </c>
      <c r="T865" s="42" t="str">
        <f>IFERROR(VLOOKUP($J865,'Project Reference'!$B$2:$G$41,6,FALSE)," ")</f>
        <v xml:space="preserve"> </v>
      </c>
      <c r="U865" s="42" t="str">
        <f>IFERROR(VLOOKUP($J865,'Project Reference'!$B$2:$H$41,7,FALSE)," ")</f>
        <v xml:space="preserve"> </v>
      </c>
      <c r="V865" s="42" t="str">
        <f>IFERROR(VLOOKUP($J865,'Project Reference'!$B$2:$I$41,8,FALSE)," ")</f>
        <v xml:space="preserve"> </v>
      </c>
      <c r="W865" s="42" t="str">
        <f>IFERROR(VLOOKUP($J865,'Project Reference'!$B$2:$J$41,9,FALSE)," ")</f>
        <v xml:space="preserve"> </v>
      </c>
      <c r="X865" s="42" t="str">
        <f>IFERROR(VLOOKUP($J865,'Project Reference'!$B$2:$K$41,10)," ")</f>
        <v xml:space="preserve"> </v>
      </c>
      <c r="Y865" s="42" t="str">
        <f>IFERROR(VLOOKUP($J865,'Project Reference'!$B$2:$L$41,11)," ")</f>
        <v xml:space="preserve"> </v>
      </c>
      <c r="Z865" s="42" t="str">
        <f>IFERROR(VLOOKUP($J865,'Project Reference'!$B$2:$M$41,12)," ")</f>
        <v xml:space="preserve"> </v>
      </c>
      <c r="AA865" s="42" t="str">
        <f>IFERROR(VLOOKUP($J865,'Project Reference'!$B$2:$N$41,13)," ")</f>
        <v xml:space="preserve"> </v>
      </c>
    </row>
    <row r="866" spans="1:27" x14ac:dyDescent="0.45">
      <c r="A866" s="43"/>
      <c r="B866" s="205"/>
      <c r="C866"/>
      <c r="D866" s="72"/>
      <c r="E866" s="72"/>
      <c r="F866" s="72"/>
      <c r="G866" s="72"/>
      <c r="H866" s="17"/>
      <c r="I866" s="41" t="str" cm="1">
        <f t="array" ref="I866">IFERROR(_xlfn.IFS(H866="Hard (Cash)","N/A",H866="Soft (In-Kind)", "Enter Source"),"Select Type")</f>
        <v>Select Type</v>
      </c>
      <c r="J866" s="124"/>
      <c r="K866" s="41" t="str">
        <f>IFERROR(VLOOKUP($J866,'Project Reference'!$S$2:$T$41,2),"Enter Project Number")</f>
        <v>Enter Project Number</v>
      </c>
      <c r="L866" s="41"/>
      <c r="M866" s="41"/>
      <c r="N866" s="15">
        <f t="shared" si="13"/>
        <v>0</v>
      </c>
      <c r="O866" s="19"/>
      <c r="P866" s="42" t="str">
        <f>IFERROR(VLOOKUP($J866,'Project Reference'!$B$2:$C$41,2)," ")</f>
        <v xml:space="preserve"> </v>
      </c>
      <c r="Q866" s="42" t="str">
        <f>IFERROR(VLOOKUP($J866,'Project Reference'!$B$2:$D$41,3)," ")</f>
        <v xml:space="preserve"> </v>
      </c>
      <c r="R866" s="42" t="str">
        <f>IFERROR(VLOOKUP($J866,'Project Reference'!$B$2:$E$41,4)," ")</f>
        <v xml:space="preserve"> </v>
      </c>
      <c r="S866" s="42" t="str">
        <f>IFERROR(VLOOKUP($J866,'Project Reference'!$B$2:$F$41,5,FALSE)," ")</f>
        <v xml:space="preserve"> </v>
      </c>
      <c r="T866" s="42" t="str">
        <f>IFERROR(VLOOKUP($J866,'Project Reference'!$B$2:$G$41,6,FALSE)," ")</f>
        <v xml:space="preserve"> </v>
      </c>
      <c r="U866" s="42" t="str">
        <f>IFERROR(VLOOKUP($J866,'Project Reference'!$B$2:$H$41,7,FALSE)," ")</f>
        <v xml:space="preserve"> </v>
      </c>
      <c r="V866" s="42" t="str">
        <f>IFERROR(VLOOKUP($J866,'Project Reference'!$B$2:$I$41,8,FALSE)," ")</f>
        <v xml:space="preserve"> </v>
      </c>
      <c r="W866" s="42" t="str">
        <f>IFERROR(VLOOKUP($J866,'Project Reference'!$B$2:$J$41,9,FALSE)," ")</f>
        <v xml:space="preserve"> </v>
      </c>
      <c r="X866" s="42" t="str">
        <f>IFERROR(VLOOKUP($J866,'Project Reference'!$B$2:$K$41,10)," ")</f>
        <v xml:space="preserve"> </v>
      </c>
      <c r="Y866" s="42" t="str">
        <f>IFERROR(VLOOKUP($J866,'Project Reference'!$B$2:$L$41,11)," ")</f>
        <v xml:space="preserve"> </v>
      </c>
      <c r="Z866" s="42" t="str">
        <f>IFERROR(VLOOKUP($J866,'Project Reference'!$B$2:$M$41,12)," ")</f>
        <v xml:space="preserve"> </v>
      </c>
      <c r="AA866" s="42" t="str">
        <f>IFERROR(VLOOKUP($J866,'Project Reference'!$B$2:$N$41,13)," ")</f>
        <v xml:space="preserve"> </v>
      </c>
    </row>
    <row r="867" spans="1:27" x14ac:dyDescent="0.45">
      <c r="A867" s="43"/>
      <c r="B867" s="205"/>
      <c r="C867"/>
      <c r="D867" s="72"/>
      <c r="E867" s="72"/>
      <c r="F867" s="72"/>
      <c r="G867" s="72"/>
      <c r="H867" s="17"/>
      <c r="I867" s="41" t="str" cm="1">
        <f t="array" ref="I867">IFERROR(_xlfn.IFS(H867="Hard (Cash)","N/A",H867="Soft (In-Kind)", "Enter Source"),"Select Type")</f>
        <v>Select Type</v>
      </c>
      <c r="J867" s="124"/>
      <c r="K867" s="41" t="str">
        <f>IFERROR(VLOOKUP($J867,'Project Reference'!$S$2:$T$41,2),"Enter Project Number")</f>
        <v>Enter Project Number</v>
      </c>
      <c r="L867" s="41"/>
      <c r="M867" s="41"/>
      <c r="N867" s="15">
        <f t="shared" si="13"/>
        <v>0</v>
      </c>
      <c r="O867" s="19"/>
      <c r="P867" s="42" t="str">
        <f>IFERROR(VLOOKUP($J867,'Project Reference'!$B$2:$C$41,2)," ")</f>
        <v xml:space="preserve"> </v>
      </c>
      <c r="Q867" s="42" t="str">
        <f>IFERROR(VLOOKUP($J867,'Project Reference'!$B$2:$D$41,3)," ")</f>
        <v xml:space="preserve"> </v>
      </c>
      <c r="R867" s="42" t="str">
        <f>IFERROR(VLOOKUP($J867,'Project Reference'!$B$2:$E$41,4)," ")</f>
        <v xml:space="preserve"> </v>
      </c>
      <c r="S867" s="42" t="str">
        <f>IFERROR(VLOOKUP($J867,'Project Reference'!$B$2:$F$41,5,FALSE)," ")</f>
        <v xml:space="preserve"> </v>
      </c>
      <c r="T867" s="42" t="str">
        <f>IFERROR(VLOOKUP($J867,'Project Reference'!$B$2:$G$41,6,FALSE)," ")</f>
        <v xml:space="preserve"> </v>
      </c>
      <c r="U867" s="42" t="str">
        <f>IFERROR(VLOOKUP($J867,'Project Reference'!$B$2:$H$41,7,FALSE)," ")</f>
        <v xml:space="preserve"> </v>
      </c>
      <c r="V867" s="42" t="str">
        <f>IFERROR(VLOOKUP($J867,'Project Reference'!$B$2:$I$41,8,FALSE)," ")</f>
        <v xml:space="preserve"> </v>
      </c>
      <c r="W867" s="42" t="str">
        <f>IFERROR(VLOOKUP($J867,'Project Reference'!$B$2:$J$41,9,FALSE)," ")</f>
        <v xml:space="preserve"> </v>
      </c>
      <c r="X867" s="42" t="str">
        <f>IFERROR(VLOOKUP($J867,'Project Reference'!$B$2:$K$41,10)," ")</f>
        <v xml:space="preserve"> </v>
      </c>
      <c r="Y867" s="42" t="str">
        <f>IFERROR(VLOOKUP($J867,'Project Reference'!$B$2:$L$41,11)," ")</f>
        <v xml:space="preserve"> </v>
      </c>
      <c r="Z867" s="42" t="str">
        <f>IFERROR(VLOOKUP($J867,'Project Reference'!$B$2:$M$41,12)," ")</f>
        <v xml:space="preserve"> </v>
      </c>
      <c r="AA867" s="42" t="str">
        <f>IFERROR(VLOOKUP($J867,'Project Reference'!$B$2:$N$41,13)," ")</f>
        <v xml:space="preserve"> </v>
      </c>
    </row>
    <row r="868" spans="1:27" x14ac:dyDescent="0.45">
      <c r="A868" s="43"/>
      <c r="B868" s="205"/>
      <c r="C868"/>
      <c r="D868" s="72"/>
      <c r="E868" s="72"/>
      <c r="F868" s="72"/>
      <c r="G868" s="72"/>
      <c r="H868" s="17"/>
      <c r="I868" s="41" t="str" cm="1">
        <f t="array" ref="I868">IFERROR(_xlfn.IFS(H868="Hard (Cash)","N/A",H868="Soft (In-Kind)", "Enter Source"),"Select Type")</f>
        <v>Select Type</v>
      </c>
      <c r="J868" s="124"/>
      <c r="K868" s="41" t="str">
        <f>IFERROR(VLOOKUP($J868,'Project Reference'!$S$2:$T$41,2),"Enter Project Number")</f>
        <v>Enter Project Number</v>
      </c>
      <c r="L868" s="41"/>
      <c r="M868" s="41"/>
      <c r="N868" s="15">
        <f t="shared" si="13"/>
        <v>0</v>
      </c>
      <c r="O868" s="19"/>
      <c r="P868" s="42" t="str">
        <f>IFERROR(VLOOKUP($J868,'Project Reference'!$B$2:$C$41,2)," ")</f>
        <v xml:space="preserve"> </v>
      </c>
      <c r="Q868" s="42" t="str">
        <f>IFERROR(VLOOKUP($J868,'Project Reference'!$B$2:$D$41,3)," ")</f>
        <v xml:space="preserve"> </v>
      </c>
      <c r="R868" s="42" t="str">
        <f>IFERROR(VLOOKUP($J868,'Project Reference'!$B$2:$E$41,4)," ")</f>
        <v xml:space="preserve"> </v>
      </c>
      <c r="S868" s="42" t="str">
        <f>IFERROR(VLOOKUP($J868,'Project Reference'!$B$2:$F$41,5,FALSE)," ")</f>
        <v xml:space="preserve"> </v>
      </c>
      <c r="T868" s="42" t="str">
        <f>IFERROR(VLOOKUP($J868,'Project Reference'!$B$2:$G$41,6,FALSE)," ")</f>
        <v xml:space="preserve"> </v>
      </c>
      <c r="U868" s="42" t="str">
        <f>IFERROR(VLOOKUP($J868,'Project Reference'!$B$2:$H$41,7,FALSE)," ")</f>
        <v xml:space="preserve"> </v>
      </c>
      <c r="V868" s="42" t="str">
        <f>IFERROR(VLOOKUP($J868,'Project Reference'!$B$2:$I$41,8,FALSE)," ")</f>
        <v xml:space="preserve"> </v>
      </c>
      <c r="W868" s="42" t="str">
        <f>IFERROR(VLOOKUP($J868,'Project Reference'!$B$2:$J$41,9,FALSE)," ")</f>
        <v xml:space="preserve"> </v>
      </c>
      <c r="X868" s="42" t="str">
        <f>IFERROR(VLOOKUP($J868,'Project Reference'!$B$2:$K$41,10)," ")</f>
        <v xml:space="preserve"> </v>
      </c>
      <c r="Y868" s="42" t="str">
        <f>IFERROR(VLOOKUP($J868,'Project Reference'!$B$2:$L$41,11)," ")</f>
        <v xml:space="preserve"> </v>
      </c>
      <c r="Z868" s="42" t="str">
        <f>IFERROR(VLOOKUP($J868,'Project Reference'!$B$2:$M$41,12)," ")</f>
        <v xml:space="preserve"> </v>
      </c>
      <c r="AA868" s="42" t="str">
        <f>IFERROR(VLOOKUP($J868,'Project Reference'!$B$2:$N$41,13)," ")</f>
        <v xml:space="preserve"> </v>
      </c>
    </row>
    <row r="869" spans="1:27" x14ac:dyDescent="0.45">
      <c r="A869" s="43"/>
      <c r="B869" s="205"/>
      <c r="C869"/>
      <c r="D869" s="72"/>
      <c r="E869" s="72"/>
      <c r="F869" s="72"/>
      <c r="G869" s="72"/>
      <c r="H869" s="17"/>
      <c r="I869" s="41" t="str" cm="1">
        <f t="array" ref="I869">IFERROR(_xlfn.IFS(H869="Hard (Cash)","N/A",H869="Soft (In-Kind)", "Enter Source"),"Select Type")</f>
        <v>Select Type</v>
      </c>
      <c r="J869" s="124"/>
      <c r="K869" s="41" t="str">
        <f>IFERROR(VLOOKUP($J869,'Project Reference'!$S$2:$T$41,2),"Enter Project Number")</f>
        <v>Enter Project Number</v>
      </c>
      <c r="L869" s="41"/>
      <c r="M869" s="41"/>
      <c r="N869" s="15">
        <f t="shared" si="13"/>
        <v>0</v>
      </c>
      <c r="O869" s="19"/>
      <c r="P869" s="42" t="str">
        <f>IFERROR(VLOOKUP($J869,'Project Reference'!$B$2:$C$41,2)," ")</f>
        <v xml:space="preserve"> </v>
      </c>
      <c r="Q869" s="42" t="str">
        <f>IFERROR(VLOOKUP($J869,'Project Reference'!$B$2:$D$41,3)," ")</f>
        <v xml:space="preserve"> </v>
      </c>
      <c r="R869" s="42" t="str">
        <f>IFERROR(VLOOKUP($J869,'Project Reference'!$B$2:$E$41,4)," ")</f>
        <v xml:space="preserve"> </v>
      </c>
      <c r="S869" s="42" t="str">
        <f>IFERROR(VLOOKUP($J869,'Project Reference'!$B$2:$F$41,5,FALSE)," ")</f>
        <v xml:space="preserve"> </v>
      </c>
      <c r="T869" s="42" t="str">
        <f>IFERROR(VLOOKUP($J869,'Project Reference'!$B$2:$G$41,6,FALSE)," ")</f>
        <v xml:space="preserve"> </v>
      </c>
      <c r="U869" s="42" t="str">
        <f>IFERROR(VLOOKUP($J869,'Project Reference'!$B$2:$H$41,7,FALSE)," ")</f>
        <v xml:space="preserve"> </v>
      </c>
      <c r="V869" s="42" t="str">
        <f>IFERROR(VLOOKUP($J869,'Project Reference'!$B$2:$I$41,8,FALSE)," ")</f>
        <v xml:space="preserve"> </v>
      </c>
      <c r="W869" s="42" t="str">
        <f>IFERROR(VLOOKUP($J869,'Project Reference'!$B$2:$J$41,9,FALSE)," ")</f>
        <v xml:space="preserve"> </v>
      </c>
      <c r="X869" s="42" t="str">
        <f>IFERROR(VLOOKUP($J869,'Project Reference'!$B$2:$K$41,10)," ")</f>
        <v xml:space="preserve"> </v>
      </c>
      <c r="Y869" s="42" t="str">
        <f>IFERROR(VLOOKUP($J869,'Project Reference'!$B$2:$L$41,11)," ")</f>
        <v xml:space="preserve"> </v>
      </c>
      <c r="Z869" s="42" t="str">
        <f>IFERROR(VLOOKUP($J869,'Project Reference'!$B$2:$M$41,12)," ")</f>
        <v xml:space="preserve"> </v>
      </c>
      <c r="AA869" s="42" t="str">
        <f>IFERROR(VLOOKUP($J869,'Project Reference'!$B$2:$N$41,13)," ")</f>
        <v xml:space="preserve"> </v>
      </c>
    </row>
    <row r="870" spans="1:27" x14ac:dyDescent="0.45">
      <c r="A870" s="43"/>
      <c r="B870" s="205"/>
      <c r="C870"/>
      <c r="D870" s="72"/>
      <c r="E870" s="72"/>
      <c r="F870" s="72"/>
      <c r="G870" s="72"/>
      <c r="H870" s="17"/>
      <c r="I870" s="41" t="str" cm="1">
        <f t="array" ref="I870">IFERROR(_xlfn.IFS(H870="Hard (Cash)","N/A",H870="Soft (In-Kind)", "Enter Source"),"Select Type")</f>
        <v>Select Type</v>
      </c>
      <c r="J870" s="124"/>
      <c r="K870" s="41" t="str">
        <f>IFERROR(VLOOKUP($J870,'Project Reference'!$S$2:$T$41,2),"Enter Project Number")</f>
        <v>Enter Project Number</v>
      </c>
      <c r="L870" s="41"/>
      <c r="M870" s="41"/>
      <c r="N870" s="15">
        <f t="shared" si="13"/>
        <v>0</v>
      </c>
      <c r="O870" s="19"/>
      <c r="P870" s="42" t="str">
        <f>IFERROR(VLOOKUP($J870,'Project Reference'!$B$2:$C$41,2)," ")</f>
        <v xml:space="preserve"> </v>
      </c>
      <c r="Q870" s="42" t="str">
        <f>IFERROR(VLOOKUP($J870,'Project Reference'!$B$2:$D$41,3)," ")</f>
        <v xml:space="preserve"> </v>
      </c>
      <c r="R870" s="42" t="str">
        <f>IFERROR(VLOOKUP($J870,'Project Reference'!$B$2:$E$41,4)," ")</f>
        <v xml:space="preserve"> </v>
      </c>
      <c r="S870" s="42" t="str">
        <f>IFERROR(VLOOKUP($J870,'Project Reference'!$B$2:$F$41,5,FALSE)," ")</f>
        <v xml:space="preserve"> </v>
      </c>
      <c r="T870" s="42" t="str">
        <f>IFERROR(VLOOKUP($J870,'Project Reference'!$B$2:$G$41,6,FALSE)," ")</f>
        <v xml:space="preserve"> </v>
      </c>
      <c r="U870" s="42" t="str">
        <f>IFERROR(VLOOKUP($J870,'Project Reference'!$B$2:$H$41,7,FALSE)," ")</f>
        <v xml:space="preserve"> </v>
      </c>
      <c r="V870" s="42" t="str">
        <f>IFERROR(VLOOKUP($J870,'Project Reference'!$B$2:$I$41,8,FALSE)," ")</f>
        <v xml:space="preserve"> </v>
      </c>
      <c r="W870" s="42" t="str">
        <f>IFERROR(VLOOKUP($J870,'Project Reference'!$B$2:$J$41,9,FALSE)," ")</f>
        <v xml:space="preserve"> </v>
      </c>
      <c r="X870" s="42" t="str">
        <f>IFERROR(VLOOKUP($J870,'Project Reference'!$B$2:$K$41,10)," ")</f>
        <v xml:space="preserve"> </v>
      </c>
      <c r="Y870" s="42" t="str">
        <f>IFERROR(VLOOKUP($J870,'Project Reference'!$B$2:$L$41,11)," ")</f>
        <v xml:space="preserve"> </v>
      </c>
      <c r="Z870" s="42" t="str">
        <f>IFERROR(VLOOKUP($J870,'Project Reference'!$B$2:$M$41,12)," ")</f>
        <v xml:space="preserve"> </v>
      </c>
      <c r="AA870" s="42" t="str">
        <f>IFERROR(VLOOKUP($J870,'Project Reference'!$B$2:$N$41,13)," ")</f>
        <v xml:space="preserve"> </v>
      </c>
    </row>
    <row r="871" spans="1:27" x14ac:dyDescent="0.45">
      <c r="A871" s="43"/>
      <c r="B871" s="205"/>
      <c r="C871"/>
      <c r="D871" s="72"/>
      <c r="E871" s="72"/>
      <c r="F871" s="72"/>
      <c r="G871" s="72"/>
      <c r="H871" s="17"/>
      <c r="I871" s="41" t="str" cm="1">
        <f t="array" ref="I871">IFERROR(_xlfn.IFS(H871="Hard (Cash)","N/A",H871="Soft (In-Kind)", "Enter Source"),"Select Type")</f>
        <v>Select Type</v>
      </c>
      <c r="J871" s="124"/>
      <c r="K871" s="41" t="str">
        <f>IFERROR(VLOOKUP($J871,'Project Reference'!$S$2:$T$41,2),"Enter Project Number")</f>
        <v>Enter Project Number</v>
      </c>
      <c r="L871" s="41"/>
      <c r="M871" s="41"/>
      <c r="N871" s="15">
        <f t="shared" si="13"/>
        <v>0</v>
      </c>
      <c r="O871" s="19"/>
      <c r="P871" s="42" t="str">
        <f>IFERROR(VLOOKUP($J871,'Project Reference'!$B$2:$C$41,2)," ")</f>
        <v xml:space="preserve"> </v>
      </c>
      <c r="Q871" s="42" t="str">
        <f>IFERROR(VLOOKUP($J871,'Project Reference'!$B$2:$D$41,3)," ")</f>
        <v xml:space="preserve"> </v>
      </c>
      <c r="R871" s="42" t="str">
        <f>IFERROR(VLOOKUP($J871,'Project Reference'!$B$2:$E$41,4)," ")</f>
        <v xml:space="preserve"> </v>
      </c>
      <c r="S871" s="42" t="str">
        <f>IFERROR(VLOOKUP($J871,'Project Reference'!$B$2:$F$41,5,FALSE)," ")</f>
        <v xml:space="preserve"> </v>
      </c>
      <c r="T871" s="42" t="str">
        <f>IFERROR(VLOOKUP($J871,'Project Reference'!$B$2:$G$41,6,FALSE)," ")</f>
        <v xml:space="preserve"> </v>
      </c>
      <c r="U871" s="42" t="str">
        <f>IFERROR(VLOOKUP($J871,'Project Reference'!$B$2:$H$41,7,FALSE)," ")</f>
        <v xml:space="preserve"> </v>
      </c>
      <c r="V871" s="42" t="str">
        <f>IFERROR(VLOOKUP($J871,'Project Reference'!$B$2:$I$41,8,FALSE)," ")</f>
        <v xml:space="preserve"> </v>
      </c>
      <c r="W871" s="42" t="str">
        <f>IFERROR(VLOOKUP($J871,'Project Reference'!$B$2:$J$41,9,FALSE)," ")</f>
        <v xml:space="preserve"> </v>
      </c>
      <c r="X871" s="42" t="str">
        <f>IFERROR(VLOOKUP($J871,'Project Reference'!$B$2:$K$41,10)," ")</f>
        <v xml:space="preserve"> </v>
      </c>
      <c r="Y871" s="42" t="str">
        <f>IFERROR(VLOOKUP($J871,'Project Reference'!$B$2:$L$41,11)," ")</f>
        <v xml:space="preserve"> </v>
      </c>
      <c r="Z871" s="42" t="str">
        <f>IFERROR(VLOOKUP($J871,'Project Reference'!$B$2:$M$41,12)," ")</f>
        <v xml:space="preserve"> </v>
      </c>
      <c r="AA871" s="42" t="str">
        <f>IFERROR(VLOOKUP($J871,'Project Reference'!$B$2:$N$41,13)," ")</f>
        <v xml:space="preserve"> </v>
      </c>
    </row>
    <row r="872" spans="1:27" x14ac:dyDescent="0.45">
      <c r="A872" s="43"/>
      <c r="B872" s="205"/>
      <c r="C872"/>
      <c r="D872" s="72"/>
      <c r="E872" s="72"/>
      <c r="F872" s="72"/>
      <c r="G872" s="72"/>
      <c r="H872" s="17"/>
      <c r="I872" s="41" t="str" cm="1">
        <f t="array" ref="I872">IFERROR(_xlfn.IFS(H872="Hard (Cash)","N/A",H872="Soft (In-Kind)", "Enter Source"),"Select Type")</f>
        <v>Select Type</v>
      </c>
      <c r="J872" s="124"/>
      <c r="K872" s="41" t="str">
        <f>IFERROR(VLOOKUP($J872,'Project Reference'!$S$2:$T$41,2),"Enter Project Number")</f>
        <v>Enter Project Number</v>
      </c>
      <c r="L872" s="41"/>
      <c r="M872" s="41"/>
      <c r="N872" s="15">
        <f t="shared" si="13"/>
        <v>0</v>
      </c>
      <c r="O872" s="19"/>
      <c r="P872" s="42" t="str">
        <f>IFERROR(VLOOKUP($J872,'Project Reference'!$B$2:$C$41,2)," ")</f>
        <v xml:space="preserve"> </v>
      </c>
      <c r="Q872" s="42" t="str">
        <f>IFERROR(VLOOKUP($J872,'Project Reference'!$B$2:$D$41,3)," ")</f>
        <v xml:space="preserve"> </v>
      </c>
      <c r="R872" s="42" t="str">
        <f>IFERROR(VLOOKUP($J872,'Project Reference'!$B$2:$E$41,4)," ")</f>
        <v xml:space="preserve"> </v>
      </c>
      <c r="S872" s="42" t="str">
        <f>IFERROR(VLOOKUP($J872,'Project Reference'!$B$2:$F$41,5,FALSE)," ")</f>
        <v xml:space="preserve"> </v>
      </c>
      <c r="T872" s="42" t="str">
        <f>IFERROR(VLOOKUP($J872,'Project Reference'!$B$2:$G$41,6,FALSE)," ")</f>
        <v xml:space="preserve"> </v>
      </c>
      <c r="U872" s="42" t="str">
        <f>IFERROR(VLOOKUP($J872,'Project Reference'!$B$2:$H$41,7,FALSE)," ")</f>
        <v xml:space="preserve"> </v>
      </c>
      <c r="V872" s="42" t="str">
        <f>IFERROR(VLOOKUP($J872,'Project Reference'!$B$2:$I$41,8,FALSE)," ")</f>
        <v xml:space="preserve"> </v>
      </c>
      <c r="W872" s="42" t="str">
        <f>IFERROR(VLOOKUP($J872,'Project Reference'!$B$2:$J$41,9,FALSE)," ")</f>
        <v xml:space="preserve"> </v>
      </c>
      <c r="X872" s="42" t="str">
        <f>IFERROR(VLOOKUP($J872,'Project Reference'!$B$2:$K$41,10)," ")</f>
        <v xml:space="preserve"> </v>
      </c>
      <c r="Y872" s="42" t="str">
        <f>IFERROR(VLOOKUP($J872,'Project Reference'!$B$2:$L$41,11)," ")</f>
        <v xml:space="preserve"> </v>
      </c>
      <c r="Z872" s="42" t="str">
        <f>IFERROR(VLOOKUP($J872,'Project Reference'!$B$2:$M$41,12)," ")</f>
        <v xml:space="preserve"> </v>
      </c>
      <c r="AA872" s="42" t="str">
        <f>IFERROR(VLOOKUP($J872,'Project Reference'!$B$2:$N$41,13)," ")</f>
        <v xml:space="preserve"> </v>
      </c>
    </row>
    <row r="873" spans="1:27" x14ac:dyDescent="0.45">
      <c r="A873" s="43"/>
      <c r="B873" s="205"/>
      <c r="C873"/>
      <c r="D873" s="72"/>
      <c r="E873" s="72"/>
      <c r="F873" s="72"/>
      <c r="G873" s="72"/>
      <c r="H873" s="17"/>
      <c r="I873" s="41" t="str" cm="1">
        <f t="array" ref="I873">IFERROR(_xlfn.IFS(H873="Hard (Cash)","N/A",H873="Soft (In-Kind)", "Enter Source"),"Select Type")</f>
        <v>Select Type</v>
      </c>
      <c r="J873" s="124"/>
      <c r="K873" s="41" t="str">
        <f>IFERROR(VLOOKUP($J873,'Project Reference'!$S$2:$T$41,2),"Enter Project Number")</f>
        <v>Enter Project Number</v>
      </c>
      <c r="L873" s="41"/>
      <c r="M873" s="41"/>
      <c r="N873" s="15">
        <f t="shared" si="13"/>
        <v>0</v>
      </c>
      <c r="O873" s="19"/>
      <c r="P873" s="42" t="str">
        <f>IFERROR(VLOOKUP($J873,'Project Reference'!$B$2:$C$41,2)," ")</f>
        <v xml:space="preserve"> </v>
      </c>
      <c r="Q873" s="42" t="str">
        <f>IFERROR(VLOOKUP($J873,'Project Reference'!$B$2:$D$41,3)," ")</f>
        <v xml:space="preserve"> </v>
      </c>
      <c r="R873" s="42" t="str">
        <f>IFERROR(VLOOKUP($J873,'Project Reference'!$B$2:$E$41,4)," ")</f>
        <v xml:space="preserve"> </v>
      </c>
      <c r="S873" s="42" t="str">
        <f>IFERROR(VLOOKUP($J873,'Project Reference'!$B$2:$F$41,5,FALSE)," ")</f>
        <v xml:space="preserve"> </v>
      </c>
      <c r="T873" s="42" t="str">
        <f>IFERROR(VLOOKUP($J873,'Project Reference'!$B$2:$G$41,6,FALSE)," ")</f>
        <v xml:space="preserve"> </v>
      </c>
      <c r="U873" s="42" t="str">
        <f>IFERROR(VLOOKUP($J873,'Project Reference'!$B$2:$H$41,7,FALSE)," ")</f>
        <v xml:space="preserve"> </v>
      </c>
      <c r="V873" s="42" t="str">
        <f>IFERROR(VLOOKUP($J873,'Project Reference'!$B$2:$I$41,8,FALSE)," ")</f>
        <v xml:space="preserve"> </v>
      </c>
      <c r="W873" s="42" t="str">
        <f>IFERROR(VLOOKUP($J873,'Project Reference'!$B$2:$J$41,9,FALSE)," ")</f>
        <v xml:space="preserve"> </v>
      </c>
      <c r="X873" s="42" t="str">
        <f>IFERROR(VLOOKUP($J873,'Project Reference'!$B$2:$K$41,10)," ")</f>
        <v xml:space="preserve"> </v>
      </c>
      <c r="Y873" s="42" t="str">
        <f>IFERROR(VLOOKUP($J873,'Project Reference'!$B$2:$L$41,11)," ")</f>
        <v xml:space="preserve"> </v>
      </c>
      <c r="Z873" s="42" t="str">
        <f>IFERROR(VLOOKUP($J873,'Project Reference'!$B$2:$M$41,12)," ")</f>
        <v xml:space="preserve"> </v>
      </c>
      <c r="AA873" s="42" t="str">
        <f>IFERROR(VLOOKUP($J873,'Project Reference'!$B$2:$N$41,13)," ")</f>
        <v xml:space="preserve"> </v>
      </c>
    </row>
    <row r="874" spans="1:27" x14ac:dyDescent="0.45">
      <c r="A874" s="43"/>
      <c r="B874" s="205"/>
      <c r="C874"/>
      <c r="D874" s="72"/>
      <c r="E874" s="72"/>
      <c r="F874" s="72"/>
      <c r="G874" s="72"/>
      <c r="H874" s="17"/>
      <c r="I874" s="41" t="str" cm="1">
        <f t="array" ref="I874">IFERROR(_xlfn.IFS(H874="Hard (Cash)","N/A",H874="Soft (In-Kind)", "Enter Source"),"Select Type")</f>
        <v>Select Type</v>
      </c>
      <c r="J874" s="124"/>
      <c r="K874" s="41" t="str">
        <f>IFERROR(VLOOKUP($J874,'Project Reference'!$S$2:$T$41,2),"Enter Project Number")</f>
        <v>Enter Project Number</v>
      </c>
      <c r="L874" s="41"/>
      <c r="M874" s="41"/>
      <c r="N874" s="15">
        <f t="shared" si="13"/>
        <v>0</v>
      </c>
      <c r="O874" s="19"/>
      <c r="P874" s="42" t="str">
        <f>IFERROR(VLOOKUP($J874,'Project Reference'!$B$2:$C$41,2)," ")</f>
        <v xml:space="preserve"> </v>
      </c>
      <c r="Q874" s="42" t="str">
        <f>IFERROR(VLOOKUP($J874,'Project Reference'!$B$2:$D$41,3)," ")</f>
        <v xml:space="preserve"> </v>
      </c>
      <c r="R874" s="42" t="str">
        <f>IFERROR(VLOOKUP($J874,'Project Reference'!$B$2:$E$41,4)," ")</f>
        <v xml:space="preserve"> </v>
      </c>
      <c r="S874" s="42" t="str">
        <f>IFERROR(VLOOKUP($J874,'Project Reference'!$B$2:$F$41,5,FALSE)," ")</f>
        <v xml:space="preserve"> </v>
      </c>
      <c r="T874" s="42" t="str">
        <f>IFERROR(VLOOKUP($J874,'Project Reference'!$B$2:$G$41,6,FALSE)," ")</f>
        <v xml:space="preserve"> </v>
      </c>
      <c r="U874" s="42" t="str">
        <f>IFERROR(VLOOKUP($J874,'Project Reference'!$B$2:$H$41,7,FALSE)," ")</f>
        <v xml:space="preserve"> </v>
      </c>
      <c r="V874" s="42" t="str">
        <f>IFERROR(VLOOKUP($J874,'Project Reference'!$B$2:$I$41,8,FALSE)," ")</f>
        <v xml:space="preserve"> </v>
      </c>
      <c r="W874" s="42" t="str">
        <f>IFERROR(VLOOKUP($J874,'Project Reference'!$B$2:$J$41,9,FALSE)," ")</f>
        <v xml:space="preserve"> </v>
      </c>
      <c r="X874" s="42" t="str">
        <f>IFERROR(VLOOKUP($J874,'Project Reference'!$B$2:$K$41,10)," ")</f>
        <v xml:space="preserve"> </v>
      </c>
      <c r="Y874" s="42" t="str">
        <f>IFERROR(VLOOKUP($J874,'Project Reference'!$B$2:$L$41,11)," ")</f>
        <v xml:space="preserve"> </v>
      </c>
      <c r="Z874" s="42" t="str">
        <f>IFERROR(VLOOKUP($J874,'Project Reference'!$B$2:$M$41,12)," ")</f>
        <v xml:space="preserve"> </v>
      </c>
      <c r="AA874" s="42" t="str">
        <f>IFERROR(VLOOKUP($J874,'Project Reference'!$B$2:$N$41,13)," ")</f>
        <v xml:space="preserve"> </v>
      </c>
    </row>
    <row r="875" spans="1:27" x14ac:dyDescent="0.45">
      <c r="A875" s="43"/>
      <c r="B875" s="205"/>
      <c r="C875"/>
      <c r="D875" s="72"/>
      <c r="E875" s="72"/>
      <c r="F875" s="72"/>
      <c r="G875" s="72"/>
      <c r="H875" s="17"/>
      <c r="I875" s="41" t="str" cm="1">
        <f t="array" ref="I875">IFERROR(_xlfn.IFS(H875="Hard (Cash)","N/A",H875="Soft (In-Kind)", "Enter Source"),"Select Type")</f>
        <v>Select Type</v>
      </c>
      <c r="J875" s="124"/>
      <c r="K875" s="41" t="str">
        <f>IFERROR(VLOOKUP($J875,'Project Reference'!$S$2:$T$41,2),"Enter Project Number")</f>
        <v>Enter Project Number</v>
      </c>
      <c r="L875" s="41"/>
      <c r="M875" s="41"/>
      <c r="N875" s="15">
        <f t="shared" si="13"/>
        <v>0</v>
      </c>
      <c r="O875" s="19"/>
      <c r="P875" s="42" t="str">
        <f>IFERROR(VLOOKUP($J875,'Project Reference'!$B$2:$C$41,2)," ")</f>
        <v xml:space="preserve"> </v>
      </c>
      <c r="Q875" s="42" t="str">
        <f>IFERROR(VLOOKUP($J875,'Project Reference'!$B$2:$D$41,3)," ")</f>
        <v xml:space="preserve"> </v>
      </c>
      <c r="R875" s="42" t="str">
        <f>IFERROR(VLOOKUP($J875,'Project Reference'!$B$2:$E$41,4)," ")</f>
        <v xml:space="preserve"> </v>
      </c>
      <c r="S875" s="42" t="str">
        <f>IFERROR(VLOOKUP($J875,'Project Reference'!$B$2:$F$41,5,FALSE)," ")</f>
        <v xml:space="preserve"> </v>
      </c>
      <c r="T875" s="42" t="str">
        <f>IFERROR(VLOOKUP($J875,'Project Reference'!$B$2:$G$41,6,FALSE)," ")</f>
        <v xml:space="preserve"> </v>
      </c>
      <c r="U875" s="42" t="str">
        <f>IFERROR(VLOOKUP($J875,'Project Reference'!$B$2:$H$41,7,FALSE)," ")</f>
        <v xml:space="preserve"> </v>
      </c>
      <c r="V875" s="42" t="str">
        <f>IFERROR(VLOOKUP($J875,'Project Reference'!$B$2:$I$41,8,FALSE)," ")</f>
        <v xml:space="preserve"> </v>
      </c>
      <c r="W875" s="42" t="str">
        <f>IFERROR(VLOOKUP($J875,'Project Reference'!$B$2:$J$41,9,FALSE)," ")</f>
        <v xml:space="preserve"> </v>
      </c>
      <c r="X875" s="42" t="str">
        <f>IFERROR(VLOOKUP($J875,'Project Reference'!$B$2:$K$41,10)," ")</f>
        <v xml:space="preserve"> </v>
      </c>
      <c r="Y875" s="42" t="str">
        <f>IFERROR(VLOOKUP($J875,'Project Reference'!$B$2:$L$41,11)," ")</f>
        <v xml:space="preserve"> </v>
      </c>
      <c r="Z875" s="42" t="str">
        <f>IFERROR(VLOOKUP($J875,'Project Reference'!$B$2:$M$41,12)," ")</f>
        <v xml:space="preserve"> </v>
      </c>
      <c r="AA875" s="42" t="str">
        <f>IFERROR(VLOOKUP($J875,'Project Reference'!$B$2:$N$41,13)," ")</f>
        <v xml:space="preserve"> </v>
      </c>
    </row>
    <row r="876" spans="1:27" x14ac:dyDescent="0.45">
      <c r="A876" s="43"/>
      <c r="B876" s="205"/>
      <c r="C876"/>
      <c r="D876" s="72"/>
      <c r="E876" s="72"/>
      <c r="F876" s="72"/>
      <c r="G876" s="72"/>
      <c r="H876" s="17"/>
      <c r="I876" s="41" t="str" cm="1">
        <f t="array" ref="I876">IFERROR(_xlfn.IFS(H876="Hard (Cash)","N/A",H876="Soft (In-Kind)", "Enter Source"),"Select Type")</f>
        <v>Select Type</v>
      </c>
      <c r="J876" s="124"/>
      <c r="K876" s="41" t="str">
        <f>IFERROR(VLOOKUP($J876,'Project Reference'!$S$2:$T$41,2),"Enter Project Number")</f>
        <v>Enter Project Number</v>
      </c>
      <c r="L876" s="41"/>
      <c r="M876" s="41"/>
      <c r="N876" s="15">
        <f t="shared" si="13"/>
        <v>0</v>
      </c>
      <c r="O876" s="19"/>
      <c r="P876" s="42" t="str">
        <f>IFERROR(VLOOKUP($J876,'Project Reference'!$B$2:$C$41,2)," ")</f>
        <v xml:space="preserve"> </v>
      </c>
      <c r="Q876" s="42" t="str">
        <f>IFERROR(VLOOKUP($J876,'Project Reference'!$B$2:$D$41,3)," ")</f>
        <v xml:space="preserve"> </v>
      </c>
      <c r="R876" s="42" t="str">
        <f>IFERROR(VLOOKUP($J876,'Project Reference'!$B$2:$E$41,4)," ")</f>
        <v xml:space="preserve"> </v>
      </c>
      <c r="S876" s="42" t="str">
        <f>IFERROR(VLOOKUP($J876,'Project Reference'!$B$2:$F$41,5,FALSE)," ")</f>
        <v xml:space="preserve"> </v>
      </c>
      <c r="T876" s="42" t="str">
        <f>IFERROR(VLOOKUP($J876,'Project Reference'!$B$2:$G$41,6,FALSE)," ")</f>
        <v xml:space="preserve"> </v>
      </c>
      <c r="U876" s="42" t="str">
        <f>IFERROR(VLOOKUP($J876,'Project Reference'!$B$2:$H$41,7,FALSE)," ")</f>
        <v xml:space="preserve"> </v>
      </c>
      <c r="V876" s="42" t="str">
        <f>IFERROR(VLOOKUP($J876,'Project Reference'!$B$2:$I$41,8,FALSE)," ")</f>
        <v xml:space="preserve"> </v>
      </c>
      <c r="W876" s="42" t="str">
        <f>IFERROR(VLOOKUP($J876,'Project Reference'!$B$2:$J$41,9,FALSE)," ")</f>
        <v xml:space="preserve"> </v>
      </c>
      <c r="X876" s="42" t="str">
        <f>IFERROR(VLOOKUP($J876,'Project Reference'!$B$2:$K$41,10)," ")</f>
        <v xml:space="preserve"> </v>
      </c>
      <c r="Y876" s="42" t="str">
        <f>IFERROR(VLOOKUP($J876,'Project Reference'!$B$2:$L$41,11)," ")</f>
        <v xml:space="preserve"> </v>
      </c>
      <c r="Z876" s="42" t="str">
        <f>IFERROR(VLOOKUP($J876,'Project Reference'!$B$2:$M$41,12)," ")</f>
        <v xml:space="preserve"> </v>
      </c>
      <c r="AA876" s="42" t="str">
        <f>IFERROR(VLOOKUP($J876,'Project Reference'!$B$2:$N$41,13)," ")</f>
        <v xml:space="preserve"> </v>
      </c>
    </row>
    <row r="877" spans="1:27" x14ac:dyDescent="0.45">
      <c r="A877" s="43"/>
      <c r="B877" s="205"/>
      <c r="C877"/>
      <c r="D877" s="72"/>
      <c r="E877" s="72"/>
      <c r="F877" s="72"/>
      <c r="G877" s="72"/>
      <c r="H877" s="17"/>
      <c r="I877" s="41" t="str" cm="1">
        <f t="array" ref="I877">IFERROR(_xlfn.IFS(H877="Hard (Cash)","N/A",H877="Soft (In-Kind)", "Enter Source"),"Select Type")</f>
        <v>Select Type</v>
      </c>
      <c r="J877" s="124"/>
      <c r="K877" s="41" t="str">
        <f>IFERROR(VLOOKUP($J877,'Project Reference'!$S$2:$T$41,2),"Enter Project Number")</f>
        <v>Enter Project Number</v>
      </c>
      <c r="L877" s="41"/>
      <c r="M877" s="41"/>
      <c r="N877" s="15">
        <f t="shared" si="13"/>
        <v>0</v>
      </c>
      <c r="O877" s="19"/>
      <c r="P877" s="42" t="str">
        <f>IFERROR(VLOOKUP($J877,'Project Reference'!$B$2:$C$41,2)," ")</f>
        <v xml:space="preserve"> </v>
      </c>
      <c r="Q877" s="42" t="str">
        <f>IFERROR(VLOOKUP($J877,'Project Reference'!$B$2:$D$41,3)," ")</f>
        <v xml:space="preserve"> </v>
      </c>
      <c r="R877" s="42" t="str">
        <f>IFERROR(VLOOKUP($J877,'Project Reference'!$B$2:$E$41,4)," ")</f>
        <v xml:space="preserve"> </v>
      </c>
      <c r="S877" s="42" t="str">
        <f>IFERROR(VLOOKUP($J877,'Project Reference'!$B$2:$F$41,5,FALSE)," ")</f>
        <v xml:space="preserve"> </v>
      </c>
      <c r="T877" s="42" t="str">
        <f>IFERROR(VLOOKUP($J877,'Project Reference'!$B$2:$G$41,6,FALSE)," ")</f>
        <v xml:space="preserve"> </v>
      </c>
      <c r="U877" s="42" t="str">
        <f>IFERROR(VLOOKUP($J877,'Project Reference'!$B$2:$H$41,7,FALSE)," ")</f>
        <v xml:space="preserve"> </v>
      </c>
      <c r="V877" s="42" t="str">
        <f>IFERROR(VLOOKUP($J877,'Project Reference'!$B$2:$I$41,8,FALSE)," ")</f>
        <v xml:space="preserve"> </v>
      </c>
      <c r="W877" s="42" t="str">
        <f>IFERROR(VLOOKUP($J877,'Project Reference'!$B$2:$J$41,9,FALSE)," ")</f>
        <v xml:space="preserve"> </v>
      </c>
      <c r="X877" s="42" t="str">
        <f>IFERROR(VLOOKUP($J877,'Project Reference'!$B$2:$K$41,10)," ")</f>
        <v xml:space="preserve"> </v>
      </c>
      <c r="Y877" s="42" t="str">
        <f>IFERROR(VLOOKUP($J877,'Project Reference'!$B$2:$L$41,11)," ")</f>
        <v xml:space="preserve"> </v>
      </c>
      <c r="Z877" s="42" t="str">
        <f>IFERROR(VLOOKUP($J877,'Project Reference'!$B$2:$M$41,12)," ")</f>
        <v xml:space="preserve"> </v>
      </c>
      <c r="AA877" s="42" t="str">
        <f>IFERROR(VLOOKUP($J877,'Project Reference'!$B$2:$N$41,13)," ")</f>
        <v xml:space="preserve"> </v>
      </c>
    </row>
    <row r="878" spans="1:27" x14ac:dyDescent="0.45">
      <c r="A878" s="43"/>
      <c r="B878" s="205"/>
      <c r="C878"/>
      <c r="D878" s="72"/>
      <c r="E878" s="72"/>
      <c r="F878" s="72"/>
      <c r="G878" s="72"/>
      <c r="H878" s="17"/>
      <c r="I878" s="41" t="str" cm="1">
        <f t="array" ref="I878">IFERROR(_xlfn.IFS(H878="Hard (Cash)","N/A",H878="Soft (In-Kind)", "Enter Source"),"Select Type")</f>
        <v>Select Type</v>
      </c>
      <c r="J878" s="124"/>
      <c r="K878" s="41" t="str">
        <f>IFERROR(VLOOKUP($J878,'Project Reference'!$S$2:$T$41,2),"Enter Project Number")</f>
        <v>Enter Project Number</v>
      </c>
      <c r="L878" s="41"/>
      <c r="M878" s="41"/>
      <c r="N878" s="15">
        <f t="shared" si="13"/>
        <v>0</v>
      </c>
      <c r="O878" s="19"/>
      <c r="P878" s="42" t="str">
        <f>IFERROR(VLOOKUP($J878,'Project Reference'!$B$2:$C$41,2)," ")</f>
        <v xml:space="preserve"> </v>
      </c>
      <c r="Q878" s="42" t="str">
        <f>IFERROR(VLOOKUP($J878,'Project Reference'!$B$2:$D$41,3)," ")</f>
        <v xml:space="preserve"> </v>
      </c>
      <c r="R878" s="42" t="str">
        <f>IFERROR(VLOOKUP($J878,'Project Reference'!$B$2:$E$41,4)," ")</f>
        <v xml:space="preserve"> </v>
      </c>
      <c r="S878" s="42" t="str">
        <f>IFERROR(VLOOKUP($J878,'Project Reference'!$B$2:$F$41,5,FALSE)," ")</f>
        <v xml:space="preserve"> </v>
      </c>
      <c r="T878" s="42" t="str">
        <f>IFERROR(VLOOKUP($J878,'Project Reference'!$B$2:$G$41,6,FALSE)," ")</f>
        <v xml:space="preserve"> </v>
      </c>
      <c r="U878" s="42" t="str">
        <f>IFERROR(VLOOKUP($J878,'Project Reference'!$B$2:$H$41,7,FALSE)," ")</f>
        <v xml:space="preserve"> </v>
      </c>
      <c r="V878" s="42" t="str">
        <f>IFERROR(VLOOKUP($J878,'Project Reference'!$B$2:$I$41,8,FALSE)," ")</f>
        <v xml:space="preserve"> </v>
      </c>
      <c r="W878" s="42" t="str">
        <f>IFERROR(VLOOKUP($J878,'Project Reference'!$B$2:$J$41,9,FALSE)," ")</f>
        <v xml:space="preserve"> </v>
      </c>
      <c r="X878" s="42" t="str">
        <f>IFERROR(VLOOKUP($J878,'Project Reference'!$B$2:$K$41,10)," ")</f>
        <v xml:space="preserve"> </v>
      </c>
      <c r="Y878" s="42" t="str">
        <f>IFERROR(VLOOKUP($J878,'Project Reference'!$B$2:$L$41,11)," ")</f>
        <v xml:space="preserve"> </v>
      </c>
      <c r="Z878" s="42" t="str">
        <f>IFERROR(VLOOKUP($J878,'Project Reference'!$B$2:$M$41,12)," ")</f>
        <v xml:space="preserve"> </v>
      </c>
      <c r="AA878" s="42" t="str">
        <f>IFERROR(VLOOKUP($J878,'Project Reference'!$B$2:$N$41,13)," ")</f>
        <v xml:space="preserve"> </v>
      </c>
    </row>
    <row r="879" spans="1:27" x14ac:dyDescent="0.45">
      <c r="A879" s="43"/>
      <c r="B879" s="205"/>
      <c r="C879"/>
      <c r="D879" s="72"/>
      <c r="E879" s="72"/>
      <c r="F879" s="72"/>
      <c r="G879" s="72"/>
      <c r="H879" s="17"/>
      <c r="I879" s="41" t="str" cm="1">
        <f t="array" ref="I879">IFERROR(_xlfn.IFS(H879="Hard (Cash)","N/A",H879="Soft (In-Kind)", "Enter Source"),"Select Type")</f>
        <v>Select Type</v>
      </c>
      <c r="J879" s="124"/>
      <c r="K879" s="41" t="str">
        <f>IFERROR(VLOOKUP($J879,'Project Reference'!$S$2:$T$41,2),"Enter Project Number")</f>
        <v>Enter Project Number</v>
      </c>
      <c r="L879" s="41"/>
      <c r="M879" s="41"/>
      <c r="N879" s="15">
        <f t="shared" si="13"/>
        <v>0</v>
      </c>
      <c r="O879" s="19"/>
      <c r="P879" s="42" t="str">
        <f>IFERROR(VLOOKUP($J879,'Project Reference'!$B$2:$C$41,2)," ")</f>
        <v xml:space="preserve"> </v>
      </c>
      <c r="Q879" s="42" t="str">
        <f>IFERROR(VLOOKUP($J879,'Project Reference'!$B$2:$D$41,3)," ")</f>
        <v xml:space="preserve"> </v>
      </c>
      <c r="R879" s="42" t="str">
        <f>IFERROR(VLOOKUP($J879,'Project Reference'!$B$2:$E$41,4)," ")</f>
        <v xml:space="preserve"> </v>
      </c>
      <c r="S879" s="42" t="str">
        <f>IFERROR(VLOOKUP($J879,'Project Reference'!$B$2:$F$41,5,FALSE)," ")</f>
        <v xml:space="preserve"> </v>
      </c>
      <c r="T879" s="42" t="str">
        <f>IFERROR(VLOOKUP($J879,'Project Reference'!$B$2:$G$41,6,FALSE)," ")</f>
        <v xml:space="preserve"> </v>
      </c>
      <c r="U879" s="42" t="str">
        <f>IFERROR(VLOOKUP($J879,'Project Reference'!$B$2:$H$41,7,FALSE)," ")</f>
        <v xml:space="preserve"> </v>
      </c>
      <c r="V879" s="42" t="str">
        <f>IFERROR(VLOOKUP($J879,'Project Reference'!$B$2:$I$41,8,FALSE)," ")</f>
        <v xml:space="preserve"> </v>
      </c>
      <c r="W879" s="42" t="str">
        <f>IFERROR(VLOOKUP($J879,'Project Reference'!$B$2:$J$41,9,FALSE)," ")</f>
        <v xml:space="preserve"> </v>
      </c>
      <c r="X879" s="42" t="str">
        <f>IFERROR(VLOOKUP($J879,'Project Reference'!$B$2:$K$41,10)," ")</f>
        <v xml:space="preserve"> </v>
      </c>
      <c r="Y879" s="42" t="str">
        <f>IFERROR(VLOOKUP($J879,'Project Reference'!$B$2:$L$41,11)," ")</f>
        <v xml:space="preserve"> </v>
      </c>
      <c r="Z879" s="42" t="str">
        <f>IFERROR(VLOOKUP($J879,'Project Reference'!$B$2:$M$41,12)," ")</f>
        <v xml:space="preserve"> </v>
      </c>
      <c r="AA879" s="42" t="str">
        <f>IFERROR(VLOOKUP($J879,'Project Reference'!$B$2:$N$41,13)," ")</f>
        <v xml:space="preserve"> </v>
      </c>
    </row>
    <row r="880" spans="1:27" x14ac:dyDescent="0.45">
      <c r="A880" s="43"/>
      <c r="B880" s="205"/>
      <c r="C880"/>
      <c r="D880" s="72"/>
      <c r="E880" s="72"/>
      <c r="F880" s="72"/>
      <c r="G880" s="72"/>
      <c r="H880" s="17"/>
      <c r="I880" s="41" t="str" cm="1">
        <f t="array" ref="I880">IFERROR(_xlfn.IFS(H880="Hard (Cash)","N/A",H880="Soft (In-Kind)", "Enter Source"),"Select Type")</f>
        <v>Select Type</v>
      </c>
      <c r="J880" s="124"/>
      <c r="K880" s="41" t="str">
        <f>IFERROR(VLOOKUP($J880,'Project Reference'!$S$2:$T$41,2),"Enter Project Number")</f>
        <v>Enter Project Number</v>
      </c>
      <c r="L880" s="41"/>
      <c r="M880" s="41"/>
      <c r="N880" s="15">
        <f t="shared" si="13"/>
        <v>0</v>
      </c>
      <c r="O880" s="19"/>
      <c r="P880" s="42" t="str">
        <f>IFERROR(VLOOKUP($J880,'Project Reference'!$B$2:$C$41,2)," ")</f>
        <v xml:space="preserve"> </v>
      </c>
      <c r="Q880" s="42" t="str">
        <f>IFERROR(VLOOKUP($J880,'Project Reference'!$B$2:$D$41,3)," ")</f>
        <v xml:space="preserve"> </v>
      </c>
      <c r="R880" s="42" t="str">
        <f>IFERROR(VLOOKUP($J880,'Project Reference'!$B$2:$E$41,4)," ")</f>
        <v xml:space="preserve"> </v>
      </c>
      <c r="S880" s="42" t="str">
        <f>IFERROR(VLOOKUP($J880,'Project Reference'!$B$2:$F$41,5,FALSE)," ")</f>
        <v xml:space="preserve"> </v>
      </c>
      <c r="T880" s="42" t="str">
        <f>IFERROR(VLOOKUP($J880,'Project Reference'!$B$2:$G$41,6,FALSE)," ")</f>
        <v xml:space="preserve"> </v>
      </c>
      <c r="U880" s="42" t="str">
        <f>IFERROR(VLOOKUP($J880,'Project Reference'!$B$2:$H$41,7,FALSE)," ")</f>
        <v xml:space="preserve"> </v>
      </c>
      <c r="V880" s="42" t="str">
        <f>IFERROR(VLOOKUP($J880,'Project Reference'!$B$2:$I$41,8,FALSE)," ")</f>
        <v xml:space="preserve"> </v>
      </c>
      <c r="W880" s="42" t="str">
        <f>IFERROR(VLOOKUP($J880,'Project Reference'!$B$2:$J$41,9,FALSE)," ")</f>
        <v xml:space="preserve"> </v>
      </c>
      <c r="X880" s="42" t="str">
        <f>IFERROR(VLOOKUP($J880,'Project Reference'!$B$2:$K$41,10)," ")</f>
        <v xml:space="preserve"> </v>
      </c>
      <c r="Y880" s="42" t="str">
        <f>IFERROR(VLOOKUP($J880,'Project Reference'!$B$2:$L$41,11)," ")</f>
        <v xml:space="preserve"> </v>
      </c>
      <c r="Z880" s="42" t="str">
        <f>IFERROR(VLOOKUP($J880,'Project Reference'!$B$2:$M$41,12)," ")</f>
        <v xml:space="preserve"> </v>
      </c>
      <c r="AA880" s="42" t="str">
        <f>IFERROR(VLOOKUP($J880,'Project Reference'!$B$2:$N$41,13)," ")</f>
        <v xml:space="preserve"> </v>
      </c>
    </row>
    <row r="881" spans="1:27" x14ac:dyDescent="0.45">
      <c r="A881" s="43"/>
      <c r="B881" s="205"/>
      <c r="C881"/>
      <c r="D881" s="72"/>
      <c r="E881" s="72"/>
      <c r="F881" s="72"/>
      <c r="G881" s="72"/>
      <c r="H881" s="17"/>
      <c r="I881" s="41" t="str" cm="1">
        <f t="array" ref="I881">IFERROR(_xlfn.IFS(H881="Hard (Cash)","N/A",H881="Soft (In-Kind)", "Enter Source"),"Select Type")</f>
        <v>Select Type</v>
      </c>
      <c r="J881" s="124"/>
      <c r="K881" s="41" t="str">
        <f>IFERROR(VLOOKUP($J881,'Project Reference'!$S$2:$T$41,2),"Enter Project Number")</f>
        <v>Enter Project Number</v>
      </c>
      <c r="L881" s="41"/>
      <c r="M881" s="41"/>
      <c r="N881" s="15">
        <f t="shared" ref="N881:N944" si="14">SUM(D881:G881)</f>
        <v>0</v>
      </c>
      <c r="O881" s="19"/>
      <c r="P881" s="42" t="str">
        <f>IFERROR(VLOOKUP($J881,'Project Reference'!$B$2:$C$41,2)," ")</f>
        <v xml:space="preserve"> </v>
      </c>
      <c r="Q881" s="42" t="str">
        <f>IFERROR(VLOOKUP($J881,'Project Reference'!$B$2:$D$41,3)," ")</f>
        <v xml:space="preserve"> </v>
      </c>
      <c r="R881" s="42" t="str">
        <f>IFERROR(VLOOKUP($J881,'Project Reference'!$B$2:$E$41,4)," ")</f>
        <v xml:space="preserve"> </v>
      </c>
      <c r="S881" s="42" t="str">
        <f>IFERROR(VLOOKUP($J881,'Project Reference'!$B$2:$F$41,5,FALSE)," ")</f>
        <v xml:space="preserve"> </v>
      </c>
      <c r="T881" s="42" t="str">
        <f>IFERROR(VLOOKUP($J881,'Project Reference'!$B$2:$G$41,6,FALSE)," ")</f>
        <v xml:space="preserve"> </v>
      </c>
      <c r="U881" s="42" t="str">
        <f>IFERROR(VLOOKUP($J881,'Project Reference'!$B$2:$H$41,7,FALSE)," ")</f>
        <v xml:space="preserve"> </v>
      </c>
      <c r="V881" s="42" t="str">
        <f>IFERROR(VLOOKUP($J881,'Project Reference'!$B$2:$I$41,8,FALSE)," ")</f>
        <v xml:space="preserve"> </v>
      </c>
      <c r="W881" s="42" t="str">
        <f>IFERROR(VLOOKUP($J881,'Project Reference'!$B$2:$J$41,9,FALSE)," ")</f>
        <v xml:space="preserve"> </v>
      </c>
      <c r="X881" s="42" t="str">
        <f>IFERROR(VLOOKUP($J881,'Project Reference'!$B$2:$K$41,10)," ")</f>
        <v xml:space="preserve"> </v>
      </c>
      <c r="Y881" s="42" t="str">
        <f>IFERROR(VLOOKUP($J881,'Project Reference'!$B$2:$L$41,11)," ")</f>
        <v xml:space="preserve"> </v>
      </c>
      <c r="Z881" s="42" t="str">
        <f>IFERROR(VLOOKUP($J881,'Project Reference'!$B$2:$M$41,12)," ")</f>
        <v xml:space="preserve"> </v>
      </c>
      <c r="AA881" s="42" t="str">
        <f>IFERROR(VLOOKUP($J881,'Project Reference'!$B$2:$N$41,13)," ")</f>
        <v xml:space="preserve"> </v>
      </c>
    </row>
    <row r="882" spans="1:27" x14ac:dyDescent="0.45">
      <c r="A882" s="43"/>
      <c r="B882" s="205"/>
      <c r="C882"/>
      <c r="D882" s="72"/>
      <c r="E882" s="72"/>
      <c r="F882" s="72"/>
      <c r="G882" s="72"/>
      <c r="H882" s="17"/>
      <c r="I882" s="41" t="str" cm="1">
        <f t="array" ref="I882">IFERROR(_xlfn.IFS(H882="Hard (Cash)","N/A",H882="Soft (In-Kind)", "Enter Source"),"Select Type")</f>
        <v>Select Type</v>
      </c>
      <c r="J882" s="124"/>
      <c r="K882" s="41" t="str">
        <f>IFERROR(VLOOKUP($J882,'Project Reference'!$S$2:$T$41,2),"Enter Project Number")</f>
        <v>Enter Project Number</v>
      </c>
      <c r="L882" s="41"/>
      <c r="M882" s="41"/>
      <c r="N882" s="15">
        <f t="shared" si="14"/>
        <v>0</v>
      </c>
      <c r="O882" s="19"/>
      <c r="P882" s="42" t="str">
        <f>IFERROR(VLOOKUP($J882,'Project Reference'!$B$2:$C$41,2)," ")</f>
        <v xml:space="preserve"> </v>
      </c>
      <c r="Q882" s="42" t="str">
        <f>IFERROR(VLOOKUP($J882,'Project Reference'!$B$2:$D$41,3)," ")</f>
        <v xml:space="preserve"> </v>
      </c>
      <c r="R882" s="42" t="str">
        <f>IFERROR(VLOOKUP($J882,'Project Reference'!$B$2:$E$41,4)," ")</f>
        <v xml:space="preserve"> </v>
      </c>
      <c r="S882" s="42" t="str">
        <f>IFERROR(VLOOKUP($J882,'Project Reference'!$B$2:$F$41,5,FALSE)," ")</f>
        <v xml:space="preserve"> </v>
      </c>
      <c r="T882" s="42" t="str">
        <f>IFERROR(VLOOKUP($J882,'Project Reference'!$B$2:$G$41,6,FALSE)," ")</f>
        <v xml:space="preserve"> </v>
      </c>
      <c r="U882" s="42" t="str">
        <f>IFERROR(VLOOKUP($J882,'Project Reference'!$B$2:$H$41,7,FALSE)," ")</f>
        <v xml:space="preserve"> </v>
      </c>
      <c r="V882" s="42" t="str">
        <f>IFERROR(VLOOKUP($J882,'Project Reference'!$B$2:$I$41,8,FALSE)," ")</f>
        <v xml:space="preserve"> </v>
      </c>
      <c r="W882" s="42" t="str">
        <f>IFERROR(VLOOKUP($J882,'Project Reference'!$B$2:$J$41,9,FALSE)," ")</f>
        <v xml:space="preserve"> </v>
      </c>
      <c r="X882" s="42" t="str">
        <f>IFERROR(VLOOKUP($J882,'Project Reference'!$B$2:$K$41,10)," ")</f>
        <v xml:space="preserve"> </v>
      </c>
      <c r="Y882" s="42" t="str">
        <f>IFERROR(VLOOKUP($J882,'Project Reference'!$B$2:$L$41,11)," ")</f>
        <v xml:space="preserve"> </v>
      </c>
      <c r="Z882" s="42" t="str">
        <f>IFERROR(VLOOKUP($J882,'Project Reference'!$B$2:$M$41,12)," ")</f>
        <v xml:space="preserve"> </v>
      </c>
      <c r="AA882" s="42" t="str">
        <f>IFERROR(VLOOKUP($J882,'Project Reference'!$B$2:$N$41,13)," ")</f>
        <v xml:space="preserve"> </v>
      </c>
    </row>
    <row r="883" spans="1:27" x14ac:dyDescent="0.45">
      <c r="A883" s="43"/>
      <c r="B883" s="205"/>
      <c r="C883"/>
      <c r="D883" s="72"/>
      <c r="E883" s="72"/>
      <c r="F883" s="72"/>
      <c r="G883" s="72"/>
      <c r="H883" s="17"/>
      <c r="I883" s="41" t="str" cm="1">
        <f t="array" ref="I883">IFERROR(_xlfn.IFS(H883="Hard (Cash)","N/A",H883="Soft (In-Kind)", "Enter Source"),"Select Type")</f>
        <v>Select Type</v>
      </c>
      <c r="J883" s="124"/>
      <c r="K883" s="41" t="str">
        <f>IFERROR(VLOOKUP($J883,'Project Reference'!$S$2:$T$41,2),"Enter Project Number")</f>
        <v>Enter Project Number</v>
      </c>
      <c r="L883" s="41"/>
      <c r="M883" s="41"/>
      <c r="N883" s="15">
        <f t="shared" si="14"/>
        <v>0</v>
      </c>
      <c r="O883" s="19"/>
      <c r="P883" s="42" t="str">
        <f>IFERROR(VLOOKUP($J883,'Project Reference'!$B$2:$C$41,2)," ")</f>
        <v xml:space="preserve"> </v>
      </c>
      <c r="Q883" s="42" t="str">
        <f>IFERROR(VLOOKUP($J883,'Project Reference'!$B$2:$D$41,3)," ")</f>
        <v xml:space="preserve"> </v>
      </c>
      <c r="R883" s="42" t="str">
        <f>IFERROR(VLOOKUP($J883,'Project Reference'!$B$2:$E$41,4)," ")</f>
        <v xml:space="preserve"> </v>
      </c>
      <c r="S883" s="42" t="str">
        <f>IFERROR(VLOOKUP($J883,'Project Reference'!$B$2:$F$41,5,FALSE)," ")</f>
        <v xml:space="preserve"> </v>
      </c>
      <c r="T883" s="42" t="str">
        <f>IFERROR(VLOOKUP($J883,'Project Reference'!$B$2:$G$41,6,FALSE)," ")</f>
        <v xml:space="preserve"> </v>
      </c>
      <c r="U883" s="42" t="str">
        <f>IFERROR(VLOOKUP($J883,'Project Reference'!$B$2:$H$41,7,FALSE)," ")</f>
        <v xml:space="preserve"> </v>
      </c>
      <c r="V883" s="42" t="str">
        <f>IFERROR(VLOOKUP($J883,'Project Reference'!$B$2:$I$41,8,FALSE)," ")</f>
        <v xml:space="preserve"> </v>
      </c>
      <c r="W883" s="42" t="str">
        <f>IFERROR(VLOOKUP($J883,'Project Reference'!$B$2:$J$41,9,FALSE)," ")</f>
        <v xml:space="preserve"> </v>
      </c>
      <c r="X883" s="42" t="str">
        <f>IFERROR(VLOOKUP($J883,'Project Reference'!$B$2:$K$41,10)," ")</f>
        <v xml:space="preserve"> </v>
      </c>
      <c r="Y883" s="42" t="str">
        <f>IFERROR(VLOOKUP($J883,'Project Reference'!$B$2:$L$41,11)," ")</f>
        <v xml:space="preserve"> </v>
      </c>
      <c r="Z883" s="42" t="str">
        <f>IFERROR(VLOOKUP($J883,'Project Reference'!$B$2:$M$41,12)," ")</f>
        <v xml:space="preserve"> </v>
      </c>
      <c r="AA883" s="42" t="str">
        <f>IFERROR(VLOOKUP($J883,'Project Reference'!$B$2:$N$41,13)," ")</f>
        <v xml:space="preserve"> </v>
      </c>
    </row>
    <row r="884" spans="1:27" x14ac:dyDescent="0.45">
      <c r="A884" s="43"/>
      <c r="B884" s="205"/>
      <c r="C884"/>
      <c r="D884" s="72"/>
      <c r="E884" s="72"/>
      <c r="F884" s="72"/>
      <c r="G884" s="72"/>
      <c r="H884" s="17"/>
      <c r="I884" s="41" t="str" cm="1">
        <f t="array" ref="I884">IFERROR(_xlfn.IFS(H884="Hard (Cash)","N/A",H884="Soft (In-Kind)", "Enter Source"),"Select Type")</f>
        <v>Select Type</v>
      </c>
      <c r="J884" s="124"/>
      <c r="K884" s="41" t="str">
        <f>IFERROR(VLOOKUP($J884,'Project Reference'!$S$2:$T$41,2),"Enter Project Number")</f>
        <v>Enter Project Number</v>
      </c>
      <c r="L884" s="41"/>
      <c r="M884" s="41"/>
      <c r="N884" s="15">
        <f t="shared" si="14"/>
        <v>0</v>
      </c>
      <c r="O884" s="19"/>
      <c r="P884" s="42" t="str">
        <f>IFERROR(VLOOKUP($J884,'Project Reference'!$B$2:$C$41,2)," ")</f>
        <v xml:space="preserve"> </v>
      </c>
      <c r="Q884" s="42" t="str">
        <f>IFERROR(VLOOKUP($J884,'Project Reference'!$B$2:$D$41,3)," ")</f>
        <v xml:space="preserve"> </v>
      </c>
      <c r="R884" s="42" t="str">
        <f>IFERROR(VLOOKUP($J884,'Project Reference'!$B$2:$E$41,4)," ")</f>
        <v xml:space="preserve"> </v>
      </c>
      <c r="S884" s="42" t="str">
        <f>IFERROR(VLOOKUP($J884,'Project Reference'!$B$2:$F$41,5,FALSE)," ")</f>
        <v xml:space="preserve"> </v>
      </c>
      <c r="T884" s="42" t="str">
        <f>IFERROR(VLOOKUP($J884,'Project Reference'!$B$2:$G$41,6,FALSE)," ")</f>
        <v xml:space="preserve"> </v>
      </c>
      <c r="U884" s="42" t="str">
        <f>IFERROR(VLOOKUP($J884,'Project Reference'!$B$2:$H$41,7,FALSE)," ")</f>
        <v xml:space="preserve"> </v>
      </c>
      <c r="V884" s="42" t="str">
        <f>IFERROR(VLOOKUP($J884,'Project Reference'!$B$2:$I$41,8,FALSE)," ")</f>
        <v xml:space="preserve"> </v>
      </c>
      <c r="W884" s="42" t="str">
        <f>IFERROR(VLOOKUP($J884,'Project Reference'!$B$2:$J$41,9,FALSE)," ")</f>
        <v xml:space="preserve"> </v>
      </c>
      <c r="X884" s="42" t="str">
        <f>IFERROR(VLOOKUP($J884,'Project Reference'!$B$2:$K$41,10)," ")</f>
        <v xml:space="preserve"> </v>
      </c>
      <c r="Y884" s="42" t="str">
        <f>IFERROR(VLOOKUP($J884,'Project Reference'!$B$2:$L$41,11)," ")</f>
        <v xml:space="preserve"> </v>
      </c>
      <c r="Z884" s="42" t="str">
        <f>IFERROR(VLOOKUP($J884,'Project Reference'!$B$2:$M$41,12)," ")</f>
        <v xml:space="preserve"> </v>
      </c>
      <c r="AA884" s="42" t="str">
        <f>IFERROR(VLOOKUP($J884,'Project Reference'!$B$2:$N$41,13)," ")</f>
        <v xml:space="preserve"> </v>
      </c>
    </row>
    <row r="885" spans="1:27" x14ac:dyDescent="0.45">
      <c r="A885" s="43"/>
      <c r="B885" s="205"/>
      <c r="C885"/>
      <c r="D885" s="72"/>
      <c r="E885" s="72"/>
      <c r="F885" s="72"/>
      <c r="G885" s="72"/>
      <c r="H885" s="17"/>
      <c r="I885" s="41" t="str" cm="1">
        <f t="array" ref="I885">IFERROR(_xlfn.IFS(H885="Hard (Cash)","N/A",H885="Soft (In-Kind)", "Enter Source"),"Select Type")</f>
        <v>Select Type</v>
      </c>
      <c r="J885" s="124"/>
      <c r="K885" s="41" t="str">
        <f>IFERROR(VLOOKUP($J885,'Project Reference'!$S$2:$T$41,2),"Enter Project Number")</f>
        <v>Enter Project Number</v>
      </c>
      <c r="L885" s="41"/>
      <c r="M885" s="41"/>
      <c r="N885" s="15">
        <f t="shared" si="14"/>
        <v>0</v>
      </c>
      <c r="O885" s="19"/>
      <c r="P885" s="42" t="str">
        <f>IFERROR(VLOOKUP($J885,'Project Reference'!$B$2:$C$41,2)," ")</f>
        <v xml:space="preserve"> </v>
      </c>
      <c r="Q885" s="42" t="str">
        <f>IFERROR(VLOOKUP($J885,'Project Reference'!$B$2:$D$41,3)," ")</f>
        <v xml:space="preserve"> </v>
      </c>
      <c r="R885" s="42" t="str">
        <f>IFERROR(VLOOKUP($J885,'Project Reference'!$B$2:$E$41,4)," ")</f>
        <v xml:space="preserve"> </v>
      </c>
      <c r="S885" s="42" t="str">
        <f>IFERROR(VLOOKUP($J885,'Project Reference'!$B$2:$F$41,5,FALSE)," ")</f>
        <v xml:space="preserve"> </v>
      </c>
      <c r="T885" s="42" t="str">
        <f>IFERROR(VLOOKUP($J885,'Project Reference'!$B$2:$G$41,6,FALSE)," ")</f>
        <v xml:space="preserve"> </v>
      </c>
      <c r="U885" s="42" t="str">
        <f>IFERROR(VLOOKUP($J885,'Project Reference'!$B$2:$H$41,7,FALSE)," ")</f>
        <v xml:space="preserve"> </v>
      </c>
      <c r="V885" s="42" t="str">
        <f>IFERROR(VLOOKUP($J885,'Project Reference'!$B$2:$I$41,8,FALSE)," ")</f>
        <v xml:space="preserve"> </v>
      </c>
      <c r="W885" s="42" t="str">
        <f>IFERROR(VLOOKUP($J885,'Project Reference'!$B$2:$J$41,9,FALSE)," ")</f>
        <v xml:space="preserve"> </v>
      </c>
      <c r="X885" s="42" t="str">
        <f>IFERROR(VLOOKUP($J885,'Project Reference'!$B$2:$K$41,10)," ")</f>
        <v xml:space="preserve"> </v>
      </c>
      <c r="Y885" s="42" t="str">
        <f>IFERROR(VLOOKUP($J885,'Project Reference'!$B$2:$L$41,11)," ")</f>
        <v xml:space="preserve"> </v>
      </c>
      <c r="Z885" s="42" t="str">
        <f>IFERROR(VLOOKUP($J885,'Project Reference'!$B$2:$M$41,12)," ")</f>
        <v xml:space="preserve"> </v>
      </c>
      <c r="AA885" s="42" t="str">
        <f>IFERROR(VLOOKUP($J885,'Project Reference'!$B$2:$N$41,13)," ")</f>
        <v xml:space="preserve"> </v>
      </c>
    </row>
    <row r="886" spans="1:27" x14ac:dyDescent="0.45">
      <c r="A886" s="43"/>
      <c r="B886" s="205"/>
      <c r="C886"/>
      <c r="D886" s="72"/>
      <c r="E886" s="72"/>
      <c r="F886" s="72"/>
      <c r="G886" s="72"/>
      <c r="H886" s="17"/>
      <c r="I886" s="41" t="str" cm="1">
        <f t="array" ref="I886">IFERROR(_xlfn.IFS(H886="Hard (Cash)","N/A",H886="Soft (In-Kind)", "Enter Source"),"Select Type")</f>
        <v>Select Type</v>
      </c>
      <c r="J886" s="124"/>
      <c r="K886" s="41" t="str">
        <f>IFERROR(VLOOKUP($J886,'Project Reference'!$S$2:$T$41,2),"Enter Project Number")</f>
        <v>Enter Project Number</v>
      </c>
      <c r="L886" s="41"/>
      <c r="M886" s="41"/>
      <c r="N886" s="15">
        <f t="shared" si="14"/>
        <v>0</v>
      </c>
      <c r="O886" s="19"/>
      <c r="P886" s="42" t="str">
        <f>IFERROR(VLOOKUP($J886,'Project Reference'!$B$2:$C$41,2)," ")</f>
        <v xml:space="preserve"> </v>
      </c>
      <c r="Q886" s="42" t="str">
        <f>IFERROR(VLOOKUP($J886,'Project Reference'!$B$2:$D$41,3)," ")</f>
        <v xml:space="preserve"> </v>
      </c>
      <c r="R886" s="42" t="str">
        <f>IFERROR(VLOOKUP($J886,'Project Reference'!$B$2:$E$41,4)," ")</f>
        <v xml:space="preserve"> </v>
      </c>
      <c r="S886" s="42" t="str">
        <f>IFERROR(VLOOKUP($J886,'Project Reference'!$B$2:$F$41,5,FALSE)," ")</f>
        <v xml:space="preserve"> </v>
      </c>
      <c r="T886" s="42" t="str">
        <f>IFERROR(VLOOKUP($J886,'Project Reference'!$B$2:$G$41,6,FALSE)," ")</f>
        <v xml:space="preserve"> </v>
      </c>
      <c r="U886" s="42" t="str">
        <f>IFERROR(VLOOKUP($J886,'Project Reference'!$B$2:$H$41,7,FALSE)," ")</f>
        <v xml:space="preserve"> </v>
      </c>
      <c r="V886" s="42" t="str">
        <f>IFERROR(VLOOKUP($J886,'Project Reference'!$B$2:$I$41,8,FALSE)," ")</f>
        <v xml:space="preserve"> </v>
      </c>
      <c r="W886" s="42" t="str">
        <f>IFERROR(VLOOKUP($J886,'Project Reference'!$B$2:$J$41,9,FALSE)," ")</f>
        <v xml:space="preserve"> </v>
      </c>
      <c r="X886" s="42" t="str">
        <f>IFERROR(VLOOKUP($J886,'Project Reference'!$B$2:$K$41,10)," ")</f>
        <v xml:space="preserve"> </v>
      </c>
      <c r="Y886" s="42" t="str">
        <f>IFERROR(VLOOKUP($J886,'Project Reference'!$B$2:$L$41,11)," ")</f>
        <v xml:space="preserve"> </v>
      </c>
      <c r="Z886" s="42" t="str">
        <f>IFERROR(VLOOKUP($J886,'Project Reference'!$B$2:$M$41,12)," ")</f>
        <v xml:space="preserve"> </v>
      </c>
      <c r="AA886" s="42" t="str">
        <f>IFERROR(VLOOKUP($J886,'Project Reference'!$B$2:$N$41,13)," ")</f>
        <v xml:space="preserve"> </v>
      </c>
    </row>
    <row r="887" spans="1:27" x14ac:dyDescent="0.45">
      <c r="A887" s="43"/>
      <c r="B887" s="205"/>
      <c r="C887"/>
      <c r="D887" s="72"/>
      <c r="E887" s="72"/>
      <c r="F887" s="72"/>
      <c r="G887" s="72"/>
      <c r="H887" s="17"/>
      <c r="I887" s="41" t="str" cm="1">
        <f t="array" ref="I887">IFERROR(_xlfn.IFS(H887="Hard (Cash)","N/A",H887="Soft (In-Kind)", "Enter Source"),"Select Type")</f>
        <v>Select Type</v>
      </c>
      <c r="J887" s="124"/>
      <c r="K887" s="41" t="str">
        <f>IFERROR(VLOOKUP($J887,'Project Reference'!$S$2:$T$41,2),"Enter Project Number")</f>
        <v>Enter Project Number</v>
      </c>
      <c r="L887" s="41"/>
      <c r="M887" s="41"/>
      <c r="N887" s="15">
        <f t="shared" si="14"/>
        <v>0</v>
      </c>
      <c r="O887" s="19"/>
      <c r="P887" s="42" t="str">
        <f>IFERROR(VLOOKUP($J887,'Project Reference'!$B$2:$C$41,2)," ")</f>
        <v xml:space="preserve"> </v>
      </c>
      <c r="Q887" s="42" t="str">
        <f>IFERROR(VLOOKUP($J887,'Project Reference'!$B$2:$D$41,3)," ")</f>
        <v xml:space="preserve"> </v>
      </c>
      <c r="R887" s="42" t="str">
        <f>IFERROR(VLOOKUP($J887,'Project Reference'!$B$2:$E$41,4)," ")</f>
        <v xml:space="preserve"> </v>
      </c>
      <c r="S887" s="42" t="str">
        <f>IFERROR(VLOOKUP($J887,'Project Reference'!$B$2:$F$41,5,FALSE)," ")</f>
        <v xml:space="preserve"> </v>
      </c>
      <c r="T887" s="42" t="str">
        <f>IFERROR(VLOOKUP($J887,'Project Reference'!$B$2:$G$41,6,FALSE)," ")</f>
        <v xml:space="preserve"> </v>
      </c>
      <c r="U887" s="42" t="str">
        <f>IFERROR(VLOOKUP($J887,'Project Reference'!$B$2:$H$41,7,FALSE)," ")</f>
        <v xml:space="preserve"> </v>
      </c>
      <c r="V887" s="42" t="str">
        <f>IFERROR(VLOOKUP($J887,'Project Reference'!$B$2:$I$41,8,FALSE)," ")</f>
        <v xml:space="preserve"> </v>
      </c>
      <c r="W887" s="42" t="str">
        <f>IFERROR(VLOOKUP($J887,'Project Reference'!$B$2:$J$41,9,FALSE)," ")</f>
        <v xml:space="preserve"> </v>
      </c>
      <c r="X887" s="42" t="str">
        <f>IFERROR(VLOOKUP($J887,'Project Reference'!$B$2:$K$41,10)," ")</f>
        <v xml:space="preserve"> </v>
      </c>
      <c r="Y887" s="42" t="str">
        <f>IFERROR(VLOOKUP($J887,'Project Reference'!$B$2:$L$41,11)," ")</f>
        <v xml:space="preserve"> </v>
      </c>
      <c r="Z887" s="42" t="str">
        <f>IFERROR(VLOOKUP($J887,'Project Reference'!$B$2:$M$41,12)," ")</f>
        <v xml:space="preserve"> </v>
      </c>
      <c r="AA887" s="42" t="str">
        <f>IFERROR(VLOOKUP($J887,'Project Reference'!$B$2:$N$41,13)," ")</f>
        <v xml:space="preserve"> </v>
      </c>
    </row>
    <row r="888" spans="1:27" x14ac:dyDescent="0.45">
      <c r="A888" s="43"/>
      <c r="B888" s="205"/>
      <c r="C888"/>
      <c r="D888" s="72"/>
      <c r="E888" s="72"/>
      <c r="F888" s="72"/>
      <c r="G888" s="72"/>
      <c r="H888" s="17"/>
      <c r="I888" s="41" t="str" cm="1">
        <f t="array" ref="I888">IFERROR(_xlfn.IFS(H888="Hard (Cash)","N/A",H888="Soft (In-Kind)", "Enter Source"),"Select Type")</f>
        <v>Select Type</v>
      </c>
      <c r="J888" s="124"/>
      <c r="K888" s="41" t="str">
        <f>IFERROR(VLOOKUP($J888,'Project Reference'!$S$2:$T$41,2),"Enter Project Number")</f>
        <v>Enter Project Number</v>
      </c>
      <c r="L888" s="41"/>
      <c r="M888" s="41"/>
      <c r="N888" s="15">
        <f t="shared" si="14"/>
        <v>0</v>
      </c>
      <c r="O888" s="19"/>
      <c r="P888" s="42" t="str">
        <f>IFERROR(VLOOKUP($J888,'Project Reference'!$B$2:$C$41,2)," ")</f>
        <v xml:space="preserve"> </v>
      </c>
      <c r="Q888" s="42" t="str">
        <f>IFERROR(VLOOKUP($J888,'Project Reference'!$B$2:$D$41,3)," ")</f>
        <v xml:space="preserve"> </v>
      </c>
      <c r="R888" s="42" t="str">
        <f>IFERROR(VLOOKUP($J888,'Project Reference'!$B$2:$E$41,4)," ")</f>
        <v xml:space="preserve"> </v>
      </c>
      <c r="S888" s="42" t="str">
        <f>IFERROR(VLOOKUP($J888,'Project Reference'!$B$2:$F$41,5,FALSE)," ")</f>
        <v xml:space="preserve"> </v>
      </c>
      <c r="T888" s="42" t="str">
        <f>IFERROR(VLOOKUP($J888,'Project Reference'!$B$2:$G$41,6,FALSE)," ")</f>
        <v xml:space="preserve"> </v>
      </c>
      <c r="U888" s="42" t="str">
        <f>IFERROR(VLOOKUP($J888,'Project Reference'!$B$2:$H$41,7,FALSE)," ")</f>
        <v xml:space="preserve"> </v>
      </c>
      <c r="V888" s="42" t="str">
        <f>IFERROR(VLOOKUP($J888,'Project Reference'!$B$2:$I$41,8,FALSE)," ")</f>
        <v xml:space="preserve"> </v>
      </c>
      <c r="W888" s="42" t="str">
        <f>IFERROR(VLOOKUP($J888,'Project Reference'!$B$2:$J$41,9,FALSE)," ")</f>
        <v xml:space="preserve"> </v>
      </c>
      <c r="X888" s="42" t="str">
        <f>IFERROR(VLOOKUP($J888,'Project Reference'!$B$2:$K$41,10)," ")</f>
        <v xml:space="preserve"> </v>
      </c>
      <c r="Y888" s="42" t="str">
        <f>IFERROR(VLOOKUP($J888,'Project Reference'!$B$2:$L$41,11)," ")</f>
        <v xml:space="preserve"> </v>
      </c>
      <c r="Z888" s="42" t="str">
        <f>IFERROR(VLOOKUP($J888,'Project Reference'!$B$2:$M$41,12)," ")</f>
        <v xml:space="preserve"> </v>
      </c>
      <c r="AA888" s="42" t="str">
        <f>IFERROR(VLOOKUP($J888,'Project Reference'!$B$2:$N$41,13)," ")</f>
        <v xml:space="preserve"> </v>
      </c>
    </row>
    <row r="889" spans="1:27" x14ac:dyDescent="0.45">
      <c r="A889" s="43"/>
      <c r="B889" s="205"/>
      <c r="C889"/>
      <c r="D889" s="72"/>
      <c r="E889" s="72"/>
      <c r="F889" s="72"/>
      <c r="G889" s="72"/>
      <c r="H889" s="17"/>
      <c r="I889" s="41" t="str" cm="1">
        <f t="array" ref="I889">IFERROR(_xlfn.IFS(H889="Hard (Cash)","N/A",H889="Soft (In-Kind)", "Enter Source"),"Select Type")</f>
        <v>Select Type</v>
      </c>
      <c r="J889" s="124"/>
      <c r="K889" s="41" t="str">
        <f>IFERROR(VLOOKUP($J889,'Project Reference'!$S$2:$T$41,2),"Enter Project Number")</f>
        <v>Enter Project Number</v>
      </c>
      <c r="L889" s="41"/>
      <c r="M889" s="41"/>
      <c r="N889" s="15">
        <f t="shared" si="14"/>
        <v>0</v>
      </c>
      <c r="O889" s="19"/>
      <c r="P889" s="42" t="str">
        <f>IFERROR(VLOOKUP($J889,'Project Reference'!$B$2:$C$41,2)," ")</f>
        <v xml:space="preserve"> </v>
      </c>
      <c r="Q889" s="42" t="str">
        <f>IFERROR(VLOOKUP($J889,'Project Reference'!$B$2:$D$41,3)," ")</f>
        <v xml:space="preserve"> </v>
      </c>
      <c r="R889" s="42" t="str">
        <f>IFERROR(VLOOKUP($J889,'Project Reference'!$B$2:$E$41,4)," ")</f>
        <v xml:space="preserve"> </v>
      </c>
      <c r="S889" s="42" t="str">
        <f>IFERROR(VLOOKUP($J889,'Project Reference'!$B$2:$F$41,5,FALSE)," ")</f>
        <v xml:space="preserve"> </v>
      </c>
      <c r="T889" s="42" t="str">
        <f>IFERROR(VLOOKUP($J889,'Project Reference'!$B$2:$G$41,6,FALSE)," ")</f>
        <v xml:space="preserve"> </v>
      </c>
      <c r="U889" s="42" t="str">
        <f>IFERROR(VLOOKUP($J889,'Project Reference'!$B$2:$H$41,7,FALSE)," ")</f>
        <v xml:space="preserve"> </v>
      </c>
      <c r="V889" s="42" t="str">
        <f>IFERROR(VLOOKUP($J889,'Project Reference'!$B$2:$I$41,8,FALSE)," ")</f>
        <v xml:space="preserve"> </v>
      </c>
      <c r="W889" s="42" t="str">
        <f>IFERROR(VLOOKUP($J889,'Project Reference'!$B$2:$J$41,9,FALSE)," ")</f>
        <v xml:space="preserve"> </v>
      </c>
      <c r="X889" s="42" t="str">
        <f>IFERROR(VLOOKUP($J889,'Project Reference'!$B$2:$K$41,10)," ")</f>
        <v xml:space="preserve"> </v>
      </c>
      <c r="Y889" s="42" t="str">
        <f>IFERROR(VLOOKUP($J889,'Project Reference'!$B$2:$L$41,11)," ")</f>
        <v xml:space="preserve"> </v>
      </c>
      <c r="Z889" s="42" t="str">
        <f>IFERROR(VLOOKUP($J889,'Project Reference'!$B$2:$M$41,12)," ")</f>
        <v xml:space="preserve"> </v>
      </c>
      <c r="AA889" s="42" t="str">
        <f>IFERROR(VLOOKUP($J889,'Project Reference'!$B$2:$N$41,13)," ")</f>
        <v xml:space="preserve"> </v>
      </c>
    </row>
    <row r="890" spans="1:27" x14ac:dyDescent="0.45">
      <c r="A890" s="43"/>
      <c r="B890" s="205"/>
      <c r="C890"/>
      <c r="D890" s="72"/>
      <c r="E890" s="72"/>
      <c r="F890" s="72"/>
      <c r="G890" s="72"/>
      <c r="H890" s="17"/>
      <c r="I890" s="41" t="str" cm="1">
        <f t="array" ref="I890">IFERROR(_xlfn.IFS(H890="Hard (Cash)","N/A",H890="Soft (In-Kind)", "Enter Source"),"Select Type")</f>
        <v>Select Type</v>
      </c>
      <c r="J890" s="124"/>
      <c r="K890" s="41" t="str">
        <f>IFERROR(VLOOKUP($J890,'Project Reference'!$S$2:$T$41,2),"Enter Project Number")</f>
        <v>Enter Project Number</v>
      </c>
      <c r="L890" s="41"/>
      <c r="M890" s="41"/>
      <c r="N890" s="15">
        <f t="shared" si="14"/>
        <v>0</v>
      </c>
      <c r="O890" s="19"/>
      <c r="P890" s="42" t="str">
        <f>IFERROR(VLOOKUP($J890,'Project Reference'!$B$2:$C$41,2)," ")</f>
        <v xml:space="preserve"> </v>
      </c>
      <c r="Q890" s="42" t="str">
        <f>IFERROR(VLOOKUP($J890,'Project Reference'!$B$2:$D$41,3)," ")</f>
        <v xml:space="preserve"> </v>
      </c>
      <c r="R890" s="42" t="str">
        <f>IFERROR(VLOOKUP($J890,'Project Reference'!$B$2:$E$41,4)," ")</f>
        <v xml:space="preserve"> </v>
      </c>
      <c r="S890" s="42" t="str">
        <f>IFERROR(VLOOKUP($J890,'Project Reference'!$B$2:$F$41,5,FALSE)," ")</f>
        <v xml:space="preserve"> </v>
      </c>
      <c r="T890" s="42" t="str">
        <f>IFERROR(VLOOKUP($J890,'Project Reference'!$B$2:$G$41,6,FALSE)," ")</f>
        <v xml:space="preserve"> </v>
      </c>
      <c r="U890" s="42" t="str">
        <f>IFERROR(VLOOKUP($J890,'Project Reference'!$B$2:$H$41,7,FALSE)," ")</f>
        <v xml:space="preserve"> </v>
      </c>
      <c r="V890" s="42" t="str">
        <f>IFERROR(VLOOKUP($J890,'Project Reference'!$B$2:$I$41,8,FALSE)," ")</f>
        <v xml:space="preserve"> </v>
      </c>
      <c r="W890" s="42" t="str">
        <f>IFERROR(VLOOKUP($J890,'Project Reference'!$B$2:$J$41,9,FALSE)," ")</f>
        <v xml:space="preserve"> </v>
      </c>
      <c r="X890" s="42" t="str">
        <f>IFERROR(VLOOKUP($J890,'Project Reference'!$B$2:$K$41,10)," ")</f>
        <v xml:space="preserve"> </v>
      </c>
      <c r="Y890" s="42" t="str">
        <f>IFERROR(VLOOKUP($J890,'Project Reference'!$B$2:$L$41,11)," ")</f>
        <v xml:space="preserve"> </v>
      </c>
      <c r="Z890" s="42" t="str">
        <f>IFERROR(VLOOKUP($J890,'Project Reference'!$B$2:$M$41,12)," ")</f>
        <v xml:space="preserve"> </v>
      </c>
      <c r="AA890" s="42" t="str">
        <f>IFERROR(VLOOKUP($J890,'Project Reference'!$B$2:$N$41,13)," ")</f>
        <v xml:space="preserve"> </v>
      </c>
    </row>
    <row r="891" spans="1:27" x14ac:dyDescent="0.45">
      <c r="A891" s="43"/>
      <c r="B891" s="205"/>
      <c r="C891"/>
      <c r="D891" s="72"/>
      <c r="E891" s="72"/>
      <c r="F891" s="72"/>
      <c r="G891" s="72"/>
      <c r="H891" s="17"/>
      <c r="I891" s="41" t="str" cm="1">
        <f t="array" ref="I891">IFERROR(_xlfn.IFS(H891="Hard (Cash)","N/A",H891="Soft (In-Kind)", "Enter Source"),"Select Type")</f>
        <v>Select Type</v>
      </c>
      <c r="J891" s="124"/>
      <c r="K891" s="41" t="str">
        <f>IFERROR(VLOOKUP($J891,'Project Reference'!$S$2:$T$41,2),"Enter Project Number")</f>
        <v>Enter Project Number</v>
      </c>
      <c r="L891" s="41"/>
      <c r="M891" s="41"/>
      <c r="N891" s="15">
        <f t="shared" si="14"/>
        <v>0</v>
      </c>
      <c r="O891" s="19"/>
      <c r="P891" s="42" t="str">
        <f>IFERROR(VLOOKUP($J891,'Project Reference'!$B$2:$C$41,2)," ")</f>
        <v xml:space="preserve"> </v>
      </c>
      <c r="Q891" s="42" t="str">
        <f>IFERROR(VLOOKUP($J891,'Project Reference'!$B$2:$D$41,3)," ")</f>
        <v xml:space="preserve"> </v>
      </c>
      <c r="R891" s="42" t="str">
        <f>IFERROR(VLOOKUP($J891,'Project Reference'!$B$2:$E$41,4)," ")</f>
        <v xml:space="preserve"> </v>
      </c>
      <c r="S891" s="42" t="str">
        <f>IFERROR(VLOOKUP($J891,'Project Reference'!$B$2:$F$41,5,FALSE)," ")</f>
        <v xml:space="preserve"> </v>
      </c>
      <c r="T891" s="42" t="str">
        <f>IFERROR(VLOOKUP($J891,'Project Reference'!$B$2:$G$41,6,FALSE)," ")</f>
        <v xml:space="preserve"> </v>
      </c>
      <c r="U891" s="42" t="str">
        <f>IFERROR(VLOOKUP($J891,'Project Reference'!$B$2:$H$41,7,FALSE)," ")</f>
        <v xml:space="preserve"> </v>
      </c>
      <c r="V891" s="42" t="str">
        <f>IFERROR(VLOOKUP($J891,'Project Reference'!$B$2:$I$41,8,FALSE)," ")</f>
        <v xml:space="preserve"> </v>
      </c>
      <c r="W891" s="42" t="str">
        <f>IFERROR(VLOOKUP($J891,'Project Reference'!$B$2:$J$41,9,FALSE)," ")</f>
        <v xml:space="preserve"> </v>
      </c>
      <c r="X891" s="42" t="str">
        <f>IFERROR(VLOOKUP($J891,'Project Reference'!$B$2:$K$41,10)," ")</f>
        <v xml:space="preserve"> </v>
      </c>
      <c r="Y891" s="42" t="str">
        <f>IFERROR(VLOOKUP($J891,'Project Reference'!$B$2:$L$41,11)," ")</f>
        <v xml:space="preserve"> </v>
      </c>
      <c r="Z891" s="42" t="str">
        <f>IFERROR(VLOOKUP($J891,'Project Reference'!$B$2:$M$41,12)," ")</f>
        <v xml:space="preserve"> </v>
      </c>
      <c r="AA891" s="42" t="str">
        <f>IFERROR(VLOOKUP($J891,'Project Reference'!$B$2:$N$41,13)," ")</f>
        <v xml:space="preserve"> </v>
      </c>
    </row>
    <row r="892" spans="1:27" x14ac:dyDescent="0.45">
      <c r="A892" s="43"/>
      <c r="B892" s="205"/>
      <c r="C892"/>
      <c r="D892" s="72"/>
      <c r="E892" s="72"/>
      <c r="F892" s="72"/>
      <c r="G892" s="72"/>
      <c r="H892" s="17"/>
      <c r="I892" s="41" t="str" cm="1">
        <f t="array" ref="I892">IFERROR(_xlfn.IFS(H892="Hard (Cash)","N/A",H892="Soft (In-Kind)", "Enter Source"),"Select Type")</f>
        <v>Select Type</v>
      </c>
      <c r="J892" s="124"/>
      <c r="K892" s="41" t="str">
        <f>IFERROR(VLOOKUP($J892,'Project Reference'!$S$2:$T$41,2),"Enter Project Number")</f>
        <v>Enter Project Number</v>
      </c>
      <c r="L892" s="41"/>
      <c r="M892" s="41"/>
      <c r="N892" s="15">
        <f t="shared" si="14"/>
        <v>0</v>
      </c>
      <c r="O892" s="19"/>
      <c r="P892" s="42" t="str">
        <f>IFERROR(VLOOKUP($J892,'Project Reference'!$B$2:$C$41,2)," ")</f>
        <v xml:space="preserve"> </v>
      </c>
      <c r="Q892" s="42" t="str">
        <f>IFERROR(VLOOKUP($J892,'Project Reference'!$B$2:$D$41,3)," ")</f>
        <v xml:space="preserve"> </v>
      </c>
      <c r="R892" s="42" t="str">
        <f>IFERROR(VLOOKUP($J892,'Project Reference'!$B$2:$E$41,4)," ")</f>
        <v xml:space="preserve"> </v>
      </c>
      <c r="S892" s="42" t="str">
        <f>IFERROR(VLOOKUP($J892,'Project Reference'!$B$2:$F$41,5,FALSE)," ")</f>
        <v xml:space="preserve"> </v>
      </c>
      <c r="T892" s="42" t="str">
        <f>IFERROR(VLOOKUP($J892,'Project Reference'!$B$2:$G$41,6,FALSE)," ")</f>
        <v xml:space="preserve"> </v>
      </c>
      <c r="U892" s="42" t="str">
        <f>IFERROR(VLOOKUP($J892,'Project Reference'!$B$2:$H$41,7,FALSE)," ")</f>
        <v xml:space="preserve"> </v>
      </c>
      <c r="V892" s="42" t="str">
        <f>IFERROR(VLOOKUP($J892,'Project Reference'!$B$2:$I$41,8,FALSE)," ")</f>
        <v xml:space="preserve"> </v>
      </c>
      <c r="W892" s="42" t="str">
        <f>IFERROR(VLOOKUP($J892,'Project Reference'!$B$2:$J$41,9,FALSE)," ")</f>
        <v xml:space="preserve"> </v>
      </c>
      <c r="X892" s="42" t="str">
        <f>IFERROR(VLOOKUP($J892,'Project Reference'!$B$2:$K$41,10)," ")</f>
        <v xml:space="preserve"> </v>
      </c>
      <c r="Y892" s="42" t="str">
        <f>IFERROR(VLOOKUP($J892,'Project Reference'!$B$2:$L$41,11)," ")</f>
        <v xml:space="preserve"> </v>
      </c>
      <c r="Z892" s="42" t="str">
        <f>IFERROR(VLOOKUP($J892,'Project Reference'!$B$2:$M$41,12)," ")</f>
        <v xml:space="preserve"> </v>
      </c>
      <c r="AA892" s="42" t="str">
        <f>IFERROR(VLOOKUP($J892,'Project Reference'!$B$2:$N$41,13)," ")</f>
        <v xml:space="preserve"> </v>
      </c>
    </row>
    <row r="893" spans="1:27" x14ac:dyDescent="0.45">
      <c r="A893" s="43"/>
      <c r="B893" s="205"/>
      <c r="C893"/>
      <c r="D893" s="72"/>
      <c r="E893" s="72"/>
      <c r="F893" s="72"/>
      <c r="G893" s="72"/>
      <c r="H893" s="17"/>
      <c r="I893" s="41" t="str" cm="1">
        <f t="array" ref="I893">IFERROR(_xlfn.IFS(H893="Hard (Cash)","N/A",H893="Soft (In-Kind)", "Enter Source"),"Select Type")</f>
        <v>Select Type</v>
      </c>
      <c r="J893" s="124"/>
      <c r="K893" s="41" t="str">
        <f>IFERROR(VLOOKUP($J893,'Project Reference'!$S$2:$T$41,2),"Enter Project Number")</f>
        <v>Enter Project Number</v>
      </c>
      <c r="L893" s="41"/>
      <c r="M893" s="41"/>
      <c r="N893" s="15">
        <f t="shared" si="14"/>
        <v>0</v>
      </c>
      <c r="O893" s="19"/>
      <c r="P893" s="42" t="str">
        <f>IFERROR(VLOOKUP($J893,'Project Reference'!$B$2:$C$41,2)," ")</f>
        <v xml:space="preserve"> </v>
      </c>
      <c r="Q893" s="42" t="str">
        <f>IFERROR(VLOOKUP($J893,'Project Reference'!$B$2:$D$41,3)," ")</f>
        <v xml:space="preserve"> </v>
      </c>
      <c r="R893" s="42" t="str">
        <f>IFERROR(VLOOKUP($J893,'Project Reference'!$B$2:$E$41,4)," ")</f>
        <v xml:space="preserve"> </v>
      </c>
      <c r="S893" s="42" t="str">
        <f>IFERROR(VLOOKUP($J893,'Project Reference'!$B$2:$F$41,5,FALSE)," ")</f>
        <v xml:space="preserve"> </v>
      </c>
      <c r="T893" s="42" t="str">
        <f>IFERROR(VLOOKUP($J893,'Project Reference'!$B$2:$G$41,6,FALSE)," ")</f>
        <v xml:space="preserve"> </v>
      </c>
      <c r="U893" s="42" t="str">
        <f>IFERROR(VLOOKUP($J893,'Project Reference'!$B$2:$H$41,7,FALSE)," ")</f>
        <v xml:space="preserve"> </v>
      </c>
      <c r="V893" s="42" t="str">
        <f>IFERROR(VLOOKUP($J893,'Project Reference'!$B$2:$I$41,8,FALSE)," ")</f>
        <v xml:space="preserve"> </v>
      </c>
      <c r="W893" s="42" t="str">
        <f>IFERROR(VLOOKUP($J893,'Project Reference'!$B$2:$J$41,9,FALSE)," ")</f>
        <v xml:space="preserve"> </v>
      </c>
      <c r="X893" s="42" t="str">
        <f>IFERROR(VLOOKUP($J893,'Project Reference'!$B$2:$K$41,10)," ")</f>
        <v xml:space="preserve"> </v>
      </c>
      <c r="Y893" s="42" t="str">
        <f>IFERROR(VLOOKUP($J893,'Project Reference'!$B$2:$L$41,11)," ")</f>
        <v xml:space="preserve"> </v>
      </c>
      <c r="Z893" s="42" t="str">
        <f>IFERROR(VLOOKUP($J893,'Project Reference'!$B$2:$M$41,12)," ")</f>
        <v xml:space="preserve"> </v>
      </c>
      <c r="AA893" s="42" t="str">
        <f>IFERROR(VLOOKUP($J893,'Project Reference'!$B$2:$N$41,13)," ")</f>
        <v xml:space="preserve"> </v>
      </c>
    </row>
    <row r="894" spans="1:27" x14ac:dyDescent="0.45">
      <c r="A894" s="43"/>
      <c r="B894" s="205"/>
      <c r="C894"/>
      <c r="D894" s="72"/>
      <c r="E894" s="72"/>
      <c r="F894" s="72"/>
      <c r="G894" s="72"/>
      <c r="H894" s="17"/>
      <c r="I894" s="41" t="str" cm="1">
        <f t="array" ref="I894">IFERROR(_xlfn.IFS(H894="Hard (Cash)","N/A",H894="Soft (In-Kind)", "Enter Source"),"Select Type")</f>
        <v>Select Type</v>
      </c>
      <c r="J894" s="124"/>
      <c r="K894" s="41" t="str">
        <f>IFERROR(VLOOKUP($J894,'Project Reference'!$S$2:$T$41,2),"Enter Project Number")</f>
        <v>Enter Project Number</v>
      </c>
      <c r="L894" s="41"/>
      <c r="M894" s="41"/>
      <c r="N894" s="15">
        <f t="shared" si="14"/>
        <v>0</v>
      </c>
      <c r="O894" s="19"/>
      <c r="P894" s="42" t="str">
        <f>IFERROR(VLOOKUP($J894,'Project Reference'!$B$2:$C$41,2)," ")</f>
        <v xml:space="preserve"> </v>
      </c>
      <c r="Q894" s="42" t="str">
        <f>IFERROR(VLOOKUP($J894,'Project Reference'!$B$2:$D$41,3)," ")</f>
        <v xml:space="preserve"> </v>
      </c>
      <c r="R894" s="42" t="str">
        <f>IFERROR(VLOOKUP($J894,'Project Reference'!$B$2:$E$41,4)," ")</f>
        <v xml:space="preserve"> </v>
      </c>
      <c r="S894" s="42" t="str">
        <f>IFERROR(VLOOKUP($J894,'Project Reference'!$B$2:$F$41,5,FALSE)," ")</f>
        <v xml:space="preserve"> </v>
      </c>
      <c r="T894" s="42" t="str">
        <f>IFERROR(VLOOKUP($J894,'Project Reference'!$B$2:$G$41,6,FALSE)," ")</f>
        <v xml:space="preserve"> </v>
      </c>
      <c r="U894" s="42" t="str">
        <f>IFERROR(VLOOKUP($J894,'Project Reference'!$B$2:$H$41,7,FALSE)," ")</f>
        <v xml:space="preserve"> </v>
      </c>
      <c r="V894" s="42" t="str">
        <f>IFERROR(VLOOKUP($J894,'Project Reference'!$B$2:$I$41,8,FALSE)," ")</f>
        <v xml:space="preserve"> </v>
      </c>
      <c r="W894" s="42" t="str">
        <f>IFERROR(VLOOKUP($J894,'Project Reference'!$B$2:$J$41,9,FALSE)," ")</f>
        <v xml:space="preserve"> </v>
      </c>
      <c r="X894" s="42" t="str">
        <f>IFERROR(VLOOKUP($J894,'Project Reference'!$B$2:$K$41,10)," ")</f>
        <v xml:space="preserve"> </v>
      </c>
      <c r="Y894" s="42" t="str">
        <f>IFERROR(VLOOKUP($J894,'Project Reference'!$B$2:$L$41,11)," ")</f>
        <v xml:space="preserve"> </v>
      </c>
      <c r="Z894" s="42" t="str">
        <f>IFERROR(VLOOKUP($J894,'Project Reference'!$B$2:$M$41,12)," ")</f>
        <v xml:space="preserve"> </v>
      </c>
      <c r="AA894" s="42" t="str">
        <f>IFERROR(VLOOKUP($J894,'Project Reference'!$B$2:$N$41,13)," ")</f>
        <v xml:space="preserve"> </v>
      </c>
    </row>
    <row r="895" spans="1:27" x14ac:dyDescent="0.45">
      <c r="A895" s="43"/>
      <c r="B895" s="205"/>
      <c r="C895"/>
      <c r="D895" s="72"/>
      <c r="E895" s="72"/>
      <c r="F895" s="72"/>
      <c r="G895" s="72"/>
      <c r="H895" s="17"/>
      <c r="I895" s="41" t="str" cm="1">
        <f t="array" ref="I895">IFERROR(_xlfn.IFS(H895="Hard (Cash)","N/A",H895="Soft (In-Kind)", "Enter Source"),"Select Type")</f>
        <v>Select Type</v>
      </c>
      <c r="J895" s="124"/>
      <c r="K895" s="41" t="str">
        <f>IFERROR(VLOOKUP($J895,'Project Reference'!$S$2:$T$41,2),"Enter Project Number")</f>
        <v>Enter Project Number</v>
      </c>
      <c r="L895" s="41"/>
      <c r="M895" s="41"/>
      <c r="N895" s="15">
        <f t="shared" si="14"/>
        <v>0</v>
      </c>
      <c r="O895" s="19"/>
      <c r="P895" s="42" t="str">
        <f>IFERROR(VLOOKUP($J895,'Project Reference'!$B$2:$C$41,2)," ")</f>
        <v xml:space="preserve"> </v>
      </c>
      <c r="Q895" s="42" t="str">
        <f>IFERROR(VLOOKUP($J895,'Project Reference'!$B$2:$D$41,3)," ")</f>
        <v xml:space="preserve"> </v>
      </c>
      <c r="R895" s="42" t="str">
        <f>IFERROR(VLOOKUP($J895,'Project Reference'!$B$2:$E$41,4)," ")</f>
        <v xml:space="preserve"> </v>
      </c>
      <c r="S895" s="42" t="str">
        <f>IFERROR(VLOOKUP($J895,'Project Reference'!$B$2:$F$41,5,FALSE)," ")</f>
        <v xml:space="preserve"> </v>
      </c>
      <c r="T895" s="42" t="str">
        <f>IFERROR(VLOOKUP($J895,'Project Reference'!$B$2:$G$41,6,FALSE)," ")</f>
        <v xml:space="preserve"> </v>
      </c>
      <c r="U895" s="42" t="str">
        <f>IFERROR(VLOOKUP($J895,'Project Reference'!$B$2:$H$41,7,FALSE)," ")</f>
        <v xml:space="preserve"> </v>
      </c>
      <c r="V895" s="42" t="str">
        <f>IFERROR(VLOOKUP($J895,'Project Reference'!$B$2:$I$41,8,FALSE)," ")</f>
        <v xml:space="preserve"> </v>
      </c>
      <c r="W895" s="42" t="str">
        <f>IFERROR(VLOOKUP($J895,'Project Reference'!$B$2:$J$41,9,FALSE)," ")</f>
        <v xml:space="preserve"> </v>
      </c>
      <c r="X895" s="42" t="str">
        <f>IFERROR(VLOOKUP($J895,'Project Reference'!$B$2:$K$41,10)," ")</f>
        <v xml:space="preserve"> </v>
      </c>
      <c r="Y895" s="42" t="str">
        <f>IFERROR(VLOOKUP($J895,'Project Reference'!$B$2:$L$41,11)," ")</f>
        <v xml:space="preserve"> </v>
      </c>
      <c r="Z895" s="42" t="str">
        <f>IFERROR(VLOOKUP($J895,'Project Reference'!$B$2:$M$41,12)," ")</f>
        <v xml:space="preserve"> </v>
      </c>
      <c r="AA895" s="42" t="str">
        <f>IFERROR(VLOOKUP($J895,'Project Reference'!$B$2:$N$41,13)," ")</f>
        <v xml:space="preserve"> </v>
      </c>
    </row>
    <row r="896" spans="1:27" x14ac:dyDescent="0.45">
      <c r="A896" s="43"/>
      <c r="B896" s="205"/>
      <c r="C896"/>
      <c r="D896" s="72"/>
      <c r="E896" s="72"/>
      <c r="F896" s="72"/>
      <c r="G896" s="72"/>
      <c r="H896" s="17"/>
      <c r="I896" s="41" t="str" cm="1">
        <f t="array" ref="I896">IFERROR(_xlfn.IFS(H896="Hard (Cash)","N/A",H896="Soft (In-Kind)", "Enter Source"),"Select Type")</f>
        <v>Select Type</v>
      </c>
      <c r="J896" s="124"/>
      <c r="K896" s="41" t="str">
        <f>IFERROR(VLOOKUP($J896,'Project Reference'!$S$2:$T$41,2),"Enter Project Number")</f>
        <v>Enter Project Number</v>
      </c>
      <c r="L896" s="41"/>
      <c r="M896" s="41"/>
      <c r="N896" s="15">
        <f t="shared" si="14"/>
        <v>0</v>
      </c>
      <c r="O896" s="19"/>
      <c r="P896" s="42" t="str">
        <f>IFERROR(VLOOKUP($J896,'Project Reference'!$B$2:$C$41,2)," ")</f>
        <v xml:space="preserve"> </v>
      </c>
      <c r="Q896" s="42" t="str">
        <f>IFERROR(VLOOKUP($J896,'Project Reference'!$B$2:$D$41,3)," ")</f>
        <v xml:space="preserve"> </v>
      </c>
      <c r="R896" s="42" t="str">
        <f>IFERROR(VLOOKUP($J896,'Project Reference'!$B$2:$E$41,4)," ")</f>
        <v xml:space="preserve"> </v>
      </c>
      <c r="S896" s="42" t="str">
        <f>IFERROR(VLOOKUP($J896,'Project Reference'!$B$2:$F$41,5,FALSE)," ")</f>
        <v xml:space="preserve"> </v>
      </c>
      <c r="T896" s="42" t="str">
        <f>IFERROR(VLOOKUP($J896,'Project Reference'!$B$2:$G$41,6,FALSE)," ")</f>
        <v xml:space="preserve"> </v>
      </c>
      <c r="U896" s="42" t="str">
        <f>IFERROR(VLOOKUP($J896,'Project Reference'!$B$2:$H$41,7,FALSE)," ")</f>
        <v xml:space="preserve"> </v>
      </c>
      <c r="V896" s="42" t="str">
        <f>IFERROR(VLOOKUP($J896,'Project Reference'!$B$2:$I$41,8,FALSE)," ")</f>
        <v xml:space="preserve"> </v>
      </c>
      <c r="W896" s="42" t="str">
        <f>IFERROR(VLOOKUP($J896,'Project Reference'!$B$2:$J$41,9,FALSE)," ")</f>
        <v xml:space="preserve"> </v>
      </c>
      <c r="X896" s="42" t="str">
        <f>IFERROR(VLOOKUP($J896,'Project Reference'!$B$2:$K$41,10)," ")</f>
        <v xml:space="preserve"> </v>
      </c>
      <c r="Y896" s="42" t="str">
        <f>IFERROR(VLOOKUP($J896,'Project Reference'!$B$2:$L$41,11)," ")</f>
        <v xml:space="preserve"> </v>
      </c>
      <c r="Z896" s="42" t="str">
        <f>IFERROR(VLOOKUP($J896,'Project Reference'!$B$2:$M$41,12)," ")</f>
        <v xml:space="preserve"> </v>
      </c>
      <c r="AA896" s="42" t="str">
        <f>IFERROR(VLOOKUP($J896,'Project Reference'!$B$2:$N$41,13)," ")</f>
        <v xml:space="preserve"> </v>
      </c>
    </row>
    <row r="897" spans="1:27" x14ac:dyDescent="0.45">
      <c r="A897" s="43"/>
      <c r="B897" s="205"/>
      <c r="C897"/>
      <c r="D897" s="72"/>
      <c r="E897" s="72"/>
      <c r="F897" s="72"/>
      <c r="G897" s="72"/>
      <c r="H897" s="17"/>
      <c r="I897" s="41" t="str" cm="1">
        <f t="array" ref="I897">IFERROR(_xlfn.IFS(H897="Hard (Cash)","N/A",H897="Soft (In-Kind)", "Enter Source"),"Select Type")</f>
        <v>Select Type</v>
      </c>
      <c r="J897" s="124"/>
      <c r="K897" s="41" t="str">
        <f>IFERROR(VLOOKUP($J897,'Project Reference'!$S$2:$T$41,2),"Enter Project Number")</f>
        <v>Enter Project Number</v>
      </c>
      <c r="L897" s="41"/>
      <c r="M897" s="41"/>
      <c r="N897" s="15">
        <f t="shared" si="14"/>
        <v>0</v>
      </c>
      <c r="O897" s="19"/>
      <c r="P897" s="42" t="str">
        <f>IFERROR(VLOOKUP($J897,'Project Reference'!$B$2:$C$41,2)," ")</f>
        <v xml:space="preserve"> </v>
      </c>
      <c r="Q897" s="42" t="str">
        <f>IFERROR(VLOOKUP($J897,'Project Reference'!$B$2:$D$41,3)," ")</f>
        <v xml:space="preserve"> </v>
      </c>
      <c r="R897" s="42" t="str">
        <f>IFERROR(VLOOKUP($J897,'Project Reference'!$B$2:$E$41,4)," ")</f>
        <v xml:space="preserve"> </v>
      </c>
      <c r="S897" s="42" t="str">
        <f>IFERROR(VLOOKUP($J897,'Project Reference'!$B$2:$F$41,5,FALSE)," ")</f>
        <v xml:space="preserve"> </v>
      </c>
      <c r="T897" s="42" t="str">
        <f>IFERROR(VLOOKUP($J897,'Project Reference'!$B$2:$G$41,6,FALSE)," ")</f>
        <v xml:space="preserve"> </v>
      </c>
      <c r="U897" s="42" t="str">
        <f>IFERROR(VLOOKUP($J897,'Project Reference'!$B$2:$H$41,7,FALSE)," ")</f>
        <v xml:space="preserve"> </v>
      </c>
      <c r="V897" s="42" t="str">
        <f>IFERROR(VLOOKUP($J897,'Project Reference'!$B$2:$I$41,8,FALSE)," ")</f>
        <v xml:space="preserve"> </v>
      </c>
      <c r="W897" s="42" t="str">
        <f>IFERROR(VLOOKUP($J897,'Project Reference'!$B$2:$J$41,9,FALSE)," ")</f>
        <v xml:space="preserve"> </v>
      </c>
      <c r="X897" s="42" t="str">
        <f>IFERROR(VLOOKUP($J897,'Project Reference'!$B$2:$K$41,10)," ")</f>
        <v xml:space="preserve"> </v>
      </c>
      <c r="Y897" s="42" t="str">
        <f>IFERROR(VLOOKUP($J897,'Project Reference'!$B$2:$L$41,11)," ")</f>
        <v xml:space="preserve"> </v>
      </c>
      <c r="Z897" s="42" t="str">
        <f>IFERROR(VLOOKUP($J897,'Project Reference'!$B$2:$M$41,12)," ")</f>
        <v xml:space="preserve"> </v>
      </c>
      <c r="AA897" s="42" t="str">
        <f>IFERROR(VLOOKUP($J897,'Project Reference'!$B$2:$N$41,13)," ")</f>
        <v xml:space="preserve"> </v>
      </c>
    </row>
    <row r="898" spans="1:27" x14ac:dyDescent="0.45">
      <c r="A898" s="43"/>
      <c r="B898" s="205"/>
      <c r="C898"/>
      <c r="D898" s="72"/>
      <c r="E898" s="72"/>
      <c r="F898" s="72"/>
      <c r="G898" s="72"/>
      <c r="H898" s="17"/>
      <c r="I898" s="41" t="str" cm="1">
        <f t="array" ref="I898">IFERROR(_xlfn.IFS(H898="Hard (Cash)","N/A",H898="Soft (In-Kind)", "Enter Source"),"Select Type")</f>
        <v>Select Type</v>
      </c>
      <c r="J898" s="124"/>
      <c r="K898" s="41" t="str">
        <f>IFERROR(VLOOKUP($J898,'Project Reference'!$S$2:$T$41,2),"Enter Project Number")</f>
        <v>Enter Project Number</v>
      </c>
      <c r="L898" s="41"/>
      <c r="M898" s="41"/>
      <c r="N898" s="15">
        <f t="shared" si="14"/>
        <v>0</v>
      </c>
      <c r="O898" s="19"/>
      <c r="P898" s="42" t="str">
        <f>IFERROR(VLOOKUP($J898,'Project Reference'!$B$2:$C$41,2)," ")</f>
        <v xml:space="preserve"> </v>
      </c>
      <c r="Q898" s="42" t="str">
        <f>IFERROR(VLOOKUP($J898,'Project Reference'!$B$2:$D$41,3)," ")</f>
        <v xml:space="preserve"> </v>
      </c>
      <c r="R898" s="42" t="str">
        <f>IFERROR(VLOOKUP($J898,'Project Reference'!$B$2:$E$41,4)," ")</f>
        <v xml:space="preserve"> </v>
      </c>
      <c r="S898" s="42" t="str">
        <f>IFERROR(VLOOKUP($J898,'Project Reference'!$B$2:$F$41,5,FALSE)," ")</f>
        <v xml:space="preserve"> </v>
      </c>
      <c r="T898" s="42" t="str">
        <f>IFERROR(VLOOKUP($J898,'Project Reference'!$B$2:$G$41,6,FALSE)," ")</f>
        <v xml:space="preserve"> </v>
      </c>
      <c r="U898" s="42" t="str">
        <f>IFERROR(VLOOKUP($J898,'Project Reference'!$B$2:$H$41,7,FALSE)," ")</f>
        <v xml:space="preserve"> </v>
      </c>
      <c r="V898" s="42" t="str">
        <f>IFERROR(VLOOKUP($J898,'Project Reference'!$B$2:$I$41,8,FALSE)," ")</f>
        <v xml:space="preserve"> </v>
      </c>
      <c r="W898" s="42" t="str">
        <f>IFERROR(VLOOKUP($J898,'Project Reference'!$B$2:$J$41,9,FALSE)," ")</f>
        <v xml:space="preserve"> </v>
      </c>
      <c r="X898" s="42" t="str">
        <f>IFERROR(VLOOKUP($J898,'Project Reference'!$B$2:$K$41,10)," ")</f>
        <v xml:space="preserve"> </v>
      </c>
      <c r="Y898" s="42" t="str">
        <f>IFERROR(VLOOKUP($J898,'Project Reference'!$B$2:$L$41,11)," ")</f>
        <v xml:space="preserve"> </v>
      </c>
      <c r="Z898" s="42" t="str">
        <f>IFERROR(VLOOKUP($J898,'Project Reference'!$B$2:$M$41,12)," ")</f>
        <v xml:space="preserve"> </v>
      </c>
      <c r="AA898" s="42" t="str">
        <f>IFERROR(VLOOKUP($J898,'Project Reference'!$B$2:$N$41,13)," ")</f>
        <v xml:space="preserve"> </v>
      </c>
    </row>
    <row r="899" spans="1:27" x14ac:dyDescent="0.45">
      <c r="A899" s="43"/>
      <c r="B899" s="205"/>
      <c r="C899"/>
      <c r="D899" s="72"/>
      <c r="E899" s="72"/>
      <c r="F899" s="72"/>
      <c r="G899" s="72"/>
      <c r="H899" s="17"/>
      <c r="I899" s="41" t="str" cm="1">
        <f t="array" ref="I899">IFERROR(_xlfn.IFS(H899="Hard (Cash)","N/A",H899="Soft (In-Kind)", "Enter Source"),"Select Type")</f>
        <v>Select Type</v>
      </c>
      <c r="J899" s="124"/>
      <c r="K899" s="41" t="str">
        <f>IFERROR(VLOOKUP($J899,'Project Reference'!$S$2:$T$41,2),"Enter Project Number")</f>
        <v>Enter Project Number</v>
      </c>
      <c r="L899" s="41"/>
      <c r="M899" s="41"/>
      <c r="N899" s="15">
        <f t="shared" si="14"/>
        <v>0</v>
      </c>
      <c r="O899" s="19"/>
      <c r="P899" s="42" t="str">
        <f>IFERROR(VLOOKUP($J899,'Project Reference'!$B$2:$C$41,2)," ")</f>
        <v xml:space="preserve"> </v>
      </c>
      <c r="Q899" s="42" t="str">
        <f>IFERROR(VLOOKUP($J899,'Project Reference'!$B$2:$D$41,3)," ")</f>
        <v xml:space="preserve"> </v>
      </c>
      <c r="R899" s="42" t="str">
        <f>IFERROR(VLOOKUP($J899,'Project Reference'!$B$2:$E$41,4)," ")</f>
        <v xml:space="preserve"> </v>
      </c>
      <c r="S899" s="42" t="str">
        <f>IFERROR(VLOOKUP($J899,'Project Reference'!$B$2:$F$41,5,FALSE)," ")</f>
        <v xml:space="preserve"> </v>
      </c>
      <c r="T899" s="42" t="str">
        <f>IFERROR(VLOOKUP($J899,'Project Reference'!$B$2:$G$41,6,FALSE)," ")</f>
        <v xml:space="preserve"> </v>
      </c>
      <c r="U899" s="42" t="str">
        <f>IFERROR(VLOOKUP($J899,'Project Reference'!$B$2:$H$41,7,FALSE)," ")</f>
        <v xml:space="preserve"> </v>
      </c>
      <c r="V899" s="42" t="str">
        <f>IFERROR(VLOOKUP($J899,'Project Reference'!$B$2:$I$41,8,FALSE)," ")</f>
        <v xml:space="preserve"> </v>
      </c>
      <c r="W899" s="42" t="str">
        <f>IFERROR(VLOOKUP($J899,'Project Reference'!$B$2:$J$41,9,FALSE)," ")</f>
        <v xml:space="preserve"> </v>
      </c>
      <c r="X899" s="42" t="str">
        <f>IFERROR(VLOOKUP($J899,'Project Reference'!$B$2:$K$41,10)," ")</f>
        <v xml:space="preserve"> </v>
      </c>
      <c r="Y899" s="42" t="str">
        <f>IFERROR(VLOOKUP($J899,'Project Reference'!$B$2:$L$41,11)," ")</f>
        <v xml:space="preserve"> </v>
      </c>
      <c r="Z899" s="42" t="str">
        <f>IFERROR(VLOOKUP($J899,'Project Reference'!$B$2:$M$41,12)," ")</f>
        <v xml:space="preserve"> </v>
      </c>
      <c r="AA899" s="42" t="str">
        <f>IFERROR(VLOOKUP($J899,'Project Reference'!$B$2:$N$41,13)," ")</f>
        <v xml:space="preserve"> </v>
      </c>
    </row>
    <row r="900" spans="1:27" x14ac:dyDescent="0.45">
      <c r="A900" s="43"/>
      <c r="B900" s="205"/>
      <c r="C900"/>
      <c r="D900" s="72"/>
      <c r="E900" s="72"/>
      <c r="F900" s="72"/>
      <c r="G900" s="72"/>
      <c r="H900" s="17"/>
      <c r="I900" s="41" t="str" cm="1">
        <f t="array" ref="I900">IFERROR(_xlfn.IFS(H900="Hard (Cash)","N/A",H900="Soft (In-Kind)", "Enter Source"),"Select Type")</f>
        <v>Select Type</v>
      </c>
      <c r="J900" s="124"/>
      <c r="K900" s="41" t="str">
        <f>IFERROR(VLOOKUP($J900,'Project Reference'!$S$2:$T$41,2),"Enter Project Number")</f>
        <v>Enter Project Number</v>
      </c>
      <c r="L900" s="41"/>
      <c r="M900" s="41"/>
      <c r="N900" s="15">
        <f t="shared" si="14"/>
        <v>0</v>
      </c>
      <c r="O900" s="19"/>
      <c r="P900" s="42" t="str">
        <f>IFERROR(VLOOKUP($J900,'Project Reference'!$B$2:$C$41,2)," ")</f>
        <v xml:space="preserve"> </v>
      </c>
      <c r="Q900" s="42" t="str">
        <f>IFERROR(VLOOKUP($J900,'Project Reference'!$B$2:$D$41,3)," ")</f>
        <v xml:space="preserve"> </v>
      </c>
      <c r="R900" s="42" t="str">
        <f>IFERROR(VLOOKUP($J900,'Project Reference'!$B$2:$E$41,4)," ")</f>
        <v xml:space="preserve"> </v>
      </c>
      <c r="S900" s="42" t="str">
        <f>IFERROR(VLOOKUP($J900,'Project Reference'!$B$2:$F$41,5,FALSE)," ")</f>
        <v xml:space="preserve"> </v>
      </c>
      <c r="T900" s="42" t="str">
        <f>IFERROR(VLOOKUP($J900,'Project Reference'!$B$2:$G$41,6,FALSE)," ")</f>
        <v xml:space="preserve"> </v>
      </c>
      <c r="U900" s="42" t="str">
        <f>IFERROR(VLOOKUP($J900,'Project Reference'!$B$2:$H$41,7,FALSE)," ")</f>
        <v xml:space="preserve"> </v>
      </c>
      <c r="V900" s="42" t="str">
        <f>IFERROR(VLOOKUP($J900,'Project Reference'!$B$2:$I$41,8,FALSE)," ")</f>
        <v xml:space="preserve"> </v>
      </c>
      <c r="W900" s="42" t="str">
        <f>IFERROR(VLOOKUP($J900,'Project Reference'!$B$2:$J$41,9,FALSE)," ")</f>
        <v xml:space="preserve"> </v>
      </c>
      <c r="X900" s="42" t="str">
        <f>IFERROR(VLOOKUP($J900,'Project Reference'!$B$2:$K$41,10)," ")</f>
        <v xml:space="preserve"> </v>
      </c>
      <c r="Y900" s="42" t="str">
        <f>IFERROR(VLOOKUP($J900,'Project Reference'!$B$2:$L$41,11)," ")</f>
        <v xml:space="preserve"> </v>
      </c>
      <c r="Z900" s="42" t="str">
        <f>IFERROR(VLOOKUP($J900,'Project Reference'!$B$2:$M$41,12)," ")</f>
        <v xml:space="preserve"> </v>
      </c>
      <c r="AA900" s="42" t="str">
        <f>IFERROR(VLOOKUP($J900,'Project Reference'!$B$2:$N$41,13)," ")</f>
        <v xml:space="preserve"> </v>
      </c>
    </row>
    <row r="901" spans="1:27" x14ac:dyDescent="0.45">
      <c r="A901" s="43"/>
      <c r="B901" s="205"/>
      <c r="C901"/>
      <c r="D901" s="72"/>
      <c r="E901" s="72"/>
      <c r="F901" s="72"/>
      <c r="G901" s="72"/>
      <c r="H901" s="17"/>
      <c r="I901" s="41" t="str" cm="1">
        <f t="array" ref="I901">IFERROR(_xlfn.IFS(H901="Hard (Cash)","N/A",H901="Soft (In-Kind)", "Enter Source"),"Select Type")</f>
        <v>Select Type</v>
      </c>
      <c r="J901" s="124"/>
      <c r="K901" s="41" t="str">
        <f>IFERROR(VLOOKUP($J901,'Project Reference'!$S$2:$T$41,2),"Enter Project Number")</f>
        <v>Enter Project Number</v>
      </c>
      <c r="L901" s="41"/>
      <c r="M901" s="41"/>
      <c r="N901" s="15">
        <f t="shared" si="14"/>
        <v>0</v>
      </c>
      <c r="O901" s="19"/>
      <c r="P901" s="42" t="str">
        <f>IFERROR(VLOOKUP($J901,'Project Reference'!$B$2:$C$41,2)," ")</f>
        <v xml:space="preserve"> </v>
      </c>
      <c r="Q901" s="42" t="str">
        <f>IFERROR(VLOOKUP($J901,'Project Reference'!$B$2:$D$41,3)," ")</f>
        <v xml:space="preserve"> </v>
      </c>
      <c r="R901" s="42" t="str">
        <f>IFERROR(VLOOKUP($J901,'Project Reference'!$B$2:$E$41,4)," ")</f>
        <v xml:space="preserve"> </v>
      </c>
      <c r="S901" s="42" t="str">
        <f>IFERROR(VLOOKUP($J901,'Project Reference'!$B$2:$F$41,5,FALSE)," ")</f>
        <v xml:space="preserve"> </v>
      </c>
      <c r="T901" s="42" t="str">
        <f>IFERROR(VLOOKUP($J901,'Project Reference'!$B$2:$G$41,6,FALSE)," ")</f>
        <v xml:space="preserve"> </v>
      </c>
      <c r="U901" s="42" t="str">
        <f>IFERROR(VLOOKUP($J901,'Project Reference'!$B$2:$H$41,7,FALSE)," ")</f>
        <v xml:space="preserve"> </v>
      </c>
      <c r="V901" s="42" t="str">
        <f>IFERROR(VLOOKUP($J901,'Project Reference'!$B$2:$I$41,8,FALSE)," ")</f>
        <v xml:space="preserve"> </v>
      </c>
      <c r="W901" s="42" t="str">
        <f>IFERROR(VLOOKUP($J901,'Project Reference'!$B$2:$J$41,9,FALSE)," ")</f>
        <v xml:space="preserve"> </v>
      </c>
      <c r="X901" s="42" t="str">
        <f>IFERROR(VLOOKUP($J901,'Project Reference'!$B$2:$K$41,10)," ")</f>
        <v xml:space="preserve"> </v>
      </c>
      <c r="Y901" s="42" t="str">
        <f>IFERROR(VLOOKUP($J901,'Project Reference'!$B$2:$L$41,11)," ")</f>
        <v xml:space="preserve"> </v>
      </c>
      <c r="Z901" s="42" t="str">
        <f>IFERROR(VLOOKUP($J901,'Project Reference'!$B$2:$M$41,12)," ")</f>
        <v xml:space="preserve"> </v>
      </c>
      <c r="AA901" s="42" t="str">
        <f>IFERROR(VLOOKUP($J901,'Project Reference'!$B$2:$N$41,13)," ")</f>
        <v xml:space="preserve"> </v>
      </c>
    </row>
    <row r="902" spans="1:27" x14ac:dyDescent="0.45">
      <c r="A902" s="43"/>
      <c r="B902" s="205"/>
      <c r="C902"/>
      <c r="D902" s="72"/>
      <c r="E902" s="72"/>
      <c r="F902" s="72"/>
      <c r="G902" s="72"/>
      <c r="H902" s="17"/>
      <c r="I902" s="41" t="str" cm="1">
        <f t="array" ref="I902">IFERROR(_xlfn.IFS(H902="Hard (Cash)","N/A",H902="Soft (In-Kind)", "Enter Source"),"Select Type")</f>
        <v>Select Type</v>
      </c>
      <c r="J902" s="124"/>
      <c r="K902" s="41" t="str">
        <f>IFERROR(VLOOKUP($J902,'Project Reference'!$S$2:$T$41,2),"Enter Project Number")</f>
        <v>Enter Project Number</v>
      </c>
      <c r="L902" s="41"/>
      <c r="M902" s="41"/>
      <c r="N902" s="15">
        <f t="shared" si="14"/>
        <v>0</v>
      </c>
      <c r="O902" s="19"/>
      <c r="P902" s="42" t="str">
        <f>IFERROR(VLOOKUP($J902,'Project Reference'!$B$2:$C$41,2)," ")</f>
        <v xml:space="preserve"> </v>
      </c>
      <c r="Q902" s="42" t="str">
        <f>IFERROR(VLOOKUP($J902,'Project Reference'!$B$2:$D$41,3)," ")</f>
        <v xml:space="preserve"> </v>
      </c>
      <c r="R902" s="42" t="str">
        <f>IFERROR(VLOOKUP($J902,'Project Reference'!$B$2:$E$41,4)," ")</f>
        <v xml:space="preserve"> </v>
      </c>
      <c r="S902" s="42" t="str">
        <f>IFERROR(VLOOKUP($J902,'Project Reference'!$B$2:$F$41,5,FALSE)," ")</f>
        <v xml:space="preserve"> </v>
      </c>
      <c r="T902" s="42" t="str">
        <f>IFERROR(VLOOKUP($J902,'Project Reference'!$B$2:$G$41,6,FALSE)," ")</f>
        <v xml:space="preserve"> </v>
      </c>
      <c r="U902" s="42" t="str">
        <f>IFERROR(VLOOKUP($J902,'Project Reference'!$B$2:$H$41,7,FALSE)," ")</f>
        <v xml:space="preserve"> </v>
      </c>
      <c r="V902" s="42" t="str">
        <f>IFERROR(VLOOKUP($J902,'Project Reference'!$B$2:$I$41,8,FALSE)," ")</f>
        <v xml:space="preserve"> </v>
      </c>
      <c r="W902" s="42" t="str">
        <f>IFERROR(VLOOKUP($J902,'Project Reference'!$B$2:$J$41,9,FALSE)," ")</f>
        <v xml:space="preserve"> </v>
      </c>
      <c r="X902" s="42" t="str">
        <f>IFERROR(VLOOKUP($J902,'Project Reference'!$B$2:$K$41,10)," ")</f>
        <v xml:space="preserve"> </v>
      </c>
      <c r="Y902" s="42" t="str">
        <f>IFERROR(VLOOKUP($J902,'Project Reference'!$B$2:$L$41,11)," ")</f>
        <v xml:space="preserve"> </v>
      </c>
      <c r="Z902" s="42" t="str">
        <f>IFERROR(VLOOKUP($J902,'Project Reference'!$B$2:$M$41,12)," ")</f>
        <v xml:space="preserve"> </v>
      </c>
      <c r="AA902" s="42" t="str">
        <f>IFERROR(VLOOKUP($J902,'Project Reference'!$B$2:$N$41,13)," ")</f>
        <v xml:space="preserve"> </v>
      </c>
    </row>
    <row r="903" spans="1:27" x14ac:dyDescent="0.45">
      <c r="A903" s="43"/>
      <c r="B903" s="205"/>
      <c r="C903"/>
      <c r="D903" s="72"/>
      <c r="E903" s="72"/>
      <c r="F903" s="72"/>
      <c r="G903" s="72"/>
      <c r="H903" s="17"/>
      <c r="I903" s="41" t="str" cm="1">
        <f t="array" ref="I903">IFERROR(_xlfn.IFS(H903="Hard (Cash)","N/A",H903="Soft (In-Kind)", "Enter Source"),"Select Type")</f>
        <v>Select Type</v>
      </c>
      <c r="J903" s="124"/>
      <c r="K903" s="41" t="str">
        <f>IFERROR(VLOOKUP($J903,'Project Reference'!$S$2:$T$41,2),"Enter Project Number")</f>
        <v>Enter Project Number</v>
      </c>
      <c r="L903" s="41"/>
      <c r="M903" s="41"/>
      <c r="N903" s="15">
        <f t="shared" si="14"/>
        <v>0</v>
      </c>
      <c r="O903" s="19"/>
      <c r="P903" s="42" t="str">
        <f>IFERROR(VLOOKUP($J903,'Project Reference'!$B$2:$C$41,2)," ")</f>
        <v xml:space="preserve"> </v>
      </c>
      <c r="Q903" s="42" t="str">
        <f>IFERROR(VLOOKUP($J903,'Project Reference'!$B$2:$D$41,3)," ")</f>
        <v xml:space="preserve"> </v>
      </c>
      <c r="R903" s="42" t="str">
        <f>IFERROR(VLOOKUP($J903,'Project Reference'!$B$2:$E$41,4)," ")</f>
        <v xml:space="preserve"> </v>
      </c>
      <c r="S903" s="42" t="str">
        <f>IFERROR(VLOOKUP($J903,'Project Reference'!$B$2:$F$41,5,FALSE)," ")</f>
        <v xml:space="preserve"> </v>
      </c>
      <c r="T903" s="42" t="str">
        <f>IFERROR(VLOOKUP($J903,'Project Reference'!$B$2:$G$41,6,FALSE)," ")</f>
        <v xml:space="preserve"> </v>
      </c>
      <c r="U903" s="42" t="str">
        <f>IFERROR(VLOOKUP($J903,'Project Reference'!$B$2:$H$41,7,FALSE)," ")</f>
        <v xml:space="preserve"> </v>
      </c>
      <c r="V903" s="42" t="str">
        <f>IFERROR(VLOOKUP($J903,'Project Reference'!$B$2:$I$41,8,FALSE)," ")</f>
        <v xml:space="preserve"> </v>
      </c>
      <c r="W903" s="42" t="str">
        <f>IFERROR(VLOOKUP($J903,'Project Reference'!$B$2:$J$41,9,FALSE)," ")</f>
        <v xml:space="preserve"> </v>
      </c>
      <c r="X903" s="42" t="str">
        <f>IFERROR(VLOOKUP($J903,'Project Reference'!$B$2:$K$41,10)," ")</f>
        <v xml:space="preserve"> </v>
      </c>
      <c r="Y903" s="42" t="str">
        <f>IFERROR(VLOOKUP($J903,'Project Reference'!$B$2:$L$41,11)," ")</f>
        <v xml:space="preserve"> </v>
      </c>
      <c r="Z903" s="42" t="str">
        <f>IFERROR(VLOOKUP($J903,'Project Reference'!$B$2:$M$41,12)," ")</f>
        <v xml:space="preserve"> </v>
      </c>
      <c r="AA903" s="42" t="str">
        <f>IFERROR(VLOOKUP($J903,'Project Reference'!$B$2:$N$41,13)," ")</f>
        <v xml:space="preserve"> </v>
      </c>
    </row>
    <row r="904" spans="1:27" x14ac:dyDescent="0.45">
      <c r="A904" s="43"/>
      <c r="B904" s="205"/>
      <c r="C904"/>
      <c r="D904" s="72"/>
      <c r="E904" s="72"/>
      <c r="F904" s="72"/>
      <c r="G904" s="72"/>
      <c r="H904" s="17"/>
      <c r="I904" s="41" t="str" cm="1">
        <f t="array" ref="I904">IFERROR(_xlfn.IFS(H904="Hard (Cash)","N/A",H904="Soft (In-Kind)", "Enter Source"),"Select Type")</f>
        <v>Select Type</v>
      </c>
      <c r="J904" s="124"/>
      <c r="K904" s="41" t="str">
        <f>IFERROR(VLOOKUP($J904,'Project Reference'!$S$2:$T$41,2),"Enter Project Number")</f>
        <v>Enter Project Number</v>
      </c>
      <c r="L904" s="41"/>
      <c r="M904" s="41"/>
      <c r="N904" s="15">
        <f t="shared" si="14"/>
        <v>0</v>
      </c>
      <c r="O904" s="19"/>
      <c r="P904" s="42" t="str">
        <f>IFERROR(VLOOKUP($J904,'Project Reference'!$B$2:$C$41,2)," ")</f>
        <v xml:space="preserve"> </v>
      </c>
      <c r="Q904" s="42" t="str">
        <f>IFERROR(VLOOKUP($J904,'Project Reference'!$B$2:$D$41,3)," ")</f>
        <v xml:space="preserve"> </v>
      </c>
      <c r="R904" s="42" t="str">
        <f>IFERROR(VLOOKUP($J904,'Project Reference'!$B$2:$E$41,4)," ")</f>
        <v xml:space="preserve"> </v>
      </c>
      <c r="S904" s="42" t="str">
        <f>IFERROR(VLOOKUP($J904,'Project Reference'!$B$2:$F$41,5,FALSE)," ")</f>
        <v xml:space="preserve"> </v>
      </c>
      <c r="T904" s="42" t="str">
        <f>IFERROR(VLOOKUP($J904,'Project Reference'!$B$2:$G$41,6,FALSE)," ")</f>
        <v xml:space="preserve"> </v>
      </c>
      <c r="U904" s="42" t="str">
        <f>IFERROR(VLOOKUP($J904,'Project Reference'!$B$2:$H$41,7,FALSE)," ")</f>
        <v xml:space="preserve"> </v>
      </c>
      <c r="V904" s="42" t="str">
        <f>IFERROR(VLOOKUP($J904,'Project Reference'!$B$2:$I$41,8,FALSE)," ")</f>
        <v xml:space="preserve"> </v>
      </c>
      <c r="W904" s="42" t="str">
        <f>IFERROR(VLOOKUP($J904,'Project Reference'!$B$2:$J$41,9,FALSE)," ")</f>
        <v xml:space="preserve"> </v>
      </c>
      <c r="X904" s="42" t="str">
        <f>IFERROR(VLOOKUP($J904,'Project Reference'!$B$2:$K$41,10)," ")</f>
        <v xml:space="preserve"> </v>
      </c>
      <c r="Y904" s="42" t="str">
        <f>IFERROR(VLOOKUP($J904,'Project Reference'!$B$2:$L$41,11)," ")</f>
        <v xml:space="preserve"> </v>
      </c>
      <c r="Z904" s="42" t="str">
        <f>IFERROR(VLOOKUP($J904,'Project Reference'!$B$2:$M$41,12)," ")</f>
        <v xml:space="preserve"> </v>
      </c>
      <c r="AA904" s="42" t="str">
        <f>IFERROR(VLOOKUP($J904,'Project Reference'!$B$2:$N$41,13)," ")</f>
        <v xml:space="preserve"> </v>
      </c>
    </row>
    <row r="905" spans="1:27" x14ac:dyDescent="0.45">
      <c r="A905" s="43"/>
      <c r="B905" s="205"/>
      <c r="C905"/>
      <c r="D905" s="72"/>
      <c r="E905" s="72"/>
      <c r="F905" s="72"/>
      <c r="G905" s="72"/>
      <c r="H905" s="17"/>
      <c r="I905" s="41" t="str" cm="1">
        <f t="array" ref="I905">IFERROR(_xlfn.IFS(H905="Hard (Cash)","N/A",H905="Soft (In-Kind)", "Enter Source"),"Select Type")</f>
        <v>Select Type</v>
      </c>
      <c r="J905" s="124"/>
      <c r="K905" s="41" t="str">
        <f>IFERROR(VLOOKUP($J905,'Project Reference'!$S$2:$T$41,2),"Enter Project Number")</f>
        <v>Enter Project Number</v>
      </c>
      <c r="L905" s="41"/>
      <c r="M905" s="41"/>
      <c r="N905" s="15">
        <f t="shared" si="14"/>
        <v>0</v>
      </c>
      <c r="O905" s="19"/>
      <c r="P905" s="42" t="str">
        <f>IFERROR(VLOOKUP($J905,'Project Reference'!$B$2:$C$41,2)," ")</f>
        <v xml:space="preserve"> </v>
      </c>
      <c r="Q905" s="42" t="str">
        <f>IFERROR(VLOOKUP($J905,'Project Reference'!$B$2:$D$41,3)," ")</f>
        <v xml:space="preserve"> </v>
      </c>
      <c r="R905" s="42" t="str">
        <f>IFERROR(VLOOKUP($J905,'Project Reference'!$B$2:$E$41,4)," ")</f>
        <v xml:space="preserve"> </v>
      </c>
      <c r="S905" s="42" t="str">
        <f>IFERROR(VLOOKUP($J905,'Project Reference'!$B$2:$F$41,5,FALSE)," ")</f>
        <v xml:space="preserve"> </v>
      </c>
      <c r="T905" s="42" t="str">
        <f>IFERROR(VLOOKUP($J905,'Project Reference'!$B$2:$G$41,6,FALSE)," ")</f>
        <v xml:space="preserve"> </v>
      </c>
      <c r="U905" s="42" t="str">
        <f>IFERROR(VLOOKUP($J905,'Project Reference'!$B$2:$H$41,7,FALSE)," ")</f>
        <v xml:space="preserve"> </v>
      </c>
      <c r="V905" s="42" t="str">
        <f>IFERROR(VLOOKUP($J905,'Project Reference'!$B$2:$I$41,8,FALSE)," ")</f>
        <v xml:space="preserve"> </v>
      </c>
      <c r="W905" s="42" t="str">
        <f>IFERROR(VLOOKUP($J905,'Project Reference'!$B$2:$J$41,9,FALSE)," ")</f>
        <v xml:space="preserve"> </v>
      </c>
      <c r="X905" s="42" t="str">
        <f>IFERROR(VLOOKUP($J905,'Project Reference'!$B$2:$K$41,10)," ")</f>
        <v xml:space="preserve"> </v>
      </c>
      <c r="Y905" s="42" t="str">
        <f>IFERROR(VLOOKUP($J905,'Project Reference'!$B$2:$L$41,11)," ")</f>
        <v xml:space="preserve"> </v>
      </c>
      <c r="Z905" s="42" t="str">
        <f>IFERROR(VLOOKUP($J905,'Project Reference'!$B$2:$M$41,12)," ")</f>
        <v xml:space="preserve"> </v>
      </c>
      <c r="AA905" s="42" t="str">
        <f>IFERROR(VLOOKUP($J905,'Project Reference'!$B$2:$N$41,13)," ")</f>
        <v xml:space="preserve"> </v>
      </c>
    </row>
    <row r="906" spans="1:27" x14ac:dyDescent="0.45">
      <c r="A906" s="43"/>
      <c r="B906" s="205"/>
      <c r="C906"/>
      <c r="D906" s="72"/>
      <c r="E906" s="72"/>
      <c r="F906" s="72"/>
      <c r="G906" s="72"/>
      <c r="H906" s="17"/>
      <c r="I906" s="41" t="str" cm="1">
        <f t="array" ref="I906">IFERROR(_xlfn.IFS(H906="Hard (Cash)","N/A",H906="Soft (In-Kind)", "Enter Source"),"Select Type")</f>
        <v>Select Type</v>
      </c>
      <c r="J906" s="124"/>
      <c r="K906" s="41" t="str">
        <f>IFERROR(VLOOKUP($J906,'Project Reference'!$S$2:$T$41,2),"Enter Project Number")</f>
        <v>Enter Project Number</v>
      </c>
      <c r="L906" s="41"/>
      <c r="M906" s="41"/>
      <c r="N906" s="15">
        <f t="shared" si="14"/>
        <v>0</v>
      </c>
      <c r="O906" s="19"/>
      <c r="P906" s="42" t="str">
        <f>IFERROR(VLOOKUP($J906,'Project Reference'!$B$2:$C$41,2)," ")</f>
        <v xml:space="preserve"> </v>
      </c>
      <c r="Q906" s="42" t="str">
        <f>IFERROR(VLOOKUP($J906,'Project Reference'!$B$2:$D$41,3)," ")</f>
        <v xml:space="preserve"> </v>
      </c>
      <c r="R906" s="42" t="str">
        <f>IFERROR(VLOOKUP($J906,'Project Reference'!$B$2:$E$41,4)," ")</f>
        <v xml:space="preserve"> </v>
      </c>
      <c r="S906" s="42" t="str">
        <f>IFERROR(VLOOKUP($J906,'Project Reference'!$B$2:$F$41,5,FALSE)," ")</f>
        <v xml:space="preserve"> </v>
      </c>
      <c r="T906" s="42" t="str">
        <f>IFERROR(VLOOKUP($J906,'Project Reference'!$B$2:$G$41,6,FALSE)," ")</f>
        <v xml:space="preserve"> </v>
      </c>
      <c r="U906" s="42" t="str">
        <f>IFERROR(VLOOKUP($J906,'Project Reference'!$B$2:$H$41,7,FALSE)," ")</f>
        <v xml:space="preserve"> </v>
      </c>
      <c r="V906" s="42" t="str">
        <f>IFERROR(VLOOKUP($J906,'Project Reference'!$B$2:$I$41,8,FALSE)," ")</f>
        <v xml:space="preserve"> </v>
      </c>
      <c r="W906" s="42" t="str">
        <f>IFERROR(VLOOKUP($J906,'Project Reference'!$B$2:$J$41,9,FALSE)," ")</f>
        <v xml:space="preserve"> </v>
      </c>
      <c r="X906" s="42" t="str">
        <f>IFERROR(VLOOKUP($J906,'Project Reference'!$B$2:$K$41,10)," ")</f>
        <v xml:space="preserve"> </v>
      </c>
      <c r="Y906" s="42" t="str">
        <f>IFERROR(VLOOKUP($J906,'Project Reference'!$B$2:$L$41,11)," ")</f>
        <v xml:space="preserve"> </v>
      </c>
      <c r="Z906" s="42" t="str">
        <f>IFERROR(VLOOKUP($J906,'Project Reference'!$B$2:$M$41,12)," ")</f>
        <v xml:space="preserve"> </v>
      </c>
      <c r="AA906" s="42" t="str">
        <f>IFERROR(VLOOKUP($J906,'Project Reference'!$B$2:$N$41,13)," ")</f>
        <v xml:space="preserve"> </v>
      </c>
    </row>
    <row r="907" spans="1:27" x14ac:dyDescent="0.45">
      <c r="A907" s="43"/>
      <c r="B907" s="205"/>
      <c r="C907"/>
      <c r="D907" s="72"/>
      <c r="E907" s="72"/>
      <c r="F907" s="72"/>
      <c r="G907" s="72"/>
      <c r="H907" s="17"/>
      <c r="I907" s="41" t="str" cm="1">
        <f t="array" ref="I907">IFERROR(_xlfn.IFS(H907="Hard (Cash)","N/A",H907="Soft (In-Kind)", "Enter Source"),"Select Type")</f>
        <v>Select Type</v>
      </c>
      <c r="J907" s="124"/>
      <c r="K907" s="41" t="str">
        <f>IFERROR(VLOOKUP($J907,'Project Reference'!$S$2:$T$41,2),"Enter Project Number")</f>
        <v>Enter Project Number</v>
      </c>
      <c r="L907" s="41"/>
      <c r="M907" s="41"/>
      <c r="N907" s="15">
        <f t="shared" si="14"/>
        <v>0</v>
      </c>
      <c r="O907" s="19"/>
      <c r="P907" s="42" t="str">
        <f>IFERROR(VLOOKUP($J907,'Project Reference'!$B$2:$C$41,2)," ")</f>
        <v xml:space="preserve"> </v>
      </c>
      <c r="Q907" s="42" t="str">
        <f>IFERROR(VLOOKUP($J907,'Project Reference'!$B$2:$D$41,3)," ")</f>
        <v xml:space="preserve"> </v>
      </c>
      <c r="R907" s="42" t="str">
        <f>IFERROR(VLOOKUP($J907,'Project Reference'!$B$2:$E$41,4)," ")</f>
        <v xml:space="preserve"> </v>
      </c>
      <c r="S907" s="42" t="str">
        <f>IFERROR(VLOOKUP($J907,'Project Reference'!$B$2:$F$41,5,FALSE)," ")</f>
        <v xml:space="preserve"> </v>
      </c>
      <c r="T907" s="42" t="str">
        <f>IFERROR(VLOOKUP($J907,'Project Reference'!$B$2:$G$41,6,FALSE)," ")</f>
        <v xml:space="preserve"> </v>
      </c>
      <c r="U907" s="42" t="str">
        <f>IFERROR(VLOOKUP($J907,'Project Reference'!$B$2:$H$41,7,FALSE)," ")</f>
        <v xml:space="preserve"> </v>
      </c>
      <c r="V907" s="42" t="str">
        <f>IFERROR(VLOOKUP($J907,'Project Reference'!$B$2:$I$41,8,FALSE)," ")</f>
        <v xml:space="preserve"> </v>
      </c>
      <c r="W907" s="42" t="str">
        <f>IFERROR(VLOOKUP($J907,'Project Reference'!$B$2:$J$41,9,FALSE)," ")</f>
        <v xml:space="preserve"> </v>
      </c>
      <c r="X907" s="42" t="str">
        <f>IFERROR(VLOOKUP($J907,'Project Reference'!$B$2:$K$41,10)," ")</f>
        <v xml:space="preserve"> </v>
      </c>
      <c r="Y907" s="42" t="str">
        <f>IFERROR(VLOOKUP($J907,'Project Reference'!$B$2:$L$41,11)," ")</f>
        <v xml:space="preserve"> </v>
      </c>
      <c r="Z907" s="42" t="str">
        <f>IFERROR(VLOOKUP($J907,'Project Reference'!$B$2:$M$41,12)," ")</f>
        <v xml:space="preserve"> </v>
      </c>
      <c r="AA907" s="42" t="str">
        <f>IFERROR(VLOOKUP($J907,'Project Reference'!$B$2:$N$41,13)," ")</f>
        <v xml:space="preserve"> </v>
      </c>
    </row>
    <row r="908" spans="1:27" x14ac:dyDescent="0.45">
      <c r="A908" s="43"/>
      <c r="B908" s="205"/>
      <c r="C908"/>
      <c r="D908" s="72"/>
      <c r="E908" s="72"/>
      <c r="F908" s="72"/>
      <c r="G908" s="72"/>
      <c r="H908" s="17"/>
      <c r="I908" s="41" t="str" cm="1">
        <f t="array" ref="I908">IFERROR(_xlfn.IFS(H908="Hard (Cash)","N/A",H908="Soft (In-Kind)", "Enter Source"),"Select Type")</f>
        <v>Select Type</v>
      </c>
      <c r="J908" s="124"/>
      <c r="K908" s="41" t="str">
        <f>IFERROR(VLOOKUP($J908,'Project Reference'!$S$2:$T$41,2),"Enter Project Number")</f>
        <v>Enter Project Number</v>
      </c>
      <c r="L908" s="41"/>
      <c r="M908" s="41"/>
      <c r="N908" s="15">
        <f t="shared" si="14"/>
        <v>0</v>
      </c>
      <c r="O908" s="19"/>
      <c r="P908" s="42" t="str">
        <f>IFERROR(VLOOKUP($J908,'Project Reference'!$B$2:$C$41,2)," ")</f>
        <v xml:space="preserve"> </v>
      </c>
      <c r="Q908" s="42" t="str">
        <f>IFERROR(VLOOKUP($J908,'Project Reference'!$B$2:$D$41,3)," ")</f>
        <v xml:space="preserve"> </v>
      </c>
      <c r="R908" s="42" t="str">
        <f>IFERROR(VLOOKUP($J908,'Project Reference'!$B$2:$E$41,4)," ")</f>
        <v xml:space="preserve"> </v>
      </c>
      <c r="S908" s="42" t="str">
        <f>IFERROR(VLOOKUP($J908,'Project Reference'!$B$2:$F$41,5,FALSE)," ")</f>
        <v xml:space="preserve"> </v>
      </c>
      <c r="T908" s="42" t="str">
        <f>IFERROR(VLOOKUP($J908,'Project Reference'!$B$2:$G$41,6,FALSE)," ")</f>
        <v xml:space="preserve"> </v>
      </c>
      <c r="U908" s="42" t="str">
        <f>IFERROR(VLOOKUP($J908,'Project Reference'!$B$2:$H$41,7,FALSE)," ")</f>
        <v xml:space="preserve"> </v>
      </c>
      <c r="V908" s="42" t="str">
        <f>IFERROR(VLOOKUP($J908,'Project Reference'!$B$2:$I$41,8,FALSE)," ")</f>
        <v xml:space="preserve"> </v>
      </c>
      <c r="W908" s="42" t="str">
        <f>IFERROR(VLOOKUP($J908,'Project Reference'!$B$2:$J$41,9,FALSE)," ")</f>
        <v xml:space="preserve"> </v>
      </c>
      <c r="X908" s="42" t="str">
        <f>IFERROR(VLOOKUP($J908,'Project Reference'!$B$2:$K$41,10)," ")</f>
        <v xml:space="preserve"> </v>
      </c>
      <c r="Y908" s="42" t="str">
        <f>IFERROR(VLOOKUP($J908,'Project Reference'!$B$2:$L$41,11)," ")</f>
        <v xml:space="preserve"> </v>
      </c>
      <c r="Z908" s="42" t="str">
        <f>IFERROR(VLOOKUP($J908,'Project Reference'!$B$2:$M$41,12)," ")</f>
        <v xml:space="preserve"> </v>
      </c>
      <c r="AA908" s="42" t="str">
        <f>IFERROR(VLOOKUP($J908,'Project Reference'!$B$2:$N$41,13)," ")</f>
        <v xml:space="preserve"> </v>
      </c>
    </row>
    <row r="909" spans="1:27" x14ac:dyDescent="0.45">
      <c r="A909" s="43"/>
      <c r="B909" s="205"/>
      <c r="C909"/>
      <c r="D909" s="72"/>
      <c r="E909" s="72"/>
      <c r="F909" s="72"/>
      <c r="G909" s="72"/>
      <c r="H909" s="17"/>
      <c r="I909" s="41" t="str" cm="1">
        <f t="array" ref="I909">IFERROR(_xlfn.IFS(H909="Hard (Cash)","N/A",H909="Soft (In-Kind)", "Enter Source"),"Select Type")</f>
        <v>Select Type</v>
      </c>
      <c r="J909" s="124"/>
      <c r="K909" s="41" t="str">
        <f>IFERROR(VLOOKUP($J909,'Project Reference'!$S$2:$T$41,2),"Enter Project Number")</f>
        <v>Enter Project Number</v>
      </c>
      <c r="L909" s="41"/>
      <c r="M909" s="41"/>
      <c r="N909" s="15">
        <f t="shared" si="14"/>
        <v>0</v>
      </c>
      <c r="O909" s="19"/>
      <c r="P909" s="42" t="str">
        <f>IFERROR(VLOOKUP($J909,'Project Reference'!$B$2:$C$41,2)," ")</f>
        <v xml:space="preserve"> </v>
      </c>
      <c r="Q909" s="42" t="str">
        <f>IFERROR(VLOOKUP($J909,'Project Reference'!$B$2:$D$41,3)," ")</f>
        <v xml:space="preserve"> </v>
      </c>
      <c r="R909" s="42" t="str">
        <f>IFERROR(VLOOKUP($J909,'Project Reference'!$B$2:$E$41,4)," ")</f>
        <v xml:space="preserve"> </v>
      </c>
      <c r="S909" s="42" t="str">
        <f>IFERROR(VLOOKUP($J909,'Project Reference'!$B$2:$F$41,5,FALSE)," ")</f>
        <v xml:space="preserve"> </v>
      </c>
      <c r="T909" s="42" t="str">
        <f>IFERROR(VLOOKUP($J909,'Project Reference'!$B$2:$G$41,6,FALSE)," ")</f>
        <v xml:space="preserve"> </v>
      </c>
      <c r="U909" s="42" t="str">
        <f>IFERROR(VLOOKUP($J909,'Project Reference'!$B$2:$H$41,7,FALSE)," ")</f>
        <v xml:space="preserve"> </v>
      </c>
      <c r="V909" s="42" t="str">
        <f>IFERROR(VLOOKUP($J909,'Project Reference'!$B$2:$I$41,8,FALSE)," ")</f>
        <v xml:space="preserve"> </v>
      </c>
      <c r="W909" s="42" t="str">
        <f>IFERROR(VLOOKUP($J909,'Project Reference'!$B$2:$J$41,9,FALSE)," ")</f>
        <v xml:space="preserve"> </v>
      </c>
      <c r="X909" s="42" t="str">
        <f>IFERROR(VLOOKUP($J909,'Project Reference'!$B$2:$K$41,10)," ")</f>
        <v xml:space="preserve"> </v>
      </c>
      <c r="Y909" s="42" t="str">
        <f>IFERROR(VLOOKUP($J909,'Project Reference'!$B$2:$L$41,11)," ")</f>
        <v xml:space="preserve"> </v>
      </c>
      <c r="Z909" s="42" t="str">
        <f>IFERROR(VLOOKUP($J909,'Project Reference'!$B$2:$M$41,12)," ")</f>
        <v xml:space="preserve"> </v>
      </c>
      <c r="AA909" s="42" t="str">
        <f>IFERROR(VLOOKUP($J909,'Project Reference'!$B$2:$N$41,13)," ")</f>
        <v xml:space="preserve"> </v>
      </c>
    </row>
    <row r="910" spans="1:27" x14ac:dyDescent="0.45">
      <c r="A910" s="43"/>
      <c r="B910" s="205"/>
      <c r="C910"/>
      <c r="D910" s="72"/>
      <c r="E910" s="72"/>
      <c r="F910" s="72"/>
      <c r="G910" s="72"/>
      <c r="H910" s="17"/>
      <c r="I910" s="41" t="str" cm="1">
        <f t="array" ref="I910">IFERROR(_xlfn.IFS(H910="Hard (Cash)","N/A",H910="Soft (In-Kind)", "Enter Source"),"Select Type")</f>
        <v>Select Type</v>
      </c>
      <c r="J910" s="124"/>
      <c r="K910" s="41" t="str">
        <f>IFERROR(VLOOKUP($J910,'Project Reference'!$S$2:$T$41,2),"Enter Project Number")</f>
        <v>Enter Project Number</v>
      </c>
      <c r="L910" s="41"/>
      <c r="M910" s="41"/>
      <c r="N910" s="15">
        <f t="shared" si="14"/>
        <v>0</v>
      </c>
      <c r="O910" s="19"/>
      <c r="P910" s="42" t="str">
        <f>IFERROR(VLOOKUP($J910,'Project Reference'!$B$2:$C$41,2)," ")</f>
        <v xml:space="preserve"> </v>
      </c>
      <c r="Q910" s="42" t="str">
        <f>IFERROR(VLOOKUP($J910,'Project Reference'!$B$2:$D$41,3)," ")</f>
        <v xml:space="preserve"> </v>
      </c>
      <c r="R910" s="42" t="str">
        <f>IFERROR(VLOOKUP($J910,'Project Reference'!$B$2:$E$41,4)," ")</f>
        <v xml:space="preserve"> </v>
      </c>
      <c r="S910" s="42" t="str">
        <f>IFERROR(VLOOKUP($J910,'Project Reference'!$B$2:$F$41,5,FALSE)," ")</f>
        <v xml:space="preserve"> </v>
      </c>
      <c r="T910" s="42" t="str">
        <f>IFERROR(VLOOKUP($J910,'Project Reference'!$B$2:$G$41,6,FALSE)," ")</f>
        <v xml:space="preserve"> </v>
      </c>
      <c r="U910" s="42" t="str">
        <f>IFERROR(VLOOKUP($J910,'Project Reference'!$B$2:$H$41,7,FALSE)," ")</f>
        <v xml:space="preserve"> </v>
      </c>
      <c r="V910" s="42" t="str">
        <f>IFERROR(VLOOKUP($J910,'Project Reference'!$B$2:$I$41,8,FALSE)," ")</f>
        <v xml:space="preserve"> </v>
      </c>
      <c r="W910" s="42" t="str">
        <f>IFERROR(VLOOKUP($J910,'Project Reference'!$B$2:$J$41,9,FALSE)," ")</f>
        <v xml:space="preserve"> </v>
      </c>
      <c r="X910" s="42" t="str">
        <f>IFERROR(VLOOKUP($J910,'Project Reference'!$B$2:$K$41,10)," ")</f>
        <v xml:space="preserve"> </v>
      </c>
      <c r="Y910" s="42" t="str">
        <f>IFERROR(VLOOKUP($J910,'Project Reference'!$B$2:$L$41,11)," ")</f>
        <v xml:space="preserve"> </v>
      </c>
      <c r="Z910" s="42" t="str">
        <f>IFERROR(VLOOKUP($J910,'Project Reference'!$B$2:$M$41,12)," ")</f>
        <v xml:space="preserve"> </v>
      </c>
      <c r="AA910" s="42" t="str">
        <f>IFERROR(VLOOKUP($J910,'Project Reference'!$B$2:$N$41,13)," ")</f>
        <v xml:space="preserve"> </v>
      </c>
    </row>
    <row r="911" spans="1:27" x14ac:dyDescent="0.45">
      <c r="A911" s="43"/>
      <c r="B911" s="205"/>
      <c r="C911"/>
      <c r="D911" s="72"/>
      <c r="E911" s="72"/>
      <c r="F911" s="72"/>
      <c r="G911" s="72"/>
      <c r="H911" s="17"/>
      <c r="I911" s="41" t="str" cm="1">
        <f t="array" ref="I911">IFERROR(_xlfn.IFS(H911="Hard (Cash)","N/A",H911="Soft (In-Kind)", "Enter Source"),"Select Type")</f>
        <v>Select Type</v>
      </c>
      <c r="J911" s="124"/>
      <c r="K911" s="41" t="str">
        <f>IFERROR(VLOOKUP($J911,'Project Reference'!$S$2:$T$41,2),"Enter Project Number")</f>
        <v>Enter Project Number</v>
      </c>
      <c r="L911" s="41"/>
      <c r="M911" s="41"/>
      <c r="N911" s="15">
        <f t="shared" si="14"/>
        <v>0</v>
      </c>
      <c r="O911" s="19"/>
      <c r="P911" s="42" t="str">
        <f>IFERROR(VLOOKUP($J911,'Project Reference'!$B$2:$C$41,2)," ")</f>
        <v xml:space="preserve"> </v>
      </c>
      <c r="Q911" s="42" t="str">
        <f>IFERROR(VLOOKUP($J911,'Project Reference'!$B$2:$D$41,3)," ")</f>
        <v xml:space="preserve"> </v>
      </c>
      <c r="R911" s="42" t="str">
        <f>IFERROR(VLOOKUP($J911,'Project Reference'!$B$2:$E$41,4)," ")</f>
        <v xml:space="preserve"> </v>
      </c>
      <c r="S911" s="42" t="str">
        <f>IFERROR(VLOOKUP($J911,'Project Reference'!$B$2:$F$41,5,FALSE)," ")</f>
        <v xml:space="preserve"> </v>
      </c>
      <c r="T911" s="42" t="str">
        <f>IFERROR(VLOOKUP($J911,'Project Reference'!$B$2:$G$41,6,FALSE)," ")</f>
        <v xml:space="preserve"> </v>
      </c>
      <c r="U911" s="42" t="str">
        <f>IFERROR(VLOOKUP($J911,'Project Reference'!$B$2:$H$41,7,FALSE)," ")</f>
        <v xml:space="preserve"> </v>
      </c>
      <c r="V911" s="42" t="str">
        <f>IFERROR(VLOOKUP($J911,'Project Reference'!$B$2:$I$41,8,FALSE)," ")</f>
        <v xml:space="preserve"> </v>
      </c>
      <c r="W911" s="42" t="str">
        <f>IFERROR(VLOOKUP($J911,'Project Reference'!$B$2:$J$41,9,FALSE)," ")</f>
        <v xml:space="preserve"> </v>
      </c>
      <c r="X911" s="42" t="str">
        <f>IFERROR(VLOOKUP($J911,'Project Reference'!$B$2:$K$41,10)," ")</f>
        <v xml:space="preserve"> </v>
      </c>
      <c r="Y911" s="42" t="str">
        <f>IFERROR(VLOOKUP($J911,'Project Reference'!$B$2:$L$41,11)," ")</f>
        <v xml:space="preserve"> </v>
      </c>
      <c r="Z911" s="42" t="str">
        <f>IFERROR(VLOOKUP($J911,'Project Reference'!$B$2:$M$41,12)," ")</f>
        <v xml:space="preserve"> </v>
      </c>
      <c r="AA911" s="42" t="str">
        <f>IFERROR(VLOOKUP($J911,'Project Reference'!$B$2:$N$41,13)," ")</f>
        <v xml:space="preserve"> </v>
      </c>
    </row>
    <row r="912" spans="1:27" x14ac:dyDescent="0.45">
      <c r="A912" s="43"/>
      <c r="B912" s="205"/>
      <c r="C912"/>
      <c r="D912" s="72"/>
      <c r="E912" s="72"/>
      <c r="F912" s="72"/>
      <c r="G912" s="72"/>
      <c r="H912" s="17"/>
      <c r="I912" s="41" t="str" cm="1">
        <f t="array" ref="I912">IFERROR(_xlfn.IFS(H912="Hard (Cash)","N/A",H912="Soft (In-Kind)", "Enter Source"),"Select Type")</f>
        <v>Select Type</v>
      </c>
      <c r="J912" s="124"/>
      <c r="K912" s="41" t="str">
        <f>IFERROR(VLOOKUP($J912,'Project Reference'!$S$2:$T$41,2),"Enter Project Number")</f>
        <v>Enter Project Number</v>
      </c>
      <c r="L912" s="41"/>
      <c r="M912" s="41"/>
      <c r="N912" s="15">
        <f t="shared" si="14"/>
        <v>0</v>
      </c>
      <c r="O912" s="19"/>
      <c r="P912" s="42" t="str">
        <f>IFERROR(VLOOKUP($J912,'Project Reference'!$B$2:$C$41,2)," ")</f>
        <v xml:space="preserve"> </v>
      </c>
      <c r="Q912" s="42" t="str">
        <f>IFERROR(VLOOKUP($J912,'Project Reference'!$B$2:$D$41,3)," ")</f>
        <v xml:space="preserve"> </v>
      </c>
      <c r="R912" s="42" t="str">
        <f>IFERROR(VLOOKUP($J912,'Project Reference'!$B$2:$E$41,4)," ")</f>
        <v xml:space="preserve"> </v>
      </c>
      <c r="S912" s="42" t="str">
        <f>IFERROR(VLOOKUP($J912,'Project Reference'!$B$2:$F$41,5,FALSE)," ")</f>
        <v xml:space="preserve"> </v>
      </c>
      <c r="T912" s="42" t="str">
        <f>IFERROR(VLOOKUP($J912,'Project Reference'!$B$2:$G$41,6,FALSE)," ")</f>
        <v xml:space="preserve"> </v>
      </c>
      <c r="U912" s="42" t="str">
        <f>IFERROR(VLOOKUP($J912,'Project Reference'!$B$2:$H$41,7,FALSE)," ")</f>
        <v xml:space="preserve"> </v>
      </c>
      <c r="V912" s="42" t="str">
        <f>IFERROR(VLOOKUP($J912,'Project Reference'!$B$2:$I$41,8,FALSE)," ")</f>
        <v xml:space="preserve"> </v>
      </c>
      <c r="W912" s="42" t="str">
        <f>IFERROR(VLOOKUP($J912,'Project Reference'!$B$2:$J$41,9,FALSE)," ")</f>
        <v xml:space="preserve"> </v>
      </c>
      <c r="X912" s="42" t="str">
        <f>IFERROR(VLOOKUP($J912,'Project Reference'!$B$2:$K$41,10)," ")</f>
        <v xml:space="preserve"> </v>
      </c>
      <c r="Y912" s="42" t="str">
        <f>IFERROR(VLOOKUP($J912,'Project Reference'!$B$2:$L$41,11)," ")</f>
        <v xml:space="preserve"> </v>
      </c>
      <c r="Z912" s="42" t="str">
        <f>IFERROR(VLOOKUP($J912,'Project Reference'!$B$2:$M$41,12)," ")</f>
        <v xml:space="preserve"> </v>
      </c>
      <c r="AA912" s="42" t="str">
        <f>IFERROR(VLOOKUP($J912,'Project Reference'!$B$2:$N$41,13)," ")</f>
        <v xml:space="preserve"> </v>
      </c>
    </row>
    <row r="913" spans="1:27" x14ac:dyDescent="0.45">
      <c r="A913" s="43"/>
      <c r="B913" s="205"/>
      <c r="C913"/>
      <c r="D913" s="72"/>
      <c r="E913" s="72"/>
      <c r="F913" s="72"/>
      <c r="G913" s="72"/>
      <c r="H913" s="17"/>
      <c r="I913" s="41" t="str" cm="1">
        <f t="array" ref="I913">IFERROR(_xlfn.IFS(H913="Hard (Cash)","N/A",H913="Soft (In-Kind)", "Enter Source"),"Select Type")</f>
        <v>Select Type</v>
      </c>
      <c r="J913" s="124"/>
      <c r="K913" s="41" t="str">
        <f>IFERROR(VLOOKUP($J913,'Project Reference'!$S$2:$T$41,2),"Enter Project Number")</f>
        <v>Enter Project Number</v>
      </c>
      <c r="L913" s="41"/>
      <c r="M913" s="41"/>
      <c r="N913" s="15">
        <f t="shared" si="14"/>
        <v>0</v>
      </c>
      <c r="O913" s="19"/>
      <c r="P913" s="42" t="str">
        <f>IFERROR(VLOOKUP($J913,'Project Reference'!$B$2:$C$41,2)," ")</f>
        <v xml:space="preserve"> </v>
      </c>
      <c r="Q913" s="42" t="str">
        <f>IFERROR(VLOOKUP($J913,'Project Reference'!$B$2:$D$41,3)," ")</f>
        <v xml:space="preserve"> </v>
      </c>
      <c r="R913" s="42" t="str">
        <f>IFERROR(VLOOKUP($J913,'Project Reference'!$B$2:$E$41,4)," ")</f>
        <v xml:space="preserve"> </v>
      </c>
      <c r="S913" s="42" t="str">
        <f>IFERROR(VLOOKUP($J913,'Project Reference'!$B$2:$F$41,5,FALSE)," ")</f>
        <v xml:space="preserve"> </v>
      </c>
      <c r="T913" s="42" t="str">
        <f>IFERROR(VLOOKUP($J913,'Project Reference'!$B$2:$G$41,6,FALSE)," ")</f>
        <v xml:space="preserve"> </v>
      </c>
      <c r="U913" s="42" t="str">
        <f>IFERROR(VLOOKUP($J913,'Project Reference'!$B$2:$H$41,7,FALSE)," ")</f>
        <v xml:space="preserve"> </v>
      </c>
      <c r="V913" s="42" t="str">
        <f>IFERROR(VLOOKUP($J913,'Project Reference'!$B$2:$I$41,8,FALSE)," ")</f>
        <v xml:space="preserve"> </v>
      </c>
      <c r="W913" s="42" t="str">
        <f>IFERROR(VLOOKUP($J913,'Project Reference'!$B$2:$J$41,9,FALSE)," ")</f>
        <v xml:space="preserve"> </v>
      </c>
      <c r="X913" s="42" t="str">
        <f>IFERROR(VLOOKUP($J913,'Project Reference'!$B$2:$K$41,10)," ")</f>
        <v xml:space="preserve"> </v>
      </c>
      <c r="Y913" s="42" t="str">
        <f>IFERROR(VLOOKUP($J913,'Project Reference'!$B$2:$L$41,11)," ")</f>
        <v xml:space="preserve"> </v>
      </c>
      <c r="Z913" s="42" t="str">
        <f>IFERROR(VLOOKUP($J913,'Project Reference'!$B$2:$M$41,12)," ")</f>
        <v xml:space="preserve"> </v>
      </c>
      <c r="AA913" s="42" t="str">
        <f>IFERROR(VLOOKUP($J913,'Project Reference'!$B$2:$N$41,13)," ")</f>
        <v xml:space="preserve"> </v>
      </c>
    </row>
    <row r="914" spans="1:27" x14ac:dyDescent="0.45">
      <c r="A914" s="43"/>
      <c r="B914" s="205"/>
      <c r="C914"/>
      <c r="D914" s="72"/>
      <c r="E914" s="72"/>
      <c r="F914" s="72"/>
      <c r="G914" s="72"/>
      <c r="H914" s="17"/>
      <c r="I914" s="41" t="str" cm="1">
        <f t="array" ref="I914">IFERROR(_xlfn.IFS(H914="Hard (Cash)","N/A",H914="Soft (In-Kind)", "Enter Source"),"Select Type")</f>
        <v>Select Type</v>
      </c>
      <c r="J914" s="124"/>
      <c r="K914" s="41" t="str">
        <f>IFERROR(VLOOKUP($J914,'Project Reference'!$S$2:$T$41,2),"Enter Project Number")</f>
        <v>Enter Project Number</v>
      </c>
      <c r="L914" s="41"/>
      <c r="M914" s="41"/>
      <c r="N914" s="15">
        <f t="shared" si="14"/>
        <v>0</v>
      </c>
      <c r="O914" s="19"/>
      <c r="P914" s="42" t="str">
        <f>IFERROR(VLOOKUP($J914,'Project Reference'!$B$2:$C$41,2)," ")</f>
        <v xml:space="preserve"> </v>
      </c>
      <c r="Q914" s="42" t="str">
        <f>IFERROR(VLOOKUP($J914,'Project Reference'!$B$2:$D$41,3)," ")</f>
        <v xml:space="preserve"> </v>
      </c>
      <c r="R914" s="42" t="str">
        <f>IFERROR(VLOOKUP($J914,'Project Reference'!$B$2:$E$41,4)," ")</f>
        <v xml:space="preserve"> </v>
      </c>
      <c r="S914" s="42" t="str">
        <f>IFERROR(VLOOKUP($J914,'Project Reference'!$B$2:$F$41,5,FALSE)," ")</f>
        <v xml:space="preserve"> </v>
      </c>
      <c r="T914" s="42" t="str">
        <f>IFERROR(VLOOKUP($J914,'Project Reference'!$B$2:$G$41,6,FALSE)," ")</f>
        <v xml:space="preserve"> </v>
      </c>
      <c r="U914" s="42" t="str">
        <f>IFERROR(VLOOKUP($J914,'Project Reference'!$B$2:$H$41,7,FALSE)," ")</f>
        <v xml:space="preserve"> </v>
      </c>
      <c r="V914" s="42" t="str">
        <f>IFERROR(VLOOKUP($J914,'Project Reference'!$B$2:$I$41,8,FALSE)," ")</f>
        <v xml:space="preserve"> </v>
      </c>
      <c r="W914" s="42" t="str">
        <f>IFERROR(VLOOKUP($J914,'Project Reference'!$B$2:$J$41,9,FALSE)," ")</f>
        <v xml:space="preserve"> </v>
      </c>
      <c r="X914" s="42" t="str">
        <f>IFERROR(VLOOKUP($J914,'Project Reference'!$B$2:$K$41,10)," ")</f>
        <v xml:space="preserve"> </v>
      </c>
      <c r="Y914" s="42" t="str">
        <f>IFERROR(VLOOKUP($J914,'Project Reference'!$B$2:$L$41,11)," ")</f>
        <v xml:space="preserve"> </v>
      </c>
      <c r="Z914" s="42" t="str">
        <f>IFERROR(VLOOKUP($J914,'Project Reference'!$B$2:$M$41,12)," ")</f>
        <v xml:space="preserve"> </v>
      </c>
      <c r="AA914" s="42" t="str">
        <f>IFERROR(VLOOKUP($J914,'Project Reference'!$B$2:$N$41,13)," ")</f>
        <v xml:space="preserve"> </v>
      </c>
    </row>
    <row r="915" spans="1:27" x14ac:dyDescent="0.45">
      <c r="A915" s="43"/>
      <c r="B915" s="205"/>
      <c r="C915"/>
      <c r="D915" s="72"/>
      <c r="E915" s="72"/>
      <c r="F915" s="72"/>
      <c r="G915" s="72"/>
      <c r="H915" s="17"/>
      <c r="I915" s="41" t="str" cm="1">
        <f t="array" ref="I915">IFERROR(_xlfn.IFS(H915="Hard (Cash)","N/A",H915="Soft (In-Kind)", "Enter Source"),"Select Type")</f>
        <v>Select Type</v>
      </c>
      <c r="J915" s="124"/>
      <c r="K915" s="41" t="str">
        <f>IFERROR(VLOOKUP($J915,'Project Reference'!$S$2:$T$41,2),"Enter Project Number")</f>
        <v>Enter Project Number</v>
      </c>
      <c r="L915" s="41"/>
      <c r="M915" s="41"/>
      <c r="N915" s="15">
        <f t="shared" si="14"/>
        <v>0</v>
      </c>
      <c r="O915" s="19"/>
      <c r="P915" s="42" t="str">
        <f>IFERROR(VLOOKUP($J915,'Project Reference'!$B$2:$C$41,2)," ")</f>
        <v xml:space="preserve"> </v>
      </c>
      <c r="Q915" s="42" t="str">
        <f>IFERROR(VLOOKUP($J915,'Project Reference'!$B$2:$D$41,3)," ")</f>
        <v xml:space="preserve"> </v>
      </c>
      <c r="R915" s="42" t="str">
        <f>IFERROR(VLOOKUP($J915,'Project Reference'!$B$2:$E$41,4)," ")</f>
        <v xml:space="preserve"> </v>
      </c>
      <c r="S915" s="42" t="str">
        <f>IFERROR(VLOOKUP($J915,'Project Reference'!$B$2:$F$41,5,FALSE)," ")</f>
        <v xml:space="preserve"> </v>
      </c>
      <c r="T915" s="42" t="str">
        <f>IFERROR(VLOOKUP($J915,'Project Reference'!$B$2:$G$41,6,FALSE)," ")</f>
        <v xml:space="preserve"> </v>
      </c>
      <c r="U915" s="42" t="str">
        <f>IFERROR(VLOOKUP($J915,'Project Reference'!$B$2:$H$41,7,FALSE)," ")</f>
        <v xml:space="preserve"> </v>
      </c>
      <c r="V915" s="42" t="str">
        <f>IFERROR(VLOOKUP($J915,'Project Reference'!$B$2:$I$41,8,FALSE)," ")</f>
        <v xml:space="preserve"> </v>
      </c>
      <c r="W915" s="42" t="str">
        <f>IFERROR(VLOOKUP($J915,'Project Reference'!$B$2:$J$41,9,FALSE)," ")</f>
        <v xml:space="preserve"> </v>
      </c>
      <c r="X915" s="42" t="str">
        <f>IFERROR(VLOOKUP($J915,'Project Reference'!$B$2:$K$41,10)," ")</f>
        <v xml:space="preserve"> </v>
      </c>
      <c r="Y915" s="42" t="str">
        <f>IFERROR(VLOOKUP($J915,'Project Reference'!$B$2:$L$41,11)," ")</f>
        <v xml:space="preserve"> </v>
      </c>
      <c r="Z915" s="42" t="str">
        <f>IFERROR(VLOOKUP($J915,'Project Reference'!$B$2:$M$41,12)," ")</f>
        <v xml:space="preserve"> </v>
      </c>
      <c r="AA915" s="42" t="str">
        <f>IFERROR(VLOOKUP($J915,'Project Reference'!$B$2:$N$41,13)," ")</f>
        <v xml:space="preserve"> </v>
      </c>
    </row>
    <row r="916" spans="1:27" x14ac:dyDescent="0.45">
      <c r="A916" s="43"/>
      <c r="B916" s="205"/>
      <c r="C916"/>
      <c r="D916" s="72"/>
      <c r="E916" s="72"/>
      <c r="F916" s="72"/>
      <c r="G916" s="72"/>
      <c r="H916" s="17"/>
      <c r="I916" s="41" t="str" cm="1">
        <f t="array" ref="I916">IFERROR(_xlfn.IFS(H916="Hard (Cash)","N/A",H916="Soft (In-Kind)", "Enter Source"),"Select Type")</f>
        <v>Select Type</v>
      </c>
      <c r="J916" s="124"/>
      <c r="K916" s="41" t="str">
        <f>IFERROR(VLOOKUP($J916,'Project Reference'!$S$2:$T$41,2),"Enter Project Number")</f>
        <v>Enter Project Number</v>
      </c>
      <c r="L916" s="41"/>
      <c r="M916" s="41"/>
      <c r="N916" s="15">
        <f t="shared" si="14"/>
        <v>0</v>
      </c>
      <c r="O916" s="19"/>
      <c r="P916" s="42" t="str">
        <f>IFERROR(VLOOKUP($J916,'Project Reference'!$B$2:$C$41,2)," ")</f>
        <v xml:space="preserve"> </v>
      </c>
      <c r="Q916" s="42" t="str">
        <f>IFERROR(VLOOKUP($J916,'Project Reference'!$B$2:$D$41,3)," ")</f>
        <v xml:space="preserve"> </v>
      </c>
      <c r="R916" s="42" t="str">
        <f>IFERROR(VLOOKUP($J916,'Project Reference'!$B$2:$E$41,4)," ")</f>
        <v xml:space="preserve"> </v>
      </c>
      <c r="S916" s="42" t="str">
        <f>IFERROR(VLOOKUP($J916,'Project Reference'!$B$2:$F$41,5,FALSE)," ")</f>
        <v xml:space="preserve"> </v>
      </c>
      <c r="T916" s="42" t="str">
        <f>IFERROR(VLOOKUP($J916,'Project Reference'!$B$2:$G$41,6,FALSE)," ")</f>
        <v xml:space="preserve"> </v>
      </c>
      <c r="U916" s="42" t="str">
        <f>IFERROR(VLOOKUP($J916,'Project Reference'!$B$2:$H$41,7,FALSE)," ")</f>
        <v xml:space="preserve"> </v>
      </c>
      <c r="V916" s="42" t="str">
        <f>IFERROR(VLOOKUP($J916,'Project Reference'!$B$2:$I$41,8,FALSE)," ")</f>
        <v xml:space="preserve"> </v>
      </c>
      <c r="W916" s="42" t="str">
        <f>IFERROR(VLOOKUP($J916,'Project Reference'!$B$2:$J$41,9,FALSE)," ")</f>
        <v xml:space="preserve"> </v>
      </c>
      <c r="X916" s="42" t="str">
        <f>IFERROR(VLOOKUP($J916,'Project Reference'!$B$2:$K$41,10)," ")</f>
        <v xml:space="preserve"> </v>
      </c>
      <c r="Y916" s="42" t="str">
        <f>IFERROR(VLOOKUP($J916,'Project Reference'!$B$2:$L$41,11)," ")</f>
        <v xml:space="preserve"> </v>
      </c>
      <c r="Z916" s="42" t="str">
        <f>IFERROR(VLOOKUP($J916,'Project Reference'!$B$2:$M$41,12)," ")</f>
        <v xml:space="preserve"> </v>
      </c>
      <c r="AA916" s="42" t="str">
        <f>IFERROR(VLOOKUP($J916,'Project Reference'!$B$2:$N$41,13)," ")</f>
        <v xml:space="preserve"> </v>
      </c>
    </row>
    <row r="917" spans="1:27" x14ac:dyDescent="0.45">
      <c r="A917" s="43"/>
      <c r="B917" s="205"/>
      <c r="C917"/>
      <c r="D917" s="72"/>
      <c r="E917" s="72"/>
      <c r="F917" s="72"/>
      <c r="G917" s="72"/>
      <c r="H917" s="17"/>
      <c r="I917" s="41" t="str" cm="1">
        <f t="array" ref="I917">IFERROR(_xlfn.IFS(H917="Hard (Cash)","N/A",H917="Soft (In-Kind)", "Enter Source"),"Select Type")</f>
        <v>Select Type</v>
      </c>
      <c r="J917" s="124"/>
      <c r="K917" s="41" t="str">
        <f>IFERROR(VLOOKUP($J917,'Project Reference'!$S$2:$T$41,2),"Enter Project Number")</f>
        <v>Enter Project Number</v>
      </c>
      <c r="L917" s="41"/>
      <c r="M917" s="41"/>
      <c r="N917" s="15">
        <f t="shared" si="14"/>
        <v>0</v>
      </c>
      <c r="O917" s="19"/>
      <c r="P917" s="42" t="str">
        <f>IFERROR(VLOOKUP($J917,'Project Reference'!$B$2:$C$41,2)," ")</f>
        <v xml:space="preserve"> </v>
      </c>
      <c r="Q917" s="42" t="str">
        <f>IFERROR(VLOOKUP($J917,'Project Reference'!$B$2:$D$41,3)," ")</f>
        <v xml:space="preserve"> </v>
      </c>
      <c r="R917" s="42" t="str">
        <f>IFERROR(VLOOKUP($J917,'Project Reference'!$B$2:$E$41,4)," ")</f>
        <v xml:space="preserve"> </v>
      </c>
      <c r="S917" s="42" t="str">
        <f>IFERROR(VLOOKUP($J917,'Project Reference'!$B$2:$F$41,5,FALSE)," ")</f>
        <v xml:space="preserve"> </v>
      </c>
      <c r="T917" s="42" t="str">
        <f>IFERROR(VLOOKUP($J917,'Project Reference'!$B$2:$G$41,6,FALSE)," ")</f>
        <v xml:space="preserve"> </v>
      </c>
      <c r="U917" s="42" t="str">
        <f>IFERROR(VLOOKUP($J917,'Project Reference'!$B$2:$H$41,7,FALSE)," ")</f>
        <v xml:space="preserve"> </v>
      </c>
      <c r="V917" s="42" t="str">
        <f>IFERROR(VLOOKUP($J917,'Project Reference'!$B$2:$I$41,8,FALSE)," ")</f>
        <v xml:space="preserve"> </v>
      </c>
      <c r="W917" s="42" t="str">
        <f>IFERROR(VLOOKUP($J917,'Project Reference'!$B$2:$J$41,9,FALSE)," ")</f>
        <v xml:space="preserve"> </v>
      </c>
      <c r="X917" s="42" t="str">
        <f>IFERROR(VLOOKUP($J917,'Project Reference'!$B$2:$K$41,10)," ")</f>
        <v xml:space="preserve"> </v>
      </c>
      <c r="Y917" s="42" t="str">
        <f>IFERROR(VLOOKUP($J917,'Project Reference'!$B$2:$L$41,11)," ")</f>
        <v xml:space="preserve"> </v>
      </c>
      <c r="Z917" s="42" t="str">
        <f>IFERROR(VLOOKUP($J917,'Project Reference'!$B$2:$M$41,12)," ")</f>
        <v xml:space="preserve"> </v>
      </c>
      <c r="AA917" s="42" t="str">
        <f>IFERROR(VLOOKUP($J917,'Project Reference'!$B$2:$N$41,13)," ")</f>
        <v xml:space="preserve"> </v>
      </c>
    </row>
    <row r="918" spans="1:27" x14ac:dyDescent="0.45">
      <c r="A918" s="43"/>
      <c r="B918" s="205"/>
      <c r="C918"/>
      <c r="D918" s="72"/>
      <c r="E918" s="72"/>
      <c r="F918" s="72"/>
      <c r="G918" s="72"/>
      <c r="H918" s="17"/>
      <c r="I918" s="41" t="str" cm="1">
        <f t="array" ref="I918">IFERROR(_xlfn.IFS(H918="Hard (Cash)","N/A",H918="Soft (In-Kind)", "Enter Source"),"Select Type")</f>
        <v>Select Type</v>
      </c>
      <c r="J918" s="124"/>
      <c r="K918" s="41" t="str">
        <f>IFERROR(VLOOKUP($J918,'Project Reference'!$S$2:$T$41,2),"Enter Project Number")</f>
        <v>Enter Project Number</v>
      </c>
      <c r="L918" s="41"/>
      <c r="M918" s="41"/>
      <c r="N918" s="15">
        <f t="shared" si="14"/>
        <v>0</v>
      </c>
      <c r="O918" s="19"/>
      <c r="P918" s="42" t="str">
        <f>IFERROR(VLOOKUP($J918,'Project Reference'!$B$2:$C$41,2)," ")</f>
        <v xml:space="preserve"> </v>
      </c>
      <c r="Q918" s="42" t="str">
        <f>IFERROR(VLOOKUP($J918,'Project Reference'!$B$2:$D$41,3)," ")</f>
        <v xml:space="preserve"> </v>
      </c>
      <c r="R918" s="42" t="str">
        <f>IFERROR(VLOOKUP($J918,'Project Reference'!$B$2:$E$41,4)," ")</f>
        <v xml:space="preserve"> </v>
      </c>
      <c r="S918" s="42" t="str">
        <f>IFERROR(VLOOKUP($J918,'Project Reference'!$B$2:$F$41,5,FALSE)," ")</f>
        <v xml:space="preserve"> </v>
      </c>
      <c r="T918" s="42" t="str">
        <f>IFERROR(VLOOKUP($J918,'Project Reference'!$B$2:$G$41,6,FALSE)," ")</f>
        <v xml:space="preserve"> </v>
      </c>
      <c r="U918" s="42" t="str">
        <f>IFERROR(VLOOKUP($J918,'Project Reference'!$B$2:$H$41,7,FALSE)," ")</f>
        <v xml:space="preserve"> </v>
      </c>
      <c r="V918" s="42" t="str">
        <f>IFERROR(VLOOKUP($J918,'Project Reference'!$B$2:$I$41,8,FALSE)," ")</f>
        <v xml:space="preserve"> </v>
      </c>
      <c r="W918" s="42" t="str">
        <f>IFERROR(VLOOKUP($J918,'Project Reference'!$B$2:$J$41,9,FALSE)," ")</f>
        <v xml:space="preserve"> </v>
      </c>
      <c r="X918" s="42" t="str">
        <f>IFERROR(VLOOKUP($J918,'Project Reference'!$B$2:$K$41,10)," ")</f>
        <v xml:space="preserve"> </v>
      </c>
      <c r="Y918" s="42" t="str">
        <f>IFERROR(VLOOKUP($J918,'Project Reference'!$B$2:$L$41,11)," ")</f>
        <v xml:space="preserve"> </v>
      </c>
      <c r="Z918" s="42" t="str">
        <f>IFERROR(VLOOKUP($J918,'Project Reference'!$B$2:$M$41,12)," ")</f>
        <v xml:space="preserve"> </v>
      </c>
      <c r="AA918" s="42" t="str">
        <f>IFERROR(VLOOKUP($J918,'Project Reference'!$B$2:$N$41,13)," ")</f>
        <v xml:space="preserve"> </v>
      </c>
    </row>
    <row r="919" spans="1:27" x14ac:dyDescent="0.45">
      <c r="A919" s="43"/>
      <c r="B919" s="205"/>
      <c r="C919"/>
      <c r="D919" s="72"/>
      <c r="E919" s="72"/>
      <c r="F919" s="72"/>
      <c r="G919" s="72"/>
      <c r="H919" s="17"/>
      <c r="I919" s="41" t="str" cm="1">
        <f t="array" ref="I919">IFERROR(_xlfn.IFS(H919="Hard (Cash)","N/A",H919="Soft (In-Kind)", "Enter Source"),"Select Type")</f>
        <v>Select Type</v>
      </c>
      <c r="J919" s="124"/>
      <c r="K919" s="41" t="str">
        <f>IFERROR(VLOOKUP($J919,'Project Reference'!$S$2:$T$41,2),"Enter Project Number")</f>
        <v>Enter Project Number</v>
      </c>
      <c r="L919" s="41"/>
      <c r="M919" s="41"/>
      <c r="N919" s="15">
        <f t="shared" si="14"/>
        <v>0</v>
      </c>
      <c r="O919" s="19"/>
      <c r="P919" s="42" t="str">
        <f>IFERROR(VLOOKUP($J919,'Project Reference'!$B$2:$C$41,2)," ")</f>
        <v xml:space="preserve"> </v>
      </c>
      <c r="Q919" s="42" t="str">
        <f>IFERROR(VLOOKUP($J919,'Project Reference'!$B$2:$D$41,3)," ")</f>
        <v xml:space="preserve"> </v>
      </c>
      <c r="R919" s="42" t="str">
        <f>IFERROR(VLOOKUP($J919,'Project Reference'!$B$2:$E$41,4)," ")</f>
        <v xml:space="preserve"> </v>
      </c>
      <c r="S919" s="42" t="str">
        <f>IFERROR(VLOOKUP($J919,'Project Reference'!$B$2:$F$41,5,FALSE)," ")</f>
        <v xml:space="preserve"> </v>
      </c>
      <c r="T919" s="42" t="str">
        <f>IFERROR(VLOOKUP($J919,'Project Reference'!$B$2:$G$41,6,FALSE)," ")</f>
        <v xml:space="preserve"> </v>
      </c>
      <c r="U919" s="42" t="str">
        <f>IFERROR(VLOOKUP($J919,'Project Reference'!$B$2:$H$41,7,FALSE)," ")</f>
        <v xml:space="preserve"> </v>
      </c>
      <c r="V919" s="42" t="str">
        <f>IFERROR(VLOOKUP($J919,'Project Reference'!$B$2:$I$41,8,FALSE)," ")</f>
        <v xml:space="preserve"> </v>
      </c>
      <c r="W919" s="42" t="str">
        <f>IFERROR(VLOOKUP($J919,'Project Reference'!$B$2:$J$41,9,FALSE)," ")</f>
        <v xml:space="preserve"> </v>
      </c>
      <c r="X919" s="42" t="str">
        <f>IFERROR(VLOOKUP($J919,'Project Reference'!$B$2:$K$41,10)," ")</f>
        <v xml:space="preserve"> </v>
      </c>
      <c r="Y919" s="42" t="str">
        <f>IFERROR(VLOOKUP($J919,'Project Reference'!$B$2:$L$41,11)," ")</f>
        <v xml:space="preserve"> </v>
      </c>
      <c r="Z919" s="42" t="str">
        <f>IFERROR(VLOOKUP($J919,'Project Reference'!$B$2:$M$41,12)," ")</f>
        <v xml:space="preserve"> </v>
      </c>
      <c r="AA919" s="42" t="str">
        <f>IFERROR(VLOOKUP($J919,'Project Reference'!$B$2:$N$41,13)," ")</f>
        <v xml:space="preserve"> </v>
      </c>
    </row>
    <row r="920" spans="1:27" x14ac:dyDescent="0.45">
      <c r="A920" s="43"/>
      <c r="B920" s="205"/>
      <c r="C920"/>
      <c r="D920" s="72"/>
      <c r="E920" s="72"/>
      <c r="F920" s="72"/>
      <c r="G920" s="72"/>
      <c r="H920" s="17"/>
      <c r="I920" s="41" t="str" cm="1">
        <f t="array" ref="I920">IFERROR(_xlfn.IFS(H920="Hard (Cash)","N/A",H920="Soft (In-Kind)", "Enter Source"),"Select Type")</f>
        <v>Select Type</v>
      </c>
      <c r="J920" s="124"/>
      <c r="K920" s="41" t="str">
        <f>IFERROR(VLOOKUP($J920,'Project Reference'!$S$2:$T$41,2),"Enter Project Number")</f>
        <v>Enter Project Number</v>
      </c>
      <c r="L920" s="41"/>
      <c r="M920" s="41"/>
      <c r="N920" s="15">
        <f t="shared" si="14"/>
        <v>0</v>
      </c>
      <c r="O920" s="19"/>
      <c r="P920" s="42" t="str">
        <f>IFERROR(VLOOKUP($J920,'Project Reference'!$B$2:$C$41,2)," ")</f>
        <v xml:space="preserve"> </v>
      </c>
      <c r="Q920" s="42" t="str">
        <f>IFERROR(VLOOKUP($J920,'Project Reference'!$B$2:$D$41,3)," ")</f>
        <v xml:space="preserve"> </v>
      </c>
      <c r="R920" s="42" t="str">
        <f>IFERROR(VLOOKUP($J920,'Project Reference'!$B$2:$E$41,4)," ")</f>
        <v xml:space="preserve"> </v>
      </c>
      <c r="S920" s="42" t="str">
        <f>IFERROR(VLOOKUP($J920,'Project Reference'!$B$2:$F$41,5,FALSE)," ")</f>
        <v xml:space="preserve"> </v>
      </c>
      <c r="T920" s="42" t="str">
        <f>IFERROR(VLOOKUP($J920,'Project Reference'!$B$2:$G$41,6,FALSE)," ")</f>
        <v xml:space="preserve"> </v>
      </c>
      <c r="U920" s="42" t="str">
        <f>IFERROR(VLOOKUP($J920,'Project Reference'!$B$2:$H$41,7,FALSE)," ")</f>
        <v xml:space="preserve"> </v>
      </c>
      <c r="V920" s="42" t="str">
        <f>IFERROR(VLOOKUP($J920,'Project Reference'!$B$2:$I$41,8,FALSE)," ")</f>
        <v xml:space="preserve"> </v>
      </c>
      <c r="W920" s="42" t="str">
        <f>IFERROR(VLOOKUP($J920,'Project Reference'!$B$2:$J$41,9,FALSE)," ")</f>
        <v xml:space="preserve"> </v>
      </c>
      <c r="X920" s="42" t="str">
        <f>IFERROR(VLOOKUP($J920,'Project Reference'!$B$2:$K$41,10)," ")</f>
        <v xml:space="preserve"> </v>
      </c>
      <c r="Y920" s="42" t="str">
        <f>IFERROR(VLOOKUP($J920,'Project Reference'!$B$2:$L$41,11)," ")</f>
        <v xml:space="preserve"> </v>
      </c>
      <c r="Z920" s="42" t="str">
        <f>IFERROR(VLOOKUP($J920,'Project Reference'!$B$2:$M$41,12)," ")</f>
        <v xml:space="preserve"> </v>
      </c>
      <c r="AA920" s="42" t="str">
        <f>IFERROR(VLOOKUP($J920,'Project Reference'!$B$2:$N$41,13)," ")</f>
        <v xml:space="preserve"> </v>
      </c>
    </row>
    <row r="921" spans="1:27" x14ac:dyDescent="0.45">
      <c r="A921" s="43"/>
      <c r="B921" s="205"/>
      <c r="C921"/>
      <c r="D921" s="72"/>
      <c r="E921" s="72"/>
      <c r="F921" s="72"/>
      <c r="G921" s="72"/>
      <c r="H921" s="17"/>
      <c r="I921" s="41" t="str" cm="1">
        <f t="array" ref="I921">IFERROR(_xlfn.IFS(H921="Hard (Cash)","N/A",H921="Soft (In-Kind)", "Enter Source"),"Select Type")</f>
        <v>Select Type</v>
      </c>
      <c r="J921" s="124"/>
      <c r="K921" s="41" t="str">
        <f>IFERROR(VLOOKUP($J921,'Project Reference'!$S$2:$T$41,2),"Enter Project Number")</f>
        <v>Enter Project Number</v>
      </c>
      <c r="L921" s="41"/>
      <c r="M921" s="41"/>
      <c r="N921" s="15">
        <f t="shared" si="14"/>
        <v>0</v>
      </c>
      <c r="O921" s="19"/>
      <c r="P921" s="42" t="str">
        <f>IFERROR(VLOOKUP($J921,'Project Reference'!$B$2:$C$41,2)," ")</f>
        <v xml:space="preserve"> </v>
      </c>
      <c r="Q921" s="42" t="str">
        <f>IFERROR(VLOOKUP($J921,'Project Reference'!$B$2:$D$41,3)," ")</f>
        <v xml:space="preserve"> </v>
      </c>
      <c r="R921" s="42" t="str">
        <f>IFERROR(VLOOKUP($J921,'Project Reference'!$B$2:$E$41,4)," ")</f>
        <v xml:space="preserve"> </v>
      </c>
      <c r="S921" s="42" t="str">
        <f>IFERROR(VLOOKUP($J921,'Project Reference'!$B$2:$F$41,5,FALSE)," ")</f>
        <v xml:space="preserve"> </v>
      </c>
      <c r="T921" s="42" t="str">
        <f>IFERROR(VLOOKUP($J921,'Project Reference'!$B$2:$G$41,6,FALSE)," ")</f>
        <v xml:space="preserve"> </v>
      </c>
      <c r="U921" s="42" t="str">
        <f>IFERROR(VLOOKUP($J921,'Project Reference'!$B$2:$H$41,7,FALSE)," ")</f>
        <v xml:space="preserve"> </v>
      </c>
      <c r="V921" s="42" t="str">
        <f>IFERROR(VLOOKUP($J921,'Project Reference'!$B$2:$I$41,8,FALSE)," ")</f>
        <v xml:space="preserve"> </v>
      </c>
      <c r="W921" s="42" t="str">
        <f>IFERROR(VLOOKUP($J921,'Project Reference'!$B$2:$J$41,9,FALSE)," ")</f>
        <v xml:space="preserve"> </v>
      </c>
      <c r="X921" s="42" t="str">
        <f>IFERROR(VLOOKUP($J921,'Project Reference'!$B$2:$K$41,10)," ")</f>
        <v xml:space="preserve"> </v>
      </c>
      <c r="Y921" s="42" t="str">
        <f>IFERROR(VLOOKUP($J921,'Project Reference'!$B$2:$L$41,11)," ")</f>
        <v xml:space="preserve"> </v>
      </c>
      <c r="Z921" s="42" t="str">
        <f>IFERROR(VLOOKUP($J921,'Project Reference'!$B$2:$M$41,12)," ")</f>
        <v xml:space="preserve"> </v>
      </c>
      <c r="AA921" s="42" t="str">
        <f>IFERROR(VLOOKUP($J921,'Project Reference'!$B$2:$N$41,13)," ")</f>
        <v xml:space="preserve"> </v>
      </c>
    </row>
    <row r="922" spans="1:27" x14ac:dyDescent="0.45">
      <c r="A922" s="43"/>
      <c r="B922" s="205"/>
      <c r="C922"/>
      <c r="D922" s="72"/>
      <c r="E922" s="72"/>
      <c r="F922" s="72"/>
      <c r="G922" s="72"/>
      <c r="H922" s="17"/>
      <c r="I922" s="41" t="str" cm="1">
        <f t="array" ref="I922">IFERROR(_xlfn.IFS(H922="Hard (Cash)","N/A",H922="Soft (In-Kind)", "Enter Source"),"Select Type")</f>
        <v>Select Type</v>
      </c>
      <c r="J922" s="124"/>
      <c r="K922" s="41" t="str">
        <f>IFERROR(VLOOKUP($J922,'Project Reference'!$S$2:$T$41,2),"Enter Project Number")</f>
        <v>Enter Project Number</v>
      </c>
      <c r="L922" s="41"/>
      <c r="M922" s="41"/>
      <c r="N922" s="15">
        <f t="shared" si="14"/>
        <v>0</v>
      </c>
      <c r="O922" s="19"/>
      <c r="P922" s="42" t="str">
        <f>IFERROR(VLOOKUP($J922,'Project Reference'!$B$2:$C$41,2)," ")</f>
        <v xml:space="preserve"> </v>
      </c>
      <c r="Q922" s="42" t="str">
        <f>IFERROR(VLOOKUP($J922,'Project Reference'!$B$2:$D$41,3)," ")</f>
        <v xml:space="preserve"> </v>
      </c>
      <c r="R922" s="42" t="str">
        <f>IFERROR(VLOOKUP($J922,'Project Reference'!$B$2:$E$41,4)," ")</f>
        <v xml:space="preserve"> </v>
      </c>
      <c r="S922" s="42" t="str">
        <f>IFERROR(VLOOKUP($J922,'Project Reference'!$B$2:$F$41,5,FALSE)," ")</f>
        <v xml:space="preserve"> </v>
      </c>
      <c r="T922" s="42" t="str">
        <f>IFERROR(VLOOKUP($J922,'Project Reference'!$B$2:$G$41,6,FALSE)," ")</f>
        <v xml:space="preserve"> </v>
      </c>
      <c r="U922" s="42" t="str">
        <f>IFERROR(VLOOKUP($J922,'Project Reference'!$B$2:$H$41,7,FALSE)," ")</f>
        <v xml:space="preserve"> </v>
      </c>
      <c r="V922" s="42" t="str">
        <f>IFERROR(VLOOKUP($J922,'Project Reference'!$B$2:$I$41,8,FALSE)," ")</f>
        <v xml:space="preserve"> </v>
      </c>
      <c r="W922" s="42" t="str">
        <f>IFERROR(VLOOKUP($J922,'Project Reference'!$B$2:$J$41,9,FALSE)," ")</f>
        <v xml:space="preserve"> </v>
      </c>
      <c r="X922" s="42" t="str">
        <f>IFERROR(VLOOKUP($J922,'Project Reference'!$B$2:$K$41,10)," ")</f>
        <v xml:space="preserve"> </v>
      </c>
      <c r="Y922" s="42" t="str">
        <f>IFERROR(VLOOKUP($J922,'Project Reference'!$B$2:$L$41,11)," ")</f>
        <v xml:space="preserve"> </v>
      </c>
      <c r="Z922" s="42" t="str">
        <f>IFERROR(VLOOKUP($J922,'Project Reference'!$B$2:$M$41,12)," ")</f>
        <v xml:space="preserve"> </v>
      </c>
      <c r="AA922" s="42" t="str">
        <f>IFERROR(VLOOKUP($J922,'Project Reference'!$B$2:$N$41,13)," ")</f>
        <v xml:space="preserve"> </v>
      </c>
    </row>
    <row r="923" spans="1:27" x14ac:dyDescent="0.45">
      <c r="A923" s="43"/>
      <c r="B923" s="205"/>
      <c r="C923"/>
      <c r="D923" s="72"/>
      <c r="E923" s="72"/>
      <c r="F923" s="72"/>
      <c r="G923" s="72"/>
      <c r="H923" s="17"/>
      <c r="I923" s="41" t="str" cm="1">
        <f t="array" ref="I923">IFERROR(_xlfn.IFS(H923="Hard (Cash)","N/A",H923="Soft (In-Kind)", "Enter Source"),"Select Type")</f>
        <v>Select Type</v>
      </c>
      <c r="J923" s="124"/>
      <c r="K923" s="41" t="str">
        <f>IFERROR(VLOOKUP($J923,'Project Reference'!$S$2:$T$41,2),"Enter Project Number")</f>
        <v>Enter Project Number</v>
      </c>
      <c r="L923" s="41"/>
      <c r="M923" s="41"/>
      <c r="N923" s="15">
        <f t="shared" si="14"/>
        <v>0</v>
      </c>
      <c r="O923" s="19"/>
      <c r="P923" s="42" t="str">
        <f>IFERROR(VLOOKUP($J923,'Project Reference'!$B$2:$C$41,2)," ")</f>
        <v xml:space="preserve"> </v>
      </c>
      <c r="Q923" s="42" t="str">
        <f>IFERROR(VLOOKUP($J923,'Project Reference'!$B$2:$D$41,3)," ")</f>
        <v xml:space="preserve"> </v>
      </c>
      <c r="R923" s="42" t="str">
        <f>IFERROR(VLOOKUP($J923,'Project Reference'!$B$2:$E$41,4)," ")</f>
        <v xml:space="preserve"> </v>
      </c>
      <c r="S923" s="42" t="str">
        <f>IFERROR(VLOOKUP($J923,'Project Reference'!$B$2:$F$41,5,FALSE)," ")</f>
        <v xml:space="preserve"> </v>
      </c>
      <c r="T923" s="42" t="str">
        <f>IFERROR(VLOOKUP($J923,'Project Reference'!$B$2:$G$41,6,FALSE)," ")</f>
        <v xml:space="preserve"> </v>
      </c>
      <c r="U923" s="42" t="str">
        <f>IFERROR(VLOOKUP($J923,'Project Reference'!$B$2:$H$41,7,FALSE)," ")</f>
        <v xml:space="preserve"> </v>
      </c>
      <c r="V923" s="42" t="str">
        <f>IFERROR(VLOOKUP($J923,'Project Reference'!$B$2:$I$41,8,FALSE)," ")</f>
        <v xml:space="preserve"> </v>
      </c>
      <c r="W923" s="42" t="str">
        <f>IFERROR(VLOOKUP($J923,'Project Reference'!$B$2:$J$41,9,FALSE)," ")</f>
        <v xml:space="preserve"> </v>
      </c>
      <c r="X923" s="42" t="str">
        <f>IFERROR(VLOOKUP($J923,'Project Reference'!$B$2:$K$41,10)," ")</f>
        <v xml:space="preserve"> </v>
      </c>
      <c r="Y923" s="42" t="str">
        <f>IFERROR(VLOOKUP($J923,'Project Reference'!$B$2:$L$41,11)," ")</f>
        <v xml:space="preserve"> </v>
      </c>
      <c r="Z923" s="42" t="str">
        <f>IFERROR(VLOOKUP($J923,'Project Reference'!$B$2:$M$41,12)," ")</f>
        <v xml:space="preserve"> </v>
      </c>
      <c r="AA923" s="42" t="str">
        <f>IFERROR(VLOOKUP($J923,'Project Reference'!$B$2:$N$41,13)," ")</f>
        <v xml:space="preserve"> </v>
      </c>
    </row>
    <row r="924" spans="1:27" x14ac:dyDescent="0.45">
      <c r="A924" s="43"/>
      <c r="B924" s="205"/>
      <c r="C924"/>
      <c r="D924" s="72"/>
      <c r="E924" s="72"/>
      <c r="F924" s="72"/>
      <c r="G924" s="72"/>
      <c r="H924" s="17"/>
      <c r="I924" s="41" t="str" cm="1">
        <f t="array" ref="I924">IFERROR(_xlfn.IFS(H924="Hard (Cash)","N/A",H924="Soft (In-Kind)", "Enter Source"),"Select Type")</f>
        <v>Select Type</v>
      </c>
      <c r="J924" s="124"/>
      <c r="K924" s="41" t="str">
        <f>IFERROR(VLOOKUP($J924,'Project Reference'!$S$2:$T$41,2),"Enter Project Number")</f>
        <v>Enter Project Number</v>
      </c>
      <c r="L924" s="41"/>
      <c r="M924" s="41"/>
      <c r="N924" s="15">
        <f t="shared" si="14"/>
        <v>0</v>
      </c>
      <c r="O924" s="19"/>
      <c r="P924" s="42" t="str">
        <f>IFERROR(VLOOKUP($J924,'Project Reference'!$B$2:$C$41,2)," ")</f>
        <v xml:space="preserve"> </v>
      </c>
      <c r="Q924" s="42" t="str">
        <f>IFERROR(VLOOKUP($J924,'Project Reference'!$B$2:$D$41,3)," ")</f>
        <v xml:space="preserve"> </v>
      </c>
      <c r="R924" s="42" t="str">
        <f>IFERROR(VLOOKUP($J924,'Project Reference'!$B$2:$E$41,4)," ")</f>
        <v xml:space="preserve"> </v>
      </c>
      <c r="S924" s="42" t="str">
        <f>IFERROR(VLOOKUP($J924,'Project Reference'!$B$2:$F$41,5,FALSE)," ")</f>
        <v xml:space="preserve"> </v>
      </c>
      <c r="T924" s="42" t="str">
        <f>IFERROR(VLOOKUP($J924,'Project Reference'!$B$2:$G$41,6,FALSE)," ")</f>
        <v xml:space="preserve"> </v>
      </c>
      <c r="U924" s="42" t="str">
        <f>IFERROR(VLOOKUP($J924,'Project Reference'!$B$2:$H$41,7,FALSE)," ")</f>
        <v xml:space="preserve"> </v>
      </c>
      <c r="V924" s="42" t="str">
        <f>IFERROR(VLOOKUP($J924,'Project Reference'!$B$2:$I$41,8,FALSE)," ")</f>
        <v xml:space="preserve"> </v>
      </c>
      <c r="W924" s="42" t="str">
        <f>IFERROR(VLOOKUP($J924,'Project Reference'!$B$2:$J$41,9,FALSE)," ")</f>
        <v xml:space="preserve"> </v>
      </c>
      <c r="X924" s="42" t="str">
        <f>IFERROR(VLOOKUP($J924,'Project Reference'!$B$2:$K$41,10)," ")</f>
        <v xml:space="preserve"> </v>
      </c>
      <c r="Y924" s="42" t="str">
        <f>IFERROR(VLOOKUP($J924,'Project Reference'!$B$2:$L$41,11)," ")</f>
        <v xml:space="preserve"> </v>
      </c>
      <c r="Z924" s="42" t="str">
        <f>IFERROR(VLOOKUP($J924,'Project Reference'!$B$2:$M$41,12)," ")</f>
        <v xml:space="preserve"> </v>
      </c>
      <c r="AA924" s="42" t="str">
        <f>IFERROR(VLOOKUP($J924,'Project Reference'!$B$2:$N$41,13)," ")</f>
        <v xml:space="preserve"> </v>
      </c>
    </row>
    <row r="925" spans="1:27" x14ac:dyDescent="0.45">
      <c r="A925" s="43"/>
      <c r="B925" s="205"/>
      <c r="C925"/>
      <c r="D925" s="72"/>
      <c r="E925" s="72"/>
      <c r="F925" s="72"/>
      <c r="G925" s="72"/>
      <c r="H925" s="17"/>
      <c r="I925" s="41" t="str" cm="1">
        <f t="array" ref="I925">IFERROR(_xlfn.IFS(H925="Hard (Cash)","N/A",H925="Soft (In-Kind)", "Enter Source"),"Select Type")</f>
        <v>Select Type</v>
      </c>
      <c r="J925" s="124"/>
      <c r="K925" s="41" t="str">
        <f>IFERROR(VLOOKUP($J925,'Project Reference'!$S$2:$T$41,2),"Enter Project Number")</f>
        <v>Enter Project Number</v>
      </c>
      <c r="L925" s="41"/>
      <c r="M925" s="41"/>
      <c r="N925" s="15">
        <f t="shared" si="14"/>
        <v>0</v>
      </c>
      <c r="O925" s="19"/>
      <c r="P925" s="42" t="str">
        <f>IFERROR(VLOOKUP($J925,'Project Reference'!$B$2:$C$41,2)," ")</f>
        <v xml:space="preserve"> </v>
      </c>
      <c r="Q925" s="42" t="str">
        <f>IFERROR(VLOOKUP($J925,'Project Reference'!$B$2:$D$41,3)," ")</f>
        <v xml:space="preserve"> </v>
      </c>
      <c r="R925" s="42" t="str">
        <f>IFERROR(VLOOKUP($J925,'Project Reference'!$B$2:$E$41,4)," ")</f>
        <v xml:space="preserve"> </v>
      </c>
      <c r="S925" s="42" t="str">
        <f>IFERROR(VLOOKUP($J925,'Project Reference'!$B$2:$F$41,5,FALSE)," ")</f>
        <v xml:space="preserve"> </v>
      </c>
      <c r="T925" s="42" t="str">
        <f>IFERROR(VLOOKUP($J925,'Project Reference'!$B$2:$G$41,6,FALSE)," ")</f>
        <v xml:space="preserve"> </v>
      </c>
      <c r="U925" s="42" t="str">
        <f>IFERROR(VLOOKUP($J925,'Project Reference'!$B$2:$H$41,7,FALSE)," ")</f>
        <v xml:space="preserve"> </v>
      </c>
      <c r="V925" s="42" t="str">
        <f>IFERROR(VLOOKUP($J925,'Project Reference'!$B$2:$I$41,8,FALSE)," ")</f>
        <v xml:space="preserve"> </v>
      </c>
      <c r="W925" s="42" t="str">
        <f>IFERROR(VLOOKUP($J925,'Project Reference'!$B$2:$J$41,9,FALSE)," ")</f>
        <v xml:space="preserve"> </v>
      </c>
      <c r="X925" s="42" t="str">
        <f>IFERROR(VLOOKUP($J925,'Project Reference'!$B$2:$K$41,10)," ")</f>
        <v xml:space="preserve"> </v>
      </c>
      <c r="Y925" s="42" t="str">
        <f>IFERROR(VLOOKUP($J925,'Project Reference'!$B$2:$L$41,11)," ")</f>
        <v xml:space="preserve"> </v>
      </c>
      <c r="Z925" s="42" t="str">
        <f>IFERROR(VLOOKUP($J925,'Project Reference'!$B$2:$M$41,12)," ")</f>
        <v xml:space="preserve"> </v>
      </c>
      <c r="AA925" s="42" t="str">
        <f>IFERROR(VLOOKUP($J925,'Project Reference'!$B$2:$N$41,13)," ")</f>
        <v xml:space="preserve"> </v>
      </c>
    </row>
    <row r="926" spans="1:27" x14ac:dyDescent="0.45">
      <c r="A926" s="43"/>
      <c r="B926" s="205"/>
      <c r="C926"/>
      <c r="D926" s="72"/>
      <c r="E926" s="72"/>
      <c r="F926" s="72"/>
      <c r="G926" s="72"/>
      <c r="H926" s="17"/>
      <c r="I926" s="41" t="str" cm="1">
        <f t="array" ref="I926">IFERROR(_xlfn.IFS(H926="Hard (Cash)","N/A",H926="Soft (In-Kind)", "Enter Source"),"Select Type")</f>
        <v>Select Type</v>
      </c>
      <c r="J926" s="124"/>
      <c r="K926" s="41" t="str">
        <f>IFERROR(VLOOKUP($J926,'Project Reference'!$S$2:$T$41,2),"Enter Project Number")</f>
        <v>Enter Project Number</v>
      </c>
      <c r="L926" s="41"/>
      <c r="M926" s="41"/>
      <c r="N926" s="15">
        <f t="shared" si="14"/>
        <v>0</v>
      </c>
      <c r="O926" s="19"/>
      <c r="P926" s="42" t="str">
        <f>IFERROR(VLOOKUP($J926,'Project Reference'!$B$2:$C$41,2)," ")</f>
        <v xml:space="preserve"> </v>
      </c>
      <c r="Q926" s="42" t="str">
        <f>IFERROR(VLOOKUP($J926,'Project Reference'!$B$2:$D$41,3)," ")</f>
        <v xml:space="preserve"> </v>
      </c>
      <c r="R926" s="42" t="str">
        <f>IFERROR(VLOOKUP($J926,'Project Reference'!$B$2:$E$41,4)," ")</f>
        <v xml:space="preserve"> </v>
      </c>
      <c r="S926" s="42" t="str">
        <f>IFERROR(VLOOKUP($J926,'Project Reference'!$B$2:$F$41,5,FALSE)," ")</f>
        <v xml:space="preserve"> </v>
      </c>
      <c r="T926" s="42" t="str">
        <f>IFERROR(VLOOKUP($J926,'Project Reference'!$B$2:$G$41,6,FALSE)," ")</f>
        <v xml:space="preserve"> </v>
      </c>
      <c r="U926" s="42" t="str">
        <f>IFERROR(VLOOKUP($J926,'Project Reference'!$B$2:$H$41,7,FALSE)," ")</f>
        <v xml:space="preserve"> </v>
      </c>
      <c r="V926" s="42" t="str">
        <f>IFERROR(VLOOKUP($J926,'Project Reference'!$B$2:$I$41,8,FALSE)," ")</f>
        <v xml:space="preserve"> </v>
      </c>
      <c r="W926" s="42" t="str">
        <f>IFERROR(VLOOKUP($J926,'Project Reference'!$B$2:$J$41,9,FALSE)," ")</f>
        <v xml:space="preserve"> </v>
      </c>
      <c r="X926" s="42" t="str">
        <f>IFERROR(VLOOKUP($J926,'Project Reference'!$B$2:$K$41,10)," ")</f>
        <v xml:space="preserve"> </v>
      </c>
      <c r="Y926" s="42" t="str">
        <f>IFERROR(VLOOKUP($J926,'Project Reference'!$B$2:$L$41,11)," ")</f>
        <v xml:space="preserve"> </v>
      </c>
      <c r="Z926" s="42" t="str">
        <f>IFERROR(VLOOKUP($J926,'Project Reference'!$B$2:$M$41,12)," ")</f>
        <v xml:space="preserve"> </v>
      </c>
      <c r="AA926" s="42" t="str">
        <f>IFERROR(VLOOKUP($J926,'Project Reference'!$B$2:$N$41,13)," ")</f>
        <v xml:space="preserve"> </v>
      </c>
    </row>
    <row r="927" spans="1:27" x14ac:dyDescent="0.45">
      <c r="A927" s="43"/>
      <c r="B927" s="205"/>
      <c r="C927"/>
      <c r="D927" s="72"/>
      <c r="E927" s="72"/>
      <c r="F927" s="72"/>
      <c r="G927" s="72"/>
      <c r="H927" s="17"/>
      <c r="I927" s="41" t="str" cm="1">
        <f t="array" ref="I927">IFERROR(_xlfn.IFS(H927="Hard (Cash)","N/A",H927="Soft (In-Kind)", "Enter Source"),"Select Type")</f>
        <v>Select Type</v>
      </c>
      <c r="J927" s="124"/>
      <c r="K927" s="41" t="str">
        <f>IFERROR(VLOOKUP($J927,'Project Reference'!$S$2:$T$41,2),"Enter Project Number")</f>
        <v>Enter Project Number</v>
      </c>
      <c r="L927" s="41"/>
      <c r="M927" s="41"/>
      <c r="N927" s="15">
        <f t="shared" si="14"/>
        <v>0</v>
      </c>
      <c r="O927" s="19"/>
      <c r="P927" s="42" t="str">
        <f>IFERROR(VLOOKUP($J927,'Project Reference'!$B$2:$C$41,2)," ")</f>
        <v xml:space="preserve"> </v>
      </c>
      <c r="Q927" s="42" t="str">
        <f>IFERROR(VLOOKUP($J927,'Project Reference'!$B$2:$D$41,3)," ")</f>
        <v xml:space="preserve"> </v>
      </c>
      <c r="R927" s="42" t="str">
        <f>IFERROR(VLOOKUP($J927,'Project Reference'!$B$2:$E$41,4)," ")</f>
        <v xml:space="preserve"> </v>
      </c>
      <c r="S927" s="42" t="str">
        <f>IFERROR(VLOOKUP($J927,'Project Reference'!$B$2:$F$41,5,FALSE)," ")</f>
        <v xml:space="preserve"> </v>
      </c>
      <c r="T927" s="42" t="str">
        <f>IFERROR(VLOOKUP($J927,'Project Reference'!$B$2:$G$41,6,FALSE)," ")</f>
        <v xml:space="preserve"> </v>
      </c>
      <c r="U927" s="42" t="str">
        <f>IFERROR(VLOOKUP($J927,'Project Reference'!$B$2:$H$41,7,FALSE)," ")</f>
        <v xml:space="preserve"> </v>
      </c>
      <c r="V927" s="42" t="str">
        <f>IFERROR(VLOOKUP($J927,'Project Reference'!$B$2:$I$41,8,FALSE)," ")</f>
        <v xml:space="preserve"> </v>
      </c>
      <c r="W927" s="42" t="str">
        <f>IFERROR(VLOOKUP($J927,'Project Reference'!$B$2:$J$41,9,FALSE)," ")</f>
        <v xml:space="preserve"> </v>
      </c>
      <c r="X927" s="42" t="str">
        <f>IFERROR(VLOOKUP($J927,'Project Reference'!$B$2:$K$41,10)," ")</f>
        <v xml:space="preserve"> </v>
      </c>
      <c r="Y927" s="42" t="str">
        <f>IFERROR(VLOOKUP($J927,'Project Reference'!$B$2:$L$41,11)," ")</f>
        <v xml:space="preserve"> </v>
      </c>
      <c r="Z927" s="42" t="str">
        <f>IFERROR(VLOOKUP($J927,'Project Reference'!$B$2:$M$41,12)," ")</f>
        <v xml:space="preserve"> </v>
      </c>
      <c r="AA927" s="42" t="str">
        <f>IFERROR(VLOOKUP($J927,'Project Reference'!$B$2:$N$41,13)," ")</f>
        <v xml:space="preserve"> </v>
      </c>
    </row>
    <row r="928" spans="1:27" x14ac:dyDescent="0.45">
      <c r="A928" s="43"/>
      <c r="B928" s="205"/>
      <c r="C928"/>
      <c r="D928" s="72"/>
      <c r="E928" s="72"/>
      <c r="F928" s="72"/>
      <c r="G928" s="72"/>
      <c r="H928" s="17"/>
      <c r="I928" s="41" t="str" cm="1">
        <f t="array" ref="I928">IFERROR(_xlfn.IFS(H928="Hard (Cash)","N/A",H928="Soft (In-Kind)", "Enter Source"),"Select Type")</f>
        <v>Select Type</v>
      </c>
      <c r="J928" s="124"/>
      <c r="K928" s="41" t="str">
        <f>IFERROR(VLOOKUP($J928,'Project Reference'!$S$2:$T$41,2),"Enter Project Number")</f>
        <v>Enter Project Number</v>
      </c>
      <c r="L928" s="41"/>
      <c r="M928" s="41"/>
      <c r="N928" s="15">
        <f t="shared" si="14"/>
        <v>0</v>
      </c>
      <c r="O928" s="19"/>
      <c r="P928" s="42" t="str">
        <f>IFERROR(VLOOKUP($J928,'Project Reference'!$B$2:$C$41,2)," ")</f>
        <v xml:space="preserve"> </v>
      </c>
      <c r="Q928" s="42" t="str">
        <f>IFERROR(VLOOKUP($J928,'Project Reference'!$B$2:$D$41,3)," ")</f>
        <v xml:space="preserve"> </v>
      </c>
      <c r="R928" s="42" t="str">
        <f>IFERROR(VLOOKUP($J928,'Project Reference'!$B$2:$E$41,4)," ")</f>
        <v xml:space="preserve"> </v>
      </c>
      <c r="S928" s="42" t="str">
        <f>IFERROR(VLOOKUP($J928,'Project Reference'!$B$2:$F$41,5,FALSE)," ")</f>
        <v xml:space="preserve"> </v>
      </c>
      <c r="T928" s="42" t="str">
        <f>IFERROR(VLOOKUP($J928,'Project Reference'!$B$2:$G$41,6,FALSE)," ")</f>
        <v xml:space="preserve"> </v>
      </c>
      <c r="U928" s="42" t="str">
        <f>IFERROR(VLOOKUP($J928,'Project Reference'!$B$2:$H$41,7,FALSE)," ")</f>
        <v xml:space="preserve"> </v>
      </c>
      <c r="V928" s="42" t="str">
        <f>IFERROR(VLOOKUP($J928,'Project Reference'!$B$2:$I$41,8,FALSE)," ")</f>
        <v xml:space="preserve"> </v>
      </c>
      <c r="W928" s="42" t="str">
        <f>IFERROR(VLOOKUP($J928,'Project Reference'!$B$2:$J$41,9,FALSE)," ")</f>
        <v xml:space="preserve"> </v>
      </c>
      <c r="X928" s="42" t="str">
        <f>IFERROR(VLOOKUP($J928,'Project Reference'!$B$2:$K$41,10)," ")</f>
        <v xml:space="preserve"> </v>
      </c>
      <c r="Y928" s="42" t="str">
        <f>IFERROR(VLOOKUP($J928,'Project Reference'!$B$2:$L$41,11)," ")</f>
        <v xml:space="preserve"> </v>
      </c>
      <c r="Z928" s="42" t="str">
        <f>IFERROR(VLOOKUP($J928,'Project Reference'!$B$2:$M$41,12)," ")</f>
        <v xml:space="preserve"> </v>
      </c>
      <c r="AA928" s="42" t="str">
        <f>IFERROR(VLOOKUP($J928,'Project Reference'!$B$2:$N$41,13)," ")</f>
        <v xml:space="preserve"> </v>
      </c>
    </row>
    <row r="929" spans="1:27" x14ac:dyDescent="0.45">
      <c r="A929" s="43"/>
      <c r="B929" s="205"/>
      <c r="C929"/>
      <c r="D929" s="72"/>
      <c r="E929" s="72"/>
      <c r="F929" s="72"/>
      <c r="G929" s="72"/>
      <c r="H929" s="17"/>
      <c r="I929" s="41" t="str" cm="1">
        <f t="array" ref="I929">IFERROR(_xlfn.IFS(H929="Hard (Cash)","N/A",H929="Soft (In-Kind)", "Enter Source"),"Select Type")</f>
        <v>Select Type</v>
      </c>
      <c r="J929" s="124"/>
      <c r="K929" s="41" t="str">
        <f>IFERROR(VLOOKUP($J929,'Project Reference'!$S$2:$T$41,2),"Enter Project Number")</f>
        <v>Enter Project Number</v>
      </c>
      <c r="L929" s="41"/>
      <c r="M929" s="41"/>
      <c r="N929" s="15">
        <f t="shared" si="14"/>
        <v>0</v>
      </c>
      <c r="O929" s="19"/>
      <c r="P929" s="42" t="str">
        <f>IFERROR(VLOOKUP($J929,'Project Reference'!$B$2:$C$41,2)," ")</f>
        <v xml:space="preserve"> </v>
      </c>
      <c r="Q929" s="42" t="str">
        <f>IFERROR(VLOOKUP($J929,'Project Reference'!$B$2:$D$41,3)," ")</f>
        <v xml:space="preserve"> </v>
      </c>
      <c r="R929" s="42" t="str">
        <f>IFERROR(VLOOKUP($J929,'Project Reference'!$B$2:$E$41,4)," ")</f>
        <v xml:space="preserve"> </v>
      </c>
      <c r="S929" s="42" t="str">
        <f>IFERROR(VLOOKUP($J929,'Project Reference'!$B$2:$F$41,5,FALSE)," ")</f>
        <v xml:space="preserve"> </v>
      </c>
      <c r="T929" s="42" t="str">
        <f>IFERROR(VLOOKUP($J929,'Project Reference'!$B$2:$G$41,6,FALSE)," ")</f>
        <v xml:space="preserve"> </v>
      </c>
      <c r="U929" s="42" t="str">
        <f>IFERROR(VLOOKUP($J929,'Project Reference'!$B$2:$H$41,7,FALSE)," ")</f>
        <v xml:space="preserve"> </v>
      </c>
      <c r="V929" s="42" t="str">
        <f>IFERROR(VLOOKUP($J929,'Project Reference'!$B$2:$I$41,8,FALSE)," ")</f>
        <v xml:space="preserve"> </v>
      </c>
      <c r="W929" s="42" t="str">
        <f>IFERROR(VLOOKUP($J929,'Project Reference'!$B$2:$J$41,9,FALSE)," ")</f>
        <v xml:space="preserve"> </v>
      </c>
      <c r="X929" s="42" t="str">
        <f>IFERROR(VLOOKUP($J929,'Project Reference'!$B$2:$K$41,10)," ")</f>
        <v xml:space="preserve"> </v>
      </c>
      <c r="Y929" s="42" t="str">
        <f>IFERROR(VLOOKUP($J929,'Project Reference'!$B$2:$L$41,11)," ")</f>
        <v xml:space="preserve"> </v>
      </c>
      <c r="Z929" s="42" t="str">
        <f>IFERROR(VLOOKUP($J929,'Project Reference'!$B$2:$M$41,12)," ")</f>
        <v xml:space="preserve"> </v>
      </c>
      <c r="AA929" s="42" t="str">
        <f>IFERROR(VLOOKUP($J929,'Project Reference'!$B$2:$N$41,13)," ")</f>
        <v xml:space="preserve"> </v>
      </c>
    </row>
    <row r="930" spans="1:27" x14ac:dyDescent="0.45">
      <c r="A930" s="43"/>
      <c r="B930" s="205"/>
      <c r="C930"/>
      <c r="D930" s="72"/>
      <c r="E930" s="72"/>
      <c r="F930" s="72"/>
      <c r="G930" s="72"/>
      <c r="H930" s="17"/>
      <c r="I930" s="41" t="str" cm="1">
        <f t="array" ref="I930">IFERROR(_xlfn.IFS(H930="Hard (Cash)","N/A",H930="Soft (In-Kind)", "Enter Source"),"Select Type")</f>
        <v>Select Type</v>
      </c>
      <c r="J930" s="124"/>
      <c r="K930" s="41" t="str">
        <f>IFERROR(VLOOKUP($J930,'Project Reference'!$S$2:$T$41,2),"Enter Project Number")</f>
        <v>Enter Project Number</v>
      </c>
      <c r="L930" s="41"/>
      <c r="M930" s="41"/>
      <c r="N930" s="15">
        <f t="shared" si="14"/>
        <v>0</v>
      </c>
      <c r="O930" s="19"/>
      <c r="P930" s="42" t="str">
        <f>IFERROR(VLOOKUP($J930,'Project Reference'!$B$2:$C$41,2)," ")</f>
        <v xml:space="preserve"> </v>
      </c>
      <c r="Q930" s="42" t="str">
        <f>IFERROR(VLOOKUP($J930,'Project Reference'!$B$2:$D$41,3)," ")</f>
        <v xml:space="preserve"> </v>
      </c>
      <c r="R930" s="42" t="str">
        <f>IFERROR(VLOOKUP($J930,'Project Reference'!$B$2:$E$41,4)," ")</f>
        <v xml:space="preserve"> </v>
      </c>
      <c r="S930" s="42" t="str">
        <f>IFERROR(VLOOKUP($J930,'Project Reference'!$B$2:$F$41,5,FALSE)," ")</f>
        <v xml:space="preserve"> </v>
      </c>
      <c r="T930" s="42" t="str">
        <f>IFERROR(VLOOKUP($J930,'Project Reference'!$B$2:$G$41,6,FALSE)," ")</f>
        <v xml:space="preserve"> </v>
      </c>
      <c r="U930" s="42" t="str">
        <f>IFERROR(VLOOKUP($J930,'Project Reference'!$B$2:$H$41,7,FALSE)," ")</f>
        <v xml:space="preserve"> </v>
      </c>
      <c r="V930" s="42" t="str">
        <f>IFERROR(VLOOKUP($J930,'Project Reference'!$B$2:$I$41,8,FALSE)," ")</f>
        <v xml:space="preserve"> </v>
      </c>
      <c r="W930" s="42" t="str">
        <f>IFERROR(VLOOKUP($J930,'Project Reference'!$B$2:$J$41,9,FALSE)," ")</f>
        <v xml:space="preserve"> </v>
      </c>
      <c r="X930" s="42" t="str">
        <f>IFERROR(VLOOKUP($J930,'Project Reference'!$B$2:$K$41,10)," ")</f>
        <v xml:space="preserve"> </v>
      </c>
      <c r="Y930" s="42" t="str">
        <f>IFERROR(VLOOKUP($J930,'Project Reference'!$B$2:$L$41,11)," ")</f>
        <v xml:space="preserve"> </v>
      </c>
      <c r="Z930" s="42" t="str">
        <f>IFERROR(VLOOKUP($J930,'Project Reference'!$B$2:$M$41,12)," ")</f>
        <v xml:space="preserve"> </v>
      </c>
      <c r="AA930" s="42" t="str">
        <f>IFERROR(VLOOKUP($J930,'Project Reference'!$B$2:$N$41,13)," ")</f>
        <v xml:space="preserve"> </v>
      </c>
    </row>
    <row r="931" spans="1:27" x14ac:dyDescent="0.45">
      <c r="A931" s="43"/>
      <c r="B931" s="205"/>
      <c r="C931"/>
      <c r="D931" s="72"/>
      <c r="E931" s="72"/>
      <c r="F931" s="72"/>
      <c r="G931" s="72"/>
      <c r="H931" s="17"/>
      <c r="I931" s="41" t="str" cm="1">
        <f t="array" ref="I931">IFERROR(_xlfn.IFS(H931="Hard (Cash)","N/A",H931="Soft (In-Kind)", "Enter Source"),"Select Type")</f>
        <v>Select Type</v>
      </c>
      <c r="J931" s="124"/>
      <c r="K931" s="41" t="str">
        <f>IFERROR(VLOOKUP($J931,'Project Reference'!$S$2:$T$41,2),"Enter Project Number")</f>
        <v>Enter Project Number</v>
      </c>
      <c r="L931" s="41"/>
      <c r="M931" s="41"/>
      <c r="N931" s="15">
        <f t="shared" si="14"/>
        <v>0</v>
      </c>
      <c r="O931" s="19"/>
      <c r="P931" s="42" t="str">
        <f>IFERROR(VLOOKUP($J931,'Project Reference'!$B$2:$C$41,2)," ")</f>
        <v xml:space="preserve"> </v>
      </c>
      <c r="Q931" s="42" t="str">
        <f>IFERROR(VLOOKUP($J931,'Project Reference'!$B$2:$D$41,3)," ")</f>
        <v xml:space="preserve"> </v>
      </c>
      <c r="R931" s="42" t="str">
        <f>IFERROR(VLOOKUP($J931,'Project Reference'!$B$2:$E$41,4)," ")</f>
        <v xml:space="preserve"> </v>
      </c>
      <c r="S931" s="42" t="str">
        <f>IFERROR(VLOOKUP($J931,'Project Reference'!$B$2:$F$41,5,FALSE)," ")</f>
        <v xml:space="preserve"> </v>
      </c>
      <c r="T931" s="42" t="str">
        <f>IFERROR(VLOOKUP($J931,'Project Reference'!$B$2:$G$41,6,FALSE)," ")</f>
        <v xml:space="preserve"> </v>
      </c>
      <c r="U931" s="42" t="str">
        <f>IFERROR(VLOOKUP($J931,'Project Reference'!$B$2:$H$41,7,FALSE)," ")</f>
        <v xml:space="preserve"> </v>
      </c>
      <c r="V931" s="42" t="str">
        <f>IFERROR(VLOOKUP($J931,'Project Reference'!$B$2:$I$41,8,FALSE)," ")</f>
        <v xml:space="preserve"> </v>
      </c>
      <c r="W931" s="42" t="str">
        <f>IFERROR(VLOOKUP($J931,'Project Reference'!$B$2:$J$41,9,FALSE)," ")</f>
        <v xml:space="preserve"> </v>
      </c>
      <c r="X931" s="42" t="str">
        <f>IFERROR(VLOOKUP($J931,'Project Reference'!$B$2:$K$41,10)," ")</f>
        <v xml:space="preserve"> </v>
      </c>
      <c r="Y931" s="42" t="str">
        <f>IFERROR(VLOOKUP($J931,'Project Reference'!$B$2:$L$41,11)," ")</f>
        <v xml:space="preserve"> </v>
      </c>
      <c r="Z931" s="42" t="str">
        <f>IFERROR(VLOOKUP($J931,'Project Reference'!$B$2:$M$41,12)," ")</f>
        <v xml:space="preserve"> </v>
      </c>
      <c r="AA931" s="42" t="str">
        <f>IFERROR(VLOOKUP($J931,'Project Reference'!$B$2:$N$41,13)," ")</f>
        <v xml:space="preserve"> </v>
      </c>
    </row>
    <row r="932" spans="1:27" x14ac:dyDescent="0.45">
      <c r="A932" s="43"/>
      <c r="B932" s="205"/>
      <c r="C932"/>
      <c r="D932" s="72"/>
      <c r="E932" s="72"/>
      <c r="F932" s="72"/>
      <c r="G932" s="72"/>
      <c r="H932" s="17"/>
      <c r="I932" s="41" t="str" cm="1">
        <f t="array" ref="I932">IFERROR(_xlfn.IFS(H932="Hard (Cash)","N/A",H932="Soft (In-Kind)", "Enter Source"),"Select Type")</f>
        <v>Select Type</v>
      </c>
      <c r="J932" s="124"/>
      <c r="K932" s="41" t="str">
        <f>IFERROR(VLOOKUP($J932,'Project Reference'!$S$2:$T$41,2),"Enter Project Number")</f>
        <v>Enter Project Number</v>
      </c>
      <c r="L932" s="41"/>
      <c r="M932" s="41"/>
      <c r="N932" s="15">
        <f t="shared" si="14"/>
        <v>0</v>
      </c>
      <c r="O932" s="19"/>
      <c r="P932" s="42" t="str">
        <f>IFERROR(VLOOKUP($J932,'Project Reference'!$B$2:$C$41,2)," ")</f>
        <v xml:space="preserve"> </v>
      </c>
      <c r="Q932" s="42" t="str">
        <f>IFERROR(VLOOKUP($J932,'Project Reference'!$B$2:$D$41,3)," ")</f>
        <v xml:space="preserve"> </v>
      </c>
      <c r="R932" s="42" t="str">
        <f>IFERROR(VLOOKUP($J932,'Project Reference'!$B$2:$E$41,4)," ")</f>
        <v xml:space="preserve"> </v>
      </c>
      <c r="S932" s="42" t="str">
        <f>IFERROR(VLOOKUP($J932,'Project Reference'!$B$2:$F$41,5,FALSE)," ")</f>
        <v xml:space="preserve"> </v>
      </c>
      <c r="T932" s="42" t="str">
        <f>IFERROR(VLOOKUP($J932,'Project Reference'!$B$2:$G$41,6,FALSE)," ")</f>
        <v xml:space="preserve"> </v>
      </c>
      <c r="U932" s="42" t="str">
        <f>IFERROR(VLOOKUP($J932,'Project Reference'!$B$2:$H$41,7,FALSE)," ")</f>
        <v xml:space="preserve"> </v>
      </c>
      <c r="V932" s="42" t="str">
        <f>IFERROR(VLOOKUP($J932,'Project Reference'!$B$2:$I$41,8,FALSE)," ")</f>
        <v xml:space="preserve"> </v>
      </c>
      <c r="W932" s="42" t="str">
        <f>IFERROR(VLOOKUP($J932,'Project Reference'!$B$2:$J$41,9,FALSE)," ")</f>
        <v xml:space="preserve"> </v>
      </c>
      <c r="X932" s="42" t="str">
        <f>IFERROR(VLOOKUP($J932,'Project Reference'!$B$2:$K$41,10)," ")</f>
        <v xml:space="preserve"> </v>
      </c>
      <c r="Y932" s="42" t="str">
        <f>IFERROR(VLOOKUP($J932,'Project Reference'!$B$2:$L$41,11)," ")</f>
        <v xml:space="preserve"> </v>
      </c>
      <c r="Z932" s="42" t="str">
        <f>IFERROR(VLOOKUP($J932,'Project Reference'!$B$2:$M$41,12)," ")</f>
        <v xml:space="preserve"> </v>
      </c>
      <c r="AA932" s="42" t="str">
        <f>IFERROR(VLOOKUP($J932,'Project Reference'!$B$2:$N$41,13)," ")</f>
        <v xml:space="preserve"> </v>
      </c>
    </row>
    <row r="933" spans="1:27" x14ac:dyDescent="0.45">
      <c r="A933" s="43"/>
      <c r="B933" s="205"/>
      <c r="C933"/>
      <c r="D933" s="72"/>
      <c r="E933" s="72"/>
      <c r="F933" s="72"/>
      <c r="G933" s="72"/>
      <c r="H933" s="17"/>
      <c r="I933" s="41" t="str" cm="1">
        <f t="array" ref="I933">IFERROR(_xlfn.IFS(H933="Hard (Cash)","N/A",H933="Soft (In-Kind)", "Enter Source"),"Select Type")</f>
        <v>Select Type</v>
      </c>
      <c r="J933" s="124"/>
      <c r="K933" s="41" t="str">
        <f>IFERROR(VLOOKUP($J933,'Project Reference'!$S$2:$T$41,2),"Enter Project Number")</f>
        <v>Enter Project Number</v>
      </c>
      <c r="L933" s="41"/>
      <c r="M933" s="41"/>
      <c r="N933" s="15">
        <f t="shared" si="14"/>
        <v>0</v>
      </c>
      <c r="O933" s="19"/>
      <c r="P933" s="42" t="str">
        <f>IFERROR(VLOOKUP($J933,'Project Reference'!$B$2:$C$41,2)," ")</f>
        <v xml:space="preserve"> </v>
      </c>
      <c r="Q933" s="42" t="str">
        <f>IFERROR(VLOOKUP($J933,'Project Reference'!$B$2:$D$41,3)," ")</f>
        <v xml:space="preserve"> </v>
      </c>
      <c r="R933" s="42" t="str">
        <f>IFERROR(VLOOKUP($J933,'Project Reference'!$B$2:$E$41,4)," ")</f>
        <v xml:space="preserve"> </v>
      </c>
      <c r="S933" s="42" t="str">
        <f>IFERROR(VLOOKUP($J933,'Project Reference'!$B$2:$F$41,5,FALSE)," ")</f>
        <v xml:space="preserve"> </v>
      </c>
      <c r="T933" s="42" t="str">
        <f>IFERROR(VLOOKUP($J933,'Project Reference'!$B$2:$G$41,6,FALSE)," ")</f>
        <v xml:space="preserve"> </v>
      </c>
      <c r="U933" s="42" t="str">
        <f>IFERROR(VLOOKUP($J933,'Project Reference'!$B$2:$H$41,7,FALSE)," ")</f>
        <v xml:space="preserve"> </v>
      </c>
      <c r="V933" s="42" t="str">
        <f>IFERROR(VLOOKUP($J933,'Project Reference'!$B$2:$I$41,8,FALSE)," ")</f>
        <v xml:space="preserve"> </v>
      </c>
      <c r="W933" s="42" t="str">
        <f>IFERROR(VLOOKUP($J933,'Project Reference'!$B$2:$J$41,9,FALSE)," ")</f>
        <v xml:space="preserve"> </v>
      </c>
      <c r="X933" s="42" t="str">
        <f>IFERROR(VLOOKUP($J933,'Project Reference'!$B$2:$K$41,10)," ")</f>
        <v xml:space="preserve"> </v>
      </c>
      <c r="Y933" s="42" t="str">
        <f>IFERROR(VLOOKUP($J933,'Project Reference'!$B$2:$L$41,11)," ")</f>
        <v xml:space="preserve"> </v>
      </c>
      <c r="Z933" s="42" t="str">
        <f>IFERROR(VLOOKUP($J933,'Project Reference'!$B$2:$M$41,12)," ")</f>
        <v xml:space="preserve"> </v>
      </c>
      <c r="AA933" s="42" t="str">
        <f>IFERROR(VLOOKUP($J933,'Project Reference'!$B$2:$N$41,13)," ")</f>
        <v xml:space="preserve"> </v>
      </c>
    </row>
    <row r="934" spans="1:27" x14ac:dyDescent="0.45">
      <c r="A934" s="43"/>
      <c r="B934" s="205"/>
      <c r="C934"/>
      <c r="D934" s="72"/>
      <c r="E934" s="72"/>
      <c r="F934" s="72"/>
      <c r="G934" s="72"/>
      <c r="H934" s="17"/>
      <c r="I934" s="41" t="str" cm="1">
        <f t="array" ref="I934">IFERROR(_xlfn.IFS(H934="Hard (Cash)","N/A",H934="Soft (In-Kind)", "Enter Source"),"Select Type")</f>
        <v>Select Type</v>
      </c>
      <c r="J934" s="124"/>
      <c r="K934" s="41" t="str">
        <f>IFERROR(VLOOKUP($J934,'Project Reference'!$S$2:$T$41,2),"Enter Project Number")</f>
        <v>Enter Project Number</v>
      </c>
      <c r="L934" s="41"/>
      <c r="M934" s="41"/>
      <c r="N934" s="15">
        <f t="shared" si="14"/>
        <v>0</v>
      </c>
      <c r="O934" s="19"/>
      <c r="P934" s="42" t="str">
        <f>IFERROR(VLOOKUP($J934,'Project Reference'!$B$2:$C$41,2)," ")</f>
        <v xml:space="preserve"> </v>
      </c>
      <c r="Q934" s="42" t="str">
        <f>IFERROR(VLOOKUP($J934,'Project Reference'!$B$2:$D$41,3)," ")</f>
        <v xml:space="preserve"> </v>
      </c>
      <c r="R934" s="42" t="str">
        <f>IFERROR(VLOOKUP($J934,'Project Reference'!$B$2:$E$41,4)," ")</f>
        <v xml:space="preserve"> </v>
      </c>
      <c r="S934" s="42" t="str">
        <f>IFERROR(VLOOKUP($J934,'Project Reference'!$B$2:$F$41,5,FALSE)," ")</f>
        <v xml:space="preserve"> </v>
      </c>
      <c r="T934" s="42" t="str">
        <f>IFERROR(VLOOKUP($J934,'Project Reference'!$B$2:$G$41,6,FALSE)," ")</f>
        <v xml:space="preserve"> </v>
      </c>
      <c r="U934" s="42" t="str">
        <f>IFERROR(VLOOKUP($J934,'Project Reference'!$B$2:$H$41,7,FALSE)," ")</f>
        <v xml:space="preserve"> </v>
      </c>
      <c r="V934" s="42" t="str">
        <f>IFERROR(VLOOKUP($J934,'Project Reference'!$B$2:$I$41,8,FALSE)," ")</f>
        <v xml:space="preserve"> </v>
      </c>
      <c r="W934" s="42" t="str">
        <f>IFERROR(VLOOKUP($J934,'Project Reference'!$B$2:$J$41,9,FALSE)," ")</f>
        <v xml:space="preserve"> </v>
      </c>
      <c r="X934" s="42" t="str">
        <f>IFERROR(VLOOKUP($J934,'Project Reference'!$B$2:$K$41,10)," ")</f>
        <v xml:space="preserve"> </v>
      </c>
      <c r="Y934" s="42" t="str">
        <f>IFERROR(VLOOKUP($J934,'Project Reference'!$B$2:$L$41,11)," ")</f>
        <v xml:space="preserve"> </v>
      </c>
      <c r="Z934" s="42" t="str">
        <f>IFERROR(VLOOKUP($J934,'Project Reference'!$B$2:$M$41,12)," ")</f>
        <v xml:space="preserve"> </v>
      </c>
      <c r="AA934" s="42" t="str">
        <f>IFERROR(VLOOKUP($J934,'Project Reference'!$B$2:$N$41,13)," ")</f>
        <v xml:space="preserve"> </v>
      </c>
    </row>
    <row r="935" spans="1:27" x14ac:dyDescent="0.45">
      <c r="A935" s="43"/>
      <c r="B935" s="205"/>
      <c r="C935"/>
      <c r="D935" s="72"/>
      <c r="E935" s="72"/>
      <c r="F935" s="72"/>
      <c r="G935" s="72"/>
      <c r="H935" s="17"/>
      <c r="I935" s="41" t="str" cm="1">
        <f t="array" ref="I935">IFERROR(_xlfn.IFS(H935="Hard (Cash)","N/A",H935="Soft (In-Kind)", "Enter Source"),"Select Type")</f>
        <v>Select Type</v>
      </c>
      <c r="J935" s="124"/>
      <c r="K935" s="41" t="str">
        <f>IFERROR(VLOOKUP($J935,'Project Reference'!$S$2:$T$41,2),"Enter Project Number")</f>
        <v>Enter Project Number</v>
      </c>
      <c r="L935" s="41"/>
      <c r="M935" s="41"/>
      <c r="N935" s="15">
        <f t="shared" si="14"/>
        <v>0</v>
      </c>
      <c r="O935" s="19"/>
      <c r="P935" s="42" t="str">
        <f>IFERROR(VLOOKUP($J935,'Project Reference'!$B$2:$C$41,2)," ")</f>
        <v xml:space="preserve"> </v>
      </c>
      <c r="Q935" s="42" t="str">
        <f>IFERROR(VLOOKUP($J935,'Project Reference'!$B$2:$D$41,3)," ")</f>
        <v xml:space="preserve"> </v>
      </c>
      <c r="R935" s="42" t="str">
        <f>IFERROR(VLOOKUP($J935,'Project Reference'!$B$2:$E$41,4)," ")</f>
        <v xml:space="preserve"> </v>
      </c>
      <c r="S935" s="42" t="str">
        <f>IFERROR(VLOOKUP($J935,'Project Reference'!$B$2:$F$41,5,FALSE)," ")</f>
        <v xml:space="preserve"> </v>
      </c>
      <c r="T935" s="42" t="str">
        <f>IFERROR(VLOOKUP($J935,'Project Reference'!$B$2:$G$41,6,FALSE)," ")</f>
        <v xml:space="preserve"> </v>
      </c>
      <c r="U935" s="42" t="str">
        <f>IFERROR(VLOOKUP($J935,'Project Reference'!$B$2:$H$41,7,FALSE)," ")</f>
        <v xml:space="preserve"> </v>
      </c>
      <c r="V935" s="42" t="str">
        <f>IFERROR(VLOOKUP($J935,'Project Reference'!$B$2:$I$41,8,FALSE)," ")</f>
        <v xml:space="preserve"> </v>
      </c>
      <c r="W935" s="42" t="str">
        <f>IFERROR(VLOOKUP($J935,'Project Reference'!$B$2:$J$41,9,FALSE)," ")</f>
        <v xml:space="preserve"> </v>
      </c>
      <c r="X935" s="42" t="str">
        <f>IFERROR(VLOOKUP($J935,'Project Reference'!$B$2:$K$41,10)," ")</f>
        <v xml:space="preserve"> </v>
      </c>
      <c r="Y935" s="42" t="str">
        <f>IFERROR(VLOOKUP($J935,'Project Reference'!$B$2:$L$41,11)," ")</f>
        <v xml:space="preserve"> </v>
      </c>
      <c r="Z935" s="42" t="str">
        <f>IFERROR(VLOOKUP($J935,'Project Reference'!$B$2:$M$41,12)," ")</f>
        <v xml:space="preserve"> </v>
      </c>
      <c r="AA935" s="42" t="str">
        <f>IFERROR(VLOOKUP($J935,'Project Reference'!$B$2:$N$41,13)," ")</f>
        <v xml:space="preserve"> </v>
      </c>
    </row>
    <row r="936" spans="1:27" x14ac:dyDescent="0.45">
      <c r="A936" s="43"/>
      <c r="B936" s="205"/>
      <c r="C936"/>
      <c r="D936" s="72"/>
      <c r="E936" s="72"/>
      <c r="F936" s="72"/>
      <c r="G936" s="72"/>
      <c r="H936" s="17"/>
      <c r="I936" s="41" t="str" cm="1">
        <f t="array" ref="I936">IFERROR(_xlfn.IFS(H936="Hard (Cash)","N/A",H936="Soft (In-Kind)", "Enter Source"),"Select Type")</f>
        <v>Select Type</v>
      </c>
      <c r="J936" s="124"/>
      <c r="K936" s="41" t="str">
        <f>IFERROR(VLOOKUP($J936,'Project Reference'!$S$2:$T$41,2),"Enter Project Number")</f>
        <v>Enter Project Number</v>
      </c>
      <c r="L936" s="41"/>
      <c r="M936" s="41"/>
      <c r="N936" s="15">
        <f t="shared" si="14"/>
        <v>0</v>
      </c>
      <c r="O936" s="19"/>
      <c r="P936" s="42" t="str">
        <f>IFERROR(VLOOKUP($J936,'Project Reference'!$B$2:$C$41,2)," ")</f>
        <v xml:space="preserve"> </v>
      </c>
      <c r="Q936" s="42" t="str">
        <f>IFERROR(VLOOKUP($J936,'Project Reference'!$B$2:$D$41,3)," ")</f>
        <v xml:space="preserve"> </v>
      </c>
      <c r="R936" s="42" t="str">
        <f>IFERROR(VLOOKUP($J936,'Project Reference'!$B$2:$E$41,4)," ")</f>
        <v xml:space="preserve"> </v>
      </c>
      <c r="S936" s="42" t="str">
        <f>IFERROR(VLOOKUP($J936,'Project Reference'!$B$2:$F$41,5,FALSE)," ")</f>
        <v xml:space="preserve"> </v>
      </c>
      <c r="T936" s="42" t="str">
        <f>IFERROR(VLOOKUP($J936,'Project Reference'!$B$2:$G$41,6,FALSE)," ")</f>
        <v xml:space="preserve"> </v>
      </c>
      <c r="U936" s="42" t="str">
        <f>IFERROR(VLOOKUP($J936,'Project Reference'!$B$2:$H$41,7,FALSE)," ")</f>
        <v xml:space="preserve"> </v>
      </c>
      <c r="V936" s="42" t="str">
        <f>IFERROR(VLOOKUP($J936,'Project Reference'!$B$2:$I$41,8,FALSE)," ")</f>
        <v xml:space="preserve"> </v>
      </c>
      <c r="W936" s="42" t="str">
        <f>IFERROR(VLOOKUP($J936,'Project Reference'!$B$2:$J$41,9,FALSE)," ")</f>
        <v xml:space="preserve"> </v>
      </c>
      <c r="X936" s="42" t="str">
        <f>IFERROR(VLOOKUP($J936,'Project Reference'!$B$2:$K$41,10)," ")</f>
        <v xml:space="preserve"> </v>
      </c>
      <c r="Y936" s="42" t="str">
        <f>IFERROR(VLOOKUP($J936,'Project Reference'!$B$2:$L$41,11)," ")</f>
        <v xml:space="preserve"> </v>
      </c>
      <c r="Z936" s="42" t="str">
        <f>IFERROR(VLOOKUP($J936,'Project Reference'!$B$2:$M$41,12)," ")</f>
        <v xml:space="preserve"> </v>
      </c>
      <c r="AA936" s="42" t="str">
        <f>IFERROR(VLOOKUP($J936,'Project Reference'!$B$2:$N$41,13)," ")</f>
        <v xml:space="preserve"> </v>
      </c>
    </row>
    <row r="937" spans="1:27" x14ac:dyDescent="0.45">
      <c r="A937" s="43"/>
      <c r="B937" s="205"/>
      <c r="C937"/>
      <c r="D937" s="72"/>
      <c r="E937" s="72"/>
      <c r="F937" s="72"/>
      <c r="G937" s="72"/>
      <c r="H937" s="17"/>
      <c r="I937" s="41" t="str" cm="1">
        <f t="array" ref="I937">IFERROR(_xlfn.IFS(H937="Hard (Cash)","N/A",H937="Soft (In-Kind)", "Enter Source"),"Select Type")</f>
        <v>Select Type</v>
      </c>
      <c r="J937" s="124"/>
      <c r="K937" s="41" t="str">
        <f>IFERROR(VLOOKUP($J937,'Project Reference'!$S$2:$T$41,2),"Enter Project Number")</f>
        <v>Enter Project Number</v>
      </c>
      <c r="L937" s="41"/>
      <c r="M937" s="41"/>
      <c r="N937" s="15">
        <f t="shared" si="14"/>
        <v>0</v>
      </c>
      <c r="O937" s="19"/>
      <c r="P937" s="42" t="str">
        <f>IFERROR(VLOOKUP($J937,'Project Reference'!$B$2:$C$41,2)," ")</f>
        <v xml:space="preserve"> </v>
      </c>
      <c r="Q937" s="42" t="str">
        <f>IFERROR(VLOOKUP($J937,'Project Reference'!$B$2:$D$41,3)," ")</f>
        <v xml:space="preserve"> </v>
      </c>
      <c r="R937" s="42" t="str">
        <f>IFERROR(VLOOKUP($J937,'Project Reference'!$B$2:$E$41,4)," ")</f>
        <v xml:space="preserve"> </v>
      </c>
      <c r="S937" s="42" t="str">
        <f>IFERROR(VLOOKUP($J937,'Project Reference'!$B$2:$F$41,5,FALSE)," ")</f>
        <v xml:space="preserve"> </v>
      </c>
      <c r="T937" s="42" t="str">
        <f>IFERROR(VLOOKUP($J937,'Project Reference'!$B$2:$G$41,6,FALSE)," ")</f>
        <v xml:space="preserve"> </v>
      </c>
      <c r="U937" s="42" t="str">
        <f>IFERROR(VLOOKUP($J937,'Project Reference'!$B$2:$H$41,7,FALSE)," ")</f>
        <v xml:space="preserve"> </v>
      </c>
      <c r="V937" s="42" t="str">
        <f>IFERROR(VLOOKUP($J937,'Project Reference'!$B$2:$I$41,8,FALSE)," ")</f>
        <v xml:space="preserve"> </v>
      </c>
      <c r="W937" s="42" t="str">
        <f>IFERROR(VLOOKUP($J937,'Project Reference'!$B$2:$J$41,9,FALSE)," ")</f>
        <v xml:space="preserve"> </v>
      </c>
      <c r="X937" s="42" t="str">
        <f>IFERROR(VLOOKUP($J937,'Project Reference'!$B$2:$K$41,10)," ")</f>
        <v xml:space="preserve"> </v>
      </c>
      <c r="Y937" s="42" t="str">
        <f>IFERROR(VLOOKUP($J937,'Project Reference'!$B$2:$L$41,11)," ")</f>
        <v xml:space="preserve"> </v>
      </c>
      <c r="Z937" s="42" t="str">
        <f>IFERROR(VLOOKUP($J937,'Project Reference'!$B$2:$M$41,12)," ")</f>
        <v xml:space="preserve"> </v>
      </c>
      <c r="AA937" s="42" t="str">
        <f>IFERROR(VLOOKUP($J937,'Project Reference'!$B$2:$N$41,13)," ")</f>
        <v xml:space="preserve"> </v>
      </c>
    </row>
    <row r="938" spans="1:27" x14ac:dyDescent="0.45">
      <c r="A938" s="43"/>
      <c r="B938" s="205"/>
      <c r="C938"/>
      <c r="D938" s="72"/>
      <c r="E938" s="72"/>
      <c r="F938" s="72"/>
      <c r="G938" s="72"/>
      <c r="H938" s="17"/>
      <c r="I938" s="41" t="str" cm="1">
        <f t="array" ref="I938">IFERROR(_xlfn.IFS(H938="Hard (Cash)","N/A",H938="Soft (In-Kind)", "Enter Source"),"Select Type")</f>
        <v>Select Type</v>
      </c>
      <c r="J938" s="124"/>
      <c r="K938" s="41" t="str">
        <f>IFERROR(VLOOKUP($J938,'Project Reference'!$S$2:$T$41,2),"Enter Project Number")</f>
        <v>Enter Project Number</v>
      </c>
      <c r="L938" s="41"/>
      <c r="M938" s="41"/>
      <c r="N938" s="15">
        <f t="shared" si="14"/>
        <v>0</v>
      </c>
      <c r="O938" s="19"/>
      <c r="P938" s="42" t="str">
        <f>IFERROR(VLOOKUP($J938,'Project Reference'!$B$2:$C$41,2)," ")</f>
        <v xml:space="preserve"> </v>
      </c>
      <c r="Q938" s="42" t="str">
        <f>IFERROR(VLOOKUP($J938,'Project Reference'!$B$2:$D$41,3)," ")</f>
        <v xml:space="preserve"> </v>
      </c>
      <c r="R938" s="42" t="str">
        <f>IFERROR(VLOOKUP($J938,'Project Reference'!$B$2:$E$41,4)," ")</f>
        <v xml:space="preserve"> </v>
      </c>
      <c r="S938" s="42" t="str">
        <f>IFERROR(VLOOKUP($J938,'Project Reference'!$B$2:$F$41,5,FALSE)," ")</f>
        <v xml:space="preserve"> </v>
      </c>
      <c r="T938" s="42" t="str">
        <f>IFERROR(VLOOKUP($J938,'Project Reference'!$B$2:$G$41,6,FALSE)," ")</f>
        <v xml:space="preserve"> </v>
      </c>
      <c r="U938" s="42" t="str">
        <f>IFERROR(VLOOKUP($J938,'Project Reference'!$B$2:$H$41,7,FALSE)," ")</f>
        <v xml:space="preserve"> </v>
      </c>
      <c r="V938" s="42" t="str">
        <f>IFERROR(VLOOKUP($J938,'Project Reference'!$B$2:$I$41,8,FALSE)," ")</f>
        <v xml:space="preserve"> </v>
      </c>
      <c r="W938" s="42" t="str">
        <f>IFERROR(VLOOKUP($J938,'Project Reference'!$B$2:$J$41,9,FALSE)," ")</f>
        <v xml:space="preserve"> </v>
      </c>
      <c r="X938" s="42" t="str">
        <f>IFERROR(VLOOKUP($J938,'Project Reference'!$B$2:$K$41,10)," ")</f>
        <v xml:space="preserve"> </v>
      </c>
      <c r="Y938" s="42" t="str">
        <f>IFERROR(VLOOKUP($J938,'Project Reference'!$B$2:$L$41,11)," ")</f>
        <v xml:space="preserve"> </v>
      </c>
      <c r="Z938" s="42" t="str">
        <f>IFERROR(VLOOKUP($J938,'Project Reference'!$B$2:$M$41,12)," ")</f>
        <v xml:space="preserve"> </v>
      </c>
      <c r="AA938" s="42" t="str">
        <f>IFERROR(VLOOKUP($J938,'Project Reference'!$B$2:$N$41,13)," ")</f>
        <v xml:space="preserve"> </v>
      </c>
    </row>
    <row r="939" spans="1:27" x14ac:dyDescent="0.45">
      <c r="A939" s="43"/>
      <c r="B939" s="205"/>
      <c r="C939"/>
      <c r="D939" s="72"/>
      <c r="E939" s="72"/>
      <c r="F939" s="72"/>
      <c r="G939" s="72"/>
      <c r="H939" s="17"/>
      <c r="I939" s="41" t="str" cm="1">
        <f t="array" ref="I939">IFERROR(_xlfn.IFS(H939="Hard (Cash)","N/A",H939="Soft (In-Kind)", "Enter Source"),"Select Type")</f>
        <v>Select Type</v>
      </c>
      <c r="J939" s="124"/>
      <c r="K939" s="41" t="str">
        <f>IFERROR(VLOOKUP($J939,'Project Reference'!$S$2:$T$41,2),"Enter Project Number")</f>
        <v>Enter Project Number</v>
      </c>
      <c r="L939" s="41"/>
      <c r="M939" s="41"/>
      <c r="N939" s="15">
        <f t="shared" si="14"/>
        <v>0</v>
      </c>
      <c r="O939" s="19"/>
      <c r="P939" s="42" t="str">
        <f>IFERROR(VLOOKUP($J939,'Project Reference'!$B$2:$C$41,2)," ")</f>
        <v xml:space="preserve"> </v>
      </c>
      <c r="Q939" s="42" t="str">
        <f>IFERROR(VLOOKUP($J939,'Project Reference'!$B$2:$D$41,3)," ")</f>
        <v xml:space="preserve"> </v>
      </c>
      <c r="R939" s="42" t="str">
        <f>IFERROR(VLOOKUP($J939,'Project Reference'!$B$2:$E$41,4)," ")</f>
        <v xml:space="preserve"> </v>
      </c>
      <c r="S939" s="42" t="str">
        <f>IFERROR(VLOOKUP($J939,'Project Reference'!$B$2:$F$41,5,FALSE)," ")</f>
        <v xml:space="preserve"> </v>
      </c>
      <c r="T939" s="42" t="str">
        <f>IFERROR(VLOOKUP($J939,'Project Reference'!$B$2:$G$41,6,FALSE)," ")</f>
        <v xml:space="preserve"> </v>
      </c>
      <c r="U939" s="42" t="str">
        <f>IFERROR(VLOOKUP($J939,'Project Reference'!$B$2:$H$41,7,FALSE)," ")</f>
        <v xml:space="preserve"> </v>
      </c>
      <c r="V939" s="42" t="str">
        <f>IFERROR(VLOOKUP($J939,'Project Reference'!$B$2:$I$41,8,FALSE)," ")</f>
        <v xml:space="preserve"> </v>
      </c>
      <c r="W939" s="42" t="str">
        <f>IFERROR(VLOOKUP($J939,'Project Reference'!$B$2:$J$41,9,FALSE)," ")</f>
        <v xml:space="preserve"> </v>
      </c>
      <c r="X939" s="42" t="str">
        <f>IFERROR(VLOOKUP($J939,'Project Reference'!$B$2:$K$41,10)," ")</f>
        <v xml:space="preserve"> </v>
      </c>
      <c r="Y939" s="42" t="str">
        <f>IFERROR(VLOOKUP($J939,'Project Reference'!$B$2:$L$41,11)," ")</f>
        <v xml:space="preserve"> </v>
      </c>
      <c r="Z939" s="42" t="str">
        <f>IFERROR(VLOOKUP($J939,'Project Reference'!$B$2:$M$41,12)," ")</f>
        <v xml:space="preserve"> </v>
      </c>
      <c r="AA939" s="42" t="str">
        <f>IFERROR(VLOOKUP($J939,'Project Reference'!$B$2:$N$41,13)," ")</f>
        <v xml:space="preserve"> </v>
      </c>
    </row>
    <row r="940" spans="1:27" x14ac:dyDescent="0.45">
      <c r="A940" s="43"/>
      <c r="B940" s="205"/>
      <c r="C940"/>
      <c r="D940" s="72"/>
      <c r="E940" s="72"/>
      <c r="F940" s="72"/>
      <c r="G940" s="72"/>
      <c r="H940" s="17"/>
      <c r="I940" s="41" t="str" cm="1">
        <f t="array" ref="I940">IFERROR(_xlfn.IFS(H940="Hard (Cash)","N/A",H940="Soft (In-Kind)", "Enter Source"),"Select Type")</f>
        <v>Select Type</v>
      </c>
      <c r="J940" s="124"/>
      <c r="K940" s="41" t="str">
        <f>IFERROR(VLOOKUP($J940,'Project Reference'!$S$2:$T$41,2),"Enter Project Number")</f>
        <v>Enter Project Number</v>
      </c>
      <c r="L940" s="41"/>
      <c r="M940" s="41"/>
      <c r="N940" s="15">
        <f t="shared" si="14"/>
        <v>0</v>
      </c>
      <c r="O940" s="19"/>
      <c r="P940" s="42" t="str">
        <f>IFERROR(VLOOKUP($J940,'Project Reference'!$B$2:$C$41,2)," ")</f>
        <v xml:space="preserve"> </v>
      </c>
      <c r="Q940" s="42" t="str">
        <f>IFERROR(VLOOKUP($J940,'Project Reference'!$B$2:$D$41,3)," ")</f>
        <v xml:space="preserve"> </v>
      </c>
      <c r="R940" s="42" t="str">
        <f>IFERROR(VLOOKUP($J940,'Project Reference'!$B$2:$E$41,4)," ")</f>
        <v xml:space="preserve"> </v>
      </c>
      <c r="S940" s="42" t="str">
        <f>IFERROR(VLOOKUP($J940,'Project Reference'!$B$2:$F$41,5,FALSE)," ")</f>
        <v xml:space="preserve"> </v>
      </c>
      <c r="T940" s="42" t="str">
        <f>IFERROR(VLOOKUP($J940,'Project Reference'!$B$2:$G$41,6,FALSE)," ")</f>
        <v xml:space="preserve"> </v>
      </c>
      <c r="U940" s="42" t="str">
        <f>IFERROR(VLOOKUP($J940,'Project Reference'!$B$2:$H$41,7,FALSE)," ")</f>
        <v xml:space="preserve"> </v>
      </c>
      <c r="V940" s="42" t="str">
        <f>IFERROR(VLOOKUP($J940,'Project Reference'!$B$2:$I$41,8,FALSE)," ")</f>
        <v xml:space="preserve"> </v>
      </c>
      <c r="W940" s="42" t="str">
        <f>IFERROR(VLOOKUP($J940,'Project Reference'!$B$2:$J$41,9,FALSE)," ")</f>
        <v xml:space="preserve"> </v>
      </c>
      <c r="X940" s="42" t="str">
        <f>IFERROR(VLOOKUP($J940,'Project Reference'!$B$2:$K$41,10)," ")</f>
        <v xml:space="preserve"> </v>
      </c>
      <c r="Y940" s="42" t="str">
        <f>IFERROR(VLOOKUP($J940,'Project Reference'!$B$2:$L$41,11)," ")</f>
        <v xml:space="preserve"> </v>
      </c>
      <c r="Z940" s="42" t="str">
        <f>IFERROR(VLOOKUP($J940,'Project Reference'!$B$2:$M$41,12)," ")</f>
        <v xml:space="preserve"> </v>
      </c>
      <c r="AA940" s="42" t="str">
        <f>IFERROR(VLOOKUP($J940,'Project Reference'!$B$2:$N$41,13)," ")</f>
        <v xml:space="preserve"> </v>
      </c>
    </row>
    <row r="941" spans="1:27" x14ac:dyDescent="0.45">
      <c r="A941" s="43"/>
      <c r="B941" s="205"/>
      <c r="C941"/>
      <c r="D941" s="72"/>
      <c r="E941" s="72"/>
      <c r="F941" s="72"/>
      <c r="G941" s="72"/>
      <c r="H941" s="17"/>
      <c r="I941" s="41" t="str" cm="1">
        <f t="array" ref="I941">IFERROR(_xlfn.IFS(H941="Hard (Cash)","N/A",H941="Soft (In-Kind)", "Enter Source"),"Select Type")</f>
        <v>Select Type</v>
      </c>
      <c r="J941" s="124"/>
      <c r="K941" s="41" t="str">
        <f>IFERROR(VLOOKUP($J941,'Project Reference'!$S$2:$T$41,2),"Enter Project Number")</f>
        <v>Enter Project Number</v>
      </c>
      <c r="L941" s="41"/>
      <c r="M941" s="41"/>
      <c r="N941" s="15">
        <f t="shared" si="14"/>
        <v>0</v>
      </c>
      <c r="O941" s="19"/>
      <c r="P941" s="42" t="str">
        <f>IFERROR(VLOOKUP($J941,'Project Reference'!$B$2:$C$41,2)," ")</f>
        <v xml:space="preserve"> </v>
      </c>
      <c r="Q941" s="42" t="str">
        <f>IFERROR(VLOOKUP($J941,'Project Reference'!$B$2:$D$41,3)," ")</f>
        <v xml:space="preserve"> </v>
      </c>
      <c r="R941" s="42" t="str">
        <f>IFERROR(VLOOKUP($J941,'Project Reference'!$B$2:$E$41,4)," ")</f>
        <v xml:space="preserve"> </v>
      </c>
      <c r="S941" s="42" t="str">
        <f>IFERROR(VLOOKUP($J941,'Project Reference'!$B$2:$F$41,5,FALSE)," ")</f>
        <v xml:space="preserve"> </v>
      </c>
      <c r="T941" s="42" t="str">
        <f>IFERROR(VLOOKUP($J941,'Project Reference'!$B$2:$G$41,6,FALSE)," ")</f>
        <v xml:space="preserve"> </v>
      </c>
      <c r="U941" s="42" t="str">
        <f>IFERROR(VLOOKUP($J941,'Project Reference'!$B$2:$H$41,7,FALSE)," ")</f>
        <v xml:space="preserve"> </v>
      </c>
      <c r="V941" s="42" t="str">
        <f>IFERROR(VLOOKUP($J941,'Project Reference'!$B$2:$I$41,8,FALSE)," ")</f>
        <v xml:space="preserve"> </v>
      </c>
      <c r="W941" s="42" t="str">
        <f>IFERROR(VLOOKUP($J941,'Project Reference'!$B$2:$J$41,9,FALSE)," ")</f>
        <v xml:space="preserve"> </v>
      </c>
      <c r="X941" s="42" t="str">
        <f>IFERROR(VLOOKUP($J941,'Project Reference'!$B$2:$K$41,10)," ")</f>
        <v xml:space="preserve"> </v>
      </c>
      <c r="Y941" s="42" t="str">
        <f>IFERROR(VLOOKUP($J941,'Project Reference'!$B$2:$L$41,11)," ")</f>
        <v xml:space="preserve"> </v>
      </c>
      <c r="Z941" s="42" t="str">
        <f>IFERROR(VLOOKUP($J941,'Project Reference'!$B$2:$M$41,12)," ")</f>
        <v xml:space="preserve"> </v>
      </c>
      <c r="AA941" s="42" t="str">
        <f>IFERROR(VLOOKUP($J941,'Project Reference'!$B$2:$N$41,13)," ")</f>
        <v xml:space="preserve"> </v>
      </c>
    </row>
    <row r="942" spans="1:27" x14ac:dyDescent="0.45">
      <c r="A942" s="43"/>
      <c r="B942" s="205"/>
      <c r="C942"/>
      <c r="D942" s="72"/>
      <c r="E942" s="72"/>
      <c r="F942" s="72"/>
      <c r="G942" s="72"/>
      <c r="H942" s="17"/>
      <c r="I942" s="41" t="str" cm="1">
        <f t="array" ref="I942">IFERROR(_xlfn.IFS(H942="Hard (Cash)","N/A",H942="Soft (In-Kind)", "Enter Source"),"Select Type")</f>
        <v>Select Type</v>
      </c>
      <c r="J942" s="124"/>
      <c r="K942" s="41" t="str">
        <f>IFERROR(VLOOKUP($J942,'Project Reference'!$S$2:$T$41,2),"Enter Project Number")</f>
        <v>Enter Project Number</v>
      </c>
      <c r="L942" s="41"/>
      <c r="M942" s="41"/>
      <c r="N942" s="15">
        <f t="shared" si="14"/>
        <v>0</v>
      </c>
      <c r="O942" s="19"/>
      <c r="P942" s="42" t="str">
        <f>IFERROR(VLOOKUP($J942,'Project Reference'!$B$2:$C$41,2)," ")</f>
        <v xml:space="preserve"> </v>
      </c>
      <c r="Q942" s="42" t="str">
        <f>IFERROR(VLOOKUP($J942,'Project Reference'!$B$2:$D$41,3)," ")</f>
        <v xml:space="preserve"> </v>
      </c>
      <c r="R942" s="42" t="str">
        <f>IFERROR(VLOOKUP($J942,'Project Reference'!$B$2:$E$41,4)," ")</f>
        <v xml:space="preserve"> </v>
      </c>
      <c r="S942" s="42" t="str">
        <f>IFERROR(VLOOKUP($J942,'Project Reference'!$B$2:$F$41,5,FALSE)," ")</f>
        <v xml:space="preserve"> </v>
      </c>
      <c r="T942" s="42" t="str">
        <f>IFERROR(VLOOKUP($J942,'Project Reference'!$B$2:$G$41,6,FALSE)," ")</f>
        <v xml:space="preserve"> </v>
      </c>
      <c r="U942" s="42" t="str">
        <f>IFERROR(VLOOKUP($J942,'Project Reference'!$B$2:$H$41,7,FALSE)," ")</f>
        <v xml:space="preserve"> </v>
      </c>
      <c r="V942" s="42" t="str">
        <f>IFERROR(VLOOKUP($J942,'Project Reference'!$B$2:$I$41,8,FALSE)," ")</f>
        <v xml:space="preserve"> </v>
      </c>
      <c r="W942" s="42" t="str">
        <f>IFERROR(VLOOKUP($J942,'Project Reference'!$B$2:$J$41,9,FALSE)," ")</f>
        <v xml:space="preserve"> </v>
      </c>
      <c r="X942" s="42" t="str">
        <f>IFERROR(VLOOKUP($J942,'Project Reference'!$B$2:$K$41,10)," ")</f>
        <v xml:space="preserve"> </v>
      </c>
      <c r="Y942" s="42" t="str">
        <f>IFERROR(VLOOKUP($J942,'Project Reference'!$B$2:$L$41,11)," ")</f>
        <v xml:space="preserve"> </v>
      </c>
      <c r="Z942" s="42" t="str">
        <f>IFERROR(VLOOKUP($J942,'Project Reference'!$B$2:$M$41,12)," ")</f>
        <v xml:space="preserve"> </v>
      </c>
      <c r="AA942" s="42" t="str">
        <f>IFERROR(VLOOKUP($J942,'Project Reference'!$B$2:$N$41,13)," ")</f>
        <v xml:space="preserve"> </v>
      </c>
    </row>
    <row r="943" spans="1:27" x14ac:dyDescent="0.45">
      <c r="A943" s="43"/>
      <c r="B943" s="205"/>
      <c r="C943"/>
      <c r="D943" s="72"/>
      <c r="E943" s="72"/>
      <c r="F943" s="72"/>
      <c r="G943" s="72"/>
      <c r="H943" s="17"/>
      <c r="I943" s="41" t="str" cm="1">
        <f t="array" ref="I943">IFERROR(_xlfn.IFS(H943="Hard (Cash)","N/A",H943="Soft (In-Kind)", "Enter Source"),"Select Type")</f>
        <v>Select Type</v>
      </c>
      <c r="J943" s="124"/>
      <c r="K943" s="41" t="str">
        <f>IFERROR(VLOOKUP($J943,'Project Reference'!$S$2:$T$41,2),"Enter Project Number")</f>
        <v>Enter Project Number</v>
      </c>
      <c r="L943" s="41"/>
      <c r="M943" s="41"/>
      <c r="N943" s="15">
        <f t="shared" si="14"/>
        <v>0</v>
      </c>
      <c r="O943" s="19"/>
      <c r="P943" s="42" t="str">
        <f>IFERROR(VLOOKUP($J943,'Project Reference'!$B$2:$C$41,2)," ")</f>
        <v xml:space="preserve"> </v>
      </c>
      <c r="Q943" s="42" t="str">
        <f>IFERROR(VLOOKUP($J943,'Project Reference'!$B$2:$D$41,3)," ")</f>
        <v xml:space="preserve"> </v>
      </c>
      <c r="R943" s="42" t="str">
        <f>IFERROR(VLOOKUP($J943,'Project Reference'!$B$2:$E$41,4)," ")</f>
        <v xml:space="preserve"> </v>
      </c>
      <c r="S943" s="42" t="str">
        <f>IFERROR(VLOOKUP($J943,'Project Reference'!$B$2:$F$41,5,FALSE)," ")</f>
        <v xml:space="preserve"> </v>
      </c>
      <c r="T943" s="42" t="str">
        <f>IFERROR(VLOOKUP($J943,'Project Reference'!$B$2:$G$41,6,FALSE)," ")</f>
        <v xml:space="preserve"> </v>
      </c>
      <c r="U943" s="42" t="str">
        <f>IFERROR(VLOOKUP($J943,'Project Reference'!$B$2:$H$41,7,FALSE)," ")</f>
        <v xml:space="preserve"> </v>
      </c>
      <c r="V943" s="42" t="str">
        <f>IFERROR(VLOOKUP($J943,'Project Reference'!$B$2:$I$41,8,FALSE)," ")</f>
        <v xml:space="preserve"> </v>
      </c>
      <c r="W943" s="42" t="str">
        <f>IFERROR(VLOOKUP($J943,'Project Reference'!$B$2:$J$41,9,FALSE)," ")</f>
        <v xml:space="preserve"> </v>
      </c>
      <c r="X943" s="42" t="str">
        <f>IFERROR(VLOOKUP($J943,'Project Reference'!$B$2:$K$41,10)," ")</f>
        <v xml:space="preserve"> </v>
      </c>
      <c r="Y943" s="42" t="str">
        <f>IFERROR(VLOOKUP($J943,'Project Reference'!$B$2:$L$41,11)," ")</f>
        <v xml:space="preserve"> </v>
      </c>
      <c r="Z943" s="42" t="str">
        <f>IFERROR(VLOOKUP($J943,'Project Reference'!$B$2:$M$41,12)," ")</f>
        <v xml:space="preserve"> </v>
      </c>
      <c r="AA943" s="42" t="str">
        <f>IFERROR(VLOOKUP($J943,'Project Reference'!$B$2:$N$41,13)," ")</f>
        <v xml:space="preserve"> </v>
      </c>
    </row>
    <row r="944" spans="1:27" x14ac:dyDescent="0.45">
      <c r="A944" s="43"/>
      <c r="B944" s="205"/>
      <c r="C944"/>
      <c r="D944" s="72"/>
      <c r="E944" s="72"/>
      <c r="F944" s="72"/>
      <c r="G944" s="72"/>
      <c r="H944" s="17"/>
      <c r="I944" s="41" t="str" cm="1">
        <f t="array" ref="I944">IFERROR(_xlfn.IFS(H944="Hard (Cash)","N/A",H944="Soft (In-Kind)", "Enter Source"),"Select Type")</f>
        <v>Select Type</v>
      </c>
      <c r="J944" s="124"/>
      <c r="K944" s="41" t="str">
        <f>IFERROR(VLOOKUP($J944,'Project Reference'!$S$2:$T$41,2),"Enter Project Number")</f>
        <v>Enter Project Number</v>
      </c>
      <c r="L944" s="41"/>
      <c r="M944" s="41"/>
      <c r="N944" s="15">
        <f t="shared" si="14"/>
        <v>0</v>
      </c>
      <c r="O944" s="19"/>
      <c r="P944" s="42" t="str">
        <f>IFERROR(VLOOKUP($J944,'Project Reference'!$B$2:$C$41,2)," ")</f>
        <v xml:space="preserve"> </v>
      </c>
      <c r="Q944" s="42" t="str">
        <f>IFERROR(VLOOKUP($J944,'Project Reference'!$B$2:$D$41,3)," ")</f>
        <v xml:space="preserve"> </v>
      </c>
      <c r="R944" s="42" t="str">
        <f>IFERROR(VLOOKUP($J944,'Project Reference'!$B$2:$E$41,4)," ")</f>
        <v xml:space="preserve"> </v>
      </c>
      <c r="S944" s="42" t="str">
        <f>IFERROR(VLOOKUP($J944,'Project Reference'!$B$2:$F$41,5,FALSE)," ")</f>
        <v xml:space="preserve"> </v>
      </c>
      <c r="T944" s="42" t="str">
        <f>IFERROR(VLOOKUP($J944,'Project Reference'!$B$2:$G$41,6,FALSE)," ")</f>
        <v xml:space="preserve"> </v>
      </c>
      <c r="U944" s="42" t="str">
        <f>IFERROR(VLOOKUP($J944,'Project Reference'!$B$2:$H$41,7,FALSE)," ")</f>
        <v xml:space="preserve"> </v>
      </c>
      <c r="V944" s="42" t="str">
        <f>IFERROR(VLOOKUP($J944,'Project Reference'!$B$2:$I$41,8,FALSE)," ")</f>
        <v xml:space="preserve"> </v>
      </c>
      <c r="W944" s="42" t="str">
        <f>IFERROR(VLOOKUP($J944,'Project Reference'!$B$2:$J$41,9,FALSE)," ")</f>
        <v xml:space="preserve"> </v>
      </c>
      <c r="X944" s="42" t="str">
        <f>IFERROR(VLOOKUP($J944,'Project Reference'!$B$2:$K$41,10)," ")</f>
        <v xml:space="preserve"> </v>
      </c>
      <c r="Y944" s="42" t="str">
        <f>IFERROR(VLOOKUP($J944,'Project Reference'!$B$2:$L$41,11)," ")</f>
        <v xml:space="preserve"> </v>
      </c>
      <c r="Z944" s="42" t="str">
        <f>IFERROR(VLOOKUP($J944,'Project Reference'!$B$2:$M$41,12)," ")</f>
        <v xml:space="preserve"> </v>
      </c>
      <c r="AA944" s="42" t="str">
        <f>IFERROR(VLOOKUP($J944,'Project Reference'!$B$2:$N$41,13)," ")</f>
        <v xml:space="preserve"> </v>
      </c>
    </row>
    <row r="945" spans="1:27" x14ac:dyDescent="0.45">
      <c r="A945" s="43"/>
      <c r="B945" s="205"/>
      <c r="C945"/>
      <c r="D945" s="72"/>
      <c r="E945" s="72"/>
      <c r="F945" s="72"/>
      <c r="G945" s="72"/>
      <c r="H945" s="17"/>
      <c r="I945" s="41" t="str" cm="1">
        <f t="array" ref="I945">IFERROR(_xlfn.IFS(H945="Hard (Cash)","N/A",H945="Soft (In-Kind)", "Enter Source"),"Select Type")</f>
        <v>Select Type</v>
      </c>
      <c r="J945" s="124"/>
      <c r="K945" s="41" t="str">
        <f>IFERROR(VLOOKUP($J945,'Project Reference'!$S$2:$T$41,2),"Enter Project Number")</f>
        <v>Enter Project Number</v>
      </c>
      <c r="L945" s="41"/>
      <c r="M945" s="41"/>
      <c r="N945" s="15">
        <f t="shared" ref="N945:N1008" si="15">SUM(D945:G945)</f>
        <v>0</v>
      </c>
      <c r="O945" s="19"/>
      <c r="P945" s="42" t="str">
        <f>IFERROR(VLOOKUP($J945,'Project Reference'!$B$2:$C$41,2)," ")</f>
        <v xml:space="preserve"> </v>
      </c>
      <c r="Q945" s="42" t="str">
        <f>IFERROR(VLOOKUP($J945,'Project Reference'!$B$2:$D$41,3)," ")</f>
        <v xml:space="preserve"> </v>
      </c>
      <c r="R945" s="42" t="str">
        <f>IFERROR(VLOOKUP($J945,'Project Reference'!$B$2:$E$41,4)," ")</f>
        <v xml:space="preserve"> </v>
      </c>
      <c r="S945" s="42" t="str">
        <f>IFERROR(VLOOKUP($J945,'Project Reference'!$B$2:$F$41,5,FALSE)," ")</f>
        <v xml:space="preserve"> </v>
      </c>
      <c r="T945" s="42" t="str">
        <f>IFERROR(VLOOKUP($J945,'Project Reference'!$B$2:$G$41,6,FALSE)," ")</f>
        <v xml:space="preserve"> </v>
      </c>
      <c r="U945" s="42" t="str">
        <f>IFERROR(VLOOKUP($J945,'Project Reference'!$B$2:$H$41,7,FALSE)," ")</f>
        <v xml:space="preserve"> </v>
      </c>
      <c r="V945" s="42" t="str">
        <f>IFERROR(VLOOKUP($J945,'Project Reference'!$B$2:$I$41,8,FALSE)," ")</f>
        <v xml:space="preserve"> </v>
      </c>
      <c r="W945" s="42" t="str">
        <f>IFERROR(VLOOKUP($J945,'Project Reference'!$B$2:$J$41,9,FALSE)," ")</f>
        <v xml:space="preserve"> </v>
      </c>
      <c r="X945" s="42" t="str">
        <f>IFERROR(VLOOKUP($J945,'Project Reference'!$B$2:$K$41,10)," ")</f>
        <v xml:space="preserve"> </v>
      </c>
      <c r="Y945" s="42" t="str">
        <f>IFERROR(VLOOKUP($J945,'Project Reference'!$B$2:$L$41,11)," ")</f>
        <v xml:space="preserve"> </v>
      </c>
      <c r="Z945" s="42" t="str">
        <f>IFERROR(VLOOKUP($J945,'Project Reference'!$B$2:$M$41,12)," ")</f>
        <v xml:space="preserve"> </v>
      </c>
      <c r="AA945" s="42" t="str">
        <f>IFERROR(VLOOKUP($J945,'Project Reference'!$B$2:$N$41,13)," ")</f>
        <v xml:space="preserve"> </v>
      </c>
    </row>
    <row r="946" spans="1:27" x14ac:dyDescent="0.45">
      <c r="A946" s="43"/>
      <c r="B946" s="205"/>
      <c r="C946"/>
      <c r="D946" s="72"/>
      <c r="E946" s="72"/>
      <c r="F946" s="72"/>
      <c r="G946" s="72"/>
      <c r="H946" s="17"/>
      <c r="I946" s="41" t="str" cm="1">
        <f t="array" ref="I946">IFERROR(_xlfn.IFS(H946="Hard (Cash)","N/A",H946="Soft (In-Kind)", "Enter Source"),"Select Type")</f>
        <v>Select Type</v>
      </c>
      <c r="J946" s="124"/>
      <c r="K946" s="41" t="str">
        <f>IFERROR(VLOOKUP($J946,'Project Reference'!$S$2:$T$41,2),"Enter Project Number")</f>
        <v>Enter Project Number</v>
      </c>
      <c r="L946" s="41"/>
      <c r="M946" s="41"/>
      <c r="N946" s="15">
        <f t="shared" si="15"/>
        <v>0</v>
      </c>
      <c r="O946" s="19"/>
      <c r="P946" s="42" t="str">
        <f>IFERROR(VLOOKUP($J946,'Project Reference'!$B$2:$C$41,2)," ")</f>
        <v xml:space="preserve"> </v>
      </c>
      <c r="Q946" s="42" t="str">
        <f>IFERROR(VLOOKUP($J946,'Project Reference'!$B$2:$D$41,3)," ")</f>
        <v xml:space="preserve"> </v>
      </c>
      <c r="R946" s="42" t="str">
        <f>IFERROR(VLOOKUP($J946,'Project Reference'!$B$2:$E$41,4)," ")</f>
        <v xml:space="preserve"> </v>
      </c>
      <c r="S946" s="42" t="str">
        <f>IFERROR(VLOOKUP($J946,'Project Reference'!$B$2:$F$41,5,FALSE)," ")</f>
        <v xml:space="preserve"> </v>
      </c>
      <c r="T946" s="42" t="str">
        <f>IFERROR(VLOOKUP($J946,'Project Reference'!$B$2:$G$41,6,FALSE)," ")</f>
        <v xml:space="preserve"> </v>
      </c>
      <c r="U946" s="42" t="str">
        <f>IFERROR(VLOOKUP($J946,'Project Reference'!$B$2:$H$41,7,FALSE)," ")</f>
        <v xml:space="preserve"> </v>
      </c>
      <c r="V946" s="42" t="str">
        <f>IFERROR(VLOOKUP($J946,'Project Reference'!$B$2:$I$41,8,FALSE)," ")</f>
        <v xml:space="preserve"> </v>
      </c>
      <c r="W946" s="42" t="str">
        <f>IFERROR(VLOOKUP($J946,'Project Reference'!$B$2:$J$41,9,FALSE)," ")</f>
        <v xml:space="preserve"> </v>
      </c>
      <c r="X946" s="42" t="str">
        <f>IFERROR(VLOOKUP($J946,'Project Reference'!$B$2:$K$41,10)," ")</f>
        <v xml:space="preserve"> </v>
      </c>
      <c r="Y946" s="42" t="str">
        <f>IFERROR(VLOOKUP($J946,'Project Reference'!$B$2:$L$41,11)," ")</f>
        <v xml:space="preserve"> </v>
      </c>
      <c r="Z946" s="42" t="str">
        <f>IFERROR(VLOOKUP($J946,'Project Reference'!$B$2:$M$41,12)," ")</f>
        <v xml:space="preserve"> </v>
      </c>
      <c r="AA946" s="42" t="str">
        <f>IFERROR(VLOOKUP($J946,'Project Reference'!$B$2:$N$41,13)," ")</f>
        <v xml:space="preserve"> </v>
      </c>
    </row>
    <row r="947" spans="1:27" x14ac:dyDescent="0.45">
      <c r="A947" s="43"/>
      <c r="B947" s="205"/>
      <c r="C947"/>
      <c r="D947" s="72"/>
      <c r="E947" s="72"/>
      <c r="F947" s="72"/>
      <c r="G947" s="72"/>
      <c r="H947" s="17"/>
      <c r="I947" s="41" t="str" cm="1">
        <f t="array" ref="I947">IFERROR(_xlfn.IFS(H947="Hard (Cash)","N/A",H947="Soft (In-Kind)", "Enter Source"),"Select Type")</f>
        <v>Select Type</v>
      </c>
      <c r="J947" s="124"/>
      <c r="K947" s="41" t="str">
        <f>IFERROR(VLOOKUP($J947,'Project Reference'!$S$2:$T$41,2),"Enter Project Number")</f>
        <v>Enter Project Number</v>
      </c>
      <c r="L947" s="41"/>
      <c r="M947" s="41"/>
      <c r="N947" s="15">
        <f t="shared" si="15"/>
        <v>0</v>
      </c>
      <c r="O947" s="19"/>
      <c r="P947" s="42" t="str">
        <f>IFERROR(VLOOKUP($J947,'Project Reference'!$B$2:$C$41,2)," ")</f>
        <v xml:space="preserve"> </v>
      </c>
      <c r="Q947" s="42" t="str">
        <f>IFERROR(VLOOKUP($J947,'Project Reference'!$B$2:$D$41,3)," ")</f>
        <v xml:space="preserve"> </v>
      </c>
      <c r="R947" s="42" t="str">
        <f>IFERROR(VLOOKUP($J947,'Project Reference'!$B$2:$E$41,4)," ")</f>
        <v xml:space="preserve"> </v>
      </c>
      <c r="S947" s="42" t="str">
        <f>IFERROR(VLOOKUP($J947,'Project Reference'!$B$2:$F$41,5,FALSE)," ")</f>
        <v xml:space="preserve"> </v>
      </c>
      <c r="T947" s="42" t="str">
        <f>IFERROR(VLOOKUP($J947,'Project Reference'!$B$2:$G$41,6,FALSE)," ")</f>
        <v xml:space="preserve"> </v>
      </c>
      <c r="U947" s="42" t="str">
        <f>IFERROR(VLOOKUP($J947,'Project Reference'!$B$2:$H$41,7,FALSE)," ")</f>
        <v xml:space="preserve"> </v>
      </c>
      <c r="V947" s="42" t="str">
        <f>IFERROR(VLOOKUP($J947,'Project Reference'!$B$2:$I$41,8,FALSE)," ")</f>
        <v xml:space="preserve"> </v>
      </c>
      <c r="W947" s="42" t="str">
        <f>IFERROR(VLOOKUP($J947,'Project Reference'!$B$2:$J$41,9,FALSE)," ")</f>
        <v xml:space="preserve"> </v>
      </c>
      <c r="X947" s="42" t="str">
        <f>IFERROR(VLOOKUP($J947,'Project Reference'!$B$2:$K$41,10)," ")</f>
        <v xml:space="preserve"> </v>
      </c>
      <c r="Y947" s="42" t="str">
        <f>IFERROR(VLOOKUP($J947,'Project Reference'!$B$2:$L$41,11)," ")</f>
        <v xml:space="preserve"> </v>
      </c>
      <c r="Z947" s="42" t="str">
        <f>IFERROR(VLOOKUP($J947,'Project Reference'!$B$2:$M$41,12)," ")</f>
        <v xml:space="preserve"> </v>
      </c>
      <c r="AA947" s="42" t="str">
        <f>IFERROR(VLOOKUP($J947,'Project Reference'!$B$2:$N$41,13)," ")</f>
        <v xml:space="preserve"> </v>
      </c>
    </row>
    <row r="948" spans="1:27" x14ac:dyDescent="0.45">
      <c r="A948" s="43"/>
      <c r="B948" s="205"/>
      <c r="C948"/>
      <c r="D948" s="72"/>
      <c r="E948" s="72"/>
      <c r="F948" s="72"/>
      <c r="G948" s="72"/>
      <c r="H948" s="17"/>
      <c r="I948" s="41" t="str" cm="1">
        <f t="array" ref="I948">IFERROR(_xlfn.IFS(H948="Hard (Cash)","N/A",H948="Soft (In-Kind)", "Enter Source"),"Select Type")</f>
        <v>Select Type</v>
      </c>
      <c r="J948" s="124"/>
      <c r="K948" s="41" t="str">
        <f>IFERROR(VLOOKUP($J948,'Project Reference'!$S$2:$T$41,2),"Enter Project Number")</f>
        <v>Enter Project Number</v>
      </c>
      <c r="L948" s="41"/>
      <c r="M948" s="41"/>
      <c r="N948" s="15">
        <f t="shared" si="15"/>
        <v>0</v>
      </c>
      <c r="O948" s="19"/>
      <c r="P948" s="42" t="str">
        <f>IFERROR(VLOOKUP($J948,'Project Reference'!$B$2:$C$41,2)," ")</f>
        <v xml:space="preserve"> </v>
      </c>
      <c r="Q948" s="42" t="str">
        <f>IFERROR(VLOOKUP($J948,'Project Reference'!$B$2:$D$41,3)," ")</f>
        <v xml:space="preserve"> </v>
      </c>
      <c r="R948" s="42" t="str">
        <f>IFERROR(VLOOKUP($J948,'Project Reference'!$B$2:$E$41,4)," ")</f>
        <v xml:space="preserve"> </v>
      </c>
      <c r="S948" s="42" t="str">
        <f>IFERROR(VLOOKUP($J948,'Project Reference'!$B$2:$F$41,5,FALSE)," ")</f>
        <v xml:space="preserve"> </v>
      </c>
      <c r="T948" s="42" t="str">
        <f>IFERROR(VLOOKUP($J948,'Project Reference'!$B$2:$G$41,6,FALSE)," ")</f>
        <v xml:space="preserve"> </v>
      </c>
      <c r="U948" s="42" t="str">
        <f>IFERROR(VLOOKUP($J948,'Project Reference'!$B$2:$H$41,7,FALSE)," ")</f>
        <v xml:space="preserve"> </v>
      </c>
      <c r="V948" s="42" t="str">
        <f>IFERROR(VLOOKUP($J948,'Project Reference'!$B$2:$I$41,8,FALSE)," ")</f>
        <v xml:space="preserve"> </v>
      </c>
      <c r="W948" s="42" t="str">
        <f>IFERROR(VLOOKUP($J948,'Project Reference'!$B$2:$J$41,9,FALSE)," ")</f>
        <v xml:space="preserve"> </v>
      </c>
      <c r="X948" s="42" t="str">
        <f>IFERROR(VLOOKUP($J948,'Project Reference'!$B$2:$K$41,10)," ")</f>
        <v xml:space="preserve"> </v>
      </c>
      <c r="Y948" s="42" t="str">
        <f>IFERROR(VLOOKUP($J948,'Project Reference'!$B$2:$L$41,11)," ")</f>
        <v xml:space="preserve"> </v>
      </c>
      <c r="Z948" s="42" t="str">
        <f>IFERROR(VLOOKUP($J948,'Project Reference'!$B$2:$M$41,12)," ")</f>
        <v xml:space="preserve"> </v>
      </c>
      <c r="AA948" s="42" t="str">
        <f>IFERROR(VLOOKUP($J948,'Project Reference'!$B$2:$N$41,13)," ")</f>
        <v xml:space="preserve"> </v>
      </c>
    </row>
    <row r="949" spans="1:27" x14ac:dyDescent="0.45">
      <c r="A949" s="43"/>
      <c r="B949" s="205"/>
      <c r="C949"/>
      <c r="D949" s="72"/>
      <c r="E949" s="72"/>
      <c r="F949" s="72"/>
      <c r="G949" s="72"/>
      <c r="H949" s="17"/>
      <c r="I949" s="41" t="str" cm="1">
        <f t="array" ref="I949">IFERROR(_xlfn.IFS(H949="Hard (Cash)","N/A",H949="Soft (In-Kind)", "Enter Source"),"Select Type")</f>
        <v>Select Type</v>
      </c>
      <c r="J949" s="124"/>
      <c r="K949" s="41" t="str">
        <f>IFERROR(VLOOKUP($J949,'Project Reference'!$S$2:$T$41,2),"Enter Project Number")</f>
        <v>Enter Project Number</v>
      </c>
      <c r="L949" s="41"/>
      <c r="M949" s="41"/>
      <c r="N949" s="15">
        <f t="shared" si="15"/>
        <v>0</v>
      </c>
      <c r="O949" s="19"/>
      <c r="P949" s="42" t="str">
        <f>IFERROR(VLOOKUP($J949,'Project Reference'!$B$2:$C$41,2)," ")</f>
        <v xml:space="preserve"> </v>
      </c>
      <c r="Q949" s="42" t="str">
        <f>IFERROR(VLOOKUP($J949,'Project Reference'!$B$2:$D$41,3)," ")</f>
        <v xml:space="preserve"> </v>
      </c>
      <c r="R949" s="42" t="str">
        <f>IFERROR(VLOOKUP($J949,'Project Reference'!$B$2:$E$41,4)," ")</f>
        <v xml:space="preserve"> </v>
      </c>
      <c r="S949" s="42" t="str">
        <f>IFERROR(VLOOKUP($J949,'Project Reference'!$B$2:$F$41,5,FALSE)," ")</f>
        <v xml:space="preserve"> </v>
      </c>
      <c r="T949" s="42" t="str">
        <f>IFERROR(VLOOKUP($J949,'Project Reference'!$B$2:$G$41,6,FALSE)," ")</f>
        <v xml:space="preserve"> </v>
      </c>
      <c r="U949" s="42" t="str">
        <f>IFERROR(VLOOKUP($J949,'Project Reference'!$B$2:$H$41,7,FALSE)," ")</f>
        <v xml:space="preserve"> </v>
      </c>
      <c r="V949" s="42" t="str">
        <f>IFERROR(VLOOKUP($J949,'Project Reference'!$B$2:$I$41,8,FALSE)," ")</f>
        <v xml:space="preserve"> </v>
      </c>
      <c r="W949" s="42" t="str">
        <f>IFERROR(VLOOKUP($J949,'Project Reference'!$B$2:$J$41,9,FALSE)," ")</f>
        <v xml:space="preserve"> </v>
      </c>
      <c r="X949" s="42" t="str">
        <f>IFERROR(VLOOKUP($J949,'Project Reference'!$B$2:$K$41,10)," ")</f>
        <v xml:space="preserve"> </v>
      </c>
      <c r="Y949" s="42" t="str">
        <f>IFERROR(VLOOKUP($J949,'Project Reference'!$B$2:$L$41,11)," ")</f>
        <v xml:space="preserve"> </v>
      </c>
      <c r="Z949" s="42" t="str">
        <f>IFERROR(VLOOKUP($J949,'Project Reference'!$B$2:$M$41,12)," ")</f>
        <v xml:space="preserve"> </v>
      </c>
      <c r="AA949" s="42" t="str">
        <f>IFERROR(VLOOKUP($J949,'Project Reference'!$B$2:$N$41,13)," ")</f>
        <v xml:space="preserve"> </v>
      </c>
    </row>
    <row r="950" spans="1:27" x14ac:dyDescent="0.45">
      <c r="A950" s="43"/>
      <c r="B950" s="205"/>
      <c r="C950"/>
      <c r="D950" s="72"/>
      <c r="E950" s="72"/>
      <c r="F950" s="72"/>
      <c r="G950" s="72"/>
      <c r="H950" s="17"/>
      <c r="I950" s="41" t="str" cm="1">
        <f t="array" ref="I950">IFERROR(_xlfn.IFS(H950="Hard (Cash)","N/A",H950="Soft (In-Kind)", "Enter Source"),"Select Type")</f>
        <v>Select Type</v>
      </c>
      <c r="J950" s="124"/>
      <c r="K950" s="41" t="str">
        <f>IFERROR(VLOOKUP($J950,'Project Reference'!$S$2:$T$41,2),"Enter Project Number")</f>
        <v>Enter Project Number</v>
      </c>
      <c r="L950" s="41"/>
      <c r="M950" s="41"/>
      <c r="N950" s="15">
        <f t="shared" si="15"/>
        <v>0</v>
      </c>
      <c r="O950" s="19"/>
      <c r="P950" s="42" t="str">
        <f>IFERROR(VLOOKUP($J950,'Project Reference'!$B$2:$C$41,2)," ")</f>
        <v xml:space="preserve"> </v>
      </c>
      <c r="Q950" s="42" t="str">
        <f>IFERROR(VLOOKUP($J950,'Project Reference'!$B$2:$D$41,3)," ")</f>
        <v xml:space="preserve"> </v>
      </c>
      <c r="R950" s="42" t="str">
        <f>IFERROR(VLOOKUP($J950,'Project Reference'!$B$2:$E$41,4)," ")</f>
        <v xml:space="preserve"> </v>
      </c>
      <c r="S950" s="42" t="str">
        <f>IFERROR(VLOOKUP($J950,'Project Reference'!$B$2:$F$41,5,FALSE)," ")</f>
        <v xml:space="preserve"> </v>
      </c>
      <c r="T950" s="42" t="str">
        <f>IFERROR(VLOOKUP($J950,'Project Reference'!$B$2:$G$41,6,FALSE)," ")</f>
        <v xml:space="preserve"> </v>
      </c>
      <c r="U950" s="42" t="str">
        <f>IFERROR(VLOOKUP($J950,'Project Reference'!$B$2:$H$41,7,FALSE)," ")</f>
        <v xml:space="preserve"> </v>
      </c>
      <c r="V950" s="42" t="str">
        <f>IFERROR(VLOOKUP($J950,'Project Reference'!$B$2:$I$41,8,FALSE)," ")</f>
        <v xml:space="preserve"> </v>
      </c>
      <c r="W950" s="42" t="str">
        <f>IFERROR(VLOOKUP($J950,'Project Reference'!$B$2:$J$41,9,FALSE)," ")</f>
        <v xml:space="preserve"> </v>
      </c>
      <c r="X950" s="42" t="str">
        <f>IFERROR(VLOOKUP($J950,'Project Reference'!$B$2:$K$41,10)," ")</f>
        <v xml:space="preserve"> </v>
      </c>
      <c r="Y950" s="42" t="str">
        <f>IFERROR(VLOOKUP($J950,'Project Reference'!$B$2:$L$41,11)," ")</f>
        <v xml:space="preserve"> </v>
      </c>
      <c r="Z950" s="42" t="str">
        <f>IFERROR(VLOOKUP($J950,'Project Reference'!$B$2:$M$41,12)," ")</f>
        <v xml:space="preserve"> </v>
      </c>
      <c r="AA950" s="42" t="str">
        <f>IFERROR(VLOOKUP($J950,'Project Reference'!$B$2:$N$41,13)," ")</f>
        <v xml:space="preserve"> </v>
      </c>
    </row>
    <row r="951" spans="1:27" x14ac:dyDescent="0.45">
      <c r="A951" s="43"/>
      <c r="B951" s="205"/>
      <c r="C951"/>
      <c r="D951" s="72"/>
      <c r="E951" s="72"/>
      <c r="F951" s="72"/>
      <c r="G951" s="72"/>
      <c r="H951" s="17"/>
      <c r="I951" s="41" t="str" cm="1">
        <f t="array" ref="I951">IFERROR(_xlfn.IFS(H951="Hard (Cash)","N/A",H951="Soft (In-Kind)", "Enter Source"),"Select Type")</f>
        <v>Select Type</v>
      </c>
      <c r="J951" s="124"/>
      <c r="K951" s="41" t="str">
        <f>IFERROR(VLOOKUP($J951,'Project Reference'!$S$2:$T$41,2),"Enter Project Number")</f>
        <v>Enter Project Number</v>
      </c>
      <c r="L951" s="41"/>
      <c r="M951" s="41"/>
      <c r="N951" s="15">
        <f t="shared" si="15"/>
        <v>0</v>
      </c>
      <c r="O951" s="19"/>
      <c r="P951" s="42" t="str">
        <f>IFERROR(VLOOKUP($J951,'Project Reference'!$B$2:$C$41,2)," ")</f>
        <v xml:space="preserve"> </v>
      </c>
      <c r="Q951" s="42" t="str">
        <f>IFERROR(VLOOKUP($J951,'Project Reference'!$B$2:$D$41,3)," ")</f>
        <v xml:space="preserve"> </v>
      </c>
      <c r="R951" s="42" t="str">
        <f>IFERROR(VLOOKUP($J951,'Project Reference'!$B$2:$E$41,4)," ")</f>
        <v xml:space="preserve"> </v>
      </c>
      <c r="S951" s="42" t="str">
        <f>IFERROR(VLOOKUP($J951,'Project Reference'!$B$2:$F$41,5,FALSE)," ")</f>
        <v xml:space="preserve"> </v>
      </c>
      <c r="T951" s="42" t="str">
        <f>IFERROR(VLOOKUP($J951,'Project Reference'!$B$2:$G$41,6,FALSE)," ")</f>
        <v xml:space="preserve"> </v>
      </c>
      <c r="U951" s="42" t="str">
        <f>IFERROR(VLOOKUP($J951,'Project Reference'!$B$2:$H$41,7,FALSE)," ")</f>
        <v xml:space="preserve"> </v>
      </c>
      <c r="V951" s="42" t="str">
        <f>IFERROR(VLOOKUP($J951,'Project Reference'!$B$2:$I$41,8,FALSE)," ")</f>
        <v xml:space="preserve"> </v>
      </c>
      <c r="W951" s="42" t="str">
        <f>IFERROR(VLOOKUP($J951,'Project Reference'!$B$2:$J$41,9,FALSE)," ")</f>
        <v xml:space="preserve"> </v>
      </c>
      <c r="X951" s="42" t="str">
        <f>IFERROR(VLOOKUP($J951,'Project Reference'!$B$2:$K$41,10)," ")</f>
        <v xml:space="preserve"> </v>
      </c>
      <c r="Y951" s="42" t="str">
        <f>IFERROR(VLOOKUP($J951,'Project Reference'!$B$2:$L$41,11)," ")</f>
        <v xml:space="preserve"> </v>
      </c>
      <c r="Z951" s="42" t="str">
        <f>IFERROR(VLOOKUP($J951,'Project Reference'!$B$2:$M$41,12)," ")</f>
        <v xml:space="preserve"> </v>
      </c>
      <c r="AA951" s="42" t="str">
        <f>IFERROR(VLOOKUP($J951,'Project Reference'!$B$2:$N$41,13)," ")</f>
        <v xml:space="preserve"> </v>
      </c>
    </row>
    <row r="952" spans="1:27" x14ac:dyDescent="0.45">
      <c r="A952" s="43"/>
      <c r="B952" s="205"/>
      <c r="C952"/>
      <c r="D952" s="72"/>
      <c r="E952" s="72"/>
      <c r="F952" s="72"/>
      <c r="G952" s="72"/>
      <c r="H952" s="17"/>
      <c r="I952" s="41" t="str" cm="1">
        <f t="array" ref="I952">IFERROR(_xlfn.IFS(H952="Hard (Cash)","N/A",H952="Soft (In-Kind)", "Enter Source"),"Select Type")</f>
        <v>Select Type</v>
      </c>
      <c r="J952" s="124"/>
      <c r="K952" s="41" t="str">
        <f>IFERROR(VLOOKUP($J952,'Project Reference'!$S$2:$T$41,2),"Enter Project Number")</f>
        <v>Enter Project Number</v>
      </c>
      <c r="L952" s="41"/>
      <c r="M952" s="41"/>
      <c r="N952" s="15">
        <f t="shared" si="15"/>
        <v>0</v>
      </c>
      <c r="O952" s="19"/>
      <c r="P952" s="42" t="str">
        <f>IFERROR(VLOOKUP($J952,'Project Reference'!$B$2:$C$41,2)," ")</f>
        <v xml:space="preserve"> </v>
      </c>
      <c r="Q952" s="42" t="str">
        <f>IFERROR(VLOOKUP($J952,'Project Reference'!$B$2:$D$41,3)," ")</f>
        <v xml:space="preserve"> </v>
      </c>
      <c r="R952" s="42" t="str">
        <f>IFERROR(VLOOKUP($J952,'Project Reference'!$B$2:$E$41,4)," ")</f>
        <v xml:space="preserve"> </v>
      </c>
      <c r="S952" s="42" t="str">
        <f>IFERROR(VLOOKUP($J952,'Project Reference'!$B$2:$F$41,5,FALSE)," ")</f>
        <v xml:space="preserve"> </v>
      </c>
      <c r="T952" s="42" t="str">
        <f>IFERROR(VLOOKUP($J952,'Project Reference'!$B$2:$G$41,6,FALSE)," ")</f>
        <v xml:space="preserve"> </v>
      </c>
      <c r="U952" s="42" t="str">
        <f>IFERROR(VLOOKUP($J952,'Project Reference'!$B$2:$H$41,7,FALSE)," ")</f>
        <v xml:space="preserve"> </v>
      </c>
      <c r="V952" s="42" t="str">
        <f>IFERROR(VLOOKUP($J952,'Project Reference'!$B$2:$I$41,8,FALSE)," ")</f>
        <v xml:space="preserve"> </v>
      </c>
      <c r="W952" s="42" t="str">
        <f>IFERROR(VLOOKUP($J952,'Project Reference'!$B$2:$J$41,9,FALSE)," ")</f>
        <v xml:space="preserve"> </v>
      </c>
      <c r="X952" s="42" t="str">
        <f>IFERROR(VLOOKUP($J952,'Project Reference'!$B$2:$K$41,10)," ")</f>
        <v xml:space="preserve"> </v>
      </c>
      <c r="Y952" s="42" t="str">
        <f>IFERROR(VLOOKUP($J952,'Project Reference'!$B$2:$L$41,11)," ")</f>
        <v xml:space="preserve"> </v>
      </c>
      <c r="Z952" s="42" t="str">
        <f>IFERROR(VLOOKUP($J952,'Project Reference'!$B$2:$M$41,12)," ")</f>
        <v xml:space="preserve"> </v>
      </c>
      <c r="AA952" s="42" t="str">
        <f>IFERROR(VLOOKUP($J952,'Project Reference'!$B$2:$N$41,13)," ")</f>
        <v xml:space="preserve"> </v>
      </c>
    </row>
    <row r="953" spans="1:27" x14ac:dyDescent="0.45">
      <c r="A953" s="43"/>
      <c r="B953" s="205"/>
      <c r="C953"/>
      <c r="D953" s="72"/>
      <c r="E953" s="72"/>
      <c r="F953" s="72"/>
      <c r="G953" s="72"/>
      <c r="H953" s="17"/>
      <c r="I953" s="41" t="str" cm="1">
        <f t="array" ref="I953">IFERROR(_xlfn.IFS(H953="Hard (Cash)","N/A",H953="Soft (In-Kind)", "Enter Source"),"Select Type")</f>
        <v>Select Type</v>
      </c>
      <c r="J953" s="124"/>
      <c r="K953" s="41" t="str">
        <f>IFERROR(VLOOKUP($J953,'Project Reference'!$S$2:$T$41,2),"Enter Project Number")</f>
        <v>Enter Project Number</v>
      </c>
      <c r="L953" s="41"/>
      <c r="M953" s="41"/>
      <c r="N953" s="15">
        <f t="shared" si="15"/>
        <v>0</v>
      </c>
      <c r="O953" s="19"/>
      <c r="P953" s="42" t="str">
        <f>IFERROR(VLOOKUP($J953,'Project Reference'!$B$2:$C$41,2)," ")</f>
        <v xml:space="preserve"> </v>
      </c>
      <c r="Q953" s="42" t="str">
        <f>IFERROR(VLOOKUP($J953,'Project Reference'!$B$2:$D$41,3)," ")</f>
        <v xml:space="preserve"> </v>
      </c>
      <c r="R953" s="42" t="str">
        <f>IFERROR(VLOOKUP($J953,'Project Reference'!$B$2:$E$41,4)," ")</f>
        <v xml:space="preserve"> </v>
      </c>
      <c r="S953" s="42" t="str">
        <f>IFERROR(VLOOKUP($J953,'Project Reference'!$B$2:$F$41,5,FALSE)," ")</f>
        <v xml:space="preserve"> </v>
      </c>
      <c r="T953" s="42" t="str">
        <f>IFERROR(VLOOKUP($J953,'Project Reference'!$B$2:$G$41,6,FALSE)," ")</f>
        <v xml:space="preserve"> </v>
      </c>
      <c r="U953" s="42" t="str">
        <f>IFERROR(VLOOKUP($J953,'Project Reference'!$B$2:$H$41,7,FALSE)," ")</f>
        <v xml:space="preserve"> </v>
      </c>
      <c r="V953" s="42" t="str">
        <f>IFERROR(VLOOKUP($J953,'Project Reference'!$B$2:$I$41,8,FALSE)," ")</f>
        <v xml:space="preserve"> </v>
      </c>
      <c r="W953" s="42" t="str">
        <f>IFERROR(VLOOKUP($J953,'Project Reference'!$B$2:$J$41,9,FALSE)," ")</f>
        <v xml:space="preserve"> </v>
      </c>
      <c r="X953" s="42" t="str">
        <f>IFERROR(VLOOKUP($J953,'Project Reference'!$B$2:$K$41,10)," ")</f>
        <v xml:space="preserve"> </v>
      </c>
      <c r="Y953" s="42" t="str">
        <f>IFERROR(VLOOKUP($J953,'Project Reference'!$B$2:$L$41,11)," ")</f>
        <v xml:space="preserve"> </v>
      </c>
      <c r="Z953" s="42" t="str">
        <f>IFERROR(VLOOKUP($J953,'Project Reference'!$B$2:$M$41,12)," ")</f>
        <v xml:space="preserve"> </v>
      </c>
      <c r="AA953" s="42" t="str">
        <f>IFERROR(VLOOKUP($J953,'Project Reference'!$B$2:$N$41,13)," ")</f>
        <v xml:space="preserve"> </v>
      </c>
    </row>
    <row r="954" spans="1:27" x14ac:dyDescent="0.45">
      <c r="A954" s="43"/>
      <c r="B954" s="205"/>
      <c r="C954"/>
      <c r="D954" s="72"/>
      <c r="E954" s="72"/>
      <c r="F954" s="72"/>
      <c r="G954" s="72"/>
      <c r="H954" s="17"/>
      <c r="I954" s="41" t="str" cm="1">
        <f t="array" ref="I954">IFERROR(_xlfn.IFS(H954="Hard (Cash)","N/A",H954="Soft (In-Kind)", "Enter Source"),"Select Type")</f>
        <v>Select Type</v>
      </c>
      <c r="J954" s="124"/>
      <c r="K954" s="41" t="str">
        <f>IFERROR(VLOOKUP($J954,'Project Reference'!$S$2:$T$41,2),"Enter Project Number")</f>
        <v>Enter Project Number</v>
      </c>
      <c r="L954" s="41"/>
      <c r="M954" s="41"/>
      <c r="N954" s="15">
        <f t="shared" si="15"/>
        <v>0</v>
      </c>
      <c r="O954" s="19"/>
      <c r="P954" s="42" t="str">
        <f>IFERROR(VLOOKUP($J954,'Project Reference'!$B$2:$C$41,2)," ")</f>
        <v xml:space="preserve"> </v>
      </c>
      <c r="Q954" s="42" t="str">
        <f>IFERROR(VLOOKUP($J954,'Project Reference'!$B$2:$D$41,3)," ")</f>
        <v xml:space="preserve"> </v>
      </c>
      <c r="R954" s="42" t="str">
        <f>IFERROR(VLOOKUP($J954,'Project Reference'!$B$2:$E$41,4)," ")</f>
        <v xml:space="preserve"> </v>
      </c>
      <c r="S954" s="42" t="str">
        <f>IFERROR(VLOOKUP($J954,'Project Reference'!$B$2:$F$41,5,FALSE)," ")</f>
        <v xml:space="preserve"> </v>
      </c>
      <c r="T954" s="42" t="str">
        <f>IFERROR(VLOOKUP($J954,'Project Reference'!$B$2:$G$41,6,FALSE)," ")</f>
        <v xml:space="preserve"> </v>
      </c>
      <c r="U954" s="42" t="str">
        <f>IFERROR(VLOOKUP($J954,'Project Reference'!$B$2:$H$41,7,FALSE)," ")</f>
        <v xml:space="preserve"> </v>
      </c>
      <c r="V954" s="42" t="str">
        <f>IFERROR(VLOOKUP($J954,'Project Reference'!$B$2:$I$41,8,FALSE)," ")</f>
        <v xml:space="preserve"> </v>
      </c>
      <c r="W954" s="42" t="str">
        <f>IFERROR(VLOOKUP($J954,'Project Reference'!$B$2:$J$41,9,FALSE)," ")</f>
        <v xml:space="preserve"> </v>
      </c>
      <c r="X954" s="42" t="str">
        <f>IFERROR(VLOOKUP($J954,'Project Reference'!$B$2:$K$41,10)," ")</f>
        <v xml:space="preserve"> </v>
      </c>
      <c r="Y954" s="42" t="str">
        <f>IFERROR(VLOOKUP($J954,'Project Reference'!$B$2:$L$41,11)," ")</f>
        <v xml:space="preserve"> </v>
      </c>
      <c r="Z954" s="42" t="str">
        <f>IFERROR(VLOOKUP($J954,'Project Reference'!$B$2:$M$41,12)," ")</f>
        <v xml:space="preserve"> </v>
      </c>
      <c r="AA954" s="42" t="str">
        <f>IFERROR(VLOOKUP($J954,'Project Reference'!$B$2:$N$41,13)," ")</f>
        <v xml:space="preserve"> </v>
      </c>
    </row>
    <row r="955" spans="1:27" x14ac:dyDescent="0.45">
      <c r="A955" s="43"/>
      <c r="B955" s="205"/>
      <c r="C955"/>
      <c r="D955" s="72"/>
      <c r="E955" s="72"/>
      <c r="F955" s="72"/>
      <c r="G955" s="72"/>
      <c r="H955" s="17"/>
      <c r="I955" s="41" t="str" cm="1">
        <f t="array" ref="I955">IFERROR(_xlfn.IFS(H955="Hard (Cash)","N/A",H955="Soft (In-Kind)", "Enter Source"),"Select Type")</f>
        <v>Select Type</v>
      </c>
      <c r="J955" s="124"/>
      <c r="K955" s="41" t="str">
        <f>IFERROR(VLOOKUP($J955,'Project Reference'!$S$2:$T$41,2),"Enter Project Number")</f>
        <v>Enter Project Number</v>
      </c>
      <c r="L955" s="41"/>
      <c r="M955" s="41"/>
      <c r="N955" s="15">
        <f t="shared" si="15"/>
        <v>0</v>
      </c>
      <c r="O955" s="19"/>
      <c r="P955" s="42" t="str">
        <f>IFERROR(VLOOKUP($J955,'Project Reference'!$B$2:$C$41,2)," ")</f>
        <v xml:space="preserve"> </v>
      </c>
      <c r="Q955" s="42" t="str">
        <f>IFERROR(VLOOKUP($J955,'Project Reference'!$B$2:$D$41,3)," ")</f>
        <v xml:space="preserve"> </v>
      </c>
      <c r="R955" s="42" t="str">
        <f>IFERROR(VLOOKUP($J955,'Project Reference'!$B$2:$E$41,4)," ")</f>
        <v xml:space="preserve"> </v>
      </c>
      <c r="S955" s="42" t="str">
        <f>IFERROR(VLOOKUP($J955,'Project Reference'!$B$2:$F$41,5,FALSE)," ")</f>
        <v xml:space="preserve"> </v>
      </c>
      <c r="T955" s="42" t="str">
        <f>IFERROR(VLOOKUP($J955,'Project Reference'!$B$2:$G$41,6,FALSE)," ")</f>
        <v xml:space="preserve"> </v>
      </c>
      <c r="U955" s="42" t="str">
        <f>IFERROR(VLOOKUP($J955,'Project Reference'!$B$2:$H$41,7,FALSE)," ")</f>
        <v xml:space="preserve"> </v>
      </c>
      <c r="V955" s="42" t="str">
        <f>IFERROR(VLOOKUP($J955,'Project Reference'!$B$2:$I$41,8,FALSE)," ")</f>
        <v xml:space="preserve"> </v>
      </c>
      <c r="W955" s="42" t="str">
        <f>IFERROR(VLOOKUP($J955,'Project Reference'!$B$2:$J$41,9,FALSE)," ")</f>
        <v xml:space="preserve"> </v>
      </c>
      <c r="X955" s="42" t="str">
        <f>IFERROR(VLOOKUP($J955,'Project Reference'!$B$2:$K$41,10)," ")</f>
        <v xml:space="preserve"> </v>
      </c>
      <c r="Y955" s="42" t="str">
        <f>IFERROR(VLOOKUP($J955,'Project Reference'!$B$2:$L$41,11)," ")</f>
        <v xml:space="preserve"> </v>
      </c>
      <c r="Z955" s="42" t="str">
        <f>IFERROR(VLOOKUP($J955,'Project Reference'!$B$2:$M$41,12)," ")</f>
        <v xml:space="preserve"> </v>
      </c>
      <c r="AA955" s="42" t="str">
        <f>IFERROR(VLOOKUP($J955,'Project Reference'!$B$2:$N$41,13)," ")</f>
        <v xml:space="preserve"> </v>
      </c>
    </row>
    <row r="956" spans="1:27" x14ac:dyDescent="0.45">
      <c r="A956" s="43"/>
      <c r="B956" s="205"/>
      <c r="C956"/>
      <c r="D956" s="72"/>
      <c r="E956" s="72"/>
      <c r="F956" s="72"/>
      <c r="G956" s="72"/>
      <c r="H956" s="17"/>
      <c r="I956" s="41" t="str" cm="1">
        <f t="array" ref="I956">IFERROR(_xlfn.IFS(H956="Hard (Cash)","N/A",H956="Soft (In-Kind)", "Enter Source"),"Select Type")</f>
        <v>Select Type</v>
      </c>
      <c r="J956" s="124"/>
      <c r="K956" s="41" t="str">
        <f>IFERROR(VLOOKUP($J956,'Project Reference'!$S$2:$T$41,2),"Enter Project Number")</f>
        <v>Enter Project Number</v>
      </c>
      <c r="L956" s="41"/>
      <c r="M956" s="41"/>
      <c r="N956" s="15">
        <f t="shared" si="15"/>
        <v>0</v>
      </c>
      <c r="O956" s="19"/>
      <c r="P956" s="42" t="str">
        <f>IFERROR(VLOOKUP($J956,'Project Reference'!$B$2:$C$41,2)," ")</f>
        <v xml:space="preserve"> </v>
      </c>
      <c r="Q956" s="42" t="str">
        <f>IFERROR(VLOOKUP($J956,'Project Reference'!$B$2:$D$41,3)," ")</f>
        <v xml:space="preserve"> </v>
      </c>
      <c r="R956" s="42" t="str">
        <f>IFERROR(VLOOKUP($J956,'Project Reference'!$B$2:$E$41,4)," ")</f>
        <v xml:space="preserve"> </v>
      </c>
      <c r="S956" s="42" t="str">
        <f>IFERROR(VLOOKUP($J956,'Project Reference'!$B$2:$F$41,5,FALSE)," ")</f>
        <v xml:space="preserve"> </v>
      </c>
      <c r="T956" s="42" t="str">
        <f>IFERROR(VLOOKUP($J956,'Project Reference'!$B$2:$G$41,6,FALSE)," ")</f>
        <v xml:space="preserve"> </v>
      </c>
      <c r="U956" s="42" t="str">
        <f>IFERROR(VLOOKUP($J956,'Project Reference'!$B$2:$H$41,7,FALSE)," ")</f>
        <v xml:space="preserve"> </v>
      </c>
      <c r="V956" s="42" t="str">
        <f>IFERROR(VLOOKUP($J956,'Project Reference'!$B$2:$I$41,8,FALSE)," ")</f>
        <v xml:space="preserve"> </v>
      </c>
      <c r="W956" s="42" t="str">
        <f>IFERROR(VLOOKUP($J956,'Project Reference'!$B$2:$J$41,9,FALSE)," ")</f>
        <v xml:space="preserve"> </v>
      </c>
      <c r="X956" s="42" t="str">
        <f>IFERROR(VLOOKUP($J956,'Project Reference'!$B$2:$K$41,10)," ")</f>
        <v xml:space="preserve"> </v>
      </c>
      <c r="Y956" s="42" t="str">
        <f>IFERROR(VLOOKUP($J956,'Project Reference'!$B$2:$L$41,11)," ")</f>
        <v xml:space="preserve"> </v>
      </c>
      <c r="Z956" s="42" t="str">
        <f>IFERROR(VLOOKUP($J956,'Project Reference'!$B$2:$M$41,12)," ")</f>
        <v xml:space="preserve"> </v>
      </c>
      <c r="AA956" s="42" t="str">
        <f>IFERROR(VLOOKUP($J956,'Project Reference'!$B$2:$N$41,13)," ")</f>
        <v xml:space="preserve"> </v>
      </c>
    </row>
    <row r="957" spans="1:27" x14ac:dyDescent="0.45">
      <c r="A957" s="43"/>
      <c r="B957" s="205"/>
      <c r="C957"/>
      <c r="D957" s="72"/>
      <c r="E957" s="72"/>
      <c r="F957" s="72"/>
      <c r="G957" s="72"/>
      <c r="H957" s="17"/>
      <c r="I957" s="41" t="str" cm="1">
        <f t="array" ref="I957">IFERROR(_xlfn.IFS(H957="Hard (Cash)","N/A",H957="Soft (In-Kind)", "Enter Source"),"Select Type")</f>
        <v>Select Type</v>
      </c>
      <c r="J957" s="124"/>
      <c r="K957" s="41" t="str">
        <f>IFERROR(VLOOKUP($J957,'Project Reference'!$S$2:$T$41,2),"Enter Project Number")</f>
        <v>Enter Project Number</v>
      </c>
      <c r="L957" s="41"/>
      <c r="M957" s="41"/>
      <c r="N957" s="15">
        <f t="shared" si="15"/>
        <v>0</v>
      </c>
      <c r="O957" s="19"/>
      <c r="P957" s="42" t="str">
        <f>IFERROR(VLOOKUP($J957,'Project Reference'!$B$2:$C$41,2)," ")</f>
        <v xml:space="preserve"> </v>
      </c>
      <c r="Q957" s="42" t="str">
        <f>IFERROR(VLOOKUP($J957,'Project Reference'!$B$2:$D$41,3)," ")</f>
        <v xml:space="preserve"> </v>
      </c>
      <c r="R957" s="42" t="str">
        <f>IFERROR(VLOOKUP($J957,'Project Reference'!$B$2:$E$41,4)," ")</f>
        <v xml:space="preserve"> </v>
      </c>
      <c r="S957" s="42" t="str">
        <f>IFERROR(VLOOKUP($J957,'Project Reference'!$B$2:$F$41,5,FALSE)," ")</f>
        <v xml:space="preserve"> </v>
      </c>
      <c r="T957" s="42" t="str">
        <f>IFERROR(VLOOKUP($J957,'Project Reference'!$B$2:$G$41,6,FALSE)," ")</f>
        <v xml:space="preserve"> </v>
      </c>
      <c r="U957" s="42" t="str">
        <f>IFERROR(VLOOKUP($J957,'Project Reference'!$B$2:$H$41,7,FALSE)," ")</f>
        <v xml:space="preserve"> </v>
      </c>
      <c r="V957" s="42" t="str">
        <f>IFERROR(VLOOKUP($J957,'Project Reference'!$B$2:$I$41,8,FALSE)," ")</f>
        <v xml:space="preserve"> </v>
      </c>
      <c r="W957" s="42" t="str">
        <f>IFERROR(VLOOKUP($J957,'Project Reference'!$B$2:$J$41,9,FALSE)," ")</f>
        <v xml:space="preserve"> </v>
      </c>
      <c r="X957" s="42" t="str">
        <f>IFERROR(VLOOKUP($J957,'Project Reference'!$B$2:$K$41,10)," ")</f>
        <v xml:space="preserve"> </v>
      </c>
      <c r="Y957" s="42" t="str">
        <f>IFERROR(VLOOKUP($J957,'Project Reference'!$B$2:$L$41,11)," ")</f>
        <v xml:space="preserve"> </v>
      </c>
      <c r="Z957" s="42" t="str">
        <f>IFERROR(VLOOKUP($J957,'Project Reference'!$B$2:$M$41,12)," ")</f>
        <v xml:space="preserve"> </v>
      </c>
      <c r="AA957" s="42" t="str">
        <f>IFERROR(VLOOKUP($J957,'Project Reference'!$B$2:$N$41,13)," ")</f>
        <v xml:space="preserve"> </v>
      </c>
    </row>
    <row r="958" spans="1:27" x14ac:dyDescent="0.45">
      <c r="A958" s="43"/>
      <c r="B958" s="205"/>
      <c r="C958"/>
      <c r="D958" s="72"/>
      <c r="E958" s="72"/>
      <c r="F958" s="72"/>
      <c r="G958" s="72"/>
      <c r="H958" s="17"/>
      <c r="I958" s="41" t="str" cm="1">
        <f t="array" ref="I958">IFERROR(_xlfn.IFS(H958="Hard (Cash)","N/A",H958="Soft (In-Kind)", "Enter Source"),"Select Type")</f>
        <v>Select Type</v>
      </c>
      <c r="J958" s="124"/>
      <c r="K958" s="41" t="str">
        <f>IFERROR(VLOOKUP($J958,'Project Reference'!$S$2:$T$41,2),"Enter Project Number")</f>
        <v>Enter Project Number</v>
      </c>
      <c r="L958" s="41"/>
      <c r="M958" s="41"/>
      <c r="N958" s="15">
        <f t="shared" si="15"/>
        <v>0</v>
      </c>
      <c r="O958" s="19"/>
      <c r="P958" s="42" t="str">
        <f>IFERROR(VLOOKUP($J958,'Project Reference'!$B$2:$C$41,2)," ")</f>
        <v xml:space="preserve"> </v>
      </c>
      <c r="Q958" s="42" t="str">
        <f>IFERROR(VLOOKUP($J958,'Project Reference'!$B$2:$D$41,3)," ")</f>
        <v xml:space="preserve"> </v>
      </c>
      <c r="R958" s="42" t="str">
        <f>IFERROR(VLOOKUP($J958,'Project Reference'!$B$2:$E$41,4)," ")</f>
        <v xml:space="preserve"> </v>
      </c>
      <c r="S958" s="42" t="str">
        <f>IFERROR(VLOOKUP($J958,'Project Reference'!$B$2:$F$41,5,FALSE)," ")</f>
        <v xml:space="preserve"> </v>
      </c>
      <c r="T958" s="42" t="str">
        <f>IFERROR(VLOOKUP($J958,'Project Reference'!$B$2:$G$41,6,FALSE)," ")</f>
        <v xml:space="preserve"> </v>
      </c>
      <c r="U958" s="42" t="str">
        <f>IFERROR(VLOOKUP($J958,'Project Reference'!$B$2:$H$41,7,FALSE)," ")</f>
        <v xml:space="preserve"> </v>
      </c>
      <c r="V958" s="42" t="str">
        <f>IFERROR(VLOOKUP($J958,'Project Reference'!$B$2:$I$41,8,FALSE)," ")</f>
        <v xml:space="preserve"> </v>
      </c>
      <c r="W958" s="42" t="str">
        <f>IFERROR(VLOOKUP($J958,'Project Reference'!$B$2:$J$41,9,FALSE)," ")</f>
        <v xml:space="preserve"> </v>
      </c>
      <c r="X958" s="42" t="str">
        <f>IFERROR(VLOOKUP($J958,'Project Reference'!$B$2:$K$41,10)," ")</f>
        <v xml:space="preserve"> </v>
      </c>
      <c r="Y958" s="42" t="str">
        <f>IFERROR(VLOOKUP($J958,'Project Reference'!$B$2:$L$41,11)," ")</f>
        <v xml:space="preserve"> </v>
      </c>
      <c r="Z958" s="42" t="str">
        <f>IFERROR(VLOOKUP($J958,'Project Reference'!$B$2:$M$41,12)," ")</f>
        <v xml:space="preserve"> </v>
      </c>
      <c r="AA958" s="42" t="str">
        <f>IFERROR(VLOOKUP($J958,'Project Reference'!$B$2:$N$41,13)," ")</f>
        <v xml:space="preserve"> </v>
      </c>
    </row>
    <row r="959" spans="1:27" x14ac:dyDescent="0.45">
      <c r="A959" s="43"/>
      <c r="B959" s="205"/>
      <c r="C959"/>
      <c r="D959" s="72"/>
      <c r="E959" s="72"/>
      <c r="F959" s="72"/>
      <c r="G959" s="72"/>
      <c r="H959" s="17"/>
      <c r="I959" s="41" t="str" cm="1">
        <f t="array" ref="I959">IFERROR(_xlfn.IFS(H959="Hard (Cash)","N/A",H959="Soft (In-Kind)", "Enter Source"),"Select Type")</f>
        <v>Select Type</v>
      </c>
      <c r="J959" s="124"/>
      <c r="K959" s="41" t="str">
        <f>IFERROR(VLOOKUP($J959,'Project Reference'!$S$2:$T$41,2),"Enter Project Number")</f>
        <v>Enter Project Number</v>
      </c>
      <c r="L959" s="41"/>
      <c r="M959" s="41"/>
      <c r="N959" s="15">
        <f t="shared" si="15"/>
        <v>0</v>
      </c>
      <c r="O959" s="19"/>
      <c r="P959" s="42" t="str">
        <f>IFERROR(VLOOKUP($J959,'Project Reference'!$B$2:$C$41,2)," ")</f>
        <v xml:space="preserve"> </v>
      </c>
      <c r="Q959" s="42" t="str">
        <f>IFERROR(VLOOKUP($J959,'Project Reference'!$B$2:$D$41,3)," ")</f>
        <v xml:space="preserve"> </v>
      </c>
      <c r="R959" s="42" t="str">
        <f>IFERROR(VLOOKUP($J959,'Project Reference'!$B$2:$E$41,4)," ")</f>
        <v xml:space="preserve"> </v>
      </c>
      <c r="S959" s="42" t="str">
        <f>IFERROR(VLOOKUP($J959,'Project Reference'!$B$2:$F$41,5,FALSE)," ")</f>
        <v xml:space="preserve"> </v>
      </c>
      <c r="T959" s="42" t="str">
        <f>IFERROR(VLOOKUP($J959,'Project Reference'!$B$2:$G$41,6,FALSE)," ")</f>
        <v xml:space="preserve"> </v>
      </c>
      <c r="U959" s="42" t="str">
        <f>IFERROR(VLOOKUP($J959,'Project Reference'!$B$2:$H$41,7,FALSE)," ")</f>
        <v xml:space="preserve"> </v>
      </c>
      <c r="V959" s="42" t="str">
        <f>IFERROR(VLOOKUP($J959,'Project Reference'!$B$2:$I$41,8,FALSE)," ")</f>
        <v xml:space="preserve"> </v>
      </c>
      <c r="W959" s="42" t="str">
        <f>IFERROR(VLOOKUP($J959,'Project Reference'!$B$2:$J$41,9,FALSE)," ")</f>
        <v xml:space="preserve"> </v>
      </c>
      <c r="X959" s="42" t="str">
        <f>IFERROR(VLOOKUP($J959,'Project Reference'!$B$2:$K$41,10)," ")</f>
        <v xml:space="preserve"> </v>
      </c>
      <c r="Y959" s="42" t="str">
        <f>IFERROR(VLOOKUP($J959,'Project Reference'!$B$2:$L$41,11)," ")</f>
        <v xml:space="preserve"> </v>
      </c>
      <c r="Z959" s="42" t="str">
        <f>IFERROR(VLOOKUP($J959,'Project Reference'!$B$2:$M$41,12)," ")</f>
        <v xml:space="preserve"> </v>
      </c>
      <c r="AA959" s="42" t="str">
        <f>IFERROR(VLOOKUP($J959,'Project Reference'!$B$2:$N$41,13)," ")</f>
        <v xml:space="preserve"> </v>
      </c>
    </row>
    <row r="960" spans="1:27" x14ac:dyDescent="0.45">
      <c r="A960" s="43"/>
      <c r="B960" s="205"/>
      <c r="C960"/>
      <c r="D960" s="72"/>
      <c r="E960" s="72"/>
      <c r="F960" s="72"/>
      <c r="G960" s="72"/>
      <c r="H960" s="17"/>
      <c r="I960" s="41" t="str" cm="1">
        <f t="array" ref="I960">IFERROR(_xlfn.IFS(H960="Hard (Cash)","N/A",H960="Soft (In-Kind)", "Enter Source"),"Select Type")</f>
        <v>Select Type</v>
      </c>
      <c r="J960" s="124"/>
      <c r="K960" s="41" t="str">
        <f>IFERROR(VLOOKUP($J960,'Project Reference'!$S$2:$T$41,2),"Enter Project Number")</f>
        <v>Enter Project Number</v>
      </c>
      <c r="L960" s="41"/>
      <c r="M960" s="41"/>
      <c r="N960" s="15">
        <f t="shared" si="15"/>
        <v>0</v>
      </c>
      <c r="O960" s="19"/>
      <c r="P960" s="42" t="str">
        <f>IFERROR(VLOOKUP($J960,'Project Reference'!$B$2:$C$41,2)," ")</f>
        <v xml:space="preserve"> </v>
      </c>
      <c r="Q960" s="42" t="str">
        <f>IFERROR(VLOOKUP($J960,'Project Reference'!$B$2:$D$41,3)," ")</f>
        <v xml:space="preserve"> </v>
      </c>
      <c r="R960" s="42" t="str">
        <f>IFERROR(VLOOKUP($J960,'Project Reference'!$B$2:$E$41,4)," ")</f>
        <v xml:space="preserve"> </v>
      </c>
      <c r="S960" s="42" t="str">
        <f>IFERROR(VLOOKUP($J960,'Project Reference'!$B$2:$F$41,5,FALSE)," ")</f>
        <v xml:space="preserve"> </v>
      </c>
      <c r="T960" s="42" t="str">
        <f>IFERROR(VLOOKUP($J960,'Project Reference'!$B$2:$G$41,6,FALSE)," ")</f>
        <v xml:space="preserve"> </v>
      </c>
      <c r="U960" s="42" t="str">
        <f>IFERROR(VLOOKUP($J960,'Project Reference'!$B$2:$H$41,7,FALSE)," ")</f>
        <v xml:space="preserve"> </v>
      </c>
      <c r="V960" s="42" t="str">
        <f>IFERROR(VLOOKUP($J960,'Project Reference'!$B$2:$I$41,8,FALSE)," ")</f>
        <v xml:space="preserve"> </v>
      </c>
      <c r="W960" s="42" t="str">
        <f>IFERROR(VLOOKUP($J960,'Project Reference'!$B$2:$J$41,9,FALSE)," ")</f>
        <v xml:space="preserve"> </v>
      </c>
      <c r="X960" s="42" t="str">
        <f>IFERROR(VLOOKUP($J960,'Project Reference'!$B$2:$K$41,10)," ")</f>
        <v xml:space="preserve"> </v>
      </c>
      <c r="Y960" s="42" t="str">
        <f>IFERROR(VLOOKUP($J960,'Project Reference'!$B$2:$L$41,11)," ")</f>
        <v xml:space="preserve"> </v>
      </c>
      <c r="Z960" s="42" t="str">
        <f>IFERROR(VLOOKUP($J960,'Project Reference'!$B$2:$M$41,12)," ")</f>
        <v xml:space="preserve"> </v>
      </c>
      <c r="AA960" s="42" t="str">
        <f>IFERROR(VLOOKUP($J960,'Project Reference'!$B$2:$N$41,13)," ")</f>
        <v xml:space="preserve"> </v>
      </c>
    </row>
    <row r="961" spans="1:27" x14ac:dyDescent="0.45">
      <c r="A961" s="43"/>
      <c r="B961" s="205"/>
      <c r="C961"/>
      <c r="D961" s="72"/>
      <c r="E961" s="72"/>
      <c r="F961" s="72"/>
      <c r="G961" s="72"/>
      <c r="H961" s="17"/>
      <c r="I961" s="41" t="str" cm="1">
        <f t="array" ref="I961">IFERROR(_xlfn.IFS(H961="Hard (Cash)","N/A",H961="Soft (In-Kind)", "Enter Source"),"Select Type")</f>
        <v>Select Type</v>
      </c>
      <c r="J961" s="124"/>
      <c r="K961" s="41" t="str">
        <f>IFERROR(VLOOKUP($J961,'Project Reference'!$S$2:$T$41,2),"Enter Project Number")</f>
        <v>Enter Project Number</v>
      </c>
      <c r="L961" s="41"/>
      <c r="M961" s="41"/>
      <c r="N961" s="15">
        <f t="shared" si="15"/>
        <v>0</v>
      </c>
      <c r="O961" s="19"/>
      <c r="P961" s="42" t="str">
        <f>IFERROR(VLOOKUP($J961,'Project Reference'!$B$2:$C$41,2)," ")</f>
        <v xml:space="preserve"> </v>
      </c>
      <c r="Q961" s="42" t="str">
        <f>IFERROR(VLOOKUP($J961,'Project Reference'!$B$2:$D$41,3)," ")</f>
        <v xml:space="preserve"> </v>
      </c>
      <c r="R961" s="42" t="str">
        <f>IFERROR(VLOOKUP($J961,'Project Reference'!$B$2:$E$41,4)," ")</f>
        <v xml:space="preserve"> </v>
      </c>
      <c r="S961" s="42" t="str">
        <f>IFERROR(VLOOKUP($J961,'Project Reference'!$B$2:$F$41,5,FALSE)," ")</f>
        <v xml:space="preserve"> </v>
      </c>
      <c r="T961" s="42" t="str">
        <f>IFERROR(VLOOKUP($J961,'Project Reference'!$B$2:$G$41,6,FALSE)," ")</f>
        <v xml:space="preserve"> </v>
      </c>
      <c r="U961" s="42" t="str">
        <f>IFERROR(VLOOKUP($J961,'Project Reference'!$B$2:$H$41,7,FALSE)," ")</f>
        <v xml:space="preserve"> </v>
      </c>
      <c r="V961" s="42" t="str">
        <f>IFERROR(VLOOKUP($J961,'Project Reference'!$B$2:$I$41,8,FALSE)," ")</f>
        <v xml:space="preserve"> </v>
      </c>
      <c r="W961" s="42" t="str">
        <f>IFERROR(VLOOKUP($J961,'Project Reference'!$B$2:$J$41,9,FALSE)," ")</f>
        <v xml:space="preserve"> </v>
      </c>
      <c r="X961" s="42" t="str">
        <f>IFERROR(VLOOKUP($J961,'Project Reference'!$B$2:$K$41,10)," ")</f>
        <v xml:space="preserve"> </v>
      </c>
      <c r="Y961" s="42" t="str">
        <f>IFERROR(VLOOKUP($J961,'Project Reference'!$B$2:$L$41,11)," ")</f>
        <v xml:space="preserve"> </v>
      </c>
      <c r="Z961" s="42" t="str">
        <f>IFERROR(VLOOKUP($J961,'Project Reference'!$B$2:$M$41,12)," ")</f>
        <v xml:space="preserve"> </v>
      </c>
      <c r="AA961" s="42" t="str">
        <f>IFERROR(VLOOKUP($J961,'Project Reference'!$B$2:$N$41,13)," ")</f>
        <v xml:space="preserve"> </v>
      </c>
    </row>
    <row r="962" spans="1:27" x14ac:dyDescent="0.45">
      <c r="A962" s="43"/>
      <c r="B962" s="205"/>
      <c r="C962"/>
      <c r="D962" s="72"/>
      <c r="E962" s="72"/>
      <c r="F962" s="72"/>
      <c r="G962" s="72"/>
      <c r="H962" s="17"/>
      <c r="I962" s="41" t="str" cm="1">
        <f t="array" ref="I962">IFERROR(_xlfn.IFS(H962="Hard (Cash)","N/A",H962="Soft (In-Kind)", "Enter Source"),"Select Type")</f>
        <v>Select Type</v>
      </c>
      <c r="J962" s="124"/>
      <c r="K962" s="41" t="str">
        <f>IFERROR(VLOOKUP($J962,'Project Reference'!$S$2:$T$41,2),"Enter Project Number")</f>
        <v>Enter Project Number</v>
      </c>
      <c r="L962" s="41"/>
      <c r="M962" s="41"/>
      <c r="N962" s="15">
        <f t="shared" si="15"/>
        <v>0</v>
      </c>
      <c r="O962" s="19"/>
      <c r="P962" s="42" t="str">
        <f>IFERROR(VLOOKUP($J962,'Project Reference'!$B$2:$C$41,2)," ")</f>
        <v xml:space="preserve"> </v>
      </c>
      <c r="Q962" s="42" t="str">
        <f>IFERROR(VLOOKUP($J962,'Project Reference'!$B$2:$D$41,3)," ")</f>
        <v xml:space="preserve"> </v>
      </c>
      <c r="R962" s="42" t="str">
        <f>IFERROR(VLOOKUP($J962,'Project Reference'!$B$2:$E$41,4)," ")</f>
        <v xml:space="preserve"> </v>
      </c>
      <c r="S962" s="42" t="str">
        <f>IFERROR(VLOOKUP($J962,'Project Reference'!$B$2:$F$41,5,FALSE)," ")</f>
        <v xml:space="preserve"> </v>
      </c>
      <c r="T962" s="42" t="str">
        <f>IFERROR(VLOOKUP($J962,'Project Reference'!$B$2:$G$41,6,FALSE)," ")</f>
        <v xml:space="preserve"> </v>
      </c>
      <c r="U962" s="42" t="str">
        <f>IFERROR(VLOOKUP($J962,'Project Reference'!$B$2:$H$41,7,FALSE)," ")</f>
        <v xml:space="preserve"> </v>
      </c>
      <c r="V962" s="42" t="str">
        <f>IFERROR(VLOOKUP($J962,'Project Reference'!$B$2:$I$41,8,FALSE)," ")</f>
        <v xml:space="preserve"> </v>
      </c>
      <c r="W962" s="42" t="str">
        <f>IFERROR(VLOOKUP($J962,'Project Reference'!$B$2:$J$41,9,FALSE)," ")</f>
        <v xml:space="preserve"> </v>
      </c>
      <c r="X962" s="42" t="str">
        <f>IFERROR(VLOOKUP($J962,'Project Reference'!$B$2:$K$41,10)," ")</f>
        <v xml:space="preserve"> </v>
      </c>
      <c r="Y962" s="42" t="str">
        <f>IFERROR(VLOOKUP($J962,'Project Reference'!$B$2:$L$41,11)," ")</f>
        <v xml:space="preserve"> </v>
      </c>
      <c r="Z962" s="42" t="str">
        <f>IFERROR(VLOOKUP($J962,'Project Reference'!$B$2:$M$41,12)," ")</f>
        <v xml:space="preserve"> </v>
      </c>
      <c r="AA962" s="42" t="str">
        <f>IFERROR(VLOOKUP($J962,'Project Reference'!$B$2:$N$41,13)," ")</f>
        <v xml:space="preserve"> </v>
      </c>
    </row>
    <row r="963" spans="1:27" x14ac:dyDescent="0.45">
      <c r="A963" s="43"/>
      <c r="B963" s="205"/>
      <c r="C963"/>
      <c r="D963" s="72"/>
      <c r="E963" s="72"/>
      <c r="F963" s="72"/>
      <c r="G963" s="72"/>
      <c r="H963" s="17"/>
      <c r="I963" s="41" t="str" cm="1">
        <f t="array" ref="I963">IFERROR(_xlfn.IFS(H963="Hard (Cash)","N/A",H963="Soft (In-Kind)", "Enter Source"),"Select Type")</f>
        <v>Select Type</v>
      </c>
      <c r="J963" s="124"/>
      <c r="K963" s="41" t="str">
        <f>IFERROR(VLOOKUP($J963,'Project Reference'!$S$2:$T$41,2),"Enter Project Number")</f>
        <v>Enter Project Number</v>
      </c>
      <c r="L963" s="41"/>
      <c r="M963" s="41"/>
      <c r="N963" s="15">
        <f t="shared" si="15"/>
        <v>0</v>
      </c>
      <c r="O963" s="19"/>
      <c r="P963" s="42" t="str">
        <f>IFERROR(VLOOKUP($J963,'Project Reference'!$B$2:$C$41,2)," ")</f>
        <v xml:space="preserve"> </v>
      </c>
      <c r="Q963" s="42" t="str">
        <f>IFERROR(VLOOKUP($J963,'Project Reference'!$B$2:$D$41,3)," ")</f>
        <v xml:space="preserve"> </v>
      </c>
      <c r="R963" s="42" t="str">
        <f>IFERROR(VLOOKUP($J963,'Project Reference'!$B$2:$E$41,4)," ")</f>
        <v xml:space="preserve"> </v>
      </c>
      <c r="S963" s="42" t="str">
        <f>IFERROR(VLOOKUP($J963,'Project Reference'!$B$2:$F$41,5,FALSE)," ")</f>
        <v xml:space="preserve"> </v>
      </c>
      <c r="T963" s="42" t="str">
        <f>IFERROR(VLOOKUP($J963,'Project Reference'!$B$2:$G$41,6,FALSE)," ")</f>
        <v xml:space="preserve"> </v>
      </c>
      <c r="U963" s="42" t="str">
        <f>IFERROR(VLOOKUP($J963,'Project Reference'!$B$2:$H$41,7,FALSE)," ")</f>
        <v xml:space="preserve"> </v>
      </c>
      <c r="V963" s="42" t="str">
        <f>IFERROR(VLOOKUP($J963,'Project Reference'!$B$2:$I$41,8,FALSE)," ")</f>
        <v xml:space="preserve"> </v>
      </c>
      <c r="W963" s="42" t="str">
        <f>IFERROR(VLOOKUP($J963,'Project Reference'!$B$2:$J$41,9,FALSE)," ")</f>
        <v xml:space="preserve"> </v>
      </c>
      <c r="X963" s="42" t="str">
        <f>IFERROR(VLOOKUP($J963,'Project Reference'!$B$2:$K$41,10)," ")</f>
        <v xml:space="preserve"> </v>
      </c>
      <c r="Y963" s="42" t="str">
        <f>IFERROR(VLOOKUP($J963,'Project Reference'!$B$2:$L$41,11)," ")</f>
        <v xml:space="preserve"> </v>
      </c>
      <c r="Z963" s="42" t="str">
        <f>IFERROR(VLOOKUP($J963,'Project Reference'!$B$2:$M$41,12)," ")</f>
        <v xml:space="preserve"> </v>
      </c>
      <c r="AA963" s="42" t="str">
        <f>IFERROR(VLOOKUP($J963,'Project Reference'!$B$2:$N$41,13)," ")</f>
        <v xml:space="preserve"> </v>
      </c>
    </row>
    <row r="964" spans="1:27" x14ac:dyDescent="0.45">
      <c r="A964" s="43"/>
      <c r="B964" s="205"/>
      <c r="C964"/>
      <c r="D964" s="72"/>
      <c r="E964" s="72"/>
      <c r="F964" s="72"/>
      <c r="G964" s="72"/>
      <c r="H964" s="17"/>
      <c r="I964" s="41" t="str" cm="1">
        <f t="array" ref="I964">IFERROR(_xlfn.IFS(H964="Hard (Cash)","N/A",H964="Soft (In-Kind)", "Enter Source"),"Select Type")</f>
        <v>Select Type</v>
      </c>
      <c r="J964" s="124"/>
      <c r="K964" s="41" t="str">
        <f>IFERROR(VLOOKUP($J964,'Project Reference'!$S$2:$T$41,2),"Enter Project Number")</f>
        <v>Enter Project Number</v>
      </c>
      <c r="L964" s="41"/>
      <c r="M964" s="41"/>
      <c r="N964" s="15">
        <f t="shared" si="15"/>
        <v>0</v>
      </c>
      <c r="O964" s="19"/>
      <c r="P964" s="42" t="str">
        <f>IFERROR(VLOOKUP($J964,'Project Reference'!$B$2:$C$41,2)," ")</f>
        <v xml:space="preserve"> </v>
      </c>
      <c r="Q964" s="42" t="str">
        <f>IFERROR(VLOOKUP($J964,'Project Reference'!$B$2:$D$41,3)," ")</f>
        <v xml:space="preserve"> </v>
      </c>
      <c r="R964" s="42" t="str">
        <f>IFERROR(VLOOKUP($J964,'Project Reference'!$B$2:$E$41,4)," ")</f>
        <v xml:space="preserve"> </v>
      </c>
      <c r="S964" s="42" t="str">
        <f>IFERROR(VLOOKUP($J964,'Project Reference'!$B$2:$F$41,5,FALSE)," ")</f>
        <v xml:space="preserve"> </v>
      </c>
      <c r="T964" s="42" t="str">
        <f>IFERROR(VLOOKUP($J964,'Project Reference'!$B$2:$G$41,6,FALSE)," ")</f>
        <v xml:space="preserve"> </v>
      </c>
      <c r="U964" s="42" t="str">
        <f>IFERROR(VLOOKUP($J964,'Project Reference'!$B$2:$H$41,7,FALSE)," ")</f>
        <v xml:space="preserve"> </v>
      </c>
      <c r="V964" s="42" t="str">
        <f>IFERROR(VLOOKUP($J964,'Project Reference'!$B$2:$I$41,8,FALSE)," ")</f>
        <v xml:space="preserve"> </v>
      </c>
      <c r="W964" s="42" t="str">
        <f>IFERROR(VLOOKUP($J964,'Project Reference'!$B$2:$J$41,9,FALSE)," ")</f>
        <v xml:space="preserve"> </v>
      </c>
      <c r="X964" s="42" t="str">
        <f>IFERROR(VLOOKUP($J964,'Project Reference'!$B$2:$K$41,10)," ")</f>
        <v xml:space="preserve"> </v>
      </c>
      <c r="Y964" s="42" t="str">
        <f>IFERROR(VLOOKUP($J964,'Project Reference'!$B$2:$L$41,11)," ")</f>
        <v xml:space="preserve"> </v>
      </c>
      <c r="Z964" s="42" t="str">
        <f>IFERROR(VLOOKUP($J964,'Project Reference'!$B$2:$M$41,12)," ")</f>
        <v xml:space="preserve"> </v>
      </c>
      <c r="AA964" s="42" t="str">
        <f>IFERROR(VLOOKUP($J964,'Project Reference'!$B$2:$N$41,13)," ")</f>
        <v xml:space="preserve"> </v>
      </c>
    </row>
    <row r="965" spans="1:27" x14ac:dyDescent="0.45">
      <c r="A965" s="43"/>
      <c r="B965" s="205"/>
      <c r="C965"/>
      <c r="D965" s="72"/>
      <c r="E965" s="72"/>
      <c r="F965" s="72"/>
      <c r="G965" s="72"/>
      <c r="H965" s="17"/>
      <c r="I965" s="41" t="str" cm="1">
        <f t="array" ref="I965">IFERROR(_xlfn.IFS(H965="Hard (Cash)","N/A",H965="Soft (In-Kind)", "Enter Source"),"Select Type")</f>
        <v>Select Type</v>
      </c>
      <c r="J965" s="124"/>
      <c r="K965" s="41" t="str">
        <f>IFERROR(VLOOKUP($J965,'Project Reference'!$S$2:$T$41,2),"Enter Project Number")</f>
        <v>Enter Project Number</v>
      </c>
      <c r="L965" s="41"/>
      <c r="M965" s="41"/>
      <c r="N965" s="15">
        <f t="shared" si="15"/>
        <v>0</v>
      </c>
      <c r="O965" s="19"/>
      <c r="P965" s="42" t="str">
        <f>IFERROR(VLOOKUP($J965,'Project Reference'!$B$2:$C$41,2)," ")</f>
        <v xml:space="preserve"> </v>
      </c>
      <c r="Q965" s="42" t="str">
        <f>IFERROR(VLOOKUP($J965,'Project Reference'!$B$2:$D$41,3)," ")</f>
        <v xml:space="preserve"> </v>
      </c>
      <c r="R965" s="42" t="str">
        <f>IFERROR(VLOOKUP($J965,'Project Reference'!$B$2:$E$41,4)," ")</f>
        <v xml:space="preserve"> </v>
      </c>
      <c r="S965" s="42" t="str">
        <f>IFERROR(VLOOKUP($J965,'Project Reference'!$B$2:$F$41,5,FALSE)," ")</f>
        <v xml:space="preserve"> </v>
      </c>
      <c r="T965" s="42" t="str">
        <f>IFERROR(VLOOKUP($J965,'Project Reference'!$B$2:$G$41,6,FALSE)," ")</f>
        <v xml:space="preserve"> </v>
      </c>
      <c r="U965" s="42" t="str">
        <f>IFERROR(VLOOKUP($J965,'Project Reference'!$B$2:$H$41,7,FALSE)," ")</f>
        <v xml:space="preserve"> </v>
      </c>
      <c r="V965" s="42" t="str">
        <f>IFERROR(VLOOKUP($J965,'Project Reference'!$B$2:$I$41,8,FALSE)," ")</f>
        <v xml:space="preserve"> </v>
      </c>
      <c r="W965" s="42" t="str">
        <f>IFERROR(VLOOKUP($J965,'Project Reference'!$B$2:$J$41,9,FALSE)," ")</f>
        <v xml:space="preserve"> </v>
      </c>
      <c r="X965" s="42" t="str">
        <f>IFERROR(VLOOKUP($J965,'Project Reference'!$B$2:$K$41,10)," ")</f>
        <v xml:space="preserve"> </v>
      </c>
      <c r="Y965" s="42" t="str">
        <f>IFERROR(VLOOKUP($J965,'Project Reference'!$B$2:$L$41,11)," ")</f>
        <v xml:space="preserve"> </v>
      </c>
      <c r="Z965" s="42" t="str">
        <f>IFERROR(VLOOKUP($J965,'Project Reference'!$B$2:$M$41,12)," ")</f>
        <v xml:space="preserve"> </v>
      </c>
      <c r="AA965" s="42" t="str">
        <f>IFERROR(VLOOKUP($J965,'Project Reference'!$B$2:$N$41,13)," ")</f>
        <v xml:space="preserve"> </v>
      </c>
    </row>
    <row r="966" spans="1:27" x14ac:dyDescent="0.45">
      <c r="A966" s="43"/>
      <c r="B966" s="205"/>
      <c r="C966"/>
      <c r="D966" s="72"/>
      <c r="E966" s="72"/>
      <c r="F966" s="72"/>
      <c r="G966" s="72"/>
      <c r="H966" s="17"/>
      <c r="I966" s="41" t="str" cm="1">
        <f t="array" ref="I966">IFERROR(_xlfn.IFS(H966="Hard (Cash)","N/A",H966="Soft (In-Kind)", "Enter Source"),"Select Type")</f>
        <v>Select Type</v>
      </c>
      <c r="J966" s="124"/>
      <c r="K966" s="41" t="str">
        <f>IFERROR(VLOOKUP($J966,'Project Reference'!$S$2:$T$41,2),"Enter Project Number")</f>
        <v>Enter Project Number</v>
      </c>
      <c r="L966" s="41"/>
      <c r="M966" s="41"/>
      <c r="N966" s="15">
        <f t="shared" si="15"/>
        <v>0</v>
      </c>
      <c r="O966" s="19"/>
      <c r="P966" s="42" t="str">
        <f>IFERROR(VLOOKUP($J966,'Project Reference'!$B$2:$C$41,2)," ")</f>
        <v xml:space="preserve"> </v>
      </c>
      <c r="Q966" s="42" t="str">
        <f>IFERROR(VLOOKUP($J966,'Project Reference'!$B$2:$D$41,3)," ")</f>
        <v xml:space="preserve"> </v>
      </c>
      <c r="R966" s="42" t="str">
        <f>IFERROR(VLOOKUP($J966,'Project Reference'!$B$2:$E$41,4)," ")</f>
        <v xml:space="preserve"> </v>
      </c>
      <c r="S966" s="42" t="str">
        <f>IFERROR(VLOOKUP($J966,'Project Reference'!$B$2:$F$41,5,FALSE)," ")</f>
        <v xml:space="preserve"> </v>
      </c>
      <c r="T966" s="42" t="str">
        <f>IFERROR(VLOOKUP($J966,'Project Reference'!$B$2:$G$41,6,FALSE)," ")</f>
        <v xml:space="preserve"> </v>
      </c>
      <c r="U966" s="42" t="str">
        <f>IFERROR(VLOOKUP($J966,'Project Reference'!$B$2:$H$41,7,FALSE)," ")</f>
        <v xml:space="preserve"> </v>
      </c>
      <c r="V966" s="42" t="str">
        <f>IFERROR(VLOOKUP($J966,'Project Reference'!$B$2:$I$41,8,FALSE)," ")</f>
        <v xml:space="preserve"> </v>
      </c>
      <c r="W966" s="42" t="str">
        <f>IFERROR(VLOOKUP($J966,'Project Reference'!$B$2:$J$41,9,FALSE)," ")</f>
        <v xml:space="preserve"> </v>
      </c>
      <c r="X966" s="42" t="str">
        <f>IFERROR(VLOOKUP($J966,'Project Reference'!$B$2:$K$41,10)," ")</f>
        <v xml:space="preserve"> </v>
      </c>
      <c r="Y966" s="42" t="str">
        <f>IFERROR(VLOOKUP($J966,'Project Reference'!$B$2:$L$41,11)," ")</f>
        <v xml:space="preserve"> </v>
      </c>
      <c r="Z966" s="42" t="str">
        <f>IFERROR(VLOOKUP($J966,'Project Reference'!$B$2:$M$41,12)," ")</f>
        <v xml:space="preserve"> </v>
      </c>
      <c r="AA966" s="42" t="str">
        <f>IFERROR(VLOOKUP($J966,'Project Reference'!$B$2:$N$41,13)," ")</f>
        <v xml:space="preserve"> </v>
      </c>
    </row>
    <row r="967" spans="1:27" x14ac:dyDescent="0.45">
      <c r="A967" s="43"/>
      <c r="B967" s="205"/>
      <c r="C967"/>
      <c r="D967" s="72"/>
      <c r="E967" s="72"/>
      <c r="F967" s="72"/>
      <c r="G967" s="72"/>
      <c r="H967" s="17"/>
      <c r="I967" s="41" t="str" cm="1">
        <f t="array" ref="I967">IFERROR(_xlfn.IFS(H967="Hard (Cash)","N/A",H967="Soft (In-Kind)", "Enter Source"),"Select Type")</f>
        <v>Select Type</v>
      </c>
      <c r="J967" s="124"/>
      <c r="K967" s="41" t="str">
        <f>IFERROR(VLOOKUP($J967,'Project Reference'!$S$2:$T$41,2),"Enter Project Number")</f>
        <v>Enter Project Number</v>
      </c>
      <c r="L967" s="41"/>
      <c r="M967" s="41"/>
      <c r="N967" s="15">
        <f t="shared" si="15"/>
        <v>0</v>
      </c>
      <c r="O967" s="19"/>
      <c r="P967" s="42" t="str">
        <f>IFERROR(VLOOKUP($J967,'Project Reference'!$B$2:$C$41,2)," ")</f>
        <v xml:space="preserve"> </v>
      </c>
      <c r="Q967" s="42" t="str">
        <f>IFERROR(VLOOKUP($J967,'Project Reference'!$B$2:$D$41,3)," ")</f>
        <v xml:space="preserve"> </v>
      </c>
      <c r="R967" s="42" t="str">
        <f>IFERROR(VLOOKUP($J967,'Project Reference'!$B$2:$E$41,4)," ")</f>
        <v xml:space="preserve"> </v>
      </c>
      <c r="S967" s="42" t="str">
        <f>IFERROR(VLOOKUP($J967,'Project Reference'!$B$2:$F$41,5,FALSE)," ")</f>
        <v xml:space="preserve"> </v>
      </c>
      <c r="T967" s="42" t="str">
        <f>IFERROR(VLOOKUP($J967,'Project Reference'!$B$2:$G$41,6,FALSE)," ")</f>
        <v xml:space="preserve"> </v>
      </c>
      <c r="U967" s="42" t="str">
        <f>IFERROR(VLOOKUP($J967,'Project Reference'!$B$2:$H$41,7,FALSE)," ")</f>
        <v xml:space="preserve"> </v>
      </c>
      <c r="V967" s="42" t="str">
        <f>IFERROR(VLOOKUP($J967,'Project Reference'!$B$2:$I$41,8,FALSE)," ")</f>
        <v xml:space="preserve"> </v>
      </c>
      <c r="W967" s="42" t="str">
        <f>IFERROR(VLOOKUP($J967,'Project Reference'!$B$2:$J$41,9,FALSE)," ")</f>
        <v xml:space="preserve"> </v>
      </c>
      <c r="X967" s="42" t="str">
        <f>IFERROR(VLOOKUP($J967,'Project Reference'!$B$2:$K$41,10)," ")</f>
        <v xml:space="preserve"> </v>
      </c>
      <c r="Y967" s="42" t="str">
        <f>IFERROR(VLOOKUP($J967,'Project Reference'!$B$2:$L$41,11)," ")</f>
        <v xml:space="preserve"> </v>
      </c>
      <c r="Z967" s="42" t="str">
        <f>IFERROR(VLOOKUP($J967,'Project Reference'!$B$2:$M$41,12)," ")</f>
        <v xml:space="preserve"> </v>
      </c>
      <c r="AA967" s="42" t="str">
        <f>IFERROR(VLOOKUP($J967,'Project Reference'!$B$2:$N$41,13)," ")</f>
        <v xml:space="preserve"> </v>
      </c>
    </row>
    <row r="968" spans="1:27" x14ac:dyDescent="0.45">
      <c r="A968" s="43"/>
      <c r="B968" s="205"/>
      <c r="C968"/>
      <c r="D968" s="72"/>
      <c r="E968" s="72"/>
      <c r="F968" s="72"/>
      <c r="G968" s="72"/>
      <c r="H968" s="17"/>
      <c r="I968" s="41" t="str" cm="1">
        <f t="array" ref="I968">IFERROR(_xlfn.IFS(H968="Hard (Cash)","N/A",H968="Soft (In-Kind)", "Enter Source"),"Select Type")</f>
        <v>Select Type</v>
      </c>
      <c r="J968" s="124"/>
      <c r="K968" s="41" t="str">
        <f>IFERROR(VLOOKUP($J968,'Project Reference'!$S$2:$T$41,2),"Enter Project Number")</f>
        <v>Enter Project Number</v>
      </c>
      <c r="L968" s="41"/>
      <c r="M968" s="41"/>
      <c r="N968" s="15">
        <f t="shared" si="15"/>
        <v>0</v>
      </c>
      <c r="O968" s="19"/>
      <c r="P968" s="42" t="str">
        <f>IFERROR(VLOOKUP($J968,'Project Reference'!$B$2:$C$41,2)," ")</f>
        <v xml:space="preserve"> </v>
      </c>
      <c r="Q968" s="42" t="str">
        <f>IFERROR(VLOOKUP($J968,'Project Reference'!$B$2:$D$41,3)," ")</f>
        <v xml:space="preserve"> </v>
      </c>
      <c r="R968" s="42" t="str">
        <f>IFERROR(VLOOKUP($J968,'Project Reference'!$B$2:$E$41,4)," ")</f>
        <v xml:space="preserve"> </v>
      </c>
      <c r="S968" s="42" t="str">
        <f>IFERROR(VLOOKUP($J968,'Project Reference'!$B$2:$F$41,5,FALSE)," ")</f>
        <v xml:space="preserve"> </v>
      </c>
      <c r="T968" s="42" t="str">
        <f>IFERROR(VLOOKUP($J968,'Project Reference'!$B$2:$G$41,6,FALSE)," ")</f>
        <v xml:space="preserve"> </v>
      </c>
      <c r="U968" s="42" t="str">
        <f>IFERROR(VLOOKUP($J968,'Project Reference'!$B$2:$H$41,7,FALSE)," ")</f>
        <v xml:space="preserve"> </v>
      </c>
      <c r="V968" s="42" t="str">
        <f>IFERROR(VLOOKUP($J968,'Project Reference'!$B$2:$I$41,8,FALSE)," ")</f>
        <v xml:space="preserve"> </v>
      </c>
      <c r="W968" s="42" t="str">
        <f>IFERROR(VLOOKUP($J968,'Project Reference'!$B$2:$J$41,9,FALSE)," ")</f>
        <v xml:space="preserve"> </v>
      </c>
      <c r="X968" s="42" t="str">
        <f>IFERROR(VLOOKUP($J968,'Project Reference'!$B$2:$K$41,10)," ")</f>
        <v xml:space="preserve"> </v>
      </c>
      <c r="Y968" s="42" t="str">
        <f>IFERROR(VLOOKUP($J968,'Project Reference'!$B$2:$L$41,11)," ")</f>
        <v xml:space="preserve"> </v>
      </c>
      <c r="Z968" s="42" t="str">
        <f>IFERROR(VLOOKUP($J968,'Project Reference'!$B$2:$M$41,12)," ")</f>
        <v xml:space="preserve"> </v>
      </c>
      <c r="AA968" s="42" t="str">
        <f>IFERROR(VLOOKUP($J968,'Project Reference'!$B$2:$N$41,13)," ")</f>
        <v xml:space="preserve"> </v>
      </c>
    </row>
    <row r="969" spans="1:27" x14ac:dyDescent="0.45">
      <c r="A969" s="43"/>
      <c r="B969" s="205"/>
      <c r="C969"/>
      <c r="D969" s="72"/>
      <c r="E969" s="72"/>
      <c r="F969" s="72"/>
      <c r="G969" s="72"/>
      <c r="H969" s="17"/>
      <c r="I969" s="41" t="str" cm="1">
        <f t="array" ref="I969">IFERROR(_xlfn.IFS(H969="Hard (Cash)","N/A",H969="Soft (In-Kind)", "Enter Source"),"Select Type")</f>
        <v>Select Type</v>
      </c>
      <c r="J969" s="124"/>
      <c r="K969" s="41" t="str">
        <f>IFERROR(VLOOKUP($J969,'Project Reference'!$S$2:$T$41,2),"Enter Project Number")</f>
        <v>Enter Project Number</v>
      </c>
      <c r="L969" s="41"/>
      <c r="M969" s="41"/>
      <c r="N969" s="15">
        <f t="shared" si="15"/>
        <v>0</v>
      </c>
      <c r="O969" s="19"/>
      <c r="P969" s="42" t="str">
        <f>IFERROR(VLOOKUP($J969,'Project Reference'!$B$2:$C$41,2)," ")</f>
        <v xml:space="preserve"> </v>
      </c>
      <c r="Q969" s="42" t="str">
        <f>IFERROR(VLOOKUP($J969,'Project Reference'!$B$2:$D$41,3)," ")</f>
        <v xml:space="preserve"> </v>
      </c>
      <c r="R969" s="42" t="str">
        <f>IFERROR(VLOOKUP($J969,'Project Reference'!$B$2:$E$41,4)," ")</f>
        <v xml:space="preserve"> </v>
      </c>
      <c r="S969" s="42" t="str">
        <f>IFERROR(VLOOKUP($J969,'Project Reference'!$B$2:$F$41,5,FALSE)," ")</f>
        <v xml:space="preserve"> </v>
      </c>
      <c r="T969" s="42" t="str">
        <f>IFERROR(VLOOKUP($J969,'Project Reference'!$B$2:$G$41,6,FALSE)," ")</f>
        <v xml:space="preserve"> </v>
      </c>
      <c r="U969" s="42" t="str">
        <f>IFERROR(VLOOKUP($J969,'Project Reference'!$B$2:$H$41,7,FALSE)," ")</f>
        <v xml:space="preserve"> </v>
      </c>
      <c r="V969" s="42" t="str">
        <f>IFERROR(VLOOKUP($J969,'Project Reference'!$B$2:$I$41,8,FALSE)," ")</f>
        <v xml:space="preserve"> </v>
      </c>
      <c r="W969" s="42" t="str">
        <f>IFERROR(VLOOKUP($J969,'Project Reference'!$B$2:$J$41,9,FALSE)," ")</f>
        <v xml:space="preserve"> </v>
      </c>
      <c r="X969" s="42" t="str">
        <f>IFERROR(VLOOKUP($J969,'Project Reference'!$B$2:$K$41,10)," ")</f>
        <v xml:space="preserve"> </v>
      </c>
      <c r="Y969" s="42" t="str">
        <f>IFERROR(VLOOKUP($J969,'Project Reference'!$B$2:$L$41,11)," ")</f>
        <v xml:space="preserve"> </v>
      </c>
      <c r="Z969" s="42" t="str">
        <f>IFERROR(VLOOKUP($J969,'Project Reference'!$B$2:$M$41,12)," ")</f>
        <v xml:space="preserve"> </v>
      </c>
      <c r="AA969" s="42" t="str">
        <f>IFERROR(VLOOKUP($J969,'Project Reference'!$B$2:$N$41,13)," ")</f>
        <v xml:space="preserve"> </v>
      </c>
    </row>
    <row r="970" spans="1:27" x14ac:dyDescent="0.45">
      <c r="A970" s="43"/>
      <c r="B970" s="205"/>
      <c r="C970"/>
      <c r="D970" s="72"/>
      <c r="E970" s="72"/>
      <c r="F970" s="72"/>
      <c r="G970" s="72"/>
      <c r="H970" s="17"/>
      <c r="I970" s="41" t="str" cm="1">
        <f t="array" ref="I970">IFERROR(_xlfn.IFS(H970="Hard (Cash)","N/A",H970="Soft (In-Kind)", "Enter Source"),"Select Type")</f>
        <v>Select Type</v>
      </c>
      <c r="J970" s="124"/>
      <c r="K970" s="41" t="str">
        <f>IFERROR(VLOOKUP($J970,'Project Reference'!$S$2:$T$41,2),"Enter Project Number")</f>
        <v>Enter Project Number</v>
      </c>
      <c r="L970" s="41"/>
      <c r="M970" s="41"/>
      <c r="N970" s="15">
        <f t="shared" si="15"/>
        <v>0</v>
      </c>
      <c r="O970" s="19"/>
      <c r="P970" s="42" t="str">
        <f>IFERROR(VLOOKUP($J970,'Project Reference'!$B$2:$C$41,2)," ")</f>
        <v xml:space="preserve"> </v>
      </c>
      <c r="Q970" s="42" t="str">
        <f>IFERROR(VLOOKUP($J970,'Project Reference'!$B$2:$D$41,3)," ")</f>
        <v xml:space="preserve"> </v>
      </c>
      <c r="R970" s="42" t="str">
        <f>IFERROR(VLOOKUP($J970,'Project Reference'!$B$2:$E$41,4)," ")</f>
        <v xml:space="preserve"> </v>
      </c>
      <c r="S970" s="42" t="str">
        <f>IFERROR(VLOOKUP($J970,'Project Reference'!$B$2:$F$41,5,FALSE)," ")</f>
        <v xml:space="preserve"> </v>
      </c>
      <c r="T970" s="42" t="str">
        <f>IFERROR(VLOOKUP($J970,'Project Reference'!$B$2:$G$41,6,FALSE)," ")</f>
        <v xml:space="preserve"> </v>
      </c>
      <c r="U970" s="42" t="str">
        <f>IFERROR(VLOOKUP($J970,'Project Reference'!$B$2:$H$41,7,FALSE)," ")</f>
        <v xml:space="preserve"> </v>
      </c>
      <c r="V970" s="42" t="str">
        <f>IFERROR(VLOOKUP($J970,'Project Reference'!$B$2:$I$41,8,FALSE)," ")</f>
        <v xml:space="preserve"> </v>
      </c>
      <c r="W970" s="42" t="str">
        <f>IFERROR(VLOOKUP($J970,'Project Reference'!$B$2:$J$41,9,FALSE)," ")</f>
        <v xml:space="preserve"> </v>
      </c>
      <c r="X970" s="42" t="str">
        <f>IFERROR(VLOOKUP($J970,'Project Reference'!$B$2:$K$41,10)," ")</f>
        <v xml:space="preserve"> </v>
      </c>
      <c r="Y970" s="42" t="str">
        <f>IFERROR(VLOOKUP($J970,'Project Reference'!$B$2:$L$41,11)," ")</f>
        <v xml:space="preserve"> </v>
      </c>
      <c r="Z970" s="42" t="str">
        <f>IFERROR(VLOOKUP($J970,'Project Reference'!$B$2:$M$41,12)," ")</f>
        <v xml:space="preserve"> </v>
      </c>
      <c r="AA970" s="42" t="str">
        <f>IFERROR(VLOOKUP($J970,'Project Reference'!$B$2:$N$41,13)," ")</f>
        <v xml:space="preserve"> </v>
      </c>
    </row>
    <row r="971" spans="1:27" x14ac:dyDescent="0.45">
      <c r="A971" s="43"/>
      <c r="B971" s="205"/>
      <c r="C971"/>
      <c r="D971" s="72"/>
      <c r="E971" s="72"/>
      <c r="F971" s="72"/>
      <c r="G971" s="72"/>
      <c r="H971" s="17"/>
      <c r="I971" s="41" t="str" cm="1">
        <f t="array" ref="I971">IFERROR(_xlfn.IFS(H971="Hard (Cash)","N/A",H971="Soft (In-Kind)", "Enter Source"),"Select Type")</f>
        <v>Select Type</v>
      </c>
      <c r="J971" s="124"/>
      <c r="K971" s="41" t="str">
        <f>IFERROR(VLOOKUP($J971,'Project Reference'!$S$2:$T$41,2),"Enter Project Number")</f>
        <v>Enter Project Number</v>
      </c>
      <c r="L971" s="41"/>
      <c r="M971" s="41"/>
      <c r="N971" s="15">
        <f t="shared" si="15"/>
        <v>0</v>
      </c>
      <c r="O971" s="19"/>
      <c r="P971" s="42" t="str">
        <f>IFERROR(VLOOKUP($J971,'Project Reference'!$B$2:$C$41,2)," ")</f>
        <v xml:space="preserve"> </v>
      </c>
      <c r="Q971" s="42" t="str">
        <f>IFERROR(VLOOKUP($J971,'Project Reference'!$B$2:$D$41,3)," ")</f>
        <v xml:space="preserve"> </v>
      </c>
      <c r="R971" s="42" t="str">
        <f>IFERROR(VLOOKUP($J971,'Project Reference'!$B$2:$E$41,4)," ")</f>
        <v xml:space="preserve"> </v>
      </c>
      <c r="S971" s="42" t="str">
        <f>IFERROR(VLOOKUP($J971,'Project Reference'!$B$2:$F$41,5,FALSE)," ")</f>
        <v xml:space="preserve"> </v>
      </c>
      <c r="T971" s="42" t="str">
        <f>IFERROR(VLOOKUP($J971,'Project Reference'!$B$2:$G$41,6,FALSE)," ")</f>
        <v xml:space="preserve"> </v>
      </c>
      <c r="U971" s="42" t="str">
        <f>IFERROR(VLOOKUP($J971,'Project Reference'!$B$2:$H$41,7,FALSE)," ")</f>
        <v xml:space="preserve"> </v>
      </c>
      <c r="V971" s="42" t="str">
        <f>IFERROR(VLOOKUP($J971,'Project Reference'!$B$2:$I$41,8,FALSE)," ")</f>
        <v xml:space="preserve"> </v>
      </c>
      <c r="W971" s="42" t="str">
        <f>IFERROR(VLOOKUP($J971,'Project Reference'!$B$2:$J$41,9,FALSE)," ")</f>
        <v xml:space="preserve"> </v>
      </c>
      <c r="X971" s="42" t="str">
        <f>IFERROR(VLOOKUP($J971,'Project Reference'!$B$2:$K$41,10)," ")</f>
        <v xml:space="preserve"> </v>
      </c>
      <c r="Y971" s="42" t="str">
        <f>IFERROR(VLOOKUP($J971,'Project Reference'!$B$2:$L$41,11)," ")</f>
        <v xml:space="preserve"> </v>
      </c>
      <c r="Z971" s="42" t="str">
        <f>IFERROR(VLOOKUP($J971,'Project Reference'!$B$2:$M$41,12)," ")</f>
        <v xml:space="preserve"> </v>
      </c>
      <c r="AA971" s="42" t="str">
        <f>IFERROR(VLOOKUP($J971,'Project Reference'!$B$2:$N$41,13)," ")</f>
        <v xml:space="preserve"> </v>
      </c>
    </row>
    <row r="972" spans="1:27" x14ac:dyDescent="0.45">
      <c r="A972" s="43"/>
      <c r="B972" s="205"/>
      <c r="C972"/>
      <c r="D972" s="72"/>
      <c r="E972" s="72"/>
      <c r="F972" s="72"/>
      <c r="G972" s="72"/>
      <c r="H972" s="17"/>
      <c r="I972" s="41" t="str" cm="1">
        <f t="array" ref="I972">IFERROR(_xlfn.IFS(H972="Hard (Cash)","N/A",H972="Soft (In-Kind)", "Enter Source"),"Select Type")</f>
        <v>Select Type</v>
      </c>
      <c r="J972" s="124"/>
      <c r="K972" s="41" t="str">
        <f>IFERROR(VLOOKUP($J972,'Project Reference'!$S$2:$T$41,2),"Enter Project Number")</f>
        <v>Enter Project Number</v>
      </c>
      <c r="L972" s="41"/>
      <c r="M972" s="41"/>
      <c r="N972" s="15">
        <f t="shared" si="15"/>
        <v>0</v>
      </c>
      <c r="O972" s="19"/>
      <c r="P972" s="42" t="str">
        <f>IFERROR(VLOOKUP($J972,'Project Reference'!$B$2:$C$41,2)," ")</f>
        <v xml:space="preserve"> </v>
      </c>
      <c r="Q972" s="42" t="str">
        <f>IFERROR(VLOOKUP($J972,'Project Reference'!$B$2:$D$41,3)," ")</f>
        <v xml:space="preserve"> </v>
      </c>
      <c r="R972" s="42" t="str">
        <f>IFERROR(VLOOKUP($J972,'Project Reference'!$B$2:$E$41,4)," ")</f>
        <v xml:space="preserve"> </v>
      </c>
      <c r="S972" s="42" t="str">
        <f>IFERROR(VLOOKUP($J972,'Project Reference'!$B$2:$F$41,5,FALSE)," ")</f>
        <v xml:space="preserve"> </v>
      </c>
      <c r="T972" s="42" t="str">
        <f>IFERROR(VLOOKUP($J972,'Project Reference'!$B$2:$G$41,6,FALSE)," ")</f>
        <v xml:space="preserve"> </v>
      </c>
      <c r="U972" s="42" t="str">
        <f>IFERROR(VLOOKUP($J972,'Project Reference'!$B$2:$H$41,7,FALSE)," ")</f>
        <v xml:space="preserve"> </v>
      </c>
      <c r="V972" s="42" t="str">
        <f>IFERROR(VLOOKUP($J972,'Project Reference'!$B$2:$I$41,8,FALSE)," ")</f>
        <v xml:space="preserve"> </v>
      </c>
      <c r="W972" s="42" t="str">
        <f>IFERROR(VLOOKUP($J972,'Project Reference'!$B$2:$J$41,9,FALSE)," ")</f>
        <v xml:space="preserve"> </v>
      </c>
      <c r="X972" s="42" t="str">
        <f>IFERROR(VLOOKUP($J972,'Project Reference'!$B$2:$K$41,10)," ")</f>
        <v xml:space="preserve"> </v>
      </c>
      <c r="Y972" s="42" t="str">
        <f>IFERROR(VLOOKUP($J972,'Project Reference'!$B$2:$L$41,11)," ")</f>
        <v xml:space="preserve"> </v>
      </c>
      <c r="Z972" s="42" t="str">
        <f>IFERROR(VLOOKUP($J972,'Project Reference'!$B$2:$M$41,12)," ")</f>
        <v xml:space="preserve"> </v>
      </c>
      <c r="AA972" s="42" t="str">
        <f>IFERROR(VLOOKUP($J972,'Project Reference'!$B$2:$N$41,13)," ")</f>
        <v xml:space="preserve"> </v>
      </c>
    </row>
    <row r="973" spans="1:27" x14ac:dyDescent="0.45">
      <c r="A973" s="43"/>
      <c r="B973" s="205"/>
      <c r="C973"/>
      <c r="D973" s="72"/>
      <c r="E973" s="72"/>
      <c r="F973" s="72"/>
      <c r="G973" s="72"/>
      <c r="H973" s="17"/>
      <c r="I973" s="41" t="str" cm="1">
        <f t="array" ref="I973">IFERROR(_xlfn.IFS(H973="Hard (Cash)","N/A",H973="Soft (In-Kind)", "Enter Source"),"Select Type")</f>
        <v>Select Type</v>
      </c>
      <c r="J973" s="124"/>
      <c r="K973" s="41" t="str">
        <f>IFERROR(VLOOKUP($J973,'Project Reference'!$S$2:$T$41,2),"Enter Project Number")</f>
        <v>Enter Project Number</v>
      </c>
      <c r="L973" s="41"/>
      <c r="M973" s="41"/>
      <c r="N973" s="15">
        <f t="shared" si="15"/>
        <v>0</v>
      </c>
      <c r="O973" s="19"/>
      <c r="P973" s="42" t="str">
        <f>IFERROR(VLOOKUP($J973,'Project Reference'!$B$2:$C$41,2)," ")</f>
        <v xml:space="preserve"> </v>
      </c>
      <c r="Q973" s="42" t="str">
        <f>IFERROR(VLOOKUP($J973,'Project Reference'!$B$2:$D$41,3)," ")</f>
        <v xml:space="preserve"> </v>
      </c>
      <c r="R973" s="42" t="str">
        <f>IFERROR(VLOOKUP($J973,'Project Reference'!$B$2:$E$41,4)," ")</f>
        <v xml:space="preserve"> </v>
      </c>
      <c r="S973" s="42" t="str">
        <f>IFERROR(VLOOKUP($J973,'Project Reference'!$B$2:$F$41,5,FALSE)," ")</f>
        <v xml:space="preserve"> </v>
      </c>
      <c r="T973" s="42" t="str">
        <f>IFERROR(VLOOKUP($J973,'Project Reference'!$B$2:$G$41,6,FALSE)," ")</f>
        <v xml:space="preserve"> </v>
      </c>
      <c r="U973" s="42" t="str">
        <f>IFERROR(VLOOKUP($J973,'Project Reference'!$B$2:$H$41,7,FALSE)," ")</f>
        <v xml:space="preserve"> </v>
      </c>
      <c r="V973" s="42" t="str">
        <f>IFERROR(VLOOKUP($J973,'Project Reference'!$B$2:$I$41,8,FALSE)," ")</f>
        <v xml:space="preserve"> </v>
      </c>
      <c r="W973" s="42" t="str">
        <f>IFERROR(VLOOKUP($J973,'Project Reference'!$B$2:$J$41,9,FALSE)," ")</f>
        <v xml:space="preserve"> </v>
      </c>
      <c r="X973" s="42" t="str">
        <f>IFERROR(VLOOKUP($J973,'Project Reference'!$B$2:$K$41,10)," ")</f>
        <v xml:space="preserve"> </v>
      </c>
      <c r="Y973" s="42" t="str">
        <f>IFERROR(VLOOKUP($J973,'Project Reference'!$B$2:$L$41,11)," ")</f>
        <v xml:space="preserve"> </v>
      </c>
      <c r="Z973" s="42" t="str">
        <f>IFERROR(VLOOKUP($J973,'Project Reference'!$B$2:$M$41,12)," ")</f>
        <v xml:space="preserve"> </v>
      </c>
      <c r="AA973" s="42" t="str">
        <f>IFERROR(VLOOKUP($J973,'Project Reference'!$B$2:$N$41,13)," ")</f>
        <v xml:space="preserve"> </v>
      </c>
    </row>
    <row r="974" spans="1:27" x14ac:dyDescent="0.45">
      <c r="A974" s="43"/>
      <c r="B974" s="205"/>
      <c r="C974"/>
      <c r="D974" s="72"/>
      <c r="E974" s="72"/>
      <c r="F974" s="72"/>
      <c r="G974" s="72"/>
      <c r="H974" s="17"/>
      <c r="I974" s="41" t="str" cm="1">
        <f t="array" ref="I974">IFERROR(_xlfn.IFS(H974="Hard (Cash)","N/A",H974="Soft (In-Kind)", "Enter Source"),"Select Type")</f>
        <v>Select Type</v>
      </c>
      <c r="J974" s="124"/>
      <c r="K974" s="41" t="str">
        <f>IFERROR(VLOOKUP($J974,'Project Reference'!$S$2:$T$41,2),"Enter Project Number")</f>
        <v>Enter Project Number</v>
      </c>
      <c r="L974" s="41"/>
      <c r="M974" s="41"/>
      <c r="N974" s="15">
        <f t="shared" si="15"/>
        <v>0</v>
      </c>
      <c r="O974" s="19"/>
      <c r="P974" s="42" t="str">
        <f>IFERROR(VLOOKUP($J974,'Project Reference'!$B$2:$C$41,2)," ")</f>
        <v xml:space="preserve"> </v>
      </c>
      <c r="Q974" s="42" t="str">
        <f>IFERROR(VLOOKUP($J974,'Project Reference'!$B$2:$D$41,3)," ")</f>
        <v xml:space="preserve"> </v>
      </c>
      <c r="R974" s="42" t="str">
        <f>IFERROR(VLOOKUP($J974,'Project Reference'!$B$2:$E$41,4)," ")</f>
        <v xml:space="preserve"> </v>
      </c>
      <c r="S974" s="42" t="str">
        <f>IFERROR(VLOOKUP($J974,'Project Reference'!$B$2:$F$41,5,FALSE)," ")</f>
        <v xml:space="preserve"> </v>
      </c>
      <c r="T974" s="42" t="str">
        <f>IFERROR(VLOOKUP($J974,'Project Reference'!$B$2:$G$41,6,FALSE)," ")</f>
        <v xml:space="preserve"> </v>
      </c>
      <c r="U974" s="42" t="str">
        <f>IFERROR(VLOOKUP($J974,'Project Reference'!$B$2:$H$41,7,FALSE)," ")</f>
        <v xml:space="preserve"> </v>
      </c>
      <c r="V974" s="42" t="str">
        <f>IFERROR(VLOOKUP($J974,'Project Reference'!$B$2:$I$41,8,FALSE)," ")</f>
        <v xml:space="preserve"> </v>
      </c>
      <c r="W974" s="42" t="str">
        <f>IFERROR(VLOOKUP($J974,'Project Reference'!$B$2:$J$41,9,FALSE)," ")</f>
        <v xml:space="preserve"> </v>
      </c>
      <c r="X974" s="42" t="str">
        <f>IFERROR(VLOOKUP($J974,'Project Reference'!$B$2:$K$41,10)," ")</f>
        <v xml:space="preserve"> </v>
      </c>
      <c r="Y974" s="42" t="str">
        <f>IFERROR(VLOOKUP($J974,'Project Reference'!$B$2:$L$41,11)," ")</f>
        <v xml:space="preserve"> </v>
      </c>
      <c r="Z974" s="42" t="str">
        <f>IFERROR(VLOOKUP($J974,'Project Reference'!$B$2:$M$41,12)," ")</f>
        <v xml:space="preserve"> </v>
      </c>
      <c r="AA974" s="42" t="str">
        <f>IFERROR(VLOOKUP($J974,'Project Reference'!$B$2:$N$41,13)," ")</f>
        <v xml:space="preserve"> </v>
      </c>
    </row>
    <row r="975" spans="1:27" x14ac:dyDescent="0.45">
      <c r="A975" s="43"/>
      <c r="B975" s="205"/>
      <c r="C975"/>
      <c r="D975" s="72"/>
      <c r="E975" s="72"/>
      <c r="F975" s="72"/>
      <c r="G975" s="72"/>
      <c r="H975" s="17"/>
      <c r="I975" s="41" t="str" cm="1">
        <f t="array" ref="I975">IFERROR(_xlfn.IFS(H975="Hard (Cash)","N/A",H975="Soft (In-Kind)", "Enter Source"),"Select Type")</f>
        <v>Select Type</v>
      </c>
      <c r="J975" s="124"/>
      <c r="K975" s="41" t="str">
        <f>IFERROR(VLOOKUP($J975,'Project Reference'!$S$2:$T$41,2),"Enter Project Number")</f>
        <v>Enter Project Number</v>
      </c>
      <c r="L975" s="41"/>
      <c r="M975" s="41"/>
      <c r="N975" s="15">
        <f t="shared" si="15"/>
        <v>0</v>
      </c>
      <c r="O975" s="19"/>
      <c r="P975" s="42" t="str">
        <f>IFERROR(VLOOKUP($J975,'Project Reference'!$B$2:$C$41,2)," ")</f>
        <v xml:space="preserve"> </v>
      </c>
      <c r="Q975" s="42" t="str">
        <f>IFERROR(VLOOKUP($J975,'Project Reference'!$B$2:$D$41,3)," ")</f>
        <v xml:space="preserve"> </v>
      </c>
      <c r="R975" s="42" t="str">
        <f>IFERROR(VLOOKUP($J975,'Project Reference'!$B$2:$E$41,4)," ")</f>
        <v xml:space="preserve"> </v>
      </c>
      <c r="S975" s="42" t="str">
        <f>IFERROR(VLOOKUP($J975,'Project Reference'!$B$2:$F$41,5,FALSE)," ")</f>
        <v xml:space="preserve"> </v>
      </c>
      <c r="T975" s="42" t="str">
        <f>IFERROR(VLOOKUP($J975,'Project Reference'!$B$2:$G$41,6,FALSE)," ")</f>
        <v xml:space="preserve"> </v>
      </c>
      <c r="U975" s="42" t="str">
        <f>IFERROR(VLOOKUP($J975,'Project Reference'!$B$2:$H$41,7,FALSE)," ")</f>
        <v xml:space="preserve"> </v>
      </c>
      <c r="V975" s="42" t="str">
        <f>IFERROR(VLOOKUP($J975,'Project Reference'!$B$2:$I$41,8,FALSE)," ")</f>
        <v xml:space="preserve"> </v>
      </c>
      <c r="W975" s="42" t="str">
        <f>IFERROR(VLOOKUP($J975,'Project Reference'!$B$2:$J$41,9,FALSE)," ")</f>
        <v xml:space="preserve"> </v>
      </c>
      <c r="X975" s="42" t="str">
        <f>IFERROR(VLOOKUP($J975,'Project Reference'!$B$2:$K$41,10)," ")</f>
        <v xml:space="preserve"> </v>
      </c>
      <c r="Y975" s="42" t="str">
        <f>IFERROR(VLOOKUP($J975,'Project Reference'!$B$2:$L$41,11)," ")</f>
        <v xml:space="preserve"> </v>
      </c>
      <c r="Z975" s="42" t="str">
        <f>IFERROR(VLOOKUP($J975,'Project Reference'!$B$2:$M$41,12)," ")</f>
        <v xml:space="preserve"> </v>
      </c>
      <c r="AA975" s="42" t="str">
        <f>IFERROR(VLOOKUP($J975,'Project Reference'!$B$2:$N$41,13)," ")</f>
        <v xml:space="preserve"> </v>
      </c>
    </row>
    <row r="976" spans="1:27" x14ac:dyDescent="0.45">
      <c r="A976" s="43"/>
      <c r="B976" s="205"/>
      <c r="C976"/>
      <c r="D976" s="72"/>
      <c r="E976" s="72"/>
      <c r="F976" s="72"/>
      <c r="G976" s="72"/>
      <c r="H976" s="17"/>
      <c r="I976" s="41" t="str" cm="1">
        <f t="array" ref="I976">IFERROR(_xlfn.IFS(H976="Hard (Cash)","N/A",H976="Soft (In-Kind)", "Enter Source"),"Select Type")</f>
        <v>Select Type</v>
      </c>
      <c r="J976" s="124"/>
      <c r="K976" s="41" t="str">
        <f>IFERROR(VLOOKUP($J976,'Project Reference'!$S$2:$T$41,2),"Enter Project Number")</f>
        <v>Enter Project Number</v>
      </c>
      <c r="L976" s="41"/>
      <c r="M976" s="41"/>
      <c r="N976" s="15">
        <f t="shared" si="15"/>
        <v>0</v>
      </c>
      <c r="O976" s="19"/>
      <c r="P976" s="42" t="str">
        <f>IFERROR(VLOOKUP($J976,'Project Reference'!$B$2:$C$41,2)," ")</f>
        <v xml:space="preserve"> </v>
      </c>
      <c r="Q976" s="42" t="str">
        <f>IFERROR(VLOOKUP($J976,'Project Reference'!$B$2:$D$41,3)," ")</f>
        <v xml:space="preserve"> </v>
      </c>
      <c r="R976" s="42" t="str">
        <f>IFERROR(VLOOKUP($J976,'Project Reference'!$B$2:$E$41,4)," ")</f>
        <v xml:space="preserve"> </v>
      </c>
      <c r="S976" s="42" t="str">
        <f>IFERROR(VLOOKUP($J976,'Project Reference'!$B$2:$F$41,5,FALSE)," ")</f>
        <v xml:space="preserve"> </v>
      </c>
      <c r="T976" s="42" t="str">
        <f>IFERROR(VLOOKUP($J976,'Project Reference'!$B$2:$G$41,6,FALSE)," ")</f>
        <v xml:space="preserve"> </v>
      </c>
      <c r="U976" s="42" t="str">
        <f>IFERROR(VLOOKUP($J976,'Project Reference'!$B$2:$H$41,7,FALSE)," ")</f>
        <v xml:space="preserve"> </v>
      </c>
      <c r="V976" s="42" t="str">
        <f>IFERROR(VLOOKUP($J976,'Project Reference'!$B$2:$I$41,8,FALSE)," ")</f>
        <v xml:space="preserve"> </v>
      </c>
      <c r="W976" s="42" t="str">
        <f>IFERROR(VLOOKUP($J976,'Project Reference'!$B$2:$J$41,9,FALSE)," ")</f>
        <v xml:space="preserve"> </v>
      </c>
      <c r="X976" s="42" t="str">
        <f>IFERROR(VLOOKUP($J976,'Project Reference'!$B$2:$K$41,10)," ")</f>
        <v xml:space="preserve"> </v>
      </c>
      <c r="Y976" s="42" t="str">
        <f>IFERROR(VLOOKUP($J976,'Project Reference'!$B$2:$L$41,11)," ")</f>
        <v xml:space="preserve"> </v>
      </c>
      <c r="Z976" s="42" t="str">
        <f>IFERROR(VLOOKUP($J976,'Project Reference'!$B$2:$M$41,12)," ")</f>
        <v xml:space="preserve"> </v>
      </c>
      <c r="AA976" s="42" t="str">
        <f>IFERROR(VLOOKUP($J976,'Project Reference'!$B$2:$N$41,13)," ")</f>
        <v xml:space="preserve"> </v>
      </c>
    </row>
    <row r="977" spans="1:27" x14ac:dyDescent="0.45">
      <c r="A977" s="43"/>
      <c r="B977" s="205"/>
      <c r="C977"/>
      <c r="D977" s="72"/>
      <c r="E977" s="72"/>
      <c r="F977" s="72"/>
      <c r="G977" s="72"/>
      <c r="H977" s="17"/>
      <c r="I977" s="41" t="str" cm="1">
        <f t="array" ref="I977">IFERROR(_xlfn.IFS(H977="Hard (Cash)","N/A",H977="Soft (In-Kind)", "Enter Source"),"Select Type")</f>
        <v>Select Type</v>
      </c>
      <c r="J977" s="124"/>
      <c r="K977" s="41" t="str">
        <f>IFERROR(VLOOKUP($J977,'Project Reference'!$S$2:$T$41,2),"Enter Project Number")</f>
        <v>Enter Project Number</v>
      </c>
      <c r="L977" s="41"/>
      <c r="M977" s="41"/>
      <c r="N977" s="15">
        <f t="shared" si="15"/>
        <v>0</v>
      </c>
      <c r="O977" s="19"/>
      <c r="P977" s="42" t="str">
        <f>IFERROR(VLOOKUP($J977,'Project Reference'!$B$2:$C$41,2)," ")</f>
        <v xml:space="preserve"> </v>
      </c>
      <c r="Q977" s="42" t="str">
        <f>IFERROR(VLOOKUP($J977,'Project Reference'!$B$2:$D$41,3)," ")</f>
        <v xml:space="preserve"> </v>
      </c>
      <c r="R977" s="42" t="str">
        <f>IFERROR(VLOOKUP($J977,'Project Reference'!$B$2:$E$41,4)," ")</f>
        <v xml:space="preserve"> </v>
      </c>
      <c r="S977" s="42" t="str">
        <f>IFERROR(VLOOKUP($J977,'Project Reference'!$B$2:$F$41,5,FALSE)," ")</f>
        <v xml:space="preserve"> </v>
      </c>
      <c r="T977" s="42" t="str">
        <f>IFERROR(VLOOKUP($J977,'Project Reference'!$B$2:$G$41,6,FALSE)," ")</f>
        <v xml:space="preserve"> </v>
      </c>
      <c r="U977" s="42" t="str">
        <f>IFERROR(VLOOKUP($J977,'Project Reference'!$B$2:$H$41,7,FALSE)," ")</f>
        <v xml:space="preserve"> </v>
      </c>
      <c r="V977" s="42" t="str">
        <f>IFERROR(VLOOKUP($J977,'Project Reference'!$B$2:$I$41,8,FALSE)," ")</f>
        <v xml:space="preserve"> </v>
      </c>
      <c r="W977" s="42" t="str">
        <f>IFERROR(VLOOKUP($J977,'Project Reference'!$B$2:$J$41,9,FALSE)," ")</f>
        <v xml:space="preserve"> </v>
      </c>
      <c r="X977" s="42" t="str">
        <f>IFERROR(VLOOKUP($J977,'Project Reference'!$B$2:$K$41,10)," ")</f>
        <v xml:space="preserve"> </v>
      </c>
      <c r="Y977" s="42" t="str">
        <f>IFERROR(VLOOKUP($J977,'Project Reference'!$B$2:$L$41,11)," ")</f>
        <v xml:space="preserve"> </v>
      </c>
      <c r="Z977" s="42" t="str">
        <f>IFERROR(VLOOKUP($J977,'Project Reference'!$B$2:$M$41,12)," ")</f>
        <v xml:space="preserve"> </v>
      </c>
      <c r="AA977" s="42" t="str">
        <f>IFERROR(VLOOKUP($J977,'Project Reference'!$B$2:$N$41,13)," ")</f>
        <v xml:space="preserve"> </v>
      </c>
    </row>
    <row r="978" spans="1:27" x14ac:dyDescent="0.45">
      <c r="A978" s="43"/>
      <c r="B978" s="205"/>
      <c r="C978"/>
      <c r="D978" s="72"/>
      <c r="E978" s="72"/>
      <c r="F978" s="72"/>
      <c r="G978" s="72"/>
      <c r="H978" s="17"/>
      <c r="I978" s="41" t="str" cm="1">
        <f t="array" ref="I978">IFERROR(_xlfn.IFS(H978="Hard (Cash)","N/A",H978="Soft (In-Kind)", "Enter Source"),"Select Type")</f>
        <v>Select Type</v>
      </c>
      <c r="J978" s="124"/>
      <c r="K978" s="41" t="str">
        <f>IFERROR(VLOOKUP($J978,'Project Reference'!$S$2:$T$41,2),"Enter Project Number")</f>
        <v>Enter Project Number</v>
      </c>
      <c r="L978" s="41"/>
      <c r="M978" s="41"/>
      <c r="N978" s="15">
        <f t="shared" si="15"/>
        <v>0</v>
      </c>
      <c r="O978" s="19"/>
      <c r="P978" s="42" t="str">
        <f>IFERROR(VLOOKUP($J978,'Project Reference'!$B$2:$C$41,2)," ")</f>
        <v xml:space="preserve"> </v>
      </c>
      <c r="Q978" s="42" t="str">
        <f>IFERROR(VLOOKUP($J978,'Project Reference'!$B$2:$D$41,3)," ")</f>
        <v xml:space="preserve"> </v>
      </c>
      <c r="R978" s="42" t="str">
        <f>IFERROR(VLOOKUP($J978,'Project Reference'!$B$2:$E$41,4)," ")</f>
        <v xml:space="preserve"> </v>
      </c>
      <c r="S978" s="42" t="str">
        <f>IFERROR(VLOOKUP($J978,'Project Reference'!$B$2:$F$41,5,FALSE)," ")</f>
        <v xml:space="preserve"> </v>
      </c>
      <c r="T978" s="42" t="str">
        <f>IFERROR(VLOOKUP($J978,'Project Reference'!$B$2:$G$41,6,FALSE)," ")</f>
        <v xml:space="preserve"> </v>
      </c>
      <c r="U978" s="42" t="str">
        <f>IFERROR(VLOOKUP($J978,'Project Reference'!$B$2:$H$41,7,FALSE)," ")</f>
        <v xml:space="preserve"> </v>
      </c>
      <c r="V978" s="42" t="str">
        <f>IFERROR(VLOOKUP($J978,'Project Reference'!$B$2:$I$41,8,FALSE)," ")</f>
        <v xml:space="preserve"> </v>
      </c>
      <c r="W978" s="42" t="str">
        <f>IFERROR(VLOOKUP($J978,'Project Reference'!$B$2:$J$41,9,FALSE)," ")</f>
        <v xml:space="preserve"> </v>
      </c>
      <c r="X978" s="42" t="str">
        <f>IFERROR(VLOOKUP($J978,'Project Reference'!$B$2:$K$41,10)," ")</f>
        <v xml:space="preserve"> </v>
      </c>
      <c r="Y978" s="42" t="str">
        <f>IFERROR(VLOOKUP($J978,'Project Reference'!$B$2:$L$41,11)," ")</f>
        <v xml:space="preserve"> </v>
      </c>
      <c r="Z978" s="42" t="str">
        <f>IFERROR(VLOOKUP($J978,'Project Reference'!$B$2:$M$41,12)," ")</f>
        <v xml:space="preserve"> </v>
      </c>
      <c r="AA978" s="42" t="str">
        <f>IFERROR(VLOOKUP($J978,'Project Reference'!$B$2:$N$41,13)," ")</f>
        <v xml:space="preserve"> </v>
      </c>
    </row>
    <row r="979" spans="1:27" x14ac:dyDescent="0.45">
      <c r="A979" s="43"/>
      <c r="B979" s="205"/>
      <c r="C979"/>
      <c r="D979" s="72"/>
      <c r="E979" s="72"/>
      <c r="F979" s="72"/>
      <c r="G979" s="72"/>
      <c r="H979" s="17"/>
      <c r="I979" s="41" t="str" cm="1">
        <f t="array" ref="I979">IFERROR(_xlfn.IFS(H979="Hard (Cash)","N/A",H979="Soft (In-Kind)", "Enter Source"),"Select Type")</f>
        <v>Select Type</v>
      </c>
      <c r="J979" s="124"/>
      <c r="K979" s="41" t="str">
        <f>IFERROR(VLOOKUP($J979,'Project Reference'!$S$2:$T$41,2),"Enter Project Number")</f>
        <v>Enter Project Number</v>
      </c>
      <c r="L979" s="41"/>
      <c r="M979" s="41"/>
      <c r="N979" s="15">
        <f t="shared" si="15"/>
        <v>0</v>
      </c>
      <c r="O979" s="19"/>
      <c r="P979" s="42" t="str">
        <f>IFERROR(VLOOKUP($J979,'Project Reference'!$B$2:$C$41,2)," ")</f>
        <v xml:space="preserve"> </v>
      </c>
      <c r="Q979" s="42" t="str">
        <f>IFERROR(VLOOKUP($J979,'Project Reference'!$B$2:$D$41,3)," ")</f>
        <v xml:space="preserve"> </v>
      </c>
      <c r="R979" s="42" t="str">
        <f>IFERROR(VLOOKUP($J979,'Project Reference'!$B$2:$E$41,4)," ")</f>
        <v xml:space="preserve"> </v>
      </c>
      <c r="S979" s="42" t="str">
        <f>IFERROR(VLOOKUP($J979,'Project Reference'!$B$2:$F$41,5,FALSE)," ")</f>
        <v xml:space="preserve"> </v>
      </c>
      <c r="T979" s="42" t="str">
        <f>IFERROR(VLOOKUP($J979,'Project Reference'!$B$2:$G$41,6,FALSE)," ")</f>
        <v xml:space="preserve"> </v>
      </c>
      <c r="U979" s="42" t="str">
        <f>IFERROR(VLOOKUP($J979,'Project Reference'!$B$2:$H$41,7,FALSE)," ")</f>
        <v xml:space="preserve"> </v>
      </c>
      <c r="V979" s="42" t="str">
        <f>IFERROR(VLOOKUP($J979,'Project Reference'!$B$2:$I$41,8,FALSE)," ")</f>
        <v xml:space="preserve"> </v>
      </c>
      <c r="W979" s="42" t="str">
        <f>IFERROR(VLOOKUP($J979,'Project Reference'!$B$2:$J$41,9,FALSE)," ")</f>
        <v xml:space="preserve"> </v>
      </c>
      <c r="X979" s="42" t="str">
        <f>IFERROR(VLOOKUP($J979,'Project Reference'!$B$2:$K$41,10)," ")</f>
        <v xml:space="preserve"> </v>
      </c>
      <c r="Y979" s="42" t="str">
        <f>IFERROR(VLOOKUP($J979,'Project Reference'!$B$2:$L$41,11)," ")</f>
        <v xml:space="preserve"> </v>
      </c>
      <c r="Z979" s="42" t="str">
        <f>IFERROR(VLOOKUP($J979,'Project Reference'!$B$2:$M$41,12)," ")</f>
        <v xml:space="preserve"> </v>
      </c>
      <c r="AA979" s="42" t="str">
        <f>IFERROR(VLOOKUP($J979,'Project Reference'!$B$2:$N$41,13)," ")</f>
        <v xml:space="preserve"> </v>
      </c>
    </row>
    <row r="980" spans="1:27" x14ac:dyDescent="0.45">
      <c r="A980" s="43"/>
      <c r="B980" s="205"/>
      <c r="C980"/>
      <c r="D980" s="72"/>
      <c r="E980" s="72"/>
      <c r="F980" s="72"/>
      <c r="G980" s="72"/>
      <c r="H980" s="17"/>
      <c r="I980" s="41" t="str" cm="1">
        <f t="array" ref="I980">IFERROR(_xlfn.IFS(H980="Hard (Cash)","N/A",H980="Soft (In-Kind)", "Enter Source"),"Select Type")</f>
        <v>Select Type</v>
      </c>
      <c r="J980" s="124"/>
      <c r="K980" s="41" t="str">
        <f>IFERROR(VLOOKUP($J980,'Project Reference'!$S$2:$T$41,2),"Enter Project Number")</f>
        <v>Enter Project Number</v>
      </c>
      <c r="L980" s="41"/>
      <c r="M980" s="41"/>
      <c r="N980" s="15">
        <f t="shared" si="15"/>
        <v>0</v>
      </c>
      <c r="O980" s="19"/>
      <c r="P980" s="42" t="str">
        <f>IFERROR(VLOOKUP($J980,'Project Reference'!$B$2:$C$41,2)," ")</f>
        <v xml:space="preserve"> </v>
      </c>
      <c r="Q980" s="42" t="str">
        <f>IFERROR(VLOOKUP($J980,'Project Reference'!$B$2:$D$41,3)," ")</f>
        <v xml:space="preserve"> </v>
      </c>
      <c r="R980" s="42" t="str">
        <f>IFERROR(VLOOKUP($J980,'Project Reference'!$B$2:$E$41,4)," ")</f>
        <v xml:space="preserve"> </v>
      </c>
      <c r="S980" s="42" t="str">
        <f>IFERROR(VLOOKUP($J980,'Project Reference'!$B$2:$F$41,5,FALSE)," ")</f>
        <v xml:space="preserve"> </v>
      </c>
      <c r="T980" s="42" t="str">
        <f>IFERROR(VLOOKUP($J980,'Project Reference'!$B$2:$G$41,6,FALSE)," ")</f>
        <v xml:space="preserve"> </v>
      </c>
      <c r="U980" s="42" t="str">
        <f>IFERROR(VLOOKUP($J980,'Project Reference'!$B$2:$H$41,7,FALSE)," ")</f>
        <v xml:space="preserve"> </v>
      </c>
      <c r="V980" s="42" t="str">
        <f>IFERROR(VLOOKUP($J980,'Project Reference'!$B$2:$I$41,8,FALSE)," ")</f>
        <v xml:space="preserve"> </v>
      </c>
      <c r="W980" s="42" t="str">
        <f>IFERROR(VLOOKUP($J980,'Project Reference'!$B$2:$J$41,9,FALSE)," ")</f>
        <v xml:space="preserve"> </v>
      </c>
      <c r="X980" s="42" t="str">
        <f>IFERROR(VLOOKUP($J980,'Project Reference'!$B$2:$K$41,10)," ")</f>
        <v xml:space="preserve"> </v>
      </c>
      <c r="Y980" s="42" t="str">
        <f>IFERROR(VLOOKUP($J980,'Project Reference'!$B$2:$L$41,11)," ")</f>
        <v xml:space="preserve"> </v>
      </c>
      <c r="Z980" s="42" t="str">
        <f>IFERROR(VLOOKUP($J980,'Project Reference'!$B$2:$M$41,12)," ")</f>
        <v xml:space="preserve"> </v>
      </c>
      <c r="AA980" s="42" t="str">
        <f>IFERROR(VLOOKUP($J980,'Project Reference'!$B$2:$N$41,13)," ")</f>
        <v xml:space="preserve"> </v>
      </c>
    </row>
    <row r="981" spans="1:27" x14ac:dyDescent="0.45">
      <c r="A981" s="43"/>
      <c r="B981" s="205"/>
      <c r="C981"/>
      <c r="D981" s="72"/>
      <c r="E981" s="72"/>
      <c r="F981" s="72"/>
      <c r="G981" s="72"/>
      <c r="H981" s="17"/>
      <c r="I981" s="41" t="str" cm="1">
        <f t="array" ref="I981">IFERROR(_xlfn.IFS(H981="Hard (Cash)","N/A",H981="Soft (In-Kind)", "Enter Source"),"Select Type")</f>
        <v>Select Type</v>
      </c>
      <c r="J981" s="124"/>
      <c r="K981" s="41" t="str">
        <f>IFERROR(VLOOKUP($J981,'Project Reference'!$S$2:$T$41,2),"Enter Project Number")</f>
        <v>Enter Project Number</v>
      </c>
      <c r="L981" s="41"/>
      <c r="M981" s="41"/>
      <c r="N981" s="15">
        <f t="shared" si="15"/>
        <v>0</v>
      </c>
      <c r="O981" s="19"/>
      <c r="P981" s="42" t="str">
        <f>IFERROR(VLOOKUP($J981,'Project Reference'!$B$2:$C$41,2)," ")</f>
        <v xml:space="preserve"> </v>
      </c>
      <c r="Q981" s="42" t="str">
        <f>IFERROR(VLOOKUP($J981,'Project Reference'!$B$2:$D$41,3)," ")</f>
        <v xml:space="preserve"> </v>
      </c>
      <c r="R981" s="42" t="str">
        <f>IFERROR(VLOOKUP($J981,'Project Reference'!$B$2:$E$41,4)," ")</f>
        <v xml:space="preserve"> </v>
      </c>
      <c r="S981" s="42" t="str">
        <f>IFERROR(VLOOKUP($J981,'Project Reference'!$B$2:$F$41,5,FALSE)," ")</f>
        <v xml:space="preserve"> </v>
      </c>
      <c r="T981" s="42" t="str">
        <f>IFERROR(VLOOKUP($J981,'Project Reference'!$B$2:$G$41,6,FALSE)," ")</f>
        <v xml:space="preserve"> </v>
      </c>
      <c r="U981" s="42" t="str">
        <f>IFERROR(VLOOKUP($J981,'Project Reference'!$B$2:$H$41,7,FALSE)," ")</f>
        <v xml:space="preserve"> </v>
      </c>
      <c r="V981" s="42" t="str">
        <f>IFERROR(VLOOKUP($J981,'Project Reference'!$B$2:$I$41,8,FALSE)," ")</f>
        <v xml:space="preserve"> </v>
      </c>
      <c r="W981" s="42" t="str">
        <f>IFERROR(VLOOKUP($J981,'Project Reference'!$B$2:$J$41,9,FALSE)," ")</f>
        <v xml:space="preserve"> </v>
      </c>
      <c r="X981" s="42" t="str">
        <f>IFERROR(VLOOKUP($J981,'Project Reference'!$B$2:$K$41,10)," ")</f>
        <v xml:space="preserve"> </v>
      </c>
      <c r="Y981" s="42" t="str">
        <f>IFERROR(VLOOKUP($J981,'Project Reference'!$B$2:$L$41,11)," ")</f>
        <v xml:space="preserve"> </v>
      </c>
      <c r="Z981" s="42" t="str">
        <f>IFERROR(VLOOKUP($J981,'Project Reference'!$B$2:$M$41,12)," ")</f>
        <v xml:space="preserve"> </v>
      </c>
      <c r="AA981" s="42" t="str">
        <f>IFERROR(VLOOKUP($J981,'Project Reference'!$B$2:$N$41,13)," ")</f>
        <v xml:space="preserve"> </v>
      </c>
    </row>
    <row r="982" spans="1:27" x14ac:dyDescent="0.45">
      <c r="A982" s="43"/>
      <c r="B982" s="205"/>
      <c r="C982"/>
      <c r="D982" s="72"/>
      <c r="E982" s="72"/>
      <c r="F982" s="72"/>
      <c r="G982" s="72"/>
      <c r="H982" s="17"/>
      <c r="I982" s="41" t="str" cm="1">
        <f t="array" ref="I982">IFERROR(_xlfn.IFS(H982="Hard (Cash)","N/A",H982="Soft (In-Kind)", "Enter Source"),"Select Type")</f>
        <v>Select Type</v>
      </c>
      <c r="J982" s="124"/>
      <c r="K982" s="41" t="str">
        <f>IFERROR(VLOOKUP($J982,'Project Reference'!$S$2:$T$41,2),"Enter Project Number")</f>
        <v>Enter Project Number</v>
      </c>
      <c r="L982" s="41"/>
      <c r="M982" s="41"/>
      <c r="N982" s="15">
        <f t="shared" si="15"/>
        <v>0</v>
      </c>
      <c r="O982" s="19"/>
      <c r="P982" s="42" t="str">
        <f>IFERROR(VLOOKUP($J982,'Project Reference'!$B$2:$C$41,2)," ")</f>
        <v xml:space="preserve"> </v>
      </c>
      <c r="Q982" s="42" t="str">
        <f>IFERROR(VLOOKUP($J982,'Project Reference'!$B$2:$D$41,3)," ")</f>
        <v xml:space="preserve"> </v>
      </c>
      <c r="R982" s="42" t="str">
        <f>IFERROR(VLOOKUP($J982,'Project Reference'!$B$2:$E$41,4)," ")</f>
        <v xml:space="preserve"> </v>
      </c>
      <c r="S982" s="42" t="str">
        <f>IFERROR(VLOOKUP($J982,'Project Reference'!$B$2:$F$41,5,FALSE)," ")</f>
        <v xml:space="preserve"> </v>
      </c>
      <c r="T982" s="42" t="str">
        <f>IFERROR(VLOOKUP($J982,'Project Reference'!$B$2:$G$41,6,FALSE)," ")</f>
        <v xml:space="preserve"> </v>
      </c>
      <c r="U982" s="42" t="str">
        <f>IFERROR(VLOOKUP($J982,'Project Reference'!$B$2:$H$41,7,FALSE)," ")</f>
        <v xml:space="preserve"> </v>
      </c>
      <c r="V982" s="42" t="str">
        <f>IFERROR(VLOOKUP($J982,'Project Reference'!$B$2:$I$41,8,FALSE)," ")</f>
        <v xml:space="preserve"> </v>
      </c>
      <c r="W982" s="42" t="str">
        <f>IFERROR(VLOOKUP($J982,'Project Reference'!$B$2:$J$41,9,FALSE)," ")</f>
        <v xml:space="preserve"> </v>
      </c>
      <c r="X982" s="42" t="str">
        <f>IFERROR(VLOOKUP($J982,'Project Reference'!$B$2:$K$41,10)," ")</f>
        <v xml:space="preserve"> </v>
      </c>
      <c r="Y982" s="42" t="str">
        <f>IFERROR(VLOOKUP($J982,'Project Reference'!$B$2:$L$41,11)," ")</f>
        <v xml:space="preserve"> </v>
      </c>
      <c r="Z982" s="42" t="str">
        <f>IFERROR(VLOOKUP($J982,'Project Reference'!$B$2:$M$41,12)," ")</f>
        <v xml:space="preserve"> </v>
      </c>
      <c r="AA982" s="42" t="str">
        <f>IFERROR(VLOOKUP($J982,'Project Reference'!$B$2:$N$41,13)," ")</f>
        <v xml:space="preserve"> </v>
      </c>
    </row>
    <row r="983" spans="1:27" x14ac:dyDescent="0.45">
      <c r="A983" s="43"/>
      <c r="B983" s="205"/>
      <c r="C983"/>
      <c r="D983" s="72"/>
      <c r="E983" s="72"/>
      <c r="F983" s="72"/>
      <c r="G983" s="72"/>
      <c r="H983" s="17"/>
      <c r="I983" s="41" t="str" cm="1">
        <f t="array" ref="I983">IFERROR(_xlfn.IFS(H983="Hard (Cash)","N/A",H983="Soft (In-Kind)", "Enter Source"),"Select Type")</f>
        <v>Select Type</v>
      </c>
      <c r="J983" s="124"/>
      <c r="K983" s="41" t="str">
        <f>IFERROR(VLOOKUP($J983,'Project Reference'!$S$2:$T$41,2),"Enter Project Number")</f>
        <v>Enter Project Number</v>
      </c>
      <c r="L983" s="41"/>
      <c r="M983" s="41"/>
      <c r="N983" s="15">
        <f t="shared" si="15"/>
        <v>0</v>
      </c>
      <c r="O983" s="19"/>
      <c r="P983" s="42" t="str">
        <f>IFERROR(VLOOKUP($J983,'Project Reference'!$B$2:$C$41,2)," ")</f>
        <v xml:space="preserve"> </v>
      </c>
      <c r="Q983" s="42" t="str">
        <f>IFERROR(VLOOKUP($J983,'Project Reference'!$B$2:$D$41,3)," ")</f>
        <v xml:space="preserve"> </v>
      </c>
      <c r="R983" s="42" t="str">
        <f>IFERROR(VLOOKUP($J983,'Project Reference'!$B$2:$E$41,4)," ")</f>
        <v xml:space="preserve"> </v>
      </c>
      <c r="S983" s="42" t="str">
        <f>IFERROR(VLOOKUP($J983,'Project Reference'!$B$2:$F$41,5,FALSE)," ")</f>
        <v xml:space="preserve"> </v>
      </c>
      <c r="T983" s="42" t="str">
        <f>IFERROR(VLOOKUP($J983,'Project Reference'!$B$2:$G$41,6,FALSE)," ")</f>
        <v xml:space="preserve"> </v>
      </c>
      <c r="U983" s="42" t="str">
        <f>IFERROR(VLOOKUP($J983,'Project Reference'!$B$2:$H$41,7,FALSE)," ")</f>
        <v xml:space="preserve"> </v>
      </c>
      <c r="V983" s="42" t="str">
        <f>IFERROR(VLOOKUP($J983,'Project Reference'!$B$2:$I$41,8,FALSE)," ")</f>
        <v xml:space="preserve"> </v>
      </c>
      <c r="W983" s="42" t="str">
        <f>IFERROR(VLOOKUP($J983,'Project Reference'!$B$2:$J$41,9,FALSE)," ")</f>
        <v xml:space="preserve"> </v>
      </c>
      <c r="X983" s="42" t="str">
        <f>IFERROR(VLOOKUP($J983,'Project Reference'!$B$2:$K$41,10)," ")</f>
        <v xml:space="preserve"> </v>
      </c>
      <c r="Y983" s="42" t="str">
        <f>IFERROR(VLOOKUP($J983,'Project Reference'!$B$2:$L$41,11)," ")</f>
        <v xml:space="preserve"> </v>
      </c>
      <c r="Z983" s="42" t="str">
        <f>IFERROR(VLOOKUP($J983,'Project Reference'!$B$2:$M$41,12)," ")</f>
        <v xml:space="preserve"> </v>
      </c>
      <c r="AA983" s="42" t="str">
        <f>IFERROR(VLOOKUP($J983,'Project Reference'!$B$2:$N$41,13)," ")</f>
        <v xml:space="preserve"> </v>
      </c>
    </row>
    <row r="984" spans="1:27" x14ac:dyDescent="0.45">
      <c r="A984" s="43"/>
      <c r="B984" s="205"/>
      <c r="C984"/>
      <c r="D984" s="72"/>
      <c r="E984" s="72"/>
      <c r="F984" s="72"/>
      <c r="G984" s="72"/>
      <c r="H984" s="17"/>
      <c r="I984" s="41" t="str" cm="1">
        <f t="array" ref="I984">IFERROR(_xlfn.IFS(H984="Hard (Cash)","N/A",H984="Soft (In-Kind)", "Enter Source"),"Select Type")</f>
        <v>Select Type</v>
      </c>
      <c r="J984" s="124"/>
      <c r="K984" s="41" t="str">
        <f>IFERROR(VLOOKUP($J984,'Project Reference'!$S$2:$T$41,2),"Enter Project Number")</f>
        <v>Enter Project Number</v>
      </c>
      <c r="L984" s="41"/>
      <c r="M984" s="41"/>
      <c r="N984" s="15">
        <f t="shared" si="15"/>
        <v>0</v>
      </c>
      <c r="O984" s="19"/>
      <c r="P984" s="42" t="str">
        <f>IFERROR(VLOOKUP($J984,'Project Reference'!$B$2:$C$41,2)," ")</f>
        <v xml:space="preserve"> </v>
      </c>
      <c r="Q984" s="42" t="str">
        <f>IFERROR(VLOOKUP($J984,'Project Reference'!$B$2:$D$41,3)," ")</f>
        <v xml:space="preserve"> </v>
      </c>
      <c r="R984" s="42" t="str">
        <f>IFERROR(VLOOKUP($J984,'Project Reference'!$B$2:$E$41,4)," ")</f>
        <v xml:space="preserve"> </v>
      </c>
      <c r="S984" s="42" t="str">
        <f>IFERROR(VLOOKUP($J984,'Project Reference'!$B$2:$F$41,5,FALSE)," ")</f>
        <v xml:space="preserve"> </v>
      </c>
      <c r="T984" s="42" t="str">
        <f>IFERROR(VLOOKUP($J984,'Project Reference'!$B$2:$G$41,6,FALSE)," ")</f>
        <v xml:space="preserve"> </v>
      </c>
      <c r="U984" s="42" t="str">
        <f>IFERROR(VLOOKUP($J984,'Project Reference'!$B$2:$H$41,7,FALSE)," ")</f>
        <v xml:space="preserve"> </v>
      </c>
      <c r="V984" s="42" t="str">
        <f>IFERROR(VLOOKUP($J984,'Project Reference'!$B$2:$I$41,8,FALSE)," ")</f>
        <v xml:space="preserve"> </v>
      </c>
      <c r="W984" s="42" t="str">
        <f>IFERROR(VLOOKUP($J984,'Project Reference'!$B$2:$J$41,9,FALSE)," ")</f>
        <v xml:space="preserve"> </v>
      </c>
      <c r="X984" s="42" t="str">
        <f>IFERROR(VLOOKUP($J984,'Project Reference'!$B$2:$K$41,10)," ")</f>
        <v xml:space="preserve"> </v>
      </c>
      <c r="Y984" s="42" t="str">
        <f>IFERROR(VLOOKUP($J984,'Project Reference'!$B$2:$L$41,11)," ")</f>
        <v xml:space="preserve"> </v>
      </c>
      <c r="Z984" s="42" t="str">
        <f>IFERROR(VLOOKUP($J984,'Project Reference'!$B$2:$M$41,12)," ")</f>
        <v xml:space="preserve"> </v>
      </c>
      <c r="AA984" s="42" t="str">
        <f>IFERROR(VLOOKUP($J984,'Project Reference'!$B$2:$N$41,13)," ")</f>
        <v xml:space="preserve"> </v>
      </c>
    </row>
    <row r="985" spans="1:27" x14ac:dyDescent="0.45">
      <c r="A985" s="43"/>
      <c r="B985" s="205"/>
      <c r="C985"/>
      <c r="D985" s="72"/>
      <c r="E985" s="72"/>
      <c r="F985" s="72"/>
      <c r="G985" s="72"/>
      <c r="H985" s="17"/>
      <c r="I985" s="41" t="str" cm="1">
        <f t="array" ref="I985">IFERROR(_xlfn.IFS(H985="Hard (Cash)","N/A",H985="Soft (In-Kind)", "Enter Source"),"Select Type")</f>
        <v>Select Type</v>
      </c>
      <c r="J985" s="124"/>
      <c r="K985" s="41" t="str">
        <f>IFERROR(VLOOKUP($J985,'Project Reference'!$S$2:$T$41,2),"Enter Project Number")</f>
        <v>Enter Project Number</v>
      </c>
      <c r="L985" s="41"/>
      <c r="M985" s="41"/>
      <c r="N985" s="15">
        <f t="shared" si="15"/>
        <v>0</v>
      </c>
      <c r="O985" s="19"/>
      <c r="P985" s="42" t="str">
        <f>IFERROR(VLOOKUP($J985,'Project Reference'!$B$2:$C$41,2)," ")</f>
        <v xml:space="preserve"> </v>
      </c>
      <c r="Q985" s="42" t="str">
        <f>IFERROR(VLOOKUP($J985,'Project Reference'!$B$2:$D$41,3)," ")</f>
        <v xml:space="preserve"> </v>
      </c>
      <c r="R985" s="42" t="str">
        <f>IFERROR(VLOOKUP($J985,'Project Reference'!$B$2:$E$41,4)," ")</f>
        <v xml:space="preserve"> </v>
      </c>
      <c r="S985" s="42" t="str">
        <f>IFERROR(VLOOKUP($J985,'Project Reference'!$B$2:$F$41,5,FALSE)," ")</f>
        <v xml:space="preserve"> </v>
      </c>
      <c r="T985" s="42" t="str">
        <f>IFERROR(VLOOKUP($J985,'Project Reference'!$B$2:$G$41,6,FALSE)," ")</f>
        <v xml:space="preserve"> </v>
      </c>
      <c r="U985" s="42" t="str">
        <f>IFERROR(VLOOKUP($J985,'Project Reference'!$B$2:$H$41,7,FALSE)," ")</f>
        <v xml:space="preserve"> </v>
      </c>
      <c r="V985" s="42" t="str">
        <f>IFERROR(VLOOKUP($J985,'Project Reference'!$B$2:$I$41,8,FALSE)," ")</f>
        <v xml:space="preserve"> </v>
      </c>
      <c r="W985" s="42" t="str">
        <f>IFERROR(VLOOKUP($J985,'Project Reference'!$B$2:$J$41,9,FALSE)," ")</f>
        <v xml:space="preserve"> </v>
      </c>
      <c r="X985" s="42" t="str">
        <f>IFERROR(VLOOKUP($J985,'Project Reference'!$B$2:$K$41,10)," ")</f>
        <v xml:space="preserve"> </v>
      </c>
      <c r="Y985" s="42" t="str">
        <f>IFERROR(VLOOKUP($J985,'Project Reference'!$B$2:$L$41,11)," ")</f>
        <v xml:space="preserve"> </v>
      </c>
      <c r="Z985" s="42" t="str">
        <f>IFERROR(VLOOKUP($J985,'Project Reference'!$B$2:$M$41,12)," ")</f>
        <v xml:space="preserve"> </v>
      </c>
      <c r="AA985" s="42" t="str">
        <f>IFERROR(VLOOKUP($J985,'Project Reference'!$B$2:$N$41,13)," ")</f>
        <v xml:space="preserve"> </v>
      </c>
    </row>
    <row r="986" spans="1:27" x14ac:dyDescent="0.45">
      <c r="A986" s="43"/>
      <c r="B986" s="205"/>
      <c r="C986"/>
      <c r="D986" s="72"/>
      <c r="E986" s="72"/>
      <c r="F986" s="72"/>
      <c r="G986" s="72"/>
      <c r="H986" s="17"/>
      <c r="I986" s="41" t="str" cm="1">
        <f t="array" ref="I986">IFERROR(_xlfn.IFS(H986="Hard (Cash)","N/A",H986="Soft (In-Kind)", "Enter Source"),"Select Type")</f>
        <v>Select Type</v>
      </c>
      <c r="J986" s="124"/>
      <c r="K986" s="41" t="str">
        <f>IFERROR(VLOOKUP($J986,'Project Reference'!$S$2:$T$41,2),"Enter Project Number")</f>
        <v>Enter Project Number</v>
      </c>
      <c r="L986" s="41"/>
      <c r="M986" s="41"/>
      <c r="N986" s="15">
        <f t="shared" si="15"/>
        <v>0</v>
      </c>
      <c r="O986" s="19"/>
      <c r="P986" s="42" t="str">
        <f>IFERROR(VLOOKUP($J986,'Project Reference'!$B$2:$C$41,2)," ")</f>
        <v xml:space="preserve"> </v>
      </c>
      <c r="Q986" s="42" t="str">
        <f>IFERROR(VLOOKUP($J986,'Project Reference'!$B$2:$D$41,3)," ")</f>
        <v xml:space="preserve"> </v>
      </c>
      <c r="R986" s="42" t="str">
        <f>IFERROR(VLOOKUP($J986,'Project Reference'!$B$2:$E$41,4)," ")</f>
        <v xml:space="preserve"> </v>
      </c>
      <c r="S986" s="42" t="str">
        <f>IFERROR(VLOOKUP($J986,'Project Reference'!$B$2:$F$41,5,FALSE)," ")</f>
        <v xml:space="preserve"> </v>
      </c>
      <c r="T986" s="42" t="str">
        <f>IFERROR(VLOOKUP($J986,'Project Reference'!$B$2:$G$41,6,FALSE)," ")</f>
        <v xml:space="preserve"> </v>
      </c>
      <c r="U986" s="42" t="str">
        <f>IFERROR(VLOOKUP($J986,'Project Reference'!$B$2:$H$41,7,FALSE)," ")</f>
        <v xml:space="preserve"> </v>
      </c>
      <c r="V986" s="42" t="str">
        <f>IFERROR(VLOOKUP($J986,'Project Reference'!$B$2:$I$41,8,FALSE)," ")</f>
        <v xml:space="preserve"> </v>
      </c>
      <c r="W986" s="42" t="str">
        <f>IFERROR(VLOOKUP($J986,'Project Reference'!$B$2:$J$41,9,FALSE)," ")</f>
        <v xml:space="preserve"> </v>
      </c>
      <c r="X986" s="42" t="str">
        <f>IFERROR(VLOOKUP($J986,'Project Reference'!$B$2:$K$41,10)," ")</f>
        <v xml:space="preserve"> </v>
      </c>
      <c r="Y986" s="42" t="str">
        <f>IFERROR(VLOOKUP($J986,'Project Reference'!$B$2:$L$41,11)," ")</f>
        <v xml:space="preserve"> </v>
      </c>
      <c r="Z986" s="42" t="str">
        <f>IFERROR(VLOOKUP($J986,'Project Reference'!$B$2:$M$41,12)," ")</f>
        <v xml:space="preserve"> </v>
      </c>
      <c r="AA986" s="42" t="str">
        <f>IFERROR(VLOOKUP($J986,'Project Reference'!$B$2:$N$41,13)," ")</f>
        <v xml:space="preserve"> </v>
      </c>
    </row>
    <row r="987" spans="1:27" x14ac:dyDescent="0.45">
      <c r="A987" s="43"/>
      <c r="B987" s="205"/>
      <c r="C987"/>
      <c r="D987" s="72"/>
      <c r="E987" s="72"/>
      <c r="F987" s="72"/>
      <c r="G987" s="72"/>
      <c r="H987" s="17"/>
      <c r="I987" s="41" t="str" cm="1">
        <f t="array" ref="I987">IFERROR(_xlfn.IFS(H987="Hard (Cash)","N/A",H987="Soft (In-Kind)", "Enter Source"),"Select Type")</f>
        <v>Select Type</v>
      </c>
      <c r="J987" s="124"/>
      <c r="K987" s="41" t="str">
        <f>IFERROR(VLOOKUP($J987,'Project Reference'!$S$2:$T$41,2),"Enter Project Number")</f>
        <v>Enter Project Number</v>
      </c>
      <c r="L987" s="41"/>
      <c r="M987" s="41"/>
      <c r="N987" s="15">
        <f t="shared" si="15"/>
        <v>0</v>
      </c>
      <c r="O987" s="19"/>
      <c r="P987" s="42" t="str">
        <f>IFERROR(VLOOKUP($J987,'Project Reference'!$B$2:$C$41,2)," ")</f>
        <v xml:space="preserve"> </v>
      </c>
      <c r="Q987" s="42" t="str">
        <f>IFERROR(VLOOKUP($J987,'Project Reference'!$B$2:$D$41,3)," ")</f>
        <v xml:space="preserve"> </v>
      </c>
      <c r="R987" s="42" t="str">
        <f>IFERROR(VLOOKUP($J987,'Project Reference'!$B$2:$E$41,4)," ")</f>
        <v xml:space="preserve"> </v>
      </c>
      <c r="S987" s="42" t="str">
        <f>IFERROR(VLOOKUP($J987,'Project Reference'!$B$2:$F$41,5,FALSE)," ")</f>
        <v xml:space="preserve"> </v>
      </c>
      <c r="T987" s="42" t="str">
        <f>IFERROR(VLOOKUP($J987,'Project Reference'!$B$2:$G$41,6,FALSE)," ")</f>
        <v xml:space="preserve"> </v>
      </c>
      <c r="U987" s="42" t="str">
        <f>IFERROR(VLOOKUP($J987,'Project Reference'!$B$2:$H$41,7,FALSE)," ")</f>
        <v xml:space="preserve"> </v>
      </c>
      <c r="V987" s="42" t="str">
        <f>IFERROR(VLOOKUP($J987,'Project Reference'!$B$2:$I$41,8,FALSE)," ")</f>
        <v xml:space="preserve"> </v>
      </c>
      <c r="W987" s="42" t="str">
        <f>IFERROR(VLOOKUP($J987,'Project Reference'!$B$2:$J$41,9,FALSE)," ")</f>
        <v xml:space="preserve"> </v>
      </c>
      <c r="X987" s="42" t="str">
        <f>IFERROR(VLOOKUP($J987,'Project Reference'!$B$2:$K$41,10)," ")</f>
        <v xml:space="preserve"> </v>
      </c>
      <c r="Y987" s="42" t="str">
        <f>IFERROR(VLOOKUP($J987,'Project Reference'!$B$2:$L$41,11)," ")</f>
        <v xml:space="preserve"> </v>
      </c>
      <c r="Z987" s="42" t="str">
        <f>IFERROR(VLOOKUP($J987,'Project Reference'!$B$2:$M$41,12)," ")</f>
        <v xml:space="preserve"> </v>
      </c>
      <c r="AA987" s="42" t="str">
        <f>IFERROR(VLOOKUP($J987,'Project Reference'!$B$2:$N$41,13)," ")</f>
        <v xml:space="preserve"> </v>
      </c>
    </row>
    <row r="988" spans="1:27" x14ac:dyDescent="0.45">
      <c r="A988" s="43"/>
      <c r="B988" s="205"/>
      <c r="C988"/>
      <c r="D988" s="72"/>
      <c r="E988" s="72"/>
      <c r="F988" s="72"/>
      <c r="G988" s="72"/>
      <c r="H988" s="17"/>
      <c r="I988" s="41" t="str" cm="1">
        <f t="array" ref="I988">IFERROR(_xlfn.IFS(H988="Hard (Cash)","N/A",H988="Soft (In-Kind)", "Enter Source"),"Select Type")</f>
        <v>Select Type</v>
      </c>
      <c r="J988" s="124"/>
      <c r="K988" s="41" t="str">
        <f>IFERROR(VLOOKUP($J988,'Project Reference'!$S$2:$T$41,2),"Enter Project Number")</f>
        <v>Enter Project Number</v>
      </c>
      <c r="L988" s="41"/>
      <c r="M988" s="41"/>
      <c r="N988" s="15">
        <f t="shared" si="15"/>
        <v>0</v>
      </c>
      <c r="O988" s="19"/>
      <c r="P988" s="42" t="str">
        <f>IFERROR(VLOOKUP($J988,'Project Reference'!$B$2:$C$41,2)," ")</f>
        <v xml:space="preserve"> </v>
      </c>
      <c r="Q988" s="42" t="str">
        <f>IFERROR(VLOOKUP($J988,'Project Reference'!$B$2:$D$41,3)," ")</f>
        <v xml:space="preserve"> </v>
      </c>
      <c r="R988" s="42" t="str">
        <f>IFERROR(VLOOKUP($J988,'Project Reference'!$B$2:$E$41,4)," ")</f>
        <v xml:space="preserve"> </v>
      </c>
      <c r="S988" s="42" t="str">
        <f>IFERROR(VLOOKUP($J988,'Project Reference'!$B$2:$F$41,5,FALSE)," ")</f>
        <v xml:space="preserve"> </v>
      </c>
      <c r="T988" s="42" t="str">
        <f>IFERROR(VLOOKUP($J988,'Project Reference'!$B$2:$G$41,6,FALSE)," ")</f>
        <v xml:space="preserve"> </v>
      </c>
      <c r="U988" s="42" t="str">
        <f>IFERROR(VLOOKUP($J988,'Project Reference'!$B$2:$H$41,7,FALSE)," ")</f>
        <v xml:space="preserve"> </v>
      </c>
      <c r="V988" s="42" t="str">
        <f>IFERROR(VLOOKUP($J988,'Project Reference'!$B$2:$I$41,8,FALSE)," ")</f>
        <v xml:space="preserve"> </v>
      </c>
      <c r="W988" s="42" t="str">
        <f>IFERROR(VLOOKUP($J988,'Project Reference'!$B$2:$J$41,9,FALSE)," ")</f>
        <v xml:space="preserve"> </v>
      </c>
      <c r="X988" s="42" t="str">
        <f>IFERROR(VLOOKUP($J988,'Project Reference'!$B$2:$K$41,10)," ")</f>
        <v xml:space="preserve"> </v>
      </c>
      <c r="Y988" s="42" t="str">
        <f>IFERROR(VLOOKUP($J988,'Project Reference'!$B$2:$L$41,11)," ")</f>
        <v xml:space="preserve"> </v>
      </c>
      <c r="Z988" s="42" t="str">
        <f>IFERROR(VLOOKUP($J988,'Project Reference'!$B$2:$M$41,12)," ")</f>
        <v xml:space="preserve"> </v>
      </c>
      <c r="AA988" s="42" t="str">
        <f>IFERROR(VLOOKUP($J988,'Project Reference'!$B$2:$N$41,13)," ")</f>
        <v xml:space="preserve"> </v>
      </c>
    </row>
    <row r="989" spans="1:27" x14ac:dyDescent="0.45">
      <c r="A989" s="43"/>
      <c r="B989" s="205"/>
      <c r="C989"/>
      <c r="D989" s="72"/>
      <c r="E989" s="72"/>
      <c r="F989" s="72"/>
      <c r="G989" s="72"/>
      <c r="H989" s="17"/>
      <c r="I989" s="41" t="str" cm="1">
        <f t="array" ref="I989">IFERROR(_xlfn.IFS(H989="Hard (Cash)","N/A",H989="Soft (In-Kind)", "Enter Source"),"Select Type")</f>
        <v>Select Type</v>
      </c>
      <c r="J989" s="124"/>
      <c r="K989" s="41" t="str">
        <f>IFERROR(VLOOKUP($J989,'Project Reference'!$S$2:$T$41,2),"Enter Project Number")</f>
        <v>Enter Project Number</v>
      </c>
      <c r="L989" s="41"/>
      <c r="M989" s="41"/>
      <c r="N989" s="15">
        <f t="shared" si="15"/>
        <v>0</v>
      </c>
      <c r="O989" s="19"/>
      <c r="P989" s="42" t="str">
        <f>IFERROR(VLOOKUP($J989,'Project Reference'!$B$2:$C$41,2)," ")</f>
        <v xml:space="preserve"> </v>
      </c>
      <c r="Q989" s="42" t="str">
        <f>IFERROR(VLOOKUP($J989,'Project Reference'!$B$2:$D$41,3)," ")</f>
        <v xml:space="preserve"> </v>
      </c>
      <c r="R989" s="42" t="str">
        <f>IFERROR(VLOOKUP($J989,'Project Reference'!$B$2:$E$41,4)," ")</f>
        <v xml:space="preserve"> </v>
      </c>
      <c r="S989" s="42" t="str">
        <f>IFERROR(VLOOKUP($J989,'Project Reference'!$B$2:$F$41,5,FALSE)," ")</f>
        <v xml:space="preserve"> </v>
      </c>
      <c r="T989" s="42" t="str">
        <f>IFERROR(VLOOKUP($J989,'Project Reference'!$B$2:$G$41,6,FALSE)," ")</f>
        <v xml:space="preserve"> </v>
      </c>
      <c r="U989" s="42" t="str">
        <f>IFERROR(VLOOKUP($J989,'Project Reference'!$B$2:$H$41,7,FALSE)," ")</f>
        <v xml:space="preserve"> </v>
      </c>
      <c r="V989" s="42" t="str">
        <f>IFERROR(VLOOKUP($J989,'Project Reference'!$B$2:$I$41,8,FALSE)," ")</f>
        <v xml:space="preserve"> </v>
      </c>
      <c r="W989" s="42" t="str">
        <f>IFERROR(VLOOKUP($J989,'Project Reference'!$B$2:$J$41,9,FALSE)," ")</f>
        <v xml:space="preserve"> </v>
      </c>
      <c r="X989" s="42" t="str">
        <f>IFERROR(VLOOKUP($J989,'Project Reference'!$B$2:$K$41,10)," ")</f>
        <v xml:space="preserve"> </v>
      </c>
      <c r="Y989" s="42" t="str">
        <f>IFERROR(VLOOKUP($J989,'Project Reference'!$B$2:$L$41,11)," ")</f>
        <v xml:space="preserve"> </v>
      </c>
      <c r="Z989" s="42" t="str">
        <f>IFERROR(VLOOKUP($J989,'Project Reference'!$B$2:$M$41,12)," ")</f>
        <v xml:space="preserve"> </v>
      </c>
      <c r="AA989" s="42" t="str">
        <f>IFERROR(VLOOKUP($J989,'Project Reference'!$B$2:$N$41,13)," ")</f>
        <v xml:space="preserve"> </v>
      </c>
    </row>
    <row r="990" spans="1:27" x14ac:dyDescent="0.45">
      <c r="A990" s="43"/>
      <c r="B990" s="205"/>
      <c r="C990"/>
      <c r="D990" s="72"/>
      <c r="E990" s="72"/>
      <c r="F990" s="72"/>
      <c r="G990" s="72"/>
      <c r="H990" s="17"/>
      <c r="I990" s="41" t="str" cm="1">
        <f t="array" ref="I990">IFERROR(_xlfn.IFS(H990="Hard (Cash)","N/A",H990="Soft (In-Kind)", "Enter Source"),"Select Type")</f>
        <v>Select Type</v>
      </c>
      <c r="J990" s="124"/>
      <c r="K990" s="41" t="str">
        <f>IFERROR(VLOOKUP($J990,'Project Reference'!$S$2:$T$41,2),"Enter Project Number")</f>
        <v>Enter Project Number</v>
      </c>
      <c r="L990" s="41"/>
      <c r="M990" s="41"/>
      <c r="N990" s="15">
        <f t="shared" si="15"/>
        <v>0</v>
      </c>
      <c r="O990" s="19"/>
      <c r="P990" s="42" t="str">
        <f>IFERROR(VLOOKUP($J990,'Project Reference'!$B$2:$C$41,2)," ")</f>
        <v xml:space="preserve"> </v>
      </c>
      <c r="Q990" s="42" t="str">
        <f>IFERROR(VLOOKUP($J990,'Project Reference'!$B$2:$D$41,3)," ")</f>
        <v xml:space="preserve"> </v>
      </c>
      <c r="R990" s="42" t="str">
        <f>IFERROR(VLOOKUP($J990,'Project Reference'!$B$2:$E$41,4)," ")</f>
        <v xml:space="preserve"> </v>
      </c>
      <c r="S990" s="42" t="str">
        <f>IFERROR(VLOOKUP($J990,'Project Reference'!$B$2:$F$41,5,FALSE)," ")</f>
        <v xml:space="preserve"> </v>
      </c>
      <c r="T990" s="42" t="str">
        <f>IFERROR(VLOOKUP($J990,'Project Reference'!$B$2:$G$41,6,FALSE)," ")</f>
        <v xml:space="preserve"> </v>
      </c>
      <c r="U990" s="42" t="str">
        <f>IFERROR(VLOOKUP($J990,'Project Reference'!$B$2:$H$41,7,FALSE)," ")</f>
        <v xml:space="preserve"> </v>
      </c>
      <c r="V990" s="42" t="str">
        <f>IFERROR(VLOOKUP($J990,'Project Reference'!$B$2:$I$41,8,FALSE)," ")</f>
        <v xml:space="preserve"> </v>
      </c>
      <c r="W990" s="42" t="str">
        <f>IFERROR(VLOOKUP($J990,'Project Reference'!$B$2:$J$41,9,FALSE)," ")</f>
        <v xml:space="preserve"> </v>
      </c>
      <c r="X990" s="42" t="str">
        <f>IFERROR(VLOOKUP($J990,'Project Reference'!$B$2:$K$41,10)," ")</f>
        <v xml:space="preserve"> </v>
      </c>
      <c r="Y990" s="42" t="str">
        <f>IFERROR(VLOOKUP($J990,'Project Reference'!$B$2:$L$41,11)," ")</f>
        <v xml:space="preserve"> </v>
      </c>
      <c r="Z990" s="42" t="str">
        <f>IFERROR(VLOOKUP($J990,'Project Reference'!$B$2:$M$41,12)," ")</f>
        <v xml:space="preserve"> </v>
      </c>
      <c r="AA990" s="42" t="str">
        <f>IFERROR(VLOOKUP($J990,'Project Reference'!$B$2:$N$41,13)," ")</f>
        <v xml:space="preserve"> </v>
      </c>
    </row>
    <row r="991" spans="1:27" x14ac:dyDescent="0.45">
      <c r="A991" s="43"/>
      <c r="B991" s="205"/>
      <c r="C991"/>
      <c r="D991" s="72"/>
      <c r="E991" s="72"/>
      <c r="F991" s="72"/>
      <c r="G991" s="72"/>
      <c r="H991" s="17"/>
      <c r="I991" s="41" t="str" cm="1">
        <f t="array" ref="I991">IFERROR(_xlfn.IFS(H991="Hard (Cash)","N/A",H991="Soft (In-Kind)", "Enter Source"),"Select Type")</f>
        <v>Select Type</v>
      </c>
      <c r="J991" s="124"/>
      <c r="K991" s="41" t="str">
        <f>IFERROR(VLOOKUP($J991,'Project Reference'!$S$2:$T$41,2),"Enter Project Number")</f>
        <v>Enter Project Number</v>
      </c>
      <c r="L991" s="41"/>
      <c r="M991" s="41"/>
      <c r="N991" s="15">
        <f t="shared" si="15"/>
        <v>0</v>
      </c>
      <c r="O991" s="19"/>
      <c r="P991" s="42" t="str">
        <f>IFERROR(VLOOKUP($J991,'Project Reference'!$B$2:$C$41,2)," ")</f>
        <v xml:space="preserve"> </v>
      </c>
      <c r="Q991" s="42" t="str">
        <f>IFERROR(VLOOKUP($J991,'Project Reference'!$B$2:$D$41,3)," ")</f>
        <v xml:space="preserve"> </v>
      </c>
      <c r="R991" s="42" t="str">
        <f>IFERROR(VLOOKUP($J991,'Project Reference'!$B$2:$E$41,4)," ")</f>
        <v xml:space="preserve"> </v>
      </c>
      <c r="S991" s="42" t="str">
        <f>IFERROR(VLOOKUP($J991,'Project Reference'!$B$2:$F$41,5,FALSE)," ")</f>
        <v xml:space="preserve"> </v>
      </c>
      <c r="T991" s="42" t="str">
        <f>IFERROR(VLOOKUP($J991,'Project Reference'!$B$2:$G$41,6,FALSE)," ")</f>
        <v xml:space="preserve"> </v>
      </c>
      <c r="U991" s="42" t="str">
        <f>IFERROR(VLOOKUP($J991,'Project Reference'!$B$2:$H$41,7,FALSE)," ")</f>
        <v xml:space="preserve"> </v>
      </c>
      <c r="V991" s="42" t="str">
        <f>IFERROR(VLOOKUP($J991,'Project Reference'!$B$2:$I$41,8,FALSE)," ")</f>
        <v xml:space="preserve"> </v>
      </c>
      <c r="W991" s="42" t="str">
        <f>IFERROR(VLOOKUP($J991,'Project Reference'!$B$2:$J$41,9,FALSE)," ")</f>
        <v xml:space="preserve"> </v>
      </c>
      <c r="X991" s="42" t="str">
        <f>IFERROR(VLOOKUP($J991,'Project Reference'!$B$2:$K$41,10)," ")</f>
        <v xml:space="preserve"> </v>
      </c>
      <c r="Y991" s="42" t="str">
        <f>IFERROR(VLOOKUP($J991,'Project Reference'!$B$2:$L$41,11)," ")</f>
        <v xml:space="preserve"> </v>
      </c>
      <c r="Z991" s="42" t="str">
        <f>IFERROR(VLOOKUP($J991,'Project Reference'!$B$2:$M$41,12)," ")</f>
        <v xml:space="preserve"> </v>
      </c>
      <c r="AA991" s="42" t="str">
        <f>IFERROR(VLOOKUP($J991,'Project Reference'!$B$2:$N$41,13)," ")</f>
        <v xml:space="preserve"> </v>
      </c>
    </row>
    <row r="992" spans="1:27" x14ac:dyDescent="0.45">
      <c r="A992" s="43"/>
      <c r="B992" s="205"/>
      <c r="C992"/>
      <c r="D992" s="72"/>
      <c r="E992" s="72"/>
      <c r="F992" s="72"/>
      <c r="G992" s="72"/>
      <c r="H992" s="17"/>
      <c r="I992" s="41" t="str" cm="1">
        <f t="array" ref="I992">IFERROR(_xlfn.IFS(H992="Hard (Cash)","N/A",H992="Soft (In-Kind)", "Enter Source"),"Select Type")</f>
        <v>Select Type</v>
      </c>
      <c r="J992" s="124"/>
      <c r="K992" s="41" t="str">
        <f>IFERROR(VLOOKUP($J992,'Project Reference'!$S$2:$T$41,2),"Enter Project Number")</f>
        <v>Enter Project Number</v>
      </c>
      <c r="L992" s="41"/>
      <c r="M992" s="41"/>
      <c r="N992" s="15">
        <f t="shared" si="15"/>
        <v>0</v>
      </c>
      <c r="O992" s="19"/>
      <c r="P992" s="42" t="str">
        <f>IFERROR(VLOOKUP($J992,'Project Reference'!$B$2:$C$41,2)," ")</f>
        <v xml:space="preserve"> </v>
      </c>
      <c r="Q992" s="42" t="str">
        <f>IFERROR(VLOOKUP($J992,'Project Reference'!$B$2:$D$41,3)," ")</f>
        <v xml:space="preserve"> </v>
      </c>
      <c r="R992" s="42" t="str">
        <f>IFERROR(VLOOKUP($J992,'Project Reference'!$B$2:$E$41,4)," ")</f>
        <v xml:space="preserve"> </v>
      </c>
      <c r="S992" s="42" t="str">
        <f>IFERROR(VLOOKUP($J992,'Project Reference'!$B$2:$F$41,5,FALSE)," ")</f>
        <v xml:space="preserve"> </v>
      </c>
      <c r="T992" s="42" t="str">
        <f>IFERROR(VLOOKUP($J992,'Project Reference'!$B$2:$G$41,6,FALSE)," ")</f>
        <v xml:space="preserve"> </v>
      </c>
      <c r="U992" s="42" t="str">
        <f>IFERROR(VLOOKUP($J992,'Project Reference'!$B$2:$H$41,7,FALSE)," ")</f>
        <v xml:space="preserve"> </v>
      </c>
      <c r="V992" s="42" t="str">
        <f>IFERROR(VLOOKUP($J992,'Project Reference'!$B$2:$I$41,8,FALSE)," ")</f>
        <v xml:space="preserve"> </v>
      </c>
      <c r="W992" s="42" t="str">
        <f>IFERROR(VLOOKUP($J992,'Project Reference'!$B$2:$J$41,9,FALSE)," ")</f>
        <v xml:space="preserve"> </v>
      </c>
      <c r="X992" s="42" t="str">
        <f>IFERROR(VLOOKUP($J992,'Project Reference'!$B$2:$K$41,10)," ")</f>
        <v xml:space="preserve"> </v>
      </c>
      <c r="Y992" s="42" t="str">
        <f>IFERROR(VLOOKUP($J992,'Project Reference'!$B$2:$L$41,11)," ")</f>
        <v xml:space="preserve"> </v>
      </c>
      <c r="Z992" s="42" t="str">
        <f>IFERROR(VLOOKUP($J992,'Project Reference'!$B$2:$M$41,12)," ")</f>
        <v xml:space="preserve"> </v>
      </c>
      <c r="AA992" s="42" t="str">
        <f>IFERROR(VLOOKUP($J992,'Project Reference'!$B$2:$N$41,13)," ")</f>
        <v xml:space="preserve"> </v>
      </c>
    </row>
    <row r="993" spans="1:27" x14ac:dyDescent="0.45">
      <c r="A993" s="43"/>
      <c r="B993" s="205"/>
      <c r="C993"/>
      <c r="D993" s="72"/>
      <c r="E993" s="72"/>
      <c r="F993" s="72"/>
      <c r="G993" s="72"/>
      <c r="H993" s="17"/>
      <c r="I993" s="41" t="str" cm="1">
        <f t="array" ref="I993">IFERROR(_xlfn.IFS(H993="Hard (Cash)","N/A",H993="Soft (In-Kind)", "Enter Source"),"Select Type")</f>
        <v>Select Type</v>
      </c>
      <c r="J993" s="124"/>
      <c r="K993" s="41" t="str">
        <f>IFERROR(VLOOKUP($J993,'Project Reference'!$S$2:$T$41,2),"Enter Project Number")</f>
        <v>Enter Project Number</v>
      </c>
      <c r="L993" s="41"/>
      <c r="M993" s="41"/>
      <c r="N993" s="15">
        <f t="shared" si="15"/>
        <v>0</v>
      </c>
      <c r="O993" s="19"/>
      <c r="P993" s="42" t="str">
        <f>IFERROR(VLOOKUP($J993,'Project Reference'!$B$2:$C$41,2)," ")</f>
        <v xml:space="preserve"> </v>
      </c>
      <c r="Q993" s="42" t="str">
        <f>IFERROR(VLOOKUP($J993,'Project Reference'!$B$2:$D$41,3)," ")</f>
        <v xml:space="preserve"> </v>
      </c>
      <c r="R993" s="42" t="str">
        <f>IFERROR(VLOOKUP($J993,'Project Reference'!$B$2:$E$41,4)," ")</f>
        <v xml:space="preserve"> </v>
      </c>
      <c r="S993" s="42" t="str">
        <f>IFERROR(VLOOKUP($J993,'Project Reference'!$B$2:$F$41,5,FALSE)," ")</f>
        <v xml:space="preserve"> </v>
      </c>
      <c r="T993" s="42" t="str">
        <f>IFERROR(VLOOKUP($J993,'Project Reference'!$B$2:$G$41,6,FALSE)," ")</f>
        <v xml:space="preserve"> </v>
      </c>
      <c r="U993" s="42" t="str">
        <f>IFERROR(VLOOKUP($J993,'Project Reference'!$B$2:$H$41,7,FALSE)," ")</f>
        <v xml:space="preserve"> </v>
      </c>
      <c r="V993" s="42" t="str">
        <f>IFERROR(VLOOKUP($J993,'Project Reference'!$B$2:$I$41,8,FALSE)," ")</f>
        <v xml:space="preserve"> </v>
      </c>
      <c r="W993" s="42" t="str">
        <f>IFERROR(VLOOKUP($J993,'Project Reference'!$B$2:$J$41,9,FALSE)," ")</f>
        <v xml:space="preserve"> </v>
      </c>
      <c r="X993" s="42" t="str">
        <f>IFERROR(VLOOKUP($J993,'Project Reference'!$B$2:$K$41,10)," ")</f>
        <v xml:space="preserve"> </v>
      </c>
      <c r="Y993" s="42" t="str">
        <f>IFERROR(VLOOKUP($J993,'Project Reference'!$B$2:$L$41,11)," ")</f>
        <v xml:space="preserve"> </v>
      </c>
      <c r="Z993" s="42" t="str">
        <f>IFERROR(VLOOKUP($J993,'Project Reference'!$B$2:$M$41,12)," ")</f>
        <v xml:space="preserve"> </v>
      </c>
      <c r="AA993" s="42" t="str">
        <f>IFERROR(VLOOKUP($J993,'Project Reference'!$B$2:$N$41,13)," ")</f>
        <v xml:space="preserve"> </v>
      </c>
    </row>
    <row r="994" spans="1:27" x14ac:dyDescent="0.45">
      <c r="A994" s="43"/>
      <c r="B994" s="205"/>
      <c r="C994"/>
      <c r="D994" s="72"/>
      <c r="E994" s="72"/>
      <c r="F994" s="72"/>
      <c r="G994" s="72"/>
      <c r="H994" s="17"/>
      <c r="I994" s="41" t="str" cm="1">
        <f t="array" ref="I994">IFERROR(_xlfn.IFS(H994="Hard (Cash)","N/A",H994="Soft (In-Kind)", "Enter Source"),"Select Type")</f>
        <v>Select Type</v>
      </c>
      <c r="J994" s="124"/>
      <c r="K994" s="41" t="str">
        <f>IFERROR(VLOOKUP($J994,'Project Reference'!$S$2:$T$41,2),"Enter Project Number")</f>
        <v>Enter Project Number</v>
      </c>
      <c r="L994" s="41"/>
      <c r="M994" s="41"/>
      <c r="N994" s="15">
        <f t="shared" si="15"/>
        <v>0</v>
      </c>
      <c r="O994" s="19"/>
      <c r="P994" s="42" t="str">
        <f>IFERROR(VLOOKUP($J994,'Project Reference'!$B$2:$C$41,2)," ")</f>
        <v xml:space="preserve"> </v>
      </c>
      <c r="Q994" s="42" t="str">
        <f>IFERROR(VLOOKUP($J994,'Project Reference'!$B$2:$D$41,3)," ")</f>
        <v xml:space="preserve"> </v>
      </c>
      <c r="R994" s="42" t="str">
        <f>IFERROR(VLOOKUP($J994,'Project Reference'!$B$2:$E$41,4)," ")</f>
        <v xml:space="preserve"> </v>
      </c>
      <c r="S994" s="42" t="str">
        <f>IFERROR(VLOOKUP($J994,'Project Reference'!$B$2:$F$41,5,FALSE)," ")</f>
        <v xml:space="preserve"> </v>
      </c>
      <c r="T994" s="42" t="str">
        <f>IFERROR(VLOOKUP($J994,'Project Reference'!$B$2:$G$41,6,FALSE)," ")</f>
        <v xml:space="preserve"> </v>
      </c>
      <c r="U994" s="42" t="str">
        <f>IFERROR(VLOOKUP($J994,'Project Reference'!$B$2:$H$41,7,FALSE)," ")</f>
        <v xml:space="preserve"> </v>
      </c>
      <c r="V994" s="42" t="str">
        <f>IFERROR(VLOOKUP($J994,'Project Reference'!$B$2:$I$41,8,FALSE)," ")</f>
        <v xml:space="preserve"> </v>
      </c>
      <c r="W994" s="42" t="str">
        <f>IFERROR(VLOOKUP($J994,'Project Reference'!$B$2:$J$41,9,FALSE)," ")</f>
        <v xml:space="preserve"> </v>
      </c>
      <c r="X994" s="42" t="str">
        <f>IFERROR(VLOOKUP($J994,'Project Reference'!$B$2:$K$41,10)," ")</f>
        <v xml:space="preserve"> </v>
      </c>
      <c r="Y994" s="42" t="str">
        <f>IFERROR(VLOOKUP($J994,'Project Reference'!$B$2:$L$41,11)," ")</f>
        <v xml:space="preserve"> </v>
      </c>
      <c r="Z994" s="42" t="str">
        <f>IFERROR(VLOOKUP($J994,'Project Reference'!$B$2:$M$41,12)," ")</f>
        <v xml:space="preserve"> </v>
      </c>
      <c r="AA994" s="42" t="str">
        <f>IFERROR(VLOOKUP($J994,'Project Reference'!$B$2:$N$41,13)," ")</f>
        <v xml:space="preserve"> </v>
      </c>
    </row>
    <row r="995" spans="1:27" x14ac:dyDescent="0.45">
      <c r="A995" s="43"/>
      <c r="B995" s="205"/>
      <c r="C995"/>
      <c r="D995" s="72"/>
      <c r="E995" s="72"/>
      <c r="F995" s="72"/>
      <c r="G995" s="72"/>
      <c r="H995" s="17"/>
      <c r="I995" s="41" t="str" cm="1">
        <f t="array" ref="I995">IFERROR(_xlfn.IFS(H995="Hard (Cash)","N/A",H995="Soft (In-Kind)", "Enter Source"),"Select Type")</f>
        <v>Select Type</v>
      </c>
      <c r="J995" s="124"/>
      <c r="K995" s="41" t="str">
        <f>IFERROR(VLOOKUP($J995,'Project Reference'!$S$2:$T$41,2),"Enter Project Number")</f>
        <v>Enter Project Number</v>
      </c>
      <c r="L995" s="41"/>
      <c r="M995" s="41"/>
      <c r="N995" s="15">
        <f t="shared" si="15"/>
        <v>0</v>
      </c>
      <c r="O995" s="19"/>
      <c r="P995" s="42" t="str">
        <f>IFERROR(VLOOKUP($J995,'Project Reference'!$B$2:$C$41,2)," ")</f>
        <v xml:space="preserve"> </v>
      </c>
      <c r="Q995" s="42" t="str">
        <f>IFERROR(VLOOKUP($J995,'Project Reference'!$B$2:$D$41,3)," ")</f>
        <v xml:space="preserve"> </v>
      </c>
      <c r="R995" s="42" t="str">
        <f>IFERROR(VLOOKUP($J995,'Project Reference'!$B$2:$E$41,4)," ")</f>
        <v xml:space="preserve"> </v>
      </c>
      <c r="S995" s="42" t="str">
        <f>IFERROR(VLOOKUP($J995,'Project Reference'!$B$2:$F$41,5,FALSE)," ")</f>
        <v xml:space="preserve"> </v>
      </c>
      <c r="T995" s="42" t="str">
        <f>IFERROR(VLOOKUP($J995,'Project Reference'!$B$2:$G$41,6,FALSE)," ")</f>
        <v xml:space="preserve"> </v>
      </c>
      <c r="U995" s="42" t="str">
        <f>IFERROR(VLOOKUP($J995,'Project Reference'!$B$2:$H$41,7,FALSE)," ")</f>
        <v xml:space="preserve"> </v>
      </c>
      <c r="V995" s="42" t="str">
        <f>IFERROR(VLOOKUP($J995,'Project Reference'!$B$2:$I$41,8,FALSE)," ")</f>
        <v xml:space="preserve"> </v>
      </c>
      <c r="W995" s="42" t="str">
        <f>IFERROR(VLOOKUP($J995,'Project Reference'!$B$2:$J$41,9,FALSE)," ")</f>
        <v xml:space="preserve"> </v>
      </c>
      <c r="X995" s="42" t="str">
        <f>IFERROR(VLOOKUP($J995,'Project Reference'!$B$2:$K$41,10)," ")</f>
        <v xml:space="preserve"> </v>
      </c>
      <c r="Y995" s="42" t="str">
        <f>IFERROR(VLOOKUP($J995,'Project Reference'!$B$2:$L$41,11)," ")</f>
        <v xml:space="preserve"> </v>
      </c>
      <c r="Z995" s="42" t="str">
        <f>IFERROR(VLOOKUP($J995,'Project Reference'!$B$2:$M$41,12)," ")</f>
        <v xml:space="preserve"> </v>
      </c>
      <c r="AA995" s="42" t="str">
        <f>IFERROR(VLOOKUP($J995,'Project Reference'!$B$2:$N$41,13)," ")</f>
        <v xml:space="preserve"> </v>
      </c>
    </row>
    <row r="996" spans="1:27" x14ac:dyDescent="0.45">
      <c r="A996" s="43"/>
      <c r="B996" s="205"/>
      <c r="C996"/>
      <c r="D996" s="72"/>
      <c r="E996" s="72"/>
      <c r="F996" s="72"/>
      <c r="G996" s="72"/>
      <c r="H996" s="17"/>
      <c r="I996" s="41" t="str" cm="1">
        <f t="array" ref="I996">IFERROR(_xlfn.IFS(H996="Hard (Cash)","N/A",H996="Soft (In-Kind)", "Enter Source"),"Select Type")</f>
        <v>Select Type</v>
      </c>
      <c r="J996" s="124"/>
      <c r="K996" s="41" t="str">
        <f>IFERROR(VLOOKUP($J996,'Project Reference'!$S$2:$T$41,2),"Enter Project Number")</f>
        <v>Enter Project Number</v>
      </c>
      <c r="L996" s="41"/>
      <c r="M996" s="41"/>
      <c r="N996" s="15">
        <f t="shared" si="15"/>
        <v>0</v>
      </c>
      <c r="O996" s="19"/>
      <c r="P996" s="42" t="str">
        <f>IFERROR(VLOOKUP($J996,'Project Reference'!$B$2:$C$41,2)," ")</f>
        <v xml:space="preserve"> </v>
      </c>
      <c r="Q996" s="42" t="str">
        <f>IFERROR(VLOOKUP($J996,'Project Reference'!$B$2:$D$41,3)," ")</f>
        <v xml:space="preserve"> </v>
      </c>
      <c r="R996" s="42" t="str">
        <f>IFERROR(VLOOKUP($J996,'Project Reference'!$B$2:$E$41,4)," ")</f>
        <v xml:space="preserve"> </v>
      </c>
      <c r="S996" s="42" t="str">
        <f>IFERROR(VLOOKUP($J996,'Project Reference'!$B$2:$F$41,5,FALSE)," ")</f>
        <v xml:space="preserve"> </v>
      </c>
      <c r="T996" s="42" t="str">
        <f>IFERROR(VLOOKUP($J996,'Project Reference'!$B$2:$G$41,6,FALSE)," ")</f>
        <v xml:space="preserve"> </v>
      </c>
      <c r="U996" s="42" t="str">
        <f>IFERROR(VLOOKUP($J996,'Project Reference'!$B$2:$H$41,7,FALSE)," ")</f>
        <v xml:space="preserve"> </v>
      </c>
      <c r="V996" s="42" t="str">
        <f>IFERROR(VLOOKUP($J996,'Project Reference'!$B$2:$I$41,8,FALSE)," ")</f>
        <v xml:space="preserve"> </v>
      </c>
      <c r="W996" s="42" t="str">
        <f>IFERROR(VLOOKUP($J996,'Project Reference'!$B$2:$J$41,9,FALSE)," ")</f>
        <v xml:space="preserve"> </v>
      </c>
      <c r="X996" s="42" t="str">
        <f>IFERROR(VLOOKUP($J996,'Project Reference'!$B$2:$K$41,10)," ")</f>
        <v xml:space="preserve"> </v>
      </c>
      <c r="Y996" s="42" t="str">
        <f>IFERROR(VLOOKUP($J996,'Project Reference'!$B$2:$L$41,11)," ")</f>
        <v xml:space="preserve"> </v>
      </c>
      <c r="Z996" s="42" t="str">
        <f>IFERROR(VLOOKUP($J996,'Project Reference'!$B$2:$M$41,12)," ")</f>
        <v xml:space="preserve"> </v>
      </c>
      <c r="AA996" s="42" t="str">
        <f>IFERROR(VLOOKUP($J996,'Project Reference'!$B$2:$N$41,13)," ")</f>
        <v xml:space="preserve"> </v>
      </c>
    </row>
    <row r="997" spans="1:27" x14ac:dyDescent="0.45">
      <c r="A997" s="43"/>
      <c r="B997" s="205"/>
      <c r="C997"/>
      <c r="D997" s="72"/>
      <c r="E997" s="72"/>
      <c r="F997" s="72"/>
      <c r="G997" s="72"/>
      <c r="H997" s="17"/>
      <c r="I997" s="41" t="str" cm="1">
        <f t="array" ref="I997">IFERROR(_xlfn.IFS(H997="Hard (Cash)","N/A",H997="Soft (In-Kind)", "Enter Source"),"Select Type")</f>
        <v>Select Type</v>
      </c>
      <c r="J997" s="124"/>
      <c r="K997" s="41" t="str">
        <f>IFERROR(VLOOKUP($J997,'Project Reference'!$S$2:$T$41,2),"Enter Project Number")</f>
        <v>Enter Project Number</v>
      </c>
      <c r="L997" s="41"/>
      <c r="M997" s="41"/>
      <c r="N997" s="15">
        <f t="shared" si="15"/>
        <v>0</v>
      </c>
      <c r="O997" s="19"/>
      <c r="P997" s="42" t="str">
        <f>IFERROR(VLOOKUP($J997,'Project Reference'!$B$2:$C$41,2)," ")</f>
        <v xml:space="preserve"> </v>
      </c>
      <c r="Q997" s="42" t="str">
        <f>IFERROR(VLOOKUP($J997,'Project Reference'!$B$2:$D$41,3)," ")</f>
        <v xml:space="preserve"> </v>
      </c>
      <c r="R997" s="42" t="str">
        <f>IFERROR(VLOOKUP($J997,'Project Reference'!$B$2:$E$41,4)," ")</f>
        <v xml:space="preserve"> </v>
      </c>
      <c r="S997" s="42" t="str">
        <f>IFERROR(VLOOKUP($J997,'Project Reference'!$B$2:$F$41,5,FALSE)," ")</f>
        <v xml:space="preserve"> </v>
      </c>
      <c r="T997" s="42" t="str">
        <f>IFERROR(VLOOKUP($J997,'Project Reference'!$B$2:$G$41,6,FALSE)," ")</f>
        <v xml:space="preserve"> </v>
      </c>
      <c r="U997" s="42" t="str">
        <f>IFERROR(VLOOKUP($J997,'Project Reference'!$B$2:$H$41,7,FALSE)," ")</f>
        <v xml:space="preserve"> </v>
      </c>
      <c r="V997" s="42" t="str">
        <f>IFERROR(VLOOKUP($J997,'Project Reference'!$B$2:$I$41,8,FALSE)," ")</f>
        <v xml:space="preserve"> </v>
      </c>
      <c r="W997" s="42" t="str">
        <f>IFERROR(VLOOKUP($J997,'Project Reference'!$B$2:$J$41,9,FALSE)," ")</f>
        <v xml:space="preserve"> </v>
      </c>
      <c r="X997" s="42" t="str">
        <f>IFERROR(VLOOKUP($J997,'Project Reference'!$B$2:$K$41,10)," ")</f>
        <v xml:space="preserve"> </v>
      </c>
      <c r="Y997" s="42" t="str">
        <f>IFERROR(VLOOKUP($J997,'Project Reference'!$B$2:$L$41,11)," ")</f>
        <v xml:space="preserve"> </v>
      </c>
      <c r="Z997" s="42" t="str">
        <f>IFERROR(VLOOKUP($J997,'Project Reference'!$B$2:$M$41,12)," ")</f>
        <v xml:space="preserve"> </v>
      </c>
      <c r="AA997" s="42" t="str">
        <f>IFERROR(VLOOKUP($J997,'Project Reference'!$B$2:$N$41,13)," ")</f>
        <v xml:space="preserve"> </v>
      </c>
    </row>
    <row r="998" spans="1:27" x14ac:dyDescent="0.45">
      <c r="A998" s="43"/>
      <c r="B998" s="205"/>
      <c r="C998"/>
      <c r="D998" s="72"/>
      <c r="E998" s="72"/>
      <c r="F998" s="72"/>
      <c r="G998" s="72"/>
      <c r="H998" s="17"/>
      <c r="I998" s="41" t="str" cm="1">
        <f t="array" ref="I998">IFERROR(_xlfn.IFS(H998="Hard (Cash)","N/A",H998="Soft (In-Kind)", "Enter Source"),"Select Type")</f>
        <v>Select Type</v>
      </c>
      <c r="J998" s="124"/>
      <c r="K998" s="41" t="str">
        <f>IFERROR(VLOOKUP($J998,'Project Reference'!$S$2:$T$41,2),"Enter Project Number")</f>
        <v>Enter Project Number</v>
      </c>
      <c r="L998" s="41"/>
      <c r="M998" s="41"/>
      <c r="N998" s="15">
        <f t="shared" si="15"/>
        <v>0</v>
      </c>
      <c r="O998" s="19"/>
      <c r="P998" s="42" t="str">
        <f>IFERROR(VLOOKUP($J998,'Project Reference'!$B$2:$C$41,2)," ")</f>
        <v xml:space="preserve"> </v>
      </c>
      <c r="Q998" s="42" t="str">
        <f>IFERROR(VLOOKUP($J998,'Project Reference'!$B$2:$D$41,3)," ")</f>
        <v xml:space="preserve"> </v>
      </c>
      <c r="R998" s="42" t="str">
        <f>IFERROR(VLOOKUP($J998,'Project Reference'!$B$2:$E$41,4)," ")</f>
        <v xml:space="preserve"> </v>
      </c>
      <c r="S998" s="42" t="str">
        <f>IFERROR(VLOOKUP($J998,'Project Reference'!$B$2:$F$41,5,FALSE)," ")</f>
        <v xml:space="preserve"> </v>
      </c>
      <c r="T998" s="42" t="str">
        <f>IFERROR(VLOOKUP($J998,'Project Reference'!$B$2:$G$41,6,FALSE)," ")</f>
        <v xml:space="preserve"> </v>
      </c>
      <c r="U998" s="42" t="str">
        <f>IFERROR(VLOOKUP($J998,'Project Reference'!$B$2:$H$41,7,FALSE)," ")</f>
        <v xml:space="preserve"> </v>
      </c>
      <c r="V998" s="42" t="str">
        <f>IFERROR(VLOOKUP($J998,'Project Reference'!$B$2:$I$41,8,FALSE)," ")</f>
        <v xml:space="preserve"> </v>
      </c>
      <c r="W998" s="42" t="str">
        <f>IFERROR(VLOOKUP($J998,'Project Reference'!$B$2:$J$41,9,FALSE)," ")</f>
        <v xml:space="preserve"> </v>
      </c>
      <c r="X998" s="42" t="str">
        <f>IFERROR(VLOOKUP($J998,'Project Reference'!$B$2:$K$41,10)," ")</f>
        <v xml:space="preserve"> </v>
      </c>
      <c r="Y998" s="42" t="str">
        <f>IFERROR(VLOOKUP($J998,'Project Reference'!$B$2:$L$41,11)," ")</f>
        <v xml:space="preserve"> </v>
      </c>
      <c r="Z998" s="42" t="str">
        <f>IFERROR(VLOOKUP($J998,'Project Reference'!$B$2:$M$41,12)," ")</f>
        <v xml:space="preserve"> </v>
      </c>
      <c r="AA998" s="42" t="str">
        <f>IFERROR(VLOOKUP($J998,'Project Reference'!$B$2:$N$41,13)," ")</f>
        <v xml:space="preserve"> </v>
      </c>
    </row>
    <row r="999" spans="1:27" x14ac:dyDescent="0.45">
      <c r="A999" s="43"/>
      <c r="B999" s="205"/>
      <c r="C999"/>
      <c r="D999" s="72"/>
      <c r="E999" s="72"/>
      <c r="F999" s="72"/>
      <c r="G999" s="72"/>
      <c r="H999" s="17"/>
      <c r="I999" s="41" t="str" cm="1">
        <f t="array" ref="I999">IFERROR(_xlfn.IFS(H999="Hard (Cash)","N/A",H999="Soft (In-Kind)", "Enter Source"),"Select Type")</f>
        <v>Select Type</v>
      </c>
      <c r="J999" s="124"/>
      <c r="K999" s="41" t="str">
        <f>IFERROR(VLOOKUP($J999,'Project Reference'!$S$2:$T$41,2),"Enter Project Number")</f>
        <v>Enter Project Number</v>
      </c>
      <c r="L999" s="41"/>
      <c r="M999" s="41"/>
      <c r="N999" s="15">
        <f t="shared" si="15"/>
        <v>0</v>
      </c>
      <c r="O999" s="19"/>
      <c r="P999" s="42" t="str">
        <f>IFERROR(VLOOKUP($J999,'Project Reference'!$B$2:$C$41,2)," ")</f>
        <v xml:space="preserve"> </v>
      </c>
      <c r="Q999" s="42" t="str">
        <f>IFERROR(VLOOKUP($J999,'Project Reference'!$B$2:$D$41,3)," ")</f>
        <v xml:space="preserve"> </v>
      </c>
      <c r="R999" s="42" t="str">
        <f>IFERROR(VLOOKUP($J999,'Project Reference'!$B$2:$E$41,4)," ")</f>
        <v xml:space="preserve"> </v>
      </c>
      <c r="S999" s="42" t="str">
        <f>IFERROR(VLOOKUP($J999,'Project Reference'!$B$2:$F$41,5,FALSE)," ")</f>
        <v xml:space="preserve"> </v>
      </c>
      <c r="T999" s="42" t="str">
        <f>IFERROR(VLOOKUP($J999,'Project Reference'!$B$2:$G$41,6,FALSE)," ")</f>
        <v xml:space="preserve"> </v>
      </c>
      <c r="U999" s="42" t="str">
        <f>IFERROR(VLOOKUP($J999,'Project Reference'!$B$2:$H$41,7,FALSE)," ")</f>
        <v xml:space="preserve"> </v>
      </c>
      <c r="V999" s="42" t="str">
        <f>IFERROR(VLOOKUP($J999,'Project Reference'!$B$2:$I$41,8,FALSE)," ")</f>
        <v xml:space="preserve"> </v>
      </c>
      <c r="W999" s="42" t="str">
        <f>IFERROR(VLOOKUP($J999,'Project Reference'!$B$2:$J$41,9,FALSE)," ")</f>
        <v xml:space="preserve"> </v>
      </c>
      <c r="X999" s="42" t="str">
        <f>IFERROR(VLOOKUP($J999,'Project Reference'!$B$2:$K$41,10)," ")</f>
        <v xml:space="preserve"> </v>
      </c>
      <c r="Y999" s="42" t="str">
        <f>IFERROR(VLOOKUP($J999,'Project Reference'!$B$2:$L$41,11)," ")</f>
        <v xml:space="preserve"> </v>
      </c>
      <c r="Z999" s="42" t="str">
        <f>IFERROR(VLOOKUP($J999,'Project Reference'!$B$2:$M$41,12)," ")</f>
        <v xml:space="preserve"> </v>
      </c>
      <c r="AA999" s="42" t="str">
        <f>IFERROR(VLOOKUP($J999,'Project Reference'!$B$2:$N$41,13)," ")</f>
        <v xml:space="preserve"> </v>
      </c>
    </row>
    <row r="1000" spans="1:27" x14ac:dyDescent="0.45">
      <c r="A1000" s="43"/>
      <c r="B1000" s="205"/>
      <c r="C1000"/>
      <c r="D1000" s="72"/>
      <c r="E1000" s="72"/>
      <c r="F1000" s="72"/>
      <c r="G1000" s="72"/>
      <c r="H1000" s="17"/>
      <c r="I1000" s="41" t="str" cm="1">
        <f t="array" ref="I1000">IFERROR(_xlfn.IFS(H1000="Hard (Cash)","N/A",H1000="Soft (In-Kind)", "Enter Source"),"Select Type")</f>
        <v>Select Type</v>
      </c>
      <c r="J1000" s="124"/>
      <c r="K1000" s="41" t="str">
        <f>IFERROR(VLOOKUP($J1000,'Project Reference'!$S$2:$T$41,2),"Enter Project Number")</f>
        <v>Enter Project Number</v>
      </c>
      <c r="L1000" s="41"/>
      <c r="M1000" s="41"/>
      <c r="N1000" s="15">
        <f t="shared" si="15"/>
        <v>0</v>
      </c>
      <c r="O1000" s="19"/>
      <c r="P1000" s="42" t="str">
        <f>IFERROR(VLOOKUP($J1000,'Project Reference'!$B$2:$C$41,2)," ")</f>
        <v xml:space="preserve"> </v>
      </c>
      <c r="Q1000" s="42" t="str">
        <f>IFERROR(VLOOKUP($J1000,'Project Reference'!$B$2:$D$41,3)," ")</f>
        <v xml:space="preserve"> </v>
      </c>
      <c r="R1000" s="42" t="str">
        <f>IFERROR(VLOOKUP($J1000,'Project Reference'!$B$2:$E$41,4)," ")</f>
        <v xml:space="preserve"> </v>
      </c>
      <c r="S1000" s="42" t="str">
        <f>IFERROR(VLOOKUP($J1000,'Project Reference'!$B$2:$F$41,5,FALSE)," ")</f>
        <v xml:space="preserve"> </v>
      </c>
      <c r="T1000" s="42" t="str">
        <f>IFERROR(VLOOKUP($J1000,'Project Reference'!$B$2:$G$41,6,FALSE)," ")</f>
        <v xml:space="preserve"> </v>
      </c>
      <c r="U1000" s="42" t="str">
        <f>IFERROR(VLOOKUP($J1000,'Project Reference'!$B$2:$H$41,7,FALSE)," ")</f>
        <v xml:space="preserve"> </v>
      </c>
      <c r="V1000" s="42" t="str">
        <f>IFERROR(VLOOKUP($J1000,'Project Reference'!$B$2:$I$41,8,FALSE)," ")</f>
        <v xml:space="preserve"> </v>
      </c>
      <c r="W1000" s="42" t="str">
        <f>IFERROR(VLOOKUP($J1000,'Project Reference'!$B$2:$J$41,9,FALSE)," ")</f>
        <v xml:space="preserve"> </v>
      </c>
      <c r="X1000" s="42" t="str">
        <f>IFERROR(VLOOKUP($J1000,'Project Reference'!$B$2:$K$41,10)," ")</f>
        <v xml:space="preserve"> </v>
      </c>
      <c r="Y1000" s="42" t="str">
        <f>IFERROR(VLOOKUP($J1000,'Project Reference'!$B$2:$L$41,11)," ")</f>
        <v xml:space="preserve"> </v>
      </c>
      <c r="Z1000" s="42" t="str">
        <f>IFERROR(VLOOKUP($J1000,'Project Reference'!$B$2:$M$41,12)," ")</f>
        <v xml:space="preserve"> </v>
      </c>
      <c r="AA1000" s="42" t="str">
        <f>IFERROR(VLOOKUP($J1000,'Project Reference'!$B$2:$N$41,13)," ")</f>
        <v xml:space="preserve"> </v>
      </c>
    </row>
    <row r="1001" spans="1:27" x14ac:dyDescent="0.45">
      <c r="A1001" s="43"/>
      <c r="B1001" s="205"/>
      <c r="C1001"/>
      <c r="D1001" s="72"/>
      <c r="E1001" s="72"/>
      <c r="F1001" s="72"/>
      <c r="G1001" s="72"/>
      <c r="H1001" s="17"/>
      <c r="I1001" s="41" t="str" cm="1">
        <f t="array" ref="I1001">IFERROR(_xlfn.IFS(H1001="Hard (Cash)","N/A",H1001="Soft (In-Kind)", "Enter Source"),"Select Type")</f>
        <v>Select Type</v>
      </c>
      <c r="J1001" s="124"/>
      <c r="K1001" s="41" t="str">
        <f>IFERROR(VLOOKUP($J1001,'Project Reference'!$S$2:$T$41,2),"Enter Project Number")</f>
        <v>Enter Project Number</v>
      </c>
      <c r="L1001" s="41"/>
      <c r="M1001" s="41"/>
      <c r="N1001" s="15">
        <f t="shared" si="15"/>
        <v>0</v>
      </c>
      <c r="O1001" s="19"/>
      <c r="P1001" s="42" t="str">
        <f>IFERROR(VLOOKUP($J1001,'Project Reference'!$B$2:$C$41,2)," ")</f>
        <v xml:space="preserve"> </v>
      </c>
      <c r="Q1001" s="42" t="str">
        <f>IFERROR(VLOOKUP($J1001,'Project Reference'!$B$2:$D$41,3)," ")</f>
        <v xml:space="preserve"> </v>
      </c>
      <c r="R1001" s="42" t="str">
        <f>IFERROR(VLOOKUP($J1001,'Project Reference'!$B$2:$E$41,4)," ")</f>
        <v xml:space="preserve"> </v>
      </c>
      <c r="S1001" s="42" t="str">
        <f>IFERROR(VLOOKUP($J1001,'Project Reference'!$B$2:$F$41,5,FALSE)," ")</f>
        <v xml:space="preserve"> </v>
      </c>
      <c r="T1001" s="42" t="str">
        <f>IFERROR(VLOOKUP($J1001,'Project Reference'!$B$2:$G$41,6,FALSE)," ")</f>
        <v xml:space="preserve"> </v>
      </c>
      <c r="U1001" s="42" t="str">
        <f>IFERROR(VLOOKUP($J1001,'Project Reference'!$B$2:$H$41,7,FALSE)," ")</f>
        <v xml:space="preserve"> </v>
      </c>
      <c r="V1001" s="42" t="str">
        <f>IFERROR(VLOOKUP($J1001,'Project Reference'!$B$2:$I$41,8,FALSE)," ")</f>
        <v xml:space="preserve"> </v>
      </c>
      <c r="W1001" s="42" t="str">
        <f>IFERROR(VLOOKUP($J1001,'Project Reference'!$B$2:$J$41,9,FALSE)," ")</f>
        <v xml:space="preserve"> </v>
      </c>
      <c r="X1001" s="42" t="str">
        <f>IFERROR(VLOOKUP($J1001,'Project Reference'!$B$2:$K$41,10)," ")</f>
        <v xml:space="preserve"> </v>
      </c>
      <c r="Y1001" s="42" t="str">
        <f>IFERROR(VLOOKUP($J1001,'Project Reference'!$B$2:$L$41,11)," ")</f>
        <v xml:space="preserve"> </v>
      </c>
      <c r="Z1001" s="42" t="str">
        <f>IFERROR(VLOOKUP($J1001,'Project Reference'!$B$2:$M$41,12)," ")</f>
        <v xml:space="preserve"> </v>
      </c>
      <c r="AA1001" s="42" t="str">
        <f>IFERROR(VLOOKUP($J1001,'Project Reference'!$B$2:$N$41,13)," ")</f>
        <v xml:space="preserve"> </v>
      </c>
    </row>
    <row r="1002" spans="1:27" x14ac:dyDescent="0.45">
      <c r="A1002" s="43"/>
      <c r="B1002" s="205"/>
      <c r="C1002"/>
      <c r="D1002" s="72"/>
      <c r="E1002" s="72"/>
      <c r="F1002" s="72"/>
      <c r="G1002" s="72"/>
      <c r="H1002" s="17"/>
      <c r="I1002" s="41" t="str" cm="1">
        <f t="array" ref="I1002">IFERROR(_xlfn.IFS(H1002="Hard (Cash)","N/A",H1002="Soft (In-Kind)", "Enter Source"),"Select Type")</f>
        <v>Select Type</v>
      </c>
      <c r="J1002" s="124"/>
      <c r="K1002" s="41" t="str">
        <f>IFERROR(VLOOKUP($J1002,'Project Reference'!$S$2:$T$41,2),"Enter Project Number")</f>
        <v>Enter Project Number</v>
      </c>
      <c r="L1002" s="41"/>
      <c r="M1002" s="41"/>
      <c r="N1002" s="15">
        <f t="shared" si="15"/>
        <v>0</v>
      </c>
      <c r="O1002" s="19"/>
      <c r="P1002" s="42" t="str">
        <f>IFERROR(VLOOKUP($J1002,'Project Reference'!$B$2:$C$41,2)," ")</f>
        <v xml:space="preserve"> </v>
      </c>
      <c r="Q1002" s="42" t="str">
        <f>IFERROR(VLOOKUP($J1002,'Project Reference'!$B$2:$D$41,3)," ")</f>
        <v xml:space="preserve"> </v>
      </c>
      <c r="R1002" s="42" t="str">
        <f>IFERROR(VLOOKUP($J1002,'Project Reference'!$B$2:$E$41,4)," ")</f>
        <v xml:space="preserve"> </v>
      </c>
      <c r="S1002" s="42" t="str">
        <f>IFERROR(VLOOKUP($J1002,'Project Reference'!$B$2:$F$41,5,FALSE)," ")</f>
        <v xml:space="preserve"> </v>
      </c>
      <c r="T1002" s="42" t="str">
        <f>IFERROR(VLOOKUP($J1002,'Project Reference'!$B$2:$G$41,6,FALSE)," ")</f>
        <v xml:space="preserve"> </v>
      </c>
      <c r="U1002" s="42" t="str">
        <f>IFERROR(VLOOKUP($J1002,'Project Reference'!$B$2:$H$41,7,FALSE)," ")</f>
        <v xml:space="preserve"> </v>
      </c>
      <c r="V1002" s="42" t="str">
        <f>IFERROR(VLOOKUP($J1002,'Project Reference'!$B$2:$I$41,8,FALSE)," ")</f>
        <v xml:space="preserve"> </v>
      </c>
      <c r="W1002" s="42" t="str">
        <f>IFERROR(VLOOKUP($J1002,'Project Reference'!$B$2:$J$41,9,FALSE)," ")</f>
        <v xml:space="preserve"> </v>
      </c>
      <c r="X1002" s="42" t="str">
        <f>IFERROR(VLOOKUP($J1002,'Project Reference'!$B$2:$K$41,10)," ")</f>
        <v xml:space="preserve"> </v>
      </c>
      <c r="Y1002" s="42" t="str">
        <f>IFERROR(VLOOKUP($J1002,'Project Reference'!$B$2:$L$41,11)," ")</f>
        <v xml:space="preserve"> </v>
      </c>
      <c r="Z1002" s="42" t="str">
        <f>IFERROR(VLOOKUP($J1002,'Project Reference'!$B$2:$M$41,12)," ")</f>
        <v xml:space="preserve"> </v>
      </c>
      <c r="AA1002" s="42" t="str">
        <f>IFERROR(VLOOKUP($J1002,'Project Reference'!$B$2:$N$41,13)," ")</f>
        <v xml:space="preserve"> </v>
      </c>
    </row>
    <row r="1003" spans="1:27" x14ac:dyDescent="0.45">
      <c r="A1003" s="43"/>
      <c r="B1003" s="205"/>
      <c r="C1003"/>
      <c r="D1003" s="72"/>
      <c r="E1003" s="72"/>
      <c r="F1003" s="72"/>
      <c r="G1003" s="72"/>
      <c r="H1003" s="17"/>
      <c r="I1003" s="41" t="str" cm="1">
        <f t="array" ref="I1003">IFERROR(_xlfn.IFS(H1003="Hard (Cash)","N/A",H1003="Soft (In-Kind)", "Enter Source"),"Select Type")</f>
        <v>Select Type</v>
      </c>
      <c r="J1003" s="124"/>
      <c r="K1003" s="41" t="str">
        <f>IFERROR(VLOOKUP($J1003,'Project Reference'!$S$2:$T$41,2),"Enter Project Number")</f>
        <v>Enter Project Number</v>
      </c>
      <c r="L1003" s="41"/>
      <c r="M1003" s="41"/>
      <c r="N1003" s="15">
        <f t="shared" si="15"/>
        <v>0</v>
      </c>
      <c r="O1003" s="19"/>
      <c r="P1003" s="42" t="str">
        <f>IFERROR(VLOOKUP($J1003,'Project Reference'!$B$2:$C$41,2)," ")</f>
        <v xml:space="preserve"> </v>
      </c>
      <c r="Q1003" s="42" t="str">
        <f>IFERROR(VLOOKUP($J1003,'Project Reference'!$B$2:$D$41,3)," ")</f>
        <v xml:space="preserve"> </v>
      </c>
      <c r="R1003" s="42" t="str">
        <f>IFERROR(VLOOKUP($J1003,'Project Reference'!$B$2:$E$41,4)," ")</f>
        <v xml:space="preserve"> </v>
      </c>
      <c r="S1003" s="42" t="str">
        <f>IFERROR(VLOOKUP($J1003,'Project Reference'!$B$2:$F$41,5,FALSE)," ")</f>
        <v xml:space="preserve"> </v>
      </c>
      <c r="T1003" s="42" t="str">
        <f>IFERROR(VLOOKUP($J1003,'Project Reference'!$B$2:$G$41,6,FALSE)," ")</f>
        <v xml:space="preserve"> </v>
      </c>
      <c r="U1003" s="42" t="str">
        <f>IFERROR(VLOOKUP($J1003,'Project Reference'!$B$2:$H$41,7,FALSE)," ")</f>
        <v xml:space="preserve"> </v>
      </c>
      <c r="V1003" s="42" t="str">
        <f>IFERROR(VLOOKUP($J1003,'Project Reference'!$B$2:$I$41,8,FALSE)," ")</f>
        <v xml:space="preserve"> </v>
      </c>
      <c r="W1003" s="42" t="str">
        <f>IFERROR(VLOOKUP($J1003,'Project Reference'!$B$2:$J$41,9,FALSE)," ")</f>
        <v xml:space="preserve"> </v>
      </c>
      <c r="X1003" s="42" t="str">
        <f>IFERROR(VLOOKUP($J1003,'Project Reference'!$B$2:$K$41,10)," ")</f>
        <v xml:space="preserve"> </v>
      </c>
      <c r="Y1003" s="42" t="str">
        <f>IFERROR(VLOOKUP($J1003,'Project Reference'!$B$2:$L$41,11)," ")</f>
        <v xml:space="preserve"> </v>
      </c>
      <c r="Z1003" s="42" t="str">
        <f>IFERROR(VLOOKUP($J1003,'Project Reference'!$B$2:$M$41,12)," ")</f>
        <v xml:space="preserve"> </v>
      </c>
      <c r="AA1003" s="42" t="str">
        <f>IFERROR(VLOOKUP($J1003,'Project Reference'!$B$2:$N$41,13)," ")</f>
        <v xml:space="preserve"> </v>
      </c>
    </row>
    <row r="1004" spans="1:27" x14ac:dyDescent="0.45">
      <c r="A1004" s="43"/>
      <c r="B1004" s="205"/>
      <c r="C1004"/>
      <c r="D1004" s="72"/>
      <c r="E1004" s="72"/>
      <c r="F1004" s="72"/>
      <c r="G1004" s="72"/>
      <c r="H1004" s="17"/>
      <c r="I1004" s="41" t="str" cm="1">
        <f t="array" ref="I1004">IFERROR(_xlfn.IFS(H1004="Hard (Cash)","N/A",H1004="Soft (In-Kind)", "Enter Source"),"Select Type")</f>
        <v>Select Type</v>
      </c>
      <c r="J1004" s="124"/>
      <c r="K1004" s="41" t="str">
        <f>IFERROR(VLOOKUP($J1004,'Project Reference'!$S$2:$T$41,2),"Enter Project Number")</f>
        <v>Enter Project Number</v>
      </c>
      <c r="L1004" s="41"/>
      <c r="M1004" s="41"/>
      <c r="N1004" s="15">
        <f t="shared" si="15"/>
        <v>0</v>
      </c>
      <c r="O1004" s="19"/>
      <c r="P1004" s="42" t="str">
        <f>IFERROR(VLOOKUP($J1004,'Project Reference'!$B$2:$C$41,2)," ")</f>
        <v xml:space="preserve"> </v>
      </c>
      <c r="Q1004" s="42" t="str">
        <f>IFERROR(VLOOKUP($J1004,'Project Reference'!$B$2:$D$41,3)," ")</f>
        <v xml:space="preserve"> </v>
      </c>
      <c r="R1004" s="42" t="str">
        <f>IFERROR(VLOOKUP($J1004,'Project Reference'!$B$2:$E$41,4)," ")</f>
        <v xml:space="preserve"> </v>
      </c>
      <c r="S1004" s="42" t="str">
        <f>IFERROR(VLOOKUP($J1004,'Project Reference'!$B$2:$F$41,5,FALSE)," ")</f>
        <v xml:space="preserve"> </v>
      </c>
      <c r="T1004" s="42" t="str">
        <f>IFERROR(VLOOKUP($J1004,'Project Reference'!$B$2:$G$41,6,FALSE)," ")</f>
        <v xml:space="preserve"> </v>
      </c>
      <c r="U1004" s="42" t="str">
        <f>IFERROR(VLOOKUP($J1004,'Project Reference'!$B$2:$H$41,7,FALSE)," ")</f>
        <v xml:space="preserve"> </v>
      </c>
      <c r="V1004" s="42" t="str">
        <f>IFERROR(VLOOKUP($J1004,'Project Reference'!$B$2:$I$41,8,FALSE)," ")</f>
        <v xml:space="preserve"> </v>
      </c>
      <c r="W1004" s="42" t="str">
        <f>IFERROR(VLOOKUP($J1004,'Project Reference'!$B$2:$J$41,9,FALSE)," ")</f>
        <v xml:space="preserve"> </v>
      </c>
      <c r="X1004" s="42" t="str">
        <f>IFERROR(VLOOKUP($J1004,'Project Reference'!$B$2:$K$41,10)," ")</f>
        <v xml:space="preserve"> </v>
      </c>
      <c r="Y1004" s="42" t="str">
        <f>IFERROR(VLOOKUP($J1004,'Project Reference'!$B$2:$L$41,11)," ")</f>
        <v xml:space="preserve"> </v>
      </c>
      <c r="Z1004" s="42" t="str">
        <f>IFERROR(VLOOKUP($J1004,'Project Reference'!$B$2:$M$41,12)," ")</f>
        <v xml:space="preserve"> </v>
      </c>
      <c r="AA1004" s="42" t="str">
        <f>IFERROR(VLOOKUP($J1004,'Project Reference'!$B$2:$N$41,13)," ")</f>
        <v xml:space="preserve"> </v>
      </c>
    </row>
    <row r="1005" spans="1:27" x14ac:dyDescent="0.45">
      <c r="A1005" s="43"/>
      <c r="B1005" s="205"/>
      <c r="C1005"/>
      <c r="D1005" s="72"/>
      <c r="E1005" s="72"/>
      <c r="F1005" s="72"/>
      <c r="G1005" s="72"/>
      <c r="H1005" s="17"/>
      <c r="I1005" s="41" t="str" cm="1">
        <f t="array" ref="I1005">IFERROR(_xlfn.IFS(H1005="Hard (Cash)","N/A",H1005="Soft (In-Kind)", "Enter Source"),"Select Type")</f>
        <v>Select Type</v>
      </c>
      <c r="J1005" s="124"/>
      <c r="K1005" s="41" t="str">
        <f>IFERROR(VLOOKUP($J1005,'Project Reference'!$S$2:$T$41,2),"Enter Project Number")</f>
        <v>Enter Project Number</v>
      </c>
      <c r="L1005" s="41"/>
      <c r="M1005" s="41"/>
      <c r="N1005" s="15">
        <f t="shared" si="15"/>
        <v>0</v>
      </c>
      <c r="O1005" s="19"/>
      <c r="P1005" s="42" t="str">
        <f>IFERROR(VLOOKUP($J1005,'Project Reference'!$B$2:$C$41,2)," ")</f>
        <v xml:space="preserve"> </v>
      </c>
      <c r="Q1005" s="42" t="str">
        <f>IFERROR(VLOOKUP($J1005,'Project Reference'!$B$2:$D$41,3)," ")</f>
        <v xml:space="preserve"> </v>
      </c>
      <c r="R1005" s="42" t="str">
        <f>IFERROR(VLOOKUP($J1005,'Project Reference'!$B$2:$E$41,4)," ")</f>
        <v xml:space="preserve"> </v>
      </c>
      <c r="S1005" s="42" t="str">
        <f>IFERROR(VLOOKUP($J1005,'Project Reference'!$B$2:$F$41,5,FALSE)," ")</f>
        <v xml:space="preserve"> </v>
      </c>
      <c r="T1005" s="42" t="str">
        <f>IFERROR(VLOOKUP($J1005,'Project Reference'!$B$2:$G$41,6,FALSE)," ")</f>
        <v xml:space="preserve"> </v>
      </c>
      <c r="U1005" s="42" t="str">
        <f>IFERROR(VLOOKUP($J1005,'Project Reference'!$B$2:$H$41,7,FALSE)," ")</f>
        <v xml:space="preserve"> </v>
      </c>
      <c r="V1005" s="42" t="str">
        <f>IFERROR(VLOOKUP($J1005,'Project Reference'!$B$2:$I$41,8,FALSE)," ")</f>
        <v xml:space="preserve"> </v>
      </c>
      <c r="W1005" s="42" t="str">
        <f>IFERROR(VLOOKUP($J1005,'Project Reference'!$B$2:$J$41,9,FALSE)," ")</f>
        <v xml:space="preserve"> </v>
      </c>
      <c r="X1005" s="42" t="str">
        <f>IFERROR(VLOOKUP($J1005,'Project Reference'!$B$2:$K$41,10)," ")</f>
        <v xml:space="preserve"> </v>
      </c>
      <c r="Y1005" s="42" t="str">
        <f>IFERROR(VLOOKUP($J1005,'Project Reference'!$B$2:$L$41,11)," ")</f>
        <v xml:space="preserve"> </v>
      </c>
      <c r="Z1005" s="42" t="str">
        <f>IFERROR(VLOOKUP($J1005,'Project Reference'!$B$2:$M$41,12)," ")</f>
        <v xml:space="preserve"> </v>
      </c>
      <c r="AA1005" s="42" t="str">
        <f>IFERROR(VLOOKUP($J1005,'Project Reference'!$B$2:$N$41,13)," ")</f>
        <v xml:space="preserve"> </v>
      </c>
    </row>
    <row r="1006" spans="1:27" x14ac:dyDescent="0.45">
      <c r="A1006" s="43"/>
      <c r="B1006" s="205"/>
      <c r="C1006"/>
      <c r="D1006" s="72"/>
      <c r="E1006" s="72"/>
      <c r="F1006" s="72"/>
      <c r="G1006" s="72"/>
      <c r="H1006" s="17"/>
      <c r="I1006" s="41" t="str" cm="1">
        <f t="array" ref="I1006">IFERROR(_xlfn.IFS(H1006="Hard (Cash)","N/A",H1006="Soft (In-Kind)", "Enter Source"),"Select Type")</f>
        <v>Select Type</v>
      </c>
      <c r="J1006" s="124"/>
      <c r="K1006" s="41" t="str">
        <f>IFERROR(VLOOKUP($J1006,'Project Reference'!$S$2:$T$41,2),"Enter Project Number")</f>
        <v>Enter Project Number</v>
      </c>
      <c r="L1006" s="41"/>
      <c r="M1006" s="41"/>
      <c r="N1006" s="15">
        <f t="shared" si="15"/>
        <v>0</v>
      </c>
      <c r="O1006" s="19"/>
      <c r="P1006" s="42" t="str">
        <f>IFERROR(VLOOKUP($J1006,'Project Reference'!$B$2:$C$41,2)," ")</f>
        <v xml:space="preserve"> </v>
      </c>
      <c r="Q1006" s="42" t="str">
        <f>IFERROR(VLOOKUP($J1006,'Project Reference'!$B$2:$D$41,3)," ")</f>
        <v xml:space="preserve"> </v>
      </c>
      <c r="R1006" s="42" t="str">
        <f>IFERROR(VLOOKUP($J1006,'Project Reference'!$B$2:$E$41,4)," ")</f>
        <v xml:space="preserve"> </v>
      </c>
      <c r="S1006" s="42" t="str">
        <f>IFERROR(VLOOKUP($J1006,'Project Reference'!$B$2:$F$41,5,FALSE)," ")</f>
        <v xml:space="preserve"> </v>
      </c>
      <c r="T1006" s="42" t="str">
        <f>IFERROR(VLOOKUP($J1006,'Project Reference'!$B$2:$G$41,6,FALSE)," ")</f>
        <v xml:space="preserve"> </v>
      </c>
      <c r="U1006" s="42" t="str">
        <f>IFERROR(VLOOKUP($J1006,'Project Reference'!$B$2:$H$41,7,FALSE)," ")</f>
        <v xml:space="preserve"> </v>
      </c>
      <c r="V1006" s="42" t="str">
        <f>IFERROR(VLOOKUP($J1006,'Project Reference'!$B$2:$I$41,8,FALSE)," ")</f>
        <v xml:space="preserve"> </v>
      </c>
      <c r="W1006" s="42" t="str">
        <f>IFERROR(VLOOKUP($J1006,'Project Reference'!$B$2:$J$41,9,FALSE)," ")</f>
        <v xml:space="preserve"> </v>
      </c>
      <c r="X1006" s="42" t="str">
        <f>IFERROR(VLOOKUP($J1006,'Project Reference'!$B$2:$K$41,10)," ")</f>
        <v xml:space="preserve"> </v>
      </c>
      <c r="Y1006" s="42" t="str">
        <f>IFERROR(VLOOKUP($J1006,'Project Reference'!$B$2:$L$41,11)," ")</f>
        <v xml:space="preserve"> </v>
      </c>
      <c r="Z1006" s="42" t="str">
        <f>IFERROR(VLOOKUP($J1006,'Project Reference'!$B$2:$M$41,12)," ")</f>
        <v xml:space="preserve"> </v>
      </c>
      <c r="AA1006" s="42" t="str">
        <f>IFERROR(VLOOKUP($J1006,'Project Reference'!$B$2:$N$41,13)," ")</f>
        <v xml:space="preserve"> </v>
      </c>
    </row>
    <row r="1007" spans="1:27" x14ac:dyDescent="0.45">
      <c r="A1007" s="43"/>
      <c r="B1007" s="205"/>
      <c r="C1007"/>
      <c r="D1007" s="72"/>
      <c r="E1007" s="72"/>
      <c r="F1007" s="72"/>
      <c r="G1007" s="72"/>
      <c r="H1007" s="17"/>
      <c r="I1007" s="41" t="str" cm="1">
        <f t="array" ref="I1007">IFERROR(_xlfn.IFS(H1007="Hard (Cash)","N/A",H1007="Soft (In-Kind)", "Enter Source"),"Select Type")</f>
        <v>Select Type</v>
      </c>
      <c r="J1007" s="124"/>
      <c r="K1007" s="41" t="str">
        <f>IFERROR(VLOOKUP($J1007,'Project Reference'!$S$2:$T$41,2),"Enter Project Number")</f>
        <v>Enter Project Number</v>
      </c>
      <c r="L1007" s="41"/>
      <c r="M1007" s="41"/>
      <c r="N1007" s="15">
        <f t="shared" si="15"/>
        <v>0</v>
      </c>
      <c r="O1007" s="19"/>
      <c r="P1007" s="42" t="str">
        <f>IFERROR(VLOOKUP($J1007,'Project Reference'!$B$2:$C$41,2)," ")</f>
        <v xml:space="preserve"> </v>
      </c>
      <c r="Q1007" s="42" t="str">
        <f>IFERROR(VLOOKUP($J1007,'Project Reference'!$B$2:$D$41,3)," ")</f>
        <v xml:space="preserve"> </v>
      </c>
      <c r="R1007" s="42" t="str">
        <f>IFERROR(VLOOKUP($J1007,'Project Reference'!$B$2:$E$41,4)," ")</f>
        <v xml:space="preserve"> </v>
      </c>
      <c r="S1007" s="42" t="str">
        <f>IFERROR(VLOOKUP($J1007,'Project Reference'!$B$2:$F$41,5,FALSE)," ")</f>
        <v xml:space="preserve"> </v>
      </c>
      <c r="T1007" s="42" t="str">
        <f>IFERROR(VLOOKUP($J1007,'Project Reference'!$B$2:$G$41,6,FALSE)," ")</f>
        <v xml:space="preserve"> </v>
      </c>
      <c r="U1007" s="42" t="str">
        <f>IFERROR(VLOOKUP($J1007,'Project Reference'!$B$2:$H$41,7,FALSE)," ")</f>
        <v xml:space="preserve"> </v>
      </c>
      <c r="V1007" s="42" t="str">
        <f>IFERROR(VLOOKUP($J1007,'Project Reference'!$B$2:$I$41,8,FALSE)," ")</f>
        <v xml:space="preserve"> </v>
      </c>
      <c r="W1007" s="42" t="str">
        <f>IFERROR(VLOOKUP($J1007,'Project Reference'!$B$2:$J$41,9,FALSE)," ")</f>
        <v xml:space="preserve"> </v>
      </c>
      <c r="X1007" s="42" t="str">
        <f>IFERROR(VLOOKUP($J1007,'Project Reference'!$B$2:$K$41,10)," ")</f>
        <v xml:space="preserve"> </v>
      </c>
      <c r="Y1007" s="42" t="str">
        <f>IFERROR(VLOOKUP($J1007,'Project Reference'!$B$2:$L$41,11)," ")</f>
        <v xml:space="preserve"> </v>
      </c>
      <c r="Z1007" s="42" t="str">
        <f>IFERROR(VLOOKUP($J1007,'Project Reference'!$B$2:$M$41,12)," ")</f>
        <v xml:space="preserve"> </v>
      </c>
      <c r="AA1007" s="42" t="str">
        <f>IFERROR(VLOOKUP($J1007,'Project Reference'!$B$2:$N$41,13)," ")</f>
        <v xml:space="preserve"> </v>
      </c>
    </row>
    <row r="1008" spans="1:27" x14ac:dyDescent="0.45">
      <c r="A1008" s="43"/>
      <c r="B1008" s="205"/>
      <c r="C1008"/>
      <c r="D1008" s="72"/>
      <c r="E1008" s="72"/>
      <c r="F1008" s="72"/>
      <c r="G1008" s="72"/>
      <c r="H1008" s="17"/>
      <c r="I1008" s="41" t="str" cm="1">
        <f t="array" ref="I1008">IFERROR(_xlfn.IFS(H1008="Hard (Cash)","N/A",H1008="Soft (In-Kind)", "Enter Source"),"Select Type")</f>
        <v>Select Type</v>
      </c>
      <c r="J1008" s="124"/>
      <c r="K1008" s="41" t="str">
        <f>IFERROR(VLOOKUP($J1008,'Project Reference'!$S$2:$T$41,2),"Enter Project Number")</f>
        <v>Enter Project Number</v>
      </c>
      <c r="L1008" s="41"/>
      <c r="M1008" s="41"/>
      <c r="N1008" s="15">
        <f t="shared" si="15"/>
        <v>0</v>
      </c>
      <c r="O1008" s="19"/>
      <c r="P1008" s="42" t="str">
        <f>IFERROR(VLOOKUP($J1008,'Project Reference'!$B$2:$C$41,2)," ")</f>
        <v xml:space="preserve"> </v>
      </c>
      <c r="Q1008" s="42" t="str">
        <f>IFERROR(VLOOKUP($J1008,'Project Reference'!$B$2:$D$41,3)," ")</f>
        <v xml:space="preserve"> </v>
      </c>
      <c r="R1008" s="42" t="str">
        <f>IFERROR(VLOOKUP($J1008,'Project Reference'!$B$2:$E$41,4)," ")</f>
        <v xml:space="preserve"> </v>
      </c>
      <c r="S1008" s="42" t="str">
        <f>IFERROR(VLOOKUP($J1008,'Project Reference'!$B$2:$F$41,5,FALSE)," ")</f>
        <v xml:space="preserve"> </v>
      </c>
      <c r="T1008" s="42" t="str">
        <f>IFERROR(VLOOKUP($J1008,'Project Reference'!$B$2:$G$41,6,FALSE)," ")</f>
        <v xml:space="preserve"> </v>
      </c>
      <c r="U1008" s="42" t="str">
        <f>IFERROR(VLOOKUP($J1008,'Project Reference'!$B$2:$H$41,7,FALSE)," ")</f>
        <v xml:space="preserve"> </v>
      </c>
      <c r="V1008" s="42" t="str">
        <f>IFERROR(VLOOKUP($J1008,'Project Reference'!$B$2:$I$41,8,FALSE)," ")</f>
        <v xml:space="preserve"> </v>
      </c>
      <c r="W1008" s="42" t="str">
        <f>IFERROR(VLOOKUP($J1008,'Project Reference'!$B$2:$J$41,9,FALSE)," ")</f>
        <v xml:space="preserve"> </v>
      </c>
      <c r="X1008" s="42" t="str">
        <f>IFERROR(VLOOKUP($J1008,'Project Reference'!$B$2:$K$41,10)," ")</f>
        <v xml:space="preserve"> </v>
      </c>
      <c r="Y1008" s="42" t="str">
        <f>IFERROR(VLOOKUP($J1008,'Project Reference'!$B$2:$L$41,11)," ")</f>
        <v xml:space="preserve"> </v>
      </c>
      <c r="Z1008" s="42" t="str">
        <f>IFERROR(VLOOKUP($J1008,'Project Reference'!$B$2:$M$41,12)," ")</f>
        <v xml:space="preserve"> </v>
      </c>
      <c r="AA1008" s="42" t="str">
        <f>IFERROR(VLOOKUP($J1008,'Project Reference'!$B$2:$N$41,13)," ")</f>
        <v xml:space="preserve"> </v>
      </c>
    </row>
    <row r="1009" spans="1:27" x14ac:dyDescent="0.45">
      <c r="A1009" s="43"/>
      <c r="B1009" s="205"/>
      <c r="C1009"/>
      <c r="D1009" s="72"/>
      <c r="E1009" s="72"/>
      <c r="F1009" s="72"/>
      <c r="G1009" s="72"/>
      <c r="H1009" s="17"/>
      <c r="I1009" s="41" t="str" cm="1">
        <f t="array" ref="I1009">IFERROR(_xlfn.IFS(H1009="Hard (Cash)","N/A",H1009="Soft (In-Kind)", "Enter Source"),"Select Type")</f>
        <v>Select Type</v>
      </c>
      <c r="J1009" s="124"/>
      <c r="K1009" s="41" t="str">
        <f>IFERROR(VLOOKUP($J1009,'Project Reference'!$S$2:$T$41,2),"Enter Project Number")</f>
        <v>Enter Project Number</v>
      </c>
      <c r="L1009" s="41"/>
      <c r="M1009" s="41"/>
      <c r="N1009" s="15">
        <f t="shared" ref="N1009:N1072" si="16">SUM(D1009:G1009)</f>
        <v>0</v>
      </c>
      <c r="O1009" s="19"/>
      <c r="P1009" s="42" t="str">
        <f>IFERROR(VLOOKUP($J1009,'Project Reference'!$B$2:$C$41,2)," ")</f>
        <v xml:space="preserve"> </v>
      </c>
      <c r="Q1009" s="42" t="str">
        <f>IFERROR(VLOOKUP($J1009,'Project Reference'!$B$2:$D$41,3)," ")</f>
        <v xml:space="preserve"> </v>
      </c>
      <c r="R1009" s="42" t="str">
        <f>IFERROR(VLOOKUP($J1009,'Project Reference'!$B$2:$E$41,4)," ")</f>
        <v xml:space="preserve"> </v>
      </c>
      <c r="S1009" s="42" t="str">
        <f>IFERROR(VLOOKUP($J1009,'Project Reference'!$B$2:$F$41,5,FALSE)," ")</f>
        <v xml:space="preserve"> </v>
      </c>
      <c r="T1009" s="42" t="str">
        <f>IFERROR(VLOOKUP($J1009,'Project Reference'!$B$2:$G$41,6,FALSE)," ")</f>
        <v xml:space="preserve"> </v>
      </c>
      <c r="U1009" s="42" t="str">
        <f>IFERROR(VLOOKUP($J1009,'Project Reference'!$B$2:$H$41,7,FALSE)," ")</f>
        <v xml:space="preserve"> </v>
      </c>
      <c r="V1009" s="42" t="str">
        <f>IFERROR(VLOOKUP($J1009,'Project Reference'!$B$2:$I$41,8,FALSE)," ")</f>
        <v xml:space="preserve"> </v>
      </c>
      <c r="W1009" s="42" t="str">
        <f>IFERROR(VLOOKUP($J1009,'Project Reference'!$B$2:$J$41,9,FALSE)," ")</f>
        <v xml:space="preserve"> </v>
      </c>
      <c r="X1009" s="42" t="str">
        <f>IFERROR(VLOOKUP($J1009,'Project Reference'!$B$2:$K$41,10)," ")</f>
        <v xml:space="preserve"> </v>
      </c>
      <c r="Y1009" s="42" t="str">
        <f>IFERROR(VLOOKUP($J1009,'Project Reference'!$B$2:$L$41,11)," ")</f>
        <v xml:space="preserve"> </v>
      </c>
      <c r="Z1009" s="42" t="str">
        <f>IFERROR(VLOOKUP($J1009,'Project Reference'!$B$2:$M$41,12)," ")</f>
        <v xml:space="preserve"> </v>
      </c>
      <c r="AA1009" s="42" t="str">
        <f>IFERROR(VLOOKUP($J1009,'Project Reference'!$B$2:$N$41,13)," ")</f>
        <v xml:space="preserve"> </v>
      </c>
    </row>
    <row r="1010" spans="1:27" x14ac:dyDescent="0.45">
      <c r="A1010" s="43"/>
      <c r="B1010" s="205"/>
      <c r="C1010"/>
      <c r="D1010" s="72"/>
      <c r="E1010" s="72"/>
      <c r="F1010" s="72"/>
      <c r="G1010" s="72"/>
      <c r="H1010" s="17"/>
      <c r="I1010" s="41" t="str" cm="1">
        <f t="array" ref="I1010">IFERROR(_xlfn.IFS(H1010="Hard (Cash)","N/A",H1010="Soft (In-Kind)", "Enter Source"),"Select Type")</f>
        <v>Select Type</v>
      </c>
      <c r="J1010" s="124"/>
      <c r="K1010" s="41" t="str">
        <f>IFERROR(VLOOKUP($J1010,'Project Reference'!$S$2:$T$41,2),"Enter Project Number")</f>
        <v>Enter Project Number</v>
      </c>
      <c r="L1010" s="41"/>
      <c r="M1010" s="41"/>
      <c r="N1010" s="15">
        <f t="shared" si="16"/>
        <v>0</v>
      </c>
      <c r="O1010" s="19"/>
      <c r="P1010" s="42" t="str">
        <f>IFERROR(VLOOKUP($J1010,'Project Reference'!$B$2:$C$41,2)," ")</f>
        <v xml:space="preserve"> </v>
      </c>
      <c r="Q1010" s="42" t="str">
        <f>IFERROR(VLOOKUP($J1010,'Project Reference'!$B$2:$D$41,3)," ")</f>
        <v xml:space="preserve"> </v>
      </c>
      <c r="R1010" s="42" t="str">
        <f>IFERROR(VLOOKUP($J1010,'Project Reference'!$B$2:$E$41,4)," ")</f>
        <v xml:space="preserve"> </v>
      </c>
      <c r="S1010" s="42" t="str">
        <f>IFERROR(VLOOKUP($J1010,'Project Reference'!$B$2:$F$41,5,FALSE)," ")</f>
        <v xml:space="preserve"> </v>
      </c>
      <c r="T1010" s="42" t="str">
        <f>IFERROR(VLOOKUP($J1010,'Project Reference'!$B$2:$G$41,6,FALSE)," ")</f>
        <v xml:space="preserve"> </v>
      </c>
      <c r="U1010" s="42" t="str">
        <f>IFERROR(VLOOKUP($J1010,'Project Reference'!$B$2:$H$41,7,FALSE)," ")</f>
        <v xml:space="preserve"> </v>
      </c>
      <c r="V1010" s="42" t="str">
        <f>IFERROR(VLOOKUP($J1010,'Project Reference'!$B$2:$I$41,8,FALSE)," ")</f>
        <v xml:space="preserve"> </v>
      </c>
      <c r="W1010" s="42" t="str">
        <f>IFERROR(VLOOKUP($J1010,'Project Reference'!$B$2:$J$41,9,FALSE)," ")</f>
        <v xml:space="preserve"> </v>
      </c>
      <c r="X1010" s="42" t="str">
        <f>IFERROR(VLOOKUP($J1010,'Project Reference'!$B$2:$K$41,10)," ")</f>
        <v xml:space="preserve"> </v>
      </c>
      <c r="Y1010" s="42" t="str">
        <f>IFERROR(VLOOKUP($J1010,'Project Reference'!$B$2:$L$41,11)," ")</f>
        <v xml:space="preserve"> </v>
      </c>
      <c r="Z1010" s="42" t="str">
        <f>IFERROR(VLOOKUP($J1010,'Project Reference'!$B$2:$M$41,12)," ")</f>
        <v xml:space="preserve"> </v>
      </c>
      <c r="AA1010" s="42" t="str">
        <f>IFERROR(VLOOKUP($J1010,'Project Reference'!$B$2:$N$41,13)," ")</f>
        <v xml:space="preserve"> </v>
      </c>
    </row>
    <row r="1011" spans="1:27" x14ac:dyDescent="0.45">
      <c r="A1011" s="43"/>
      <c r="B1011" s="205"/>
      <c r="C1011"/>
      <c r="D1011" s="72"/>
      <c r="E1011" s="72"/>
      <c r="F1011" s="72"/>
      <c r="G1011" s="72"/>
      <c r="H1011" s="17"/>
      <c r="I1011" s="41" t="str" cm="1">
        <f t="array" ref="I1011">IFERROR(_xlfn.IFS(H1011="Hard (Cash)","N/A",H1011="Soft (In-Kind)", "Enter Source"),"Select Type")</f>
        <v>Select Type</v>
      </c>
      <c r="J1011" s="124"/>
      <c r="K1011" s="41" t="str">
        <f>IFERROR(VLOOKUP($J1011,'Project Reference'!$S$2:$T$41,2),"Enter Project Number")</f>
        <v>Enter Project Number</v>
      </c>
      <c r="L1011" s="41"/>
      <c r="M1011" s="41"/>
      <c r="N1011" s="15">
        <f t="shared" si="16"/>
        <v>0</v>
      </c>
      <c r="O1011" s="19"/>
      <c r="P1011" s="42" t="str">
        <f>IFERROR(VLOOKUP($J1011,'Project Reference'!$B$2:$C$41,2)," ")</f>
        <v xml:space="preserve"> </v>
      </c>
      <c r="Q1011" s="42" t="str">
        <f>IFERROR(VLOOKUP($J1011,'Project Reference'!$B$2:$D$41,3)," ")</f>
        <v xml:space="preserve"> </v>
      </c>
      <c r="R1011" s="42" t="str">
        <f>IFERROR(VLOOKUP($J1011,'Project Reference'!$B$2:$E$41,4)," ")</f>
        <v xml:space="preserve"> </v>
      </c>
      <c r="S1011" s="42" t="str">
        <f>IFERROR(VLOOKUP($J1011,'Project Reference'!$B$2:$F$41,5,FALSE)," ")</f>
        <v xml:space="preserve"> </v>
      </c>
      <c r="T1011" s="42" t="str">
        <f>IFERROR(VLOOKUP($J1011,'Project Reference'!$B$2:$G$41,6,FALSE)," ")</f>
        <v xml:space="preserve"> </v>
      </c>
      <c r="U1011" s="42" t="str">
        <f>IFERROR(VLOOKUP($J1011,'Project Reference'!$B$2:$H$41,7,FALSE)," ")</f>
        <v xml:space="preserve"> </v>
      </c>
      <c r="V1011" s="42" t="str">
        <f>IFERROR(VLOOKUP($J1011,'Project Reference'!$B$2:$I$41,8,FALSE)," ")</f>
        <v xml:space="preserve"> </v>
      </c>
      <c r="W1011" s="42" t="str">
        <f>IFERROR(VLOOKUP($J1011,'Project Reference'!$B$2:$J$41,9,FALSE)," ")</f>
        <v xml:space="preserve"> </v>
      </c>
      <c r="X1011" s="42" t="str">
        <f>IFERROR(VLOOKUP($J1011,'Project Reference'!$B$2:$K$41,10)," ")</f>
        <v xml:space="preserve"> </v>
      </c>
      <c r="Y1011" s="42" t="str">
        <f>IFERROR(VLOOKUP($J1011,'Project Reference'!$B$2:$L$41,11)," ")</f>
        <v xml:space="preserve"> </v>
      </c>
      <c r="Z1011" s="42" t="str">
        <f>IFERROR(VLOOKUP($J1011,'Project Reference'!$B$2:$M$41,12)," ")</f>
        <v xml:space="preserve"> </v>
      </c>
      <c r="AA1011" s="42" t="str">
        <f>IFERROR(VLOOKUP($J1011,'Project Reference'!$B$2:$N$41,13)," ")</f>
        <v xml:space="preserve"> </v>
      </c>
    </row>
    <row r="1012" spans="1:27" x14ac:dyDescent="0.45">
      <c r="A1012" s="43"/>
      <c r="B1012" s="205"/>
      <c r="C1012"/>
      <c r="D1012" s="72"/>
      <c r="E1012" s="72"/>
      <c r="F1012" s="72"/>
      <c r="G1012" s="72"/>
      <c r="H1012" s="17"/>
      <c r="I1012" s="41" t="str" cm="1">
        <f t="array" ref="I1012">IFERROR(_xlfn.IFS(H1012="Hard (Cash)","N/A",H1012="Soft (In-Kind)", "Enter Source"),"Select Type")</f>
        <v>Select Type</v>
      </c>
      <c r="J1012" s="124"/>
      <c r="K1012" s="41" t="str">
        <f>IFERROR(VLOOKUP($J1012,'Project Reference'!$S$2:$T$41,2),"Enter Project Number")</f>
        <v>Enter Project Number</v>
      </c>
      <c r="L1012" s="41"/>
      <c r="M1012" s="41"/>
      <c r="N1012" s="15">
        <f t="shared" si="16"/>
        <v>0</v>
      </c>
      <c r="O1012" s="19"/>
      <c r="P1012" s="42" t="str">
        <f>IFERROR(VLOOKUP($J1012,'Project Reference'!$B$2:$C$41,2)," ")</f>
        <v xml:space="preserve"> </v>
      </c>
      <c r="Q1012" s="42" t="str">
        <f>IFERROR(VLOOKUP($J1012,'Project Reference'!$B$2:$D$41,3)," ")</f>
        <v xml:space="preserve"> </v>
      </c>
      <c r="R1012" s="42" t="str">
        <f>IFERROR(VLOOKUP($J1012,'Project Reference'!$B$2:$E$41,4)," ")</f>
        <v xml:space="preserve"> </v>
      </c>
      <c r="S1012" s="42" t="str">
        <f>IFERROR(VLOOKUP($J1012,'Project Reference'!$B$2:$F$41,5,FALSE)," ")</f>
        <v xml:space="preserve"> </v>
      </c>
      <c r="T1012" s="42" t="str">
        <f>IFERROR(VLOOKUP($J1012,'Project Reference'!$B$2:$G$41,6,FALSE)," ")</f>
        <v xml:space="preserve"> </v>
      </c>
      <c r="U1012" s="42" t="str">
        <f>IFERROR(VLOOKUP($J1012,'Project Reference'!$B$2:$H$41,7,FALSE)," ")</f>
        <v xml:space="preserve"> </v>
      </c>
      <c r="V1012" s="42" t="str">
        <f>IFERROR(VLOOKUP($J1012,'Project Reference'!$B$2:$I$41,8,FALSE)," ")</f>
        <v xml:space="preserve"> </v>
      </c>
      <c r="W1012" s="42" t="str">
        <f>IFERROR(VLOOKUP($J1012,'Project Reference'!$B$2:$J$41,9,FALSE)," ")</f>
        <v xml:space="preserve"> </v>
      </c>
      <c r="X1012" s="42" t="str">
        <f>IFERROR(VLOOKUP($J1012,'Project Reference'!$B$2:$K$41,10)," ")</f>
        <v xml:space="preserve"> </v>
      </c>
      <c r="Y1012" s="42" t="str">
        <f>IFERROR(VLOOKUP($J1012,'Project Reference'!$B$2:$L$41,11)," ")</f>
        <v xml:space="preserve"> </v>
      </c>
      <c r="Z1012" s="42" t="str">
        <f>IFERROR(VLOOKUP($J1012,'Project Reference'!$B$2:$M$41,12)," ")</f>
        <v xml:space="preserve"> </v>
      </c>
      <c r="AA1012" s="42" t="str">
        <f>IFERROR(VLOOKUP($J1012,'Project Reference'!$B$2:$N$41,13)," ")</f>
        <v xml:space="preserve"> </v>
      </c>
    </row>
    <row r="1013" spans="1:27" x14ac:dyDescent="0.45">
      <c r="A1013" s="43"/>
      <c r="B1013" s="205"/>
      <c r="C1013"/>
      <c r="D1013" s="72"/>
      <c r="E1013" s="72"/>
      <c r="F1013" s="72"/>
      <c r="G1013" s="72"/>
      <c r="H1013" s="17"/>
      <c r="I1013" s="41" t="str" cm="1">
        <f t="array" ref="I1013">IFERROR(_xlfn.IFS(H1013="Hard (Cash)","N/A",H1013="Soft (In-Kind)", "Enter Source"),"Select Type")</f>
        <v>Select Type</v>
      </c>
      <c r="J1013" s="124"/>
      <c r="K1013" s="41" t="str">
        <f>IFERROR(VLOOKUP($J1013,'Project Reference'!$S$2:$T$41,2),"Enter Project Number")</f>
        <v>Enter Project Number</v>
      </c>
      <c r="L1013" s="41"/>
      <c r="M1013" s="41"/>
      <c r="N1013" s="15">
        <f t="shared" si="16"/>
        <v>0</v>
      </c>
      <c r="O1013" s="19"/>
      <c r="P1013" s="42" t="str">
        <f>IFERROR(VLOOKUP($J1013,'Project Reference'!$B$2:$C$41,2)," ")</f>
        <v xml:space="preserve"> </v>
      </c>
      <c r="Q1013" s="42" t="str">
        <f>IFERROR(VLOOKUP($J1013,'Project Reference'!$B$2:$D$41,3)," ")</f>
        <v xml:space="preserve"> </v>
      </c>
      <c r="R1013" s="42" t="str">
        <f>IFERROR(VLOOKUP($J1013,'Project Reference'!$B$2:$E$41,4)," ")</f>
        <v xml:space="preserve"> </v>
      </c>
      <c r="S1013" s="42" t="str">
        <f>IFERROR(VLOOKUP($J1013,'Project Reference'!$B$2:$F$41,5,FALSE)," ")</f>
        <v xml:space="preserve"> </v>
      </c>
      <c r="T1013" s="42" t="str">
        <f>IFERROR(VLOOKUP($J1013,'Project Reference'!$B$2:$G$41,6,FALSE)," ")</f>
        <v xml:space="preserve"> </v>
      </c>
      <c r="U1013" s="42" t="str">
        <f>IFERROR(VLOOKUP($J1013,'Project Reference'!$B$2:$H$41,7,FALSE)," ")</f>
        <v xml:space="preserve"> </v>
      </c>
      <c r="V1013" s="42" t="str">
        <f>IFERROR(VLOOKUP($J1013,'Project Reference'!$B$2:$I$41,8,FALSE)," ")</f>
        <v xml:space="preserve"> </v>
      </c>
      <c r="W1013" s="42" t="str">
        <f>IFERROR(VLOOKUP($J1013,'Project Reference'!$B$2:$J$41,9,FALSE)," ")</f>
        <v xml:space="preserve"> </v>
      </c>
      <c r="X1013" s="42" t="str">
        <f>IFERROR(VLOOKUP($J1013,'Project Reference'!$B$2:$K$41,10)," ")</f>
        <v xml:space="preserve"> </v>
      </c>
      <c r="Y1013" s="42" t="str">
        <f>IFERROR(VLOOKUP($J1013,'Project Reference'!$B$2:$L$41,11)," ")</f>
        <v xml:space="preserve"> </v>
      </c>
      <c r="Z1013" s="42" t="str">
        <f>IFERROR(VLOOKUP($J1013,'Project Reference'!$B$2:$M$41,12)," ")</f>
        <v xml:space="preserve"> </v>
      </c>
      <c r="AA1013" s="42" t="str">
        <f>IFERROR(VLOOKUP($J1013,'Project Reference'!$B$2:$N$41,13)," ")</f>
        <v xml:space="preserve"> </v>
      </c>
    </row>
    <row r="1014" spans="1:27" x14ac:dyDescent="0.45">
      <c r="A1014" s="43"/>
      <c r="B1014" s="205"/>
      <c r="C1014"/>
      <c r="D1014" s="72"/>
      <c r="E1014" s="72"/>
      <c r="F1014" s="72"/>
      <c r="G1014" s="72"/>
      <c r="H1014" s="17"/>
      <c r="I1014" s="41" t="str" cm="1">
        <f t="array" ref="I1014">IFERROR(_xlfn.IFS(H1014="Hard (Cash)","N/A",H1014="Soft (In-Kind)", "Enter Source"),"Select Type")</f>
        <v>Select Type</v>
      </c>
      <c r="J1014" s="124"/>
      <c r="K1014" s="41" t="str">
        <f>IFERROR(VLOOKUP($J1014,'Project Reference'!$S$2:$T$41,2),"Enter Project Number")</f>
        <v>Enter Project Number</v>
      </c>
      <c r="L1014" s="41"/>
      <c r="M1014" s="41"/>
      <c r="N1014" s="15">
        <f t="shared" si="16"/>
        <v>0</v>
      </c>
      <c r="O1014" s="19"/>
      <c r="P1014" s="42" t="str">
        <f>IFERROR(VLOOKUP($J1014,'Project Reference'!$B$2:$C$41,2)," ")</f>
        <v xml:space="preserve"> </v>
      </c>
      <c r="Q1014" s="42" t="str">
        <f>IFERROR(VLOOKUP($J1014,'Project Reference'!$B$2:$D$41,3)," ")</f>
        <v xml:space="preserve"> </v>
      </c>
      <c r="R1014" s="42" t="str">
        <f>IFERROR(VLOOKUP($J1014,'Project Reference'!$B$2:$E$41,4)," ")</f>
        <v xml:space="preserve"> </v>
      </c>
      <c r="S1014" s="42" t="str">
        <f>IFERROR(VLOOKUP($J1014,'Project Reference'!$B$2:$F$41,5,FALSE)," ")</f>
        <v xml:space="preserve"> </v>
      </c>
      <c r="T1014" s="42" t="str">
        <f>IFERROR(VLOOKUP($J1014,'Project Reference'!$B$2:$G$41,6,FALSE)," ")</f>
        <v xml:space="preserve"> </v>
      </c>
      <c r="U1014" s="42" t="str">
        <f>IFERROR(VLOOKUP($J1014,'Project Reference'!$B$2:$H$41,7,FALSE)," ")</f>
        <v xml:space="preserve"> </v>
      </c>
      <c r="V1014" s="42" t="str">
        <f>IFERROR(VLOOKUP($J1014,'Project Reference'!$B$2:$I$41,8,FALSE)," ")</f>
        <v xml:space="preserve"> </v>
      </c>
      <c r="W1014" s="42" t="str">
        <f>IFERROR(VLOOKUP($J1014,'Project Reference'!$B$2:$J$41,9,FALSE)," ")</f>
        <v xml:space="preserve"> </v>
      </c>
      <c r="X1014" s="42" t="str">
        <f>IFERROR(VLOOKUP($J1014,'Project Reference'!$B$2:$K$41,10)," ")</f>
        <v xml:space="preserve"> </v>
      </c>
      <c r="Y1014" s="42" t="str">
        <f>IFERROR(VLOOKUP($J1014,'Project Reference'!$B$2:$L$41,11)," ")</f>
        <v xml:space="preserve"> </v>
      </c>
      <c r="Z1014" s="42" t="str">
        <f>IFERROR(VLOOKUP($J1014,'Project Reference'!$B$2:$M$41,12)," ")</f>
        <v xml:space="preserve"> </v>
      </c>
      <c r="AA1014" s="42" t="str">
        <f>IFERROR(VLOOKUP($J1014,'Project Reference'!$B$2:$N$41,13)," ")</f>
        <v xml:space="preserve"> </v>
      </c>
    </row>
    <row r="1015" spans="1:27" x14ac:dyDescent="0.45">
      <c r="A1015" s="43"/>
      <c r="B1015" s="205"/>
      <c r="C1015"/>
      <c r="D1015" s="72"/>
      <c r="E1015" s="72"/>
      <c r="F1015" s="72"/>
      <c r="G1015" s="72"/>
      <c r="H1015" s="17"/>
      <c r="I1015" s="41" t="str" cm="1">
        <f t="array" ref="I1015">IFERROR(_xlfn.IFS(H1015="Hard (Cash)","N/A",H1015="Soft (In-Kind)", "Enter Source"),"Select Type")</f>
        <v>Select Type</v>
      </c>
      <c r="J1015" s="124"/>
      <c r="K1015" s="41" t="str">
        <f>IFERROR(VLOOKUP($J1015,'Project Reference'!$S$2:$T$41,2),"Enter Project Number")</f>
        <v>Enter Project Number</v>
      </c>
      <c r="L1015" s="41"/>
      <c r="M1015" s="41"/>
      <c r="N1015" s="15">
        <f t="shared" si="16"/>
        <v>0</v>
      </c>
      <c r="O1015" s="19"/>
      <c r="P1015" s="42" t="str">
        <f>IFERROR(VLOOKUP($J1015,'Project Reference'!$B$2:$C$41,2)," ")</f>
        <v xml:space="preserve"> </v>
      </c>
      <c r="Q1015" s="42" t="str">
        <f>IFERROR(VLOOKUP($J1015,'Project Reference'!$B$2:$D$41,3)," ")</f>
        <v xml:space="preserve"> </v>
      </c>
      <c r="R1015" s="42" t="str">
        <f>IFERROR(VLOOKUP($J1015,'Project Reference'!$B$2:$E$41,4)," ")</f>
        <v xml:space="preserve"> </v>
      </c>
      <c r="S1015" s="42" t="str">
        <f>IFERROR(VLOOKUP($J1015,'Project Reference'!$B$2:$F$41,5,FALSE)," ")</f>
        <v xml:space="preserve"> </v>
      </c>
      <c r="T1015" s="42" t="str">
        <f>IFERROR(VLOOKUP($J1015,'Project Reference'!$B$2:$G$41,6,FALSE)," ")</f>
        <v xml:space="preserve"> </v>
      </c>
      <c r="U1015" s="42" t="str">
        <f>IFERROR(VLOOKUP($J1015,'Project Reference'!$B$2:$H$41,7,FALSE)," ")</f>
        <v xml:space="preserve"> </v>
      </c>
      <c r="V1015" s="42" t="str">
        <f>IFERROR(VLOOKUP($J1015,'Project Reference'!$B$2:$I$41,8,FALSE)," ")</f>
        <v xml:space="preserve"> </v>
      </c>
      <c r="W1015" s="42" t="str">
        <f>IFERROR(VLOOKUP($J1015,'Project Reference'!$B$2:$J$41,9,FALSE)," ")</f>
        <v xml:space="preserve"> </v>
      </c>
      <c r="X1015" s="42" t="str">
        <f>IFERROR(VLOOKUP($J1015,'Project Reference'!$B$2:$K$41,10)," ")</f>
        <v xml:space="preserve"> </v>
      </c>
      <c r="Y1015" s="42" t="str">
        <f>IFERROR(VLOOKUP($J1015,'Project Reference'!$B$2:$L$41,11)," ")</f>
        <v xml:space="preserve"> </v>
      </c>
      <c r="Z1015" s="42" t="str">
        <f>IFERROR(VLOOKUP($J1015,'Project Reference'!$B$2:$M$41,12)," ")</f>
        <v xml:space="preserve"> </v>
      </c>
      <c r="AA1015" s="42" t="str">
        <f>IFERROR(VLOOKUP($J1015,'Project Reference'!$B$2:$N$41,13)," ")</f>
        <v xml:space="preserve"> </v>
      </c>
    </row>
    <row r="1016" spans="1:27" x14ac:dyDescent="0.45">
      <c r="A1016" s="43"/>
      <c r="B1016" s="205"/>
      <c r="C1016"/>
      <c r="D1016" s="72"/>
      <c r="E1016" s="72"/>
      <c r="F1016" s="72"/>
      <c r="G1016" s="72"/>
      <c r="H1016" s="17"/>
      <c r="I1016" s="41" t="str" cm="1">
        <f t="array" ref="I1016">IFERROR(_xlfn.IFS(H1016="Hard (Cash)","N/A",H1016="Soft (In-Kind)", "Enter Source"),"Select Type")</f>
        <v>Select Type</v>
      </c>
      <c r="J1016" s="124"/>
      <c r="K1016" s="41" t="str">
        <f>IFERROR(VLOOKUP($J1016,'Project Reference'!$S$2:$T$41,2),"Enter Project Number")</f>
        <v>Enter Project Number</v>
      </c>
      <c r="L1016" s="41"/>
      <c r="M1016" s="41"/>
      <c r="N1016" s="15">
        <f t="shared" si="16"/>
        <v>0</v>
      </c>
      <c r="O1016" s="19"/>
      <c r="P1016" s="42" t="str">
        <f>IFERROR(VLOOKUP($J1016,'Project Reference'!$B$2:$C$41,2)," ")</f>
        <v xml:space="preserve"> </v>
      </c>
      <c r="Q1016" s="42" t="str">
        <f>IFERROR(VLOOKUP($J1016,'Project Reference'!$B$2:$D$41,3)," ")</f>
        <v xml:space="preserve"> </v>
      </c>
      <c r="R1016" s="42" t="str">
        <f>IFERROR(VLOOKUP($J1016,'Project Reference'!$B$2:$E$41,4)," ")</f>
        <v xml:space="preserve"> </v>
      </c>
      <c r="S1016" s="42" t="str">
        <f>IFERROR(VLOOKUP($J1016,'Project Reference'!$B$2:$F$41,5,FALSE)," ")</f>
        <v xml:space="preserve"> </v>
      </c>
      <c r="T1016" s="42" t="str">
        <f>IFERROR(VLOOKUP($J1016,'Project Reference'!$B$2:$G$41,6,FALSE)," ")</f>
        <v xml:space="preserve"> </v>
      </c>
      <c r="U1016" s="42" t="str">
        <f>IFERROR(VLOOKUP($J1016,'Project Reference'!$B$2:$H$41,7,FALSE)," ")</f>
        <v xml:space="preserve"> </v>
      </c>
      <c r="V1016" s="42" t="str">
        <f>IFERROR(VLOOKUP($J1016,'Project Reference'!$B$2:$I$41,8,FALSE)," ")</f>
        <v xml:space="preserve"> </v>
      </c>
      <c r="W1016" s="42" t="str">
        <f>IFERROR(VLOOKUP($J1016,'Project Reference'!$B$2:$J$41,9,FALSE)," ")</f>
        <v xml:space="preserve"> </v>
      </c>
      <c r="X1016" s="42" t="str">
        <f>IFERROR(VLOOKUP($J1016,'Project Reference'!$B$2:$K$41,10)," ")</f>
        <v xml:space="preserve"> </v>
      </c>
      <c r="Y1016" s="42" t="str">
        <f>IFERROR(VLOOKUP($J1016,'Project Reference'!$B$2:$L$41,11)," ")</f>
        <v xml:space="preserve"> </v>
      </c>
      <c r="Z1016" s="42" t="str">
        <f>IFERROR(VLOOKUP($J1016,'Project Reference'!$B$2:$M$41,12)," ")</f>
        <v xml:space="preserve"> </v>
      </c>
      <c r="AA1016" s="42" t="str">
        <f>IFERROR(VLOOKUP($J1016,'Project Reference'!$B$2:$N$41,13)," ")</f>
        <v xml:space="preserve"> </v>
      </c>
    </row>
    <row r="1017" spans="1:27" x14ac:dyDescent="0.45">
      <c r="A1017" s="43"/>
      <c r="B1017" s="205"/>
      <c r="C1017"/>
      <c r="D1017" s="72"/>
      <c r="E1017" s="72"/>
      <c r="F1017" s="72"/>
      <c r="G1017" s="72"/>
      <c r="H1017" s="17"/>
      <c r="I1017" s="41" t="str" cm="1">
        <f t="array" ref="I1017">IFERROR(_xlfn.IFS(H1017="Hard (Cash)","N/A",H1017="Soft (In-Kind)", "Enter Source"),"Select Type")</f>
        <v>Select Type</v>
      </c>
      <c r="J1017" s="124"/>
      <c r="K1017" s="41" t="str">
        <f>IFERROR(VLOOKUP($J1017,'Project Reference'!$S$2:$T$41,2),"Enter Project Number")</f>
        <v>Enter Project Number</v>
      </c>
      <c r="L1017" s="41"/>
      <c r="M1017" s="41"/>
      <c r="N1017" s="15">
        <f t="shared" si="16"/>
        <v>0</v>
      </c>
      <c r="O1017" s="19"/>
      <c r="P1017" s="42" t="str">
        <f>IFERROR(VLOOKUP($J1017,'Project Reference'!$B$2:$C$41,2)," ")</f>
        <v xml:space="preserve"> </v>
      </c>
      <c r="Q1017" s="42" t="str">
        <f>IFERROR(VLOOKUP($J1017,'Project Reference'!$B$2:$D$41,3)," ")</f>
        <v xml:space="preserve"> </v>
      </c>
      <c r="R1017" s="42" t="str">
        <f>IFERROR(VLOOKUP($J1017,'Project Reference'!$B$2:$E$41,4)," ")</f>
        <v xml:space="preserve"> </v>
      </c>
      <c r="S1017" s="42" t="str">
        <f>IFERROR(VLOOKUP($J1017,'Project Reference'!$B$2:$F$41,5,FALSE)," ")</f>
        <v xml:space="preserve"> </v>
      </c>
      <c r="T1017" s="42" t="str">
        <f>IFERROR(VLOOKUP($J1017,'Project Reference'!$B$2:$G$41,6,FALSE)," ")</f>
        <v xml:space="preserve"> </v>
      </c>
      <c r="U1017" s="42" t="str">
        <f>IFERROR(VLOOKUP($J1017,'Project Reference'!$B$2:$H$41,7,FALSE)," ")</f>
        <v xml:space="preserve"> </v>
      </c>
      <c r="V1017" s="42" t="str">
        <f>IFERROR(VLOOKUP($J1017,'Project Reference'!$B$2:$I$41,8,FALSE)," ")</f>
        <v xml:space="preserve"> </v>
      </c>
      <c r="W1017" s="42" t="str">
        <f>IFERROR(VLOOKUP($J1017,'Project Reference'!$B$2:$J$41,9,FALSE)," ")</f>
        <v xml:space="preserve"> </v>
      </c>
      <c r="X1017" s="42" t="str">
        <f>IFERROR(VLOOKUP($J1017,'Project Reference'!$B$2:$K$41,10)," ")</f>
        <v xml:space="preserve"> </v>
      </c>
      <c r="Y1017" s="42" t="str">
        <f>IFERROR(VLOOKUP($J1017,'Project Reference'!$B$2:$L$41,11)," ")</f>
        <v xml:space="preserve"> </v>
      </c>
      <c r="Z1017" s="42" t="str">
        <f>IFERROR(VLOOKUP($J1017,'Project Reference'!$B$2:$M$41,12)," ")</f>
        <v xml:space="preserve"> </v>
      </c>
      <c r="AA1017" s="42" t="str">
        <f>IFERROR(VLOOKUP($J1017,'Project Reference'!$B$2:$N$41,13)," ")</f>
        <v xml:space="preserve"> </v>
      </c>
    </row>
    <row r="1018" spans="1:27" x14ac:dyDescent="0.45">
      <c r="A1018" s="43"/>
      <c r="B1018" s="205"/>
      <c r="C1018"/>
      <c r="D1018" s="72"/>
      <c r="E1018" s="72"/>
      <c r="F1018" s="72"/>
      <c r="G1018" s="72"/>
      <c r="H1018" s="17"/>
      <c r="I1018" s="41" t="str" cm="1">
        <f t="array" ref="I1018">IFERROR(_xlfn.IFS(H1018="Hard (Cash)","N/A",H1018="Soft (In-Kind)", "Enter Source"),"Select Type")</f>
        <v>Select Type</v>
      </c>
      <c r="J1018" s="124"/>
      <c r="K1018" s="41" t="str">
        <f>IFERROR(VLOOKUP($J1018,'Project Reference'!$S$2:$T$41,2),"Enter Project Number")</f>
        <v>Enter Project Number</v>
      </c>
      <c r="L1018" s="41"/>
      <c r="M1018" s="41"/>
      <c r="N1018" s="15">
        <f t="shared" si="16"/>
        <v>0</v>
      </c>
      <c r="O1018" s="19"/>
      <c r="P1018" s="42" t="str">
        <f>IFERROR(VLOOKUP($J1018,'Project Reference'!$B$2:$C$41,2)," ")</f>
        <v xml:space="preserve"> </v>
      </c>
      <c r="Q1018" s="42" t="str">
        <f>IFERROR(VLOOKUP($J1018,'Project Reference'!$B$2:$D$41,3)," ")</f>
        <v xml:space="preserve"> </v>
      </c>
      <c r="R1018" s="42" t="str">
        <f>IFERROR(VLOOKUP($J1018,'Project Reference'!$B$2:$E$41,4)," ")</f>
        <v xml:space="preserve"> </v>
      </c>
      <c r="S1018" s="42" t="str">
        <f>IFERROR(VLOOKUP($J1018,'Project Reference'!$B$2:$F$41,5,FALSE)," ")</f>
        <v xml:space="preserve"> </v>
      </c>
      <c r="T1018" s="42" t="str">
        <f>IFERROR(VLOOKUP($J1018,'Project Reference'!$B$2:$G$41,6,FALSE)," ")</f>
        <v xml:space="preserve"> </v>
      </c>
      <c r="U1018" s="42" t="str">
        <f>IFERROR(VLOOKUP($J1018,'Project Reference'!$B$2:$H$41,7,FALSE)," ")</f>
        <v xml:space="preserve"> </v>
      </c>
      <c r="V1018" s="42" t="str">
        <f>IFERROR(VLOOKUP($J1018,'Project Reference'!$B$2:$I$41,8,FALSE)," ")</f>
        <v xml:space="preserve"> </v>
      </c>
      <c r="W1018" s="42" t="str">
        <f>IFERROR(VLOOKUP($J1018,'Project Reference'!$B$2:$J$41,9,FALSE)," ")</f>
        <v xml:space="preserve"> </v>
      </c>
      <c r="X1018" s="42" t="str">
        <f>IFERROR(VLOOKUP($J1018,'Project Reference'!$B$2:$K$41,10)," ")</f>
        <v xml:space="preserve"> </v>
      </c>
      <c r="Y1018" s="42" t="str">
        <f>IFERROR(VLOOKUP($J1018,'Project Reference'!$B$2:$L$41,11)," ")</f>
        <v xml:space="preserve"> </v>
      </c>
      <c r="Z1018" s="42" t="str">
        <f>IFERROR(VLOOKUP($J1018,'Project Reference'!$B$2:$M$41,12)," ")</f>
        <v xml:space="preserve"> </v>
      </c>
      <c r="AA1018" s="42" t="str">
        <f>IFERROR(VLOOKUP($J1018,'Project Reference'!$B$2:$N$41,13)," ")</f>
        <v xml:space="preserve"> </v>
      </c>
    </row>
    <row r="1019" spans="1:27" x14ac:dyDescent="0.45">
      <c r="A1019" s="43"/>
      <c r="B1019" s="205"/>
      <c r="C1019"/>
      <c r="D1019" s="72"/>
      <c r="E1019" s="72"/>
      <c r="F1019" s="72"/>
      <c r="G1019" s="72"/>
      <c r="H1019" s="17"/>
      <c r="I1019" s="41" t="str" cm="1">
        <f t="array" ref="I1019">IFERROR(_xlfn.IFS(H1019="Hard (Cash)","N/A",H1019="Soft (In-Kind)", "Enter Source"),"Select Type")</f>
        <v>Select Type</v>
      </c>
      <c r="J1019" s="124"/>
      <c r="K1019" s="41" t="str">
        <f>IFERROR(VLOOKUP($J1019,'Project Reference'!$S$2:$T$41,2),"Enter Project Number")</f>
        <v>Enter Project Number</v>
      </c>
      <c r="L1019" s="41"/>
      <c r="M1019" s="41"/>
      <c r="N1019" s="15">
        <f t="shared" si="16"/>
        <v>0</v>
      </c>
      <c r="O1019" s="19"/>
      <c r="P1019" s="42" t="str">
        <f>IFERROR(VLOOKUP($J1019,'Project Reference'!$B$2:$C$41,2)," ")</f>
        <v xml:space="preserve"> </v>
      </c>
      <c r="Q1019" s="42" t="str">
        <f>IFERROR(VLOOKUP($J1019,'Project Reference'!$B$2:$D$41,3)," ")</f>
        <v xml:space="preserve"> </v>
      </c>
      <c r="R1019" s="42" t="str">
        <f>IFERROR(VLOOKUP($J1019,'Project Reference'!$B$2:$E$41,4)," ")</f>
        <v xml:space="preserve"> </v>
      </c>
      <c r="S1019" s="42" t="str">
        <f>IFERROR(VLOOKUP($J1019,'Project Reference'!$B$2:$F$41,5,FALSE)," ")</f>
        <v xml:space="preserve"> </v>
      </c>
      <c r="T1019" s="42" t="str">
        <f>IFERROR(VLOOKUP($J1019,'Project Reference'!$B$2:$G$41,6,FALSE)," ")</f>
        <v xml:space="preserve"> </v>
      </c>
      <c r="U1019" s="42" t="str">
        <f>IFERROR(VLOOKUP($J1019,'Project Reference'!$B$2:$H$41,7,FALSE)," ")</f>
        <v xml:space="preserve"> </v>
      </c>
      <c r="V1019" s="42" t="str">
        <f>IFERROR(VLOOKUP($J1019,'Project Reference'!$B$2:$I$41,8,FALSE)," ")</f>
        <v xml:space="preserve"> </v>
      </c>
      <c r="W1019" s="42" t="str">
        <f>IFERROR(VLOOKUP($J1019,'Project Reference'!$B$2:$J$41,9,FALSE)," ")</f>
        <v xml:space="preserve"> </v>
      </c>
      <c r="X1019" s="42" t="str">
        <f>IFERROR(VLOOKUP($J1019,'Project Reference'!$B$2:$K$41,10)," ")</f>
        <v xml:space="preserve"> </v>
      </c>
      <c r="Y1019" s="42" t="str">
        <f>IFERROR(VLOOKUP($J1019,'Project Reference'!$B$2:$L$41,11)," ")</f>
        <v xml:space="preserve"> </v>
      </c>
      <c r="Z1019" s="42" t="str">
        <f>IFERROR(VLOOKUP($J1019,'Project Reference'!$B$2:$M$41,12)," ")</f>
        <v xml:space="preserve"> </v>
      </c>
      <c r="AA1019" s="42" t="str">
        <f>IFERROR(VLOOKUP($J1019,'Project Reference'!$B$2:$N$41,13)," ")</f>
        <v xml:space="preserve"> </v>
      </c>
    </row>
    <row r="1020" spans="1:27" x14ac:dyDescent="0.45">
      <c r="A1020" s="43"/>
      <c r="B1020" s="205"/>
      <c r="C1020"/>
      <c r="D1020" s="72"/>
      <c r="E1020" s="72"/>
      <c r="F1020" s="72"/>
      <c r="G1020" s="72"/>
      <c r="H1020" s="17"/>
      <c r="I1020" s="41" t="str" cm="1">
        <f t="array" ref="I1020">IFERROR(_xlfn.IFS(H1020="Hard (Cash)","N/A",H1020="Soft (In-Kind)", "Enter Source"),"Select Type")</f>
        <v>Select Type</v>
      </c>
      <c r="J1020" s="124"/>
      <c r="K1020" s="41" t="str">
        <f>IFERROR(VLOOKUP($J1020,'Project Reference'!$S$2:$T$41,2),"Enter Project Number")</f>
        <v>Enter Project Number</v>
      </c>
      <c r="L1020" s="41"/>
      <c r="M1020" s="41"/>
      <c r="N1020" s="15">
        <f t="shared" si="16"/>
        <v>0</v>
      </c>
      <c r="O1020" s="19"/>
      <c r="P1020" s="42" t="str">
        <f>IFERROR(VLOOKUP($J1020,'Project Reference'!$B$2:$C$41,2)," ")</f>
        <v xml:space="preserve"> </v>
      </c>
      <c r="Q1020" s="42" t="str">
        <f>IFERROR(VLOOKUP($J1020,'Project Reference'!$B$2:$D$41,3)," ")</f>
        <v xml:space="preserve"> </v>
      </c>
      <c r="R1020" s="42" t="str">
        <f>IFERROR(VLOOKUP($J1020,'Project Reference'!$B$2:$E$41,4)," ")</f>
        <v xml:space="preserve"> </v>
      </c>
      <c r="S1020" s="42" t="str">
        <f>IFERROR(VLOOKUP($J1020,'Project Reference'!$B$2:$F$41,5,FALSE)," ")</f>
        <v xml:space="preserve"> </v>
      </c>
      <c r="T1020" s="42" t="str">
        <f>IFERROR(VLOOKUP($J1020,'Project Reference'!$B$2:$G$41,6,FALSE)," ")</f>
        <v xml:space="preserve"> </v>
      </c>
      <c r="U1020" s="42" t="str">
        <f>IFERROR(VLOOKUP($J1020,'Project Reference'!$B$2:$H$41,7,FALSE)," ")</f>
        <v xml:space="preserve"> </v>
      </c>
      <c r="V1020" s="42" t="str">
        <f>IFERROR(VLOOKUP($J1020,'Project Reference'!$B$2:$I$41,8,FALSE)," ")</f>
        <v xml:space="preserve"> </v>
      </c>
      <c r="W1020" s="42" t="str">
        <f>IFERROR(VLOOKUP($J1020,'Project Reference'!$B$2:$J$41,9,FALSE)," ")</f>
        <v xml:space="preserve"> </v>
      </c>
      <c r="X1020" s="42" t="str">
        <f>IFERROR(VLOOKUP($J1020,'Project Reference'!$B$2:$K$41,10)," ")</f>
        <v xml:space="preserve"> </v>
      </c>
      <c r="Y1020" s="42" t="str">
        <f>IFERROR(VLOOKUP($J1020,'Project Reference'!$B$2:$L$41,11)," ")</f>
        <v xml:space="preserve"> </v>
      </c>
      <c r="Z1020" s="42" t="str">
        <f>IFERROR(VLOOKUP($J1020,'Project Reference'!$B$2:$M$41,12)," ")</f>
        <v xml:space="preserve"> </v>
      </c>
      <c r="AA1020" s="42" t="str">
        <f>IFERROR(VLOOKUP($J1020,'Project Reference'!$B$2:$N$41,13)," ")</f>
        <v xml:space="preserve"> </v>
      </c>
    </row>
    <row r="1021" spans="1:27" x14ac:dyDescent="0.45">
      <c r="A1021" s="43"/>
      <c r="B1021" s="205"/>
      <c r="C1021"/>
      <c r="D1021" s="72"/>
      <c r="E1021" s="72"/>
      <c r="F1021" s="72"/>
      <c r="G1021" s="72"/>
      <c r="H1021" s="17"/>
      <c r="I1021" s="41" t="str" cm="1">
        <f t="array" ref="I1021">IFERROR(_xlfn.IFS(H1021="Hard (Cash)","N/A",H1021="Soft (In-Kind)", "Enter Source"),"Select Type")</f>
        <v>Select Type</v>
      </c>
      <c r="J1021" s="124"/>
      <c r="K1021" s="41" t="str">
        <f>IFERROR(VLOOKUP($J1021,'Project Reference'!$S$2:$T$41,2),"Enter Project Number")</f>
        <v>Enter Project Number</v>
      </c>
      <c r="L1021" s="41"/>
      <c r="M1021" s="41"/>
      <c r="N1021" s="15">
        <f t="shared" si="16"/>
        <v>0</v>
      </c>
      <c r="O1021" s="19"/>
      <c r="P1021" s="42" t="str">
        <f>IFERROR(VLOOKUP($J1021,'Project Reference'!$B$2:$C$41,2)," ")</f>
        <v xml:space="preserve"> </v>
      </c>
      <c r="Q1021" s="42" t="str">
        <f>IFERROR(VLOOKUP($J1021,'Project Reference'!$B$2:$D$41,3)," ")</f>
        <v xml:space="preserve"> </v>
      </c>
      <c r="R1021" s="42" t="str">
        <f>IFERROR(VLOOKUP($J1021,'Project Reference'!$B$2:$E$41,4)," ")</f>
        <v xml:space="preserve"> </v>
      </c>
      <c r="S1021" s="42" t="str">
        <f>IFERROR(VLOOKUP($J1021,'Project Reference'!$B$2:$F$41,5,FALSE)," ")</f>
        <v xml:space="preserve"> </v>
      </c>
      <c r="T1021" s="42" t="str">
        <f>IFERROR(VLOOKUP($J1021,'Project Reference'!$B$2:$G$41,6,FALSE)," ")</f>
        <v xml:space="preserve"> </v>
      </c>
      <c r="U1021" s="42" t="str">
        <f>IFERROR(VLOOKUP($J1021,'Project Reference'!$B$2:$H$41,7,FALSE)," ")</f>
        <v xml:space="preserve"> </v>
      </c>
      <c r="V1021" s="42" t="str">
        <f>IFERROR(VLOOKUP($J1021,'Project Reference'!$B$2:$I$41,8,FALSE)," ")</f>
        <v xml:space="preserve"> </v>
      </c>
      <c r="W1021" s="42" t="str">
        <f>IFERROR(VLOOKUP($J1021,'Project Reference'!$B$2:$J$41,9,FALSE)," ")</f>
        <v xml:space="preserve"> </v>
      </c>
      <c r="X1021" s="42" t="str">
        <f>IFERROR(VLOOKUP($J1021,'Project Reference'!$B$2:$K$41,10)," ")</f>
        <v xml:space="preserve"> </v>
      </c>
      <c r="Y1021" s="42" t="str">
        <f>IFERROR(VLOOKUP($J1021,'Project Reference'!$B$2:$L$41,11)," ")</f>
        <v xml:space="preserve"> </v>
      </c>
      <c r="Z1021" s="42" t="str">
        <f>IFERROR(VLOOKUP($J1021,'Project Reference'!$B$2:$M$41,12)," ")</f>
        <v xml:space="preserve"> </v>
      </c>
      <c r="AA1021" s="42" t="str">
        <f>IFERROR(VLOOKUP($J1021,'Project Reference'!$B$2:$N$41,13)," ")</f>
        <v xml:space="preserve"> </v>
      </c>
    </row>
    <row r="1022" spans="1:27" x14ac:dyDescent="0.45">
      <c r="A1022" s="43"/>
      <c r="B1022" s="205"/>
      <c r="C1022"/>
      <c r="D1022" s="72"/>
      <c r="E1022" s="72"/>
      <c r="F1022" s="72"/>
      <c r="G1022" s="72"/>
      <c r="H1022" s="17"/>
      <c r="I1022" s="41" t="str" cm="1">
        <f t="array" ref="I1022">IFERROR(_xlfn.IFS(H1022="Hard (Cash)","N/A",H1022="Soft (In-Kind)", "Enter Source"),"Select Type")</f>
        <v>Select Type</v>
      </c>
      <c r="J1022" s="124"/>
      <c r="K1022" s="41" t="str">
        <f>IFERROR(VLOOKUP($J1022,'Project Reference'!$S$2:$T$41,2),"Enter Project Number")</f>
        <v>Enter Project Number</v>
      </c>
      <c r="L1022" s="41"/>
      <c r="M1022" s="41"/>
      <c r="N1022" s="15">
        <f t="shared" si="16"/>
        <v>0</v>
      </c>
      <c r="O1022" s="19"/>
      <c r="P1022" s="42" t="str">
        <f>IFERROR(VLOOKUP($J1022,'Project Reference'!$B$2:$C$41,2)," ")</f>
        <v xml:space="preserve"> </v>
      </c>
      <c r="Q1022" s="42" t="str">
        <f>IFERROR(VLOOKUP($J1022,'Project Reference'!$B$2:$D$41,3)," ")</f>
        <v xml:space="preserve"> </v>
      </c>
      <c r="R1022" s="42" t="str">
        <f>IFERROR(VLOOKUP($J1022,'Project Reference'!$B$2:$E$41,4)," ")</f>
        <v xml:space="preserve"> </v>
      </c>
      <c r="S1022" s="42" t="str">
        <f>IFERROR(VLOOKUP($J1022,'Project Reference'!$B$2:$F$41,5,FALSE)," ")</f>
        <v xml:space="preserve"> </v>
      </c>
      <c r="T1022" s="42" t="str">
        <f>IFERROR(VLOOKUP($J1022,'Project Reference'!$B$2:$G$41,6,FALSE)," ")</f>
        <v xml:space="preserve"> </v>
      </c>
      <c r="U1022" s="42" t="str">
        <f>IFERROR(VLOOKUP($J1022,'Project Reference'!$B$2:$H$41,7,FALSE)," ")</f>
        <v xml:space="preserve"> </v>
      </c>
      <c r="V1022" s="42" t="str">
        <f>IFERROR(VLOOKUP($J1022,'Project Reference'!$B$2:$I$41,8,FALSE)," ")</f>
        <v xml:space="preserve"> </v>
      </c>
      <c r="W1022" s="42" t="str">
        <f>IFERROR(VLOOKUP($J1022,'Project Reference'!$B$2:$J$41,9,FALSE)," ")</f>
        <v xml:space="preserve"> </v>
      </c>
      <c r="X1022" s="42" t="str">
        <f>IFERROR(VLOOKUP($J1022,'Project Reference'!$B$2:$K$41,10)," ")</f>
        <v xml:space="preserve"> </v>
      </c>
      <c r="Y1022" s="42" t="str">
        <f>IFERROR(VLOOKUP($J1022,'Project Reference'!$B$2:$L$41,11)," ")</f>
        <v xml:space="preserve"> </v>
      </c>
      <c r="Z1022" s="42" t="str">
        <f>IFERROR(VLOOKUP($J1022,'Project Reference'!$B$2:$M$41,12)," ")</f>
        <v xml:space="preserve"> </v>
      </c>
      <c r="AA1022" s="42" t="str">
        <f>IFERROR(VLOOKUP($J1022,'Project Reference'!$B$2:$N$41,13)," ")</f>
        <v xml:space="preserve"> </v>
      </c>
    </row>
    <row r="1023" spans="1:27" x14ac:dyDescent="0.45">
      <c r="A1023" s="43"/>
      <c r="B1023" s="205"/>
      <c r="C1023"/>
      <c r="D1023" s="72"/>
      <c r="E1023" s="72"/>
      <c r="F1023" s="72"/>
      <c r="G1023" s="72"/>
      <c r="H1023" s="17"/>
      <c r="I1023" s="41" t="str" cm="1">
        <f t="array" ref="I1023">IFERROR(_xlfn.IFS(H1023="Hard (Cash)","N/A",H1023="Soft (In-Kind)", "Enter Source"),"Select Type")</f>
        <v>Select Type</v>
      </c>
      <c r="J1023" s="124"/>
      <c r="K1023" s="41" t="str">
        <f>IFERROR(VLOOKUP($J1023,'Project Reference'!$S$2:$T$41,2),"Enter Project Number")</f>
        <v>Enter Project Number</v>
      </c>
      <c r="L1023" s="41"/>
      <c r="M1023" s="41"/>
      <c r="N1023" s="15">
        <f t="shared" si="16"/>
        <v>0</v>
      </c>
      <c r="O1023" s="19"/>
      <c r="P1023" s="42" t="str">
        <f>IFERROR(VLOOKUP($J1023,'Project Reference'!$B$2:$C$41,2)," ")</f>
        <v xml:space="preserve"> </v>
      </c>
      <c r="Q1023" s="42" t="str">
        <f>IFERROR(VLOOKUP($J1023,'Project Reference'!$B$2:$D$41,3)," ")</f>
        <v xml:space="preserve"> </v>
      </c>
      <c r="R1023" s="42" t="str">
        <f>IFERROR(VLOOKUP($J1023,'Project Reference'!$B$2:$E$41,4)," ")</f>
        <v xml:space="preserve"> </v>
      </c>
      <c r="S1023" s="42" t="str">
        <f>IFERROR(VLOOKUP($J1023,'Project Reference'!$B$2:$F$41,5,FALSE)," ")</f>
        <v xml:space="preserve"> </v>
      </c>
      <c r="T1023" s="42" t="str">
        <f>IFERROR(VLOOKUP($J1023,'Project Reference'!$B$2:$G$41,6,FALSE)," ")</f>
        <v xml:space="preserve"> </v>
      </c>
      <c r="U1023" s="42" t="str">
        <f>IFERROR(VLOOKUP($J1023,'Project Reference'!$B$2:$H$41,7,FALSE)," ")</f>
        <v xml:space="preserve"> </v>
      </c>
      <c r="V1023" s="42" t="str">
        <f>IFERROR(VLOOKUP($J1023,'Project Reference'!$B$2:$I$41,8,FALSE)," ")</f>
        <v xml:space="preserve"> </v>
      </c>
      <c r="W1023" s="42" t="str">
        <f>IFERROR(VLOOKUP($J1023,'Project Reference'!$B$2:$J$41,9,FALSE)," ")</f>
        <v xml:space="preserve"> </v>
      </c>
      <c r="X1023" s="42" t="str">
        <f>IFERROR(VLOOKUP($J1023,'Project Reference'!$B$2:$K$41,10)," ")</f>
        <v xml:space="preserve"> </v>
      </c>
      <c r="Y1023" s="42" t="str">
        <f>IFERROR(VLOOKUP($J1023,'Project Reference'!$B$2:$L$41,11)," ")</f>
        <v xml:space="preserve"> </v>
      </c>
      <c r="Z1023" s="42" t="str">
        <f>IFERROR(VLOOKUP($J1023,'Project Reference'!$B$2:$M$41,12)," ")</f>
        <v xml:space="preserve"> </v>
      </c>
      <c r="AA1023" s="42" t="str">
        <f>IFERROR(VLOOKUP($J1023,'Project Reference'!$B$2:$N$41,13)," ")</f>
        <v xml:space="preserve"> </v>
      </c>
    </row>
    <row r="1024" spans="1:27" x14ac:dyDescent="0.45">
      <c r="A1024" s="43"/>
      <c r="B1024" s="205"/>
      <c r="C1024"/>
      <c r="D1024" s="72"/>
      <c r="E1024" s="72"/>
      <c r="F1024" s="72"/>
      <c r="G1024" s="72"/>
      <c r="H1024" s="17"/>
      <c r="I1024" s="41" t="str" cm="1">
        <f t="array" ref="I1024">IFERROR(_xlfn.IFS(H1024="Hard (Cash)","N/A",H1024="Soft (In-Kind)", "Enter Source"),"Select Type")</f>
        <v>Select Type</v>
      </c>
      <c r="J1024" s="124"/>
      <c r="K1024" s="41" t="str">
        <f>IFERROR(VLOOKUP($J1024,'Project Reference'!$S$2:$T$41,2),"Enter Project Number")</f>
        <v>Enter Project Number</v>
      </c>
      <c r="L1024" s="41"/>
      <c r="M1024" s="41"/>
      <c r="N1024" s="15">
        <f t="shared" si="16"/>
        <v>0</v>
      </c>
      <c r="O1024" s="19"/>
      <c r="P1024" s="42" t="str">
        <f>IFERROR(VLOOKUP($J1024,'Project Reference'!$B$2:$C$41,2)," ")</f>
        <v xml:space="preserve"> </v>
      </c>
      <c r="Q1024" s="42" t="str">
        <f>IFERROR(VLOOKUP($J1024,'Project Reference'!$B$2:$D$41,3)," ")</f>
        <v xml:space="preserve"> </v>
      </c>
      <c r="R1024" s="42" t="str">
        <f>IFERROR(VLOOKUP($J1024,'Project Reference'!$B$2:$E$41,4)," ")</f>
        <v xml:space="preserve"> </v>
      </c>
      <c r="S1024" s="42" t="str">
        <f>IFERROR(VLOOKUP($J1024,'Project Reference'!$B$2:$F$41,5,FALSE)," ")</f>
        <v xml:space="preserve"> </v>
      </c>
      <c r="T1024" s="42" t="str">
        <f>IFERROR(VLOOKUP($J1024,'Project Reference'!$B$2:$G$41,6,FALSE)," ")</f>
        <v xml:space="preserve"> </v>
      </c>
      <c r="U1024" s="42" t="str">
        <f>IFERROR(VLOOKUP($J1024,'Project Reference'!$B$2:$H$41,7,FALSE)," ")</f>
        <v xml:space="preserve"> </v>
      </c>
      <c r="V1024" s="42" t="str">
        <f>IFERROR(VLOOKUP($J1024,'Project Reference'!$B$2:$I$41,8,FALSE)," ")</f>
        <v xml:space="preserve"> </v>
      </c>
      <c r="W1024" s="42" t="str">
        <f>IFERROR(VLOOKUP($J1024,'Project Reference'!$B$2:$J$41,9,FALSE)," ")</f>
        <v xml:space="preserve"> </v>
      </c>
      <c r="X1024" s="42" t="str">
        <f>IFERROR(VLOOKUP($J1024,'Project Reference'!$B$2:$K$41,10)," ")</f>
        <v xml:space="preserve"> </v>
      </c>
      <c r="Y1024" s="42" t="str">
        <f>IFERROR(VLOOKUP($J1024,'Project Reference'!$B$2:$L$41,11)," ")</f>
        <v xml:space="preserve"> </v>
      </c>
      <c r="Z1024" s="42" t="str">
        <f>IFERROR(VLOOKUP($J1024,'Project Reference'!$B$2:$M$41,12)," ")</f>
        <v xml:space="preserve"> </v>
      </c>
      <c r="AA1024" s="42" t="str">
        <f>IFERROR(VLOOKUP($J1024,'Project Reference'!$B$2:$N$41,13)," ")</f>
        <v xml:space="preserve"> </v>
      </c>
    </row>
    <row r="1025" spans="1:27" x14ac:dyDescent="0.45">
      <c r="A1025" s="43"/>
      <c r="B1025" s="205"/>
      <c r="C1025"/>
      <c r="D1025" s="72"/>
      <c r="E1025" s="72"/>
      <c r="F1025" s="72"/>
      <c r="G1025" s="72"/>
      <c r="H1025" s="17"/>
      <c r="I1025" s="41" t="str" cm="1">
        <f t="array" ref="I1025">IFERROR(_xlfn.IFS(H1025="Hard (Cash)","N/A",H1025="Soft (In-Kind)", "Enter Source"),"Select Type")</f>
        <v>Select Type</v>
      </c>
      <c r="J1025" s="124"/>
      <c r="K1025" s="41" t="str">
        <f>IFERROR(VLOOKUP($J1025,'Project Reference'!$S$2:$T$41,2),"Enter Project Number")</f>
        <v>Enter Project Number</v>
      </c>
      <c r="L1025" s="41"/>
      <c r="M1025" s="41"/>
      <c r="N1025" s="15">
        <f t="shared" si="16"/>
        <v>0</v>
      </c>
      <c r="O1025" s="19"/>
      <c r="P1025" s="42" t="str">
        <f>IFERROR(VLOOKUP($J1025,'Project Reference'!$B$2:$C$41,2)," ")</f>
        <v xml:space="preserve"> </v>
      </c>
      <c r="Q1025" s="42" t="str">
        <f>IFERROR(VLOOKUP($J1025,'Project Reference'!$B$2:$D$41,3)," ")</f>
        <v xml:space="preserve"> </v>
      </c>
      <c r="R1025" s="42" t="str">
        <f>IFERROR(VLOOKUP($J1025,'Project Reference'!$B$2:$E$41,4)," ")</f>
        <v xml:space="preserve"> </v>
      </c>
      <c r="S1025" s="42" t="str">
        <f>IFERROR(VLOOKUP($J1025,'Project Reference'!$B$2:$F$41,5,FALSE)," ")</f>
        <v xml:space="preserve"> </v>
      </c>
      <c r="T1025" s="42" t="str">
        <f>IFERROR(VLOOKUP($J1025,'Project Reference'!$B$2:$G$41,6,FALSE)," ")</f>
        <v xml:space="preserve"> </v>
      </c>
      <c r="U1025" s="42" t="str">
        <f>IFERROR(VLOOKUP($J1025,'Project Reference'!$B$2:$H$41,7,FALSE)," ")</f>
        <v xml:space="preserve"> </v>
      </c>
      <c r="V1025" s="42" t="str">
        <f>IFERROR(VLOOKUP($J1025,'Project Reference'!$B$2:$I$41,8,FALSE)," ")</f>
        <v xml:space="preserve"> </v>
      </c>
      <c r="W1025" s="42" t="str">
        <f>IFERROR(VLOOKUP($J1025,'Project Reference'!$B$2:$J$41,9,FALSE)," ")</f>
        <v xml:space="preserve"> </v>
      </c>
      <c r="X1025" s="42" t="str">
        <f>IFERROR(VLOOKUP($J1025,'Project Reference'!$B$2:$K$41,10)," ")</f>
        <v xml:space="preserve"> </v>
      </c>
      <c r="Y1025" s="42" t="str">
        <f>IFERROR(VLOOKUP($J1025,'Project Reference'!$B$2:$L$41,11)," ")</f>
        <v xml:space="preserve"> </v>
      </c>
      <c r="Z1025" s="42" t="str">
        <f>IFERROR(VLOOKUP($J1025,'Project Reference'!$B$2:$M$41,12)," ")</f>
        <v xml:space="preserve"> </v>
      </c>
      <c r="AA1025" s="42" t="str">
        <f>IFERROR(VLOOKUP($J1025,'Project Reference'!$B$2:$N$41,13)," ")</f>
        <v xml:space="preserve"> </v>
      </c>
    </row>
    <row r="1026" spans="1:27" x14ac:dyDescent="0.45">
      <c r="A1026" s="43"/>
      <c r="B1026" s="205"/>
      <c r="C1026"/>
      <c r="D1026" s="72"/>
      <c r="E1026" s="72"/>
      <c r="F1026" s="72"/>
      <c r="G1026" s="72"/>
      <c r="H1026" s="17"/>
      <c r="I1026" s="41" t="str" cm="1">
        <f t="array" ref="I1026">IFERROR(_xlfn.IFS(H1026="Hard (Cash)","N/A",H1026="Soft (In-Kind)", "Enter Source"),"Select Type")</f>
        <v>Select Type</v>
      </c>
      <c r="J1026" s="124"/>
      <c r="K1026" s="41" t="str">
        <f>IFERROR(VLOOKUP($J1026,'Project Reference'!$S$2:$T$41,2),"Enter Project Number")</f>
        <v>Enter Project Number</v>
      </c>
      <c r="L1026" s="41"/>
      <c r="M1026" s="41"/>
      <c r="N1026" s="15">
        <f t="shared" si="16"/>
        <v>0</v>
      </c>
      <c r="O1026" s="19"/>
      <c r="P1026" s="42" t="str">
        <f>IFERROR(VLOOKUP($J1026,'Project Reference'!$B$2:$C$41,2)," ")</f>
        <v xml:space="preserve"> </v>
      </c>
      <c r="Q1026" s="42" t="str">
        <f>IFERROR(VLOOKUP($J1026,'Project Reference'!$B$2:$D$41,3)," ")</f>
        <v xml:space="preserve"> </v>
      </c>
      <c r="R1026" s="42" t="str">
        <f>IFERROR(VLOOKUP($J1026,'Project Reference'!$B$2:$E$41,4)," ")</f>
        <v xml:space="preserve"> </v>
      </c>
      <c r="S1026" s="42" t="str">
        <f>IFERROR(VLOOKUP($J1026,'Project Reference'!$B$2:$F$41,5,FALSE)," ")</f>
        <v xml:space="preserve"> </v>
      </c>
      <c r="T1026" s="42" t="str">
        <f>IFERROR(VLOOKUP($J1026,'Project Reference'!$B$2:$G$41,6,FALSE)," ")</f>
        <v xml:space="preserve"> </v>
      </c>
      <c r="U1026" s="42" t="str">
        <f>IFERROR(VLOOKUP($J1026,'Project Reference'!$B$2:$H$41,7,FALSE)," ")</f>
        <v xml:space="preserve"> </v>
      </c>
      <c r="V1026" s="42" t="str">
        <f>IFERROR(VLOOKUP($J1026,'Project Reference'!$B$2:$I$41,8,FALSE)," ")</f>
        <v xml:space="preserve"> </v>
      </c>
      <c r="W1026" s="42" t="str">
        <f>IFERROR(VLOOKUP($J1026,'Project Reference'!$B$2:$J$41,9,FALSE)," ")</f>
        <v xml:space="preserve"> </v>
      </c>
      <c r="X1026" s="42" t="str">
        <f>IFERROR(VLOOKUP($J1026,'Project Reference'!$B$2:$K$41,10)," ")</f>
        <v xml:space="preserve"> </v>
      </c>
      <c r="Y1026" s="42" t="str">
        <f>IFERROR(VLOOKUP($J1026,'Project Reference'!$B$2:$L$41,11)," ")</f>
        <v xml:space="preserve"> </v>
      </c>
      <c r="Z1026" s="42" t="str">
        <f>IFERROR(VLOOKUP($J1026,'Project Reference'!$B$2:$M$41,12)," ")</f>
        <v xml:space="preserve"> </v>
      </c>
      <c r="AA1026" s="42" t="str">
        <f>IFERROR(VLOOKUP($J1026,'Project Reference'!$B$2:$N$41,13)," ")</f>
        <v xml:space="preserve"> </v>
      </c>
    </row>
    <row r="1027" spans="1:27" x14ac:dyDescent="0.45">
      <c r="A1027" s="43"/>
      <c r="B1027" s="205"/>
      <c r="C1027"/>
      <c r="D1027" s="72"/>
      <c r="E1027" s="72"/>
      <c r="F1027" s="72"/>
      <c r="G1027" s="72"/>
      <c r="H1027" s="17"/>
      <c r="I1027" s="41" t="str" cm="1">
        <f t="array" ref="I1027">IFERROR(_xlfn.IFS(H1027="Hard (Cash)","N/A",H1027="Soft (In-Kind)", "Enter Source"),"Select Type")</f>
        <v>Select Type</v>
      </c>
      <c r="J1027" s="124"/>
      <c r="K1027" s="41" t="str">
        <f>IFERROR(VLOOKUP($J1027,'Project Reference'!$S$2:$T$41,2),"Enter Project Number")</f>
        <v>Enter Project Number</v>
      </c>
      <c r="L1027" s="41"/>
      <c r="M1027" s="41"/>
      <c r="N1027" s="15">
        <f t="shared" si="16"/>
        <v>0</v>
      </c>
      <c r="O1027" s="19"/>
      <c r="P1027" s="42" t="str">
        <f>IFERROR(VLOOKUP($J1027,'Project Reference'!$B$2:$C$41,2)," ")</f>
        <v xml:space="preserve"> </v>
      </c>
      <c r="Q1027" s="42" t="str">
        <f>IFERROR(VLOOKUP($J1027,'Project Reference'!$B$2:$D$41,3)," ")</f>
        <v xml:space="preserve"> </v>
      </c>
      <c r="R1027" s="42" t="str">
        <f>IFERROR(VLOOKUP($J1027,'Project Reference'!$B$2:$E$41,4)," ")</f>
        <v xml:space="preserve"> </v>
      </c>
      <c r="S1027" s="42" t="str">
        <f>IFERROR(VLOOKUP($J1027,'Project Reference'!$B$2:$F$41,5,FALSE)," ")</f>
        <v xml:space="preserve"> </v>
      </c>
      <c r="T1027" s="42" t="str">
        <f>IFERROR(VLOOKUP($J1027,'Project Reference'!$B$2:$G$41,6,FALSE)," ")</f>
        <v xml:space="preserve"> </v>
      </c>
      <c r="U1027" s="42" t="str">
        <f>IFERROR(VLOOKUP($J1027,'Project Reference'!$B$2:$H$41,7,FALSE)," ")</f>
        <v xml:space="preserve"> </v>
      </c>
      <c r="V1027" s="42" t="str">
        <f>IFERROR(VLOOKUP($J1027,'Project Reference'!$B$2:$I$41,8,FALSE)," ")</f>
        <v xml:space="preserve"> </v>
      </c>
      <c r="W1027" s="42" t="str">
        <f>IFERROR(VLOOKUP($J1027,'Project Reference'!$B$2:$J$41,9,FALSE)," ")</f>
        <v xml:space="preserve"> </v>
      </c>
      <c r="X1027" s="42" t="str">
        <f>IFERROR(VLOOKUP($J1027,'Project Reference'!$B$2:$K$41,10)," ")</f>
        <v xml:space="preserve"> </v>
      </c>
      <c r="Y1027" s="42" t="str">
        <f>IFERROR(VLOOKUP($J1027,'Project Reference'!$B$2:$L$41,11)," ")</f>
        <v xml:space="preserve"> </v>
      </c>
      <c r="Z1027" s="42" t="str">
        <f>IFERROR(VLOOKUP($J1027,'Project Reference'!$B$2:$M$41,12)," ")</f>
        <v xml:space="preserve"> </v>
      </c>
      <c r="AA1027" s="42" t="str">
        <f>IFERROR(VLOOKUP($J1027,'Project Reference'!$B$2:$N$41,13)," ")</f>
        <v xml:space="preserve"> </v>
      </c>
    </row>
    <row r="1028" spans="1:27" x14ac:dyDescent="0.45">
      <c r="A1028" s="43"/>
      <c r="B1028" s="205"/>
      <c r="C1028"/>
      <c r="D1028" s="72"/>
      <c r="E1028" s="72"/>
      <c r="F1028" s="72"/>
      <c r="G1028" s="72"/>
      <c r="H1028" s="17"/>
      <c r="I1028" s="41" t="str" cm="1">
        <f t="array" ref="I1028">IFERROR(_xlfn.IFS(H1028="Hard (Cash)","N/A",H1028="Soft (In-Kind)", "Enter Source"),"Select Type")</f>
        <v>Select Type</v>
      </c>
      <c r="J1028" s="124"/>
      <c r="K1028" s="41" t="str">
        <f>IFERROR(VLOOKUP($J1028,'Project Reference'!$S$2:$T$41,2),"Enter Project Number")</f>
        <v>Enter Project Number</v>
      </c>
      <c r="L1028" s="41"/>
      <c r="M1028" s="41"/>
      <c r="N1028" s="15">
        <f t="shared" si="16"/>
        <v>0</v>
      </c>
      <c r="O1028" s="19"/>
      <c r="P1028" s="42" t="str">
        <f>IFERROR(VLOOKUP($J1028,'Project Reference'!$B$2:$C$41,2)," ")</f>
        <v xml:space="preserve"> </v>
      </c>
      <c r="Q1028" s="42" t="str">
        <f>IFERROR(VLOOKUP($J1028,'Project Reference'!$B$2:$D$41,3)," ")</f>
        <v xml:space="preserve"> </v>
      </c>
      <c r="R1028" s="42" t="str">
        <f>IFERROR(VLOOKUP($J1028,'Project Reference'!$B$2:$E$41,4)," ")</f>
        <v xml:space="preserve"> </v>
      </c>
      <c r="S1028" s="42" t="str">
        <f>IFERROR(VLOOKUP($J1028,'Project Reference'!$B$2:$F$41,5,FALSE)," ")</f>
        <v xml:space="preserve"> </v>
      </c>
      <c r="T1028" s="42" t="str">
        <f>IFERROR(VLOOKUP($J1028,'Project Reference'!$B$2:$G$41,6,FALSE)," ")</f>
        <v xml:space="preserve"> </v>
      </c>
      <c r="U1028" s="42" t="str">
        <f>IFERROR(VLOOKUP($J1028,'Project Reference'!$B$2:$H$41,7,FALSE)," ")</f>
        <v xml:space="preserve"> </v>
      </c>
      <c r="V1028" s="42" t="str">
        <f>IFERROR(VLOOKUP($J1028,'Project Reference'!$B$2:$I$41,8,FALSE)," ")</f>
        <v xml:space="preserve"> </v>
      </c>
      <c r="W1028" s="42" t="str">
        <f>IFERROR(VLOOKUP($J1028,'Project Reference'!$B$2:$J$41,9,FALSE)," ")</f>
        <v xml:space="preserve"> </v>
      </c>
      <c r="X1028" s="42" t="str">
        <f>IFERROR(VLOOKUP($J1028,'Project Reference'!$B$2:$K$41,10)," ")</f>
        <v xml:space="preserve"> </v>
      </c>
      <c r="Y1028" s="42" t="str">
        <f>IFERROR(VLOOKUP($J1028,'Project Reference'!$B$2:$L$41,11)," ")</f>
        <v xml:space="preserve"> </v>
      </c>
      <c r="Z1028" s="42" t="str">
        <f>IFERROR(VLOOKUP($J1028,'Project Reference'!$B$2:$M$41,12)," ")</f>
        <v xml:space="preserve"> </v>
      </c>
      <c r="AA1028" s="42" t="str">
        <f>IFERROR(VLOOKUP($J1028,'Project Reference'!$B$2:$N$41,13)," ")</f>
        <v xml:space="preserve"> </v>
      </c>
    </row>
    <row r="1029" spans="1:27" x14ac:dyDescent="0.45">
      <c r="A1029" s="43"/>
      <c r="B1029" s="205"/>
      <c r="C1029"/>
      <c r="D1029" s="72"/>
      <c r="E1029" s="72"/>
      <c r="F1029" s="72"/>
      <c r="G1029" s="72"/>
      <c r="H1029" s="17"/>
      <c r="I1029" s="41" t="str" cm="1">
        <f t="array" ref="I1029">IFERROR(_xlfn.IFS(H1029="Hard (Cash)","N/A",H1029="Soft (In-Kind)", "Enter Source"),"Select Type")</f>
        <v>Select Type</v>
      </c>
      <c r="J1029" s="124"/>
      <c r="K1029" s="41" t="str">
        <f>IFERROR(VLOOKUP($J1029,'Project Reference'!$S$2:$T$41,2),"Enter Project Number")</f>
        <v>Enter Project Number</v>
      </c>
      <c r="L1029" s="41"/>
      <c r="M1029" s="41"/>
      <c r="N1029" s="15">
        <f t="shared" si="16"/>
        <v>0</v>
      </c>
      <c r="O1029" s="19"/>
      <c r="P1029" s="42" t="str">
        <f>IFERROR(VLOOKUP($J1029,'Project Reference'!$B$2:$C$41,2)," ")</f>
        <v xml:space="preserve"> </v>
      </c>
      <c r="Q1029" s="42" t="str">
        <f>IFERROR(VLOOKUP($J1029,'Project Reference'!$B$2:$D$41,3)," ")</f>
        <v xml:space="preserve"> </v>
      </c>
      <c r="R1029" s="42" t="str">
        <f>IFERROR(VLOOKUP($J1029,'Project Reference'!$B$2:$E$41,4)," ")</f>
        <v xml:space="preserve"> </v>
      </c>
      <c r="S1029" s="42" t="str">
        <f>IFERROR(VLOOKUP($J1029,'Project Reference'!$B$2:$F$41,5,FALSE)," ")</f>
        <v xml:space="preserve"> </v>
      </c>
      <c r="T1029" s="42" t="str">
        <f>IFERROR(VLOOKUP($J1029,'Project Reference'!$B$2:$G$41,6,FALSE)," ")</f>
        <v xml:space="preserve"> </v>
      </c>
      <c r="U1029" s="42" t="str">
        <f>IFERROR(VLOOKUP($J1029,'Project Reference'!$B$2:$H$41,7,FALSE)," ")</f>
        <v xml:space="preserve"> </v>
      </c>
      <c r="V1029" s="42" t="str">
        <f>IFERROR(VLOOKUP($J1029,'Project Reference'!$B$2:$I$41,8,FALSE)," ")</f>
        <v xml:space="preserve"> </v>
      </c>
      <c r="W1029" s="42" t="str">
        <f>IFERROR(VLOOKUP($J1029,'Project Reference'!$B$2:$J$41,9,FALSE)," ")</f>
        <v xml:space="preserve"> </v>
      </c>
      <c r="X1029" s="42" t="str">
        <f>IFERROR(VLOOKUP($J1029,'Project Reference'!$B$2:$K$41,10)," ")</f>
        <v xml:space="preserve"> </v>
      </c>
      <c r="Y1029" s="42" t="str">
        <f>IFERROR(VLOOKUP($J1029,'Project Reference'!$B$2:$L$41,11)," ")</f>
        <v xml:space="preserve"> </v>
      </c>
      <c r="Z1029" s="42" t="str">
        <f>IFERROR(VLOOKUP($J1029,'Project Reference'!$B$2:$M$41,12)," ")</f>
        <v xml:space="preserve"> </v>
      </c>
      <c r="AA1029" s="42" t="str">
        <f>IFERROR(VLOOKUP($J1029,'Project Reference'!$B$2:$N$41,13)," ")</f>
        <v xml:space="preserve"> </v>
      </c>
    </row>
    <row r="1030" spans="1:27" x14ac:dyDescent="0.45">
      <c r="A1030" s="43"/>
      <c r="B1030" s="205"/>
      <c r="C1030"/>
      <c r="D1030" s="72"/>
      <c r="E1030" s="72"/>
      <c r="F1030" s="72"/>
      <c r="G1030" s="72"/>
      <c r="H1030" s="17"/>
      <c r="I1030" s="41" t="str" cm="1">
        <f t="array" ref="I1030">IFERROR(_xlfn.IFS(H1030="Hard (Cash)","N/A",H1030="Soft (In-Kind)", "Enter Source"),"Select Type")</f>
        <v>Select Type</v>
      </c>
      <c r="J1030" s="124"/>
      <c r="K1030" s="41" t="str">
        <f>IFERROR(VLOOKUP($J1030,'Project Reference'!$S$2:$T$41,2),"Enter Project Number")</f>
        <v>Enter Project Number</v>
      </c>
      <c r="L1030" s="41"/>
      <c r="M1030" s="41"/>
      <c r="N1030" s="15">
        <f t="shared" si="16"/>
        <v>0</v>
      </c>
      <c r="O1030" s="19"/>
      <c r="P1030" s="42" t="str">
        <f>IFERROR(VLOOKUP($J1030,'Project Reference'!$B$2:$C$41,2)," ")</f>
        <v xml:space="preserve"> </v>
      </c>
      <c r="Q1030" s="42" t="str">
        <f>IFERROR(VLOOKUP($J1030,'Project Reference'!$B$2:$D$41,3)," ")</f>
        <v xml:space="preserve"> </v>
      </c>
      <c r="R1030" s="42" t="str">
        <f>IFERROR(VLOOKUP($J1030,'Project Reference'!$B$2:$E$41,4)," ")</f>
        <v xml:space="preserve"> </v>
      </c>
      <c r="S1030" s="42" t="str">
        <f>IFERROR(VLOOKUP($J1030,'Project Reference'!$B$2:$F$41,5,FALSE)," ")</f>
        <v xml:space="preserve"> </v>
      </c>
      <c r="T1030" s="42" t="str">
        <f>IFERROR(VLOOKUP($J1030,'Project Reference'!$B$2:$G$41,6,FALSE)," ")</f>
        <v xml:space="preserve"> </v>
      </c>
      <c r="U1030" s="42" t="str">
        <f>IFERROR(VLOOKUP($J1030,'Project Reference'!$B$2:$H$41,7,FALSE)," ")</f>
        <v xml:space="preserve"> </v>
      </c>
      <c r="V1030" s="42" t="str">
        <f>IFERROR(VLOOKUP($J1030,'Project Reference'!$B$2:$I$41,8,FALSE)," ")</f>
        <v xml:space="preserve"> </v>
      </c>
      <c r="W1030" s="42" t="str">
        <f>IFERROR(VLOOKUP($J1030,'Project Reference'!$B$2:$J$41,9,FALSE)," ")</f>
        <v xml:space="preserve"> </v>
      </c>
      <c r="X1030" s="42" t="str">
        <f>IFERROR(VLOOKUP($J1030,'Project Reference'!$B$2:$K$41,10)," ")</f>
        <v xml:space="preserve"> </v>
      </c>
      <c r="Y1030" s="42" t="str">
        <f>IFERROR(VLOOKUP($J1030,'Project Reference'!$B$2:$L$41,11)," ")</f>
        <v xml:space="preserve"> </v>
      </c>
      <c r="Z1030" s="42" t="str">
        <f>IFERROR(VLOOKUP($J1030,'Project Reference'!$B$2:$M$41,12)," ")</f>
        <v xml:space="preserve"> </v>
      </c>
      <c r="AA1030" s="42" t="str">
        <f>IFERROR(VLOOKUP($J1030,'Project Reference'!$B$2:$N$41,13)," ")</f>
        <v xml:space="preserve"> </v>
      </c>
    </row>
    <row r="1031" spans="1:27" x14ac:dyDescent="0.45">
      <c r="A1031" s="43"/>
      <c r="B1031" s="205"/>
      <c r="C1031"/>
      <c r="D1031" s="72"/>
      <c r="E1031" s="72"/>
      <c r="F1031" s="72"/>
      <c r="G1031" s="72"/>
      <c r="H1031" s="17"/>
      <c r="I1031" s="41" t="str" cm="1">
        <f t="array" ref="I1031">IFERROR(_xlfn.IFS(H1031="Hard (Cash)","N/A",H1031="Soft (In-Kind)", "Enter Source"),"Select Type")</f>
        <v>Select Type</v>
      </c>
      <c r="J1031" s="124"/>
      <c r="K1031" s="41" t="str">
        <f>IFERROR(VLOOKUP($J1031,'Project Reference'!$S$2:$T$41,2),"Enter Project Number")</f>
        <v>Enter Project Number</v>
      </c>
      <c r="L1031" s="41"/>
      <c r="M1031" s="41"/>
      <c r="N1031" s="15">
        <f t="shared" si="16"/>
        <v>0</v>
      </c>
      <c r="O1031" s="19"/>
      <c r="P1031" s="42" t="str">
        <f>IFERROR(VLOOKUP($J1031,'Project Reference'!$B$2:$C$41,2)," ")</f>
        <v xml:space="preserve"> </v>
      </c>
      <c r="Q1031" s="42" t="str">
        <f>IFERROR(VLOOKUP($J1031,'Project Reference'!$B$2:$D$41,3)," ")</f>
        <v xml:space="preserve"> </v>
      </c>
      <c r="R1031" s="42" t="str">
        <f>IFERROR(VLOOKUP($J1031,'Project Reference'!$B$2:$E$41,4)," ")</f>
        <v xml:space="preserve"> </v>
      </c>
      <c r="S1031" s="42" t="str">
        <f>IFERROR(VLOOKUP($J1031,'Project Reference'!$B$2:$F$41,5,FALSE)," ")</f>
        <v xml:space="preserve"> </v>
      </c>
      <c r="T1031" s="42" t="str">
        <f>IFERROR(VLOOKUP($J1031,'Project Reference'!$B$2:$G$41,6,FALSE)," ")</f>
        <v xml:space="preserve"> </v>
      </c>
      <c r="U1031" s="42" t="str">
        <f>IFERROR(VLOOKUP($J1031,'Project Reference'!$B$2:$H$41,7,FALSE)," ")</f>
        <v xml:space="preserve"> </v>
      </c>
      <c r="V1031" s="42" t="str">
        <f>IFERROR(VLOOKUP($J1031,'Project Reference'!$B$2:$I$41,8,FALSE)," ")</f>
        <v xml:space="preserve"> </v>
      </c>
      <c r="W1031" s="42" t="str">
        <f>IFERROR(VLOOKUP($J1031,'Project Reference'!$B$2:$J$41,9,FALSE)," ")</f>
        <v xml:space="preserve"> </v>
      </c>
      <c r="X1031" s="42" t="str">
        <f>IFERROR(VLOOKUP($J1031,'Project Reference'!$B$2:$K$41,10)," ")</f>
        <v xml:space="preserve"> </v>
      </c>
      <c r="Y1031" s="42" t="str">
        <f>IFERROR(VLOOKUP($J1031,'Project Reference'!$B$2:$L$41,11)," ")</f>
        <v xml:space="preserve"> </v>
      </c>
      <c r="Z1031" s="42" t="str">
        <f>IFERROR(VLOOKUP($J1031,'Project Reference'!$B$2:$M$41,12)," ")</f>
        <v xml:space="preserve"> </v>
      </c>
      <c r="AA1031" s="42" t="str">
        <f>IFERROR(VLOOKUP($J1031,'Project Reference'!$B$2:$N$41,13)," ")</f>
        <v xml:space="preserve"> </v>
      </c>
    </row>
    <row r="1032" spans="1:27" x14ac:dyDescent="0.45">
      <c r="A1032" s="43"/>
      <c r="B1032" s="205"/>
      <c r="C1032"/>
      <c r="D1032" s="72"/>
      <c r="E1032" s="72"/>
      <c r="F1032" s="72"/>
      <c r="G1032" s="72"/>
      <c r="H1032" s="17"/>
      <c r="I1032" s="41" t="str" cm="1">
        <f t="array" ref="I1032">IFERROR(_xlfn.IFS(H1032="Hard (Cash)","N/A",H1032="Soft (In-Kind)", "Enter Source"),"Select Type")</f>
        <v>Select Type</v>
      </c>
      <c r="J1032" s="124"/>
      <c r="K1032" s="41" t="str">
        <f>IFERROR(VLOOKUP($J1032,'Project Reference'!$S$2:$T$41,2),"Enter Project Number")</f>
        <v>Enter Project Number</v>
      </c>
      <c r="L1032" s="41"/>
      <c r="M1032" s="41"/>
      <c r="N1032" s="15">
        <f t="shared" si="16"/>
        <v>0</v>
      </c>
      <c r="O1032" s="19"/>
      <c r="P1032" s="42" t="str">
        <f>IFERROR(VLOOKUP($J1032,'Project Reference'!$B$2:$C$41,2)," ")</f>
        <v xml:space="preserve"> </v>
      </c>
      <c r="Q1032" s="42" t="str">
        <f>IFERROR(VLOOKUP($J1032,'Project Reference'!$B$2:$D$41,3)," ")</f>
        <v xml:space="preserve"> </v>
      </c>
      <c r="R1032" s="42" t="str">
        <f>IFERROR(VLOOKUP($J1032,'Project Reference'!$B$2:$E$41,4)," ")</f>
        <v xml:space="preserve"> </v>
      </c>
      <c r="S1032" s="42" t="str">
        <f>IFERROR(VLOOKUP($J1032,'Project Reference'!$B$2:$F$41,5,FALSE)," ")</f>
        <v xml:space="preserve"> </v>
      </c>
      <c r="T1032" s="42" t="str">
        <f>IFERROR(VLOOKUP($J1032,'Project Reference'!$B$2:$G$41,6,FALSE)," ")</f>
        <v xml:space="preserve"> </v>
      </c>
      <c r="U1032" s="42" t="str">
        <f>IFERROR(VLOOKUP($J1032,'Project Reference'!$B$2:$H$41,7,FALSE)," ")</f>
        <v xml:space="preserve"> </v>
      </c>
      <c r="V1032" s="42" t="str">
        <f>IFERROR(VLOOKUP($J1032,'Project Reference'!$B$2:$I$41,8,FALSE)," ")</f>
        <v xml:space="preserve"> </v>
      </c>
      <c r="W1032" s="42" t="str">
        <f>IFERROR(VLOOKUP($J1032,'Project Reference'!$B$2:$J$41,9,FALSE)," ")</f>
        <v xml:space="preserve"> </v>
      </c>
      <c r="X1032" s="42" t="str">
        <f>IFERROR(VLOOKUP($J1032,'Project Reference'!$B$2:$K$41,10)," ")</f>
        <v xml:space="preserve"> </v>
      </c>
      <c r="Y1032" s="42" t="str">
        <f>IFERROR(VLOOKUP($J1032,'Project Reference'!$B$2:$L$41,11)," ")</f>
        <v xml:space="preserve"> </v>
      </c>
      <c r="Z1032" s="42" t="str">
        <f>IFERROR(VLOOKUP($J1032,'Project Reference'!$B$2:$M$41,12)," ")</f>
        <v xml:space="preserve"> </v>
      </c>
      <c r="AA1032" s="42" t="str">
        <f>IFERROR(VLOOKUP($J1032,'Project Reference'!$B$2:$N$41,13)," ")</f>
        <v xml:space="preserve"> </v>
      </c>
    </row>
    <row r="1033" spans="1:27" x14ac:dyDescent="0.45">
      <c r="A1033" s="43"/>
      <c r="B1033" s="205"/>
      <c r="C1033"/>
      <c r="D1033" s="72"/>
      <c r="E1033" s="72"/>
      <c r="F1033" s="72"/>
      <c r="G1033" s="72"/>
      <c r="H1033" s="17"/>
      <c r="I1033" s="41" t="str" cm="1">
        <f t="array" ref="I1033">IFERROR(_xlfn.IFS(H1033="Hard (Cash)","N/A",H1033="Soft (In-Kind)", "Enter Source"),"Select Type")</f>
        <v>Select Type</v>
      </c>
      <c r="J1033" s="124"/>
      <c r="K1033" s="41" t="str">
        <f>IFERROR(VLOOKUP($J1033,'Project Reference'!$S$2:$T$41,2),"Enter Project Number")</f>
        <v>Enter Project Number</v>
      </c>
      <c r="L1033" s="41"/>
      <c r="M1033" s="41"/>
      <c r="N1033" s="15">
        <f t="shared" si="16"/>
        <v>0</v>
      </c>
      <c r="O1033" s="19"/>
      <c r="P1033" s="42" t="str">
        <f>IFERROR(VLOOKUP($J1033,'Project Reference'!$B$2:$C$41,2)," ")</f>
        <v xml:space="preserve"> </v>
      </c>
      <c r="Q1033" s="42" t="str">
        <f>IFERROR(VLOOKUP($J1033,'Project Reference'!$B$2:$D$41,3)," ")</f>
        <v xml:space="preserve"> </v>
      </c>
      <c r="R1033" s="42" t="str">
        <f>IFERROR(VLOOKUP($J1033,'Project Reference'!$B$2:$E$41,4)," ")</f>
        <v xml:space="preserve"> </v>
      </c>
      <c r="S1033" s="42" t="str">
        <f>IFERROR(VLOOKUP($J1033,'Project Reference'!$B$2:$F$41,5,FALSE)," ")</f>
        <v xml:space="preserve"> </v>
      </c>
      <c r="T1033" s="42" t="str">
        <f>IFERROR(VLOOKUP($J1033,'Project Reference'!$B$2:$G$41,6,FALSE)," ")</f>
        <v xml:space="preserve"> </v>
      </c>
      <c r="U1033" s="42" t="str">
        <f>IFERROR(VLOOKUP($J1033,'Project Reference'!$B$2:$H$41,7,FALSE)," ")</f>
        <v xml:space="preserve"> </v>
      </c>
      <c r="V1033" s="42" t="str">
        <f>IFERROR(VLOOKUP($J1033,'Project Reference'!$B$2:$I$41,8,FALSE)," ")</f>
        <v xml:space="preserve"> </v>
      </c>
      <c r="W1033" s="42" t="str">
        <f>IFERROR(VLOOKUP($J1033,'Project Reference'!$B$2:$J$41,9,FALSE)," ")</f>
        <v xml:space="preserve"> </v>
      </c>
      <c r="X1033" s="42" t="str">
        <f>IFERROR(VLOOKUP($J1033,'Project Reference'!$B$2:$K$41,10)," ")</f>
        <v xml:space="preserve"> </v>
      </c>
      <c r="Y1033" s="42" t="str">
        <f>IFERROR(VLOOKUP($J1033,'Project Reference'!$B$2:$L$41,11)," ")</f>
        <v xml:space="preserve"> </v>
      </c>
      <c r="Z1033" s="42" t="str">
        <f>IFERROR(VLOOKUP($J1033,'Project Reference'!$B$2:$M$41,12)," ")</f>
        <v xml:space="preserve"> </v>
      </c>
      <c r="AA1033" s="42" t="str">
        <f>IFERROR(VLOOKUP($J1033,'Project Reference'!$B$2:$N$41,13)," ")</f>
        <v xml:space="preserve"> </v>
      </c>
    </row>
    <row r="1034" spans="1:27" x14ac:dyDescent="0.45">
      <c r="A1034" s="43"/>
      <c r="B1034" s="205"/>
      <c r="C1034"/>
      <c r="D1034" s="72"/>
      <c r="E1034" s="72"/>
      <c r="F1034" s="72"/>
      <c r="G1034" s="72"/>
      <c r="H1034" s="17"/>
      <c r="I1034" s="41" t="str" cm="1">
        <f t="array" ref="I1034">IFERROR(_xlfn.IFS(H1034="Hard (Cash)","N/A",H1034="Soft (In-Kind)", "Enter Source"),"Select Type")</f>
        <v>Select Type</v>
      </c>
      <c r="J1034" s="124"/>
      <c r="K1034" s="41" t="str">
        <f>IFERROR(VLOOKUP($J1034,'Project Reference'!$S$2:$T$41,2),"Enter Project Number")</f>
        <v>Enter Project Number</v>
      </c>
      <c r="L1034" s="41"/>
      <c r="M1034" s="41"/>
      <c r="N1034" s="15">
        <f t="shared" si="16"/>
        <v>0</v>
      </c>
      <c r="O1034" s="19"/>
      <c r="P1034" s="42" t="str">
        <f>IFERROR(VLOOKUP($J1034,'Project Reference'!$B$2:$C$41,2)," ")</f>
        <v xml:space="preserve"> </v>
      </c>
      <c r="Q1034" s="42" t="str">
        <f>IFERROR(VLOOKUP($J1034,'Project Reference'!$B$2:$D$41,3)," ")</f>
        <v xml:space="preserve"> </v>
      </c>
      <c r="R1034" s="42" t="str">
        <f>IFERROR(VLOOKUP($J1034,'Project Reference'!$B$2:$E$41,4)," ")</f>
        <v xml:space="preserve"> </v>
      </c>
      <c r="S1034" s="42" t="str">
        <f>IFERROR(VLOOKUP($J1034,'Project Reference'!$B$2:$F$41,5,FALSE)," ")</f>
        <v xml:space="preserve"> </v>
      </c>
      <c r="T1034" s="42" t="str">
        <f>IFERROR(VLOOKUP($J1034,'Project Reference'!$B$2:$G$41,6,FALSE)," ")</f>
        <v xml:space="preserve"> </v>
      </c>
      <c r="U1034" s="42" t="str">
        <f>IFERROR(VLOOKUP($J1034,'Project Reference'!$B$2:$H$41,7,FALSE)," ")</f>
        <v xml:space="preserve"> </v>
      </c>
      <c r="V1034" s="42" t="str">
        <f>IFERROR(VLOOKUP($J1034,'Project Reference'!$B$2:$I$41,8,FALSE)," ")</f>
        <v xml:space="preserve"> </v>
      </c>
      <c r="W1034" s="42" t="str">
        <f>IFERROR(VLOOKUP($J1034,'Project Reference'!$B$2:$J$41,9,FALSE)," ")</f>
        <v xml:space="preserve"> </v>
      </c>
      <c r="X1034" s="42" t="str">
        <f>IFERROR(VLOOKUP($J1034,'Project Reference'!$B$2:$K$41,10)," ")</f>
        <v xml:space="preserve"> </v>
      </c>
      <c r="Y1034" s="42" t="str">
        <f>IFERROR(VLOOKUP($J1034,'Project Reference'!$B$2:$L$41,11)," ")</f>
        <v xml:space="preserve"> </v>
      </c>
      <c r="Z1034" s="42" t="str">
        <f>IFERROR(VLOOKUP($J1034,'Project Reference'!$B$2:$M$41,12)," ")</f>
        <v xml:space="preserve"> </v>
      </c>
      <c r="AA1034" s="42" t="str">
        <f>IFERROR(VLOOKUP($J1034,'Project Reference'!$B$2:$N$41,13)," ")</f>
        <v xml:space="preserve"> </v>
      </c>
    </row>
    <row r="1035" spans="1:27" x14ac:dyDescent="0.45">
      <c r="A1035" s="43"/>
      <c r="B1035" s="205"/>
      <c r="C1035"/>
      <c r="D1035" s="72"/>
      <c r="E1035" s="72"/>
      <c r="F1035" s="72"/>
      <c r="G1035" s="72"/>
      <c r="H1035" s="17"/>
      <c r="I1035" s="41" t="str" cm="1">
        <f t="array" ref="I1035">IFERROR(_xlfn.IFS(H1035="Hard (Cash)","N/A",H1035="Soft (In-Kind)", "Enter Source"),"Select Type")</f>
        <v>Select Type</v>
      </c>
      <c r="J1035" s="124"/>
      <c r="K1035" s="41" t="str">
        <f>IFERROR(VLOOKUP($J1035,'Project Reference'!$S$2:$T$41,2),"Enter Project Number")</f>
        <v>Enter Project Number</v>
      </c>
      <c r="L1035" s="41"/>
      <c r="M1035" s="41"/>
      <c r="N1035" s="15">
        <f t="shared" si="16"/>
        <v>0</v>
      </c>
      <c r="O1035" s="19"/>
      <c r="P1035" s="42" t="str">
        <f>IFERROR(VLOOKUP($J1035,'Project Reference'!$B$2:$C$41,2)," ")</f>
        <v xml:space="preserve"> </v>
      </c>
      <c r="Q1035" s="42" t="str">
        <f>IFERROR(VLOOKUP($J1035,'Project Reference'!$B$2:$D$41,3)," ")</f>
        <v xml:space="preserve"> </v>
      </c>
      <c r="R1035" s="42" t="str">
        <f>IFERROR(VLOOKUP($J1035,'Project Reference'!$B$2:$E$41,4)," ")</f>
        <v xml:space="preserve"> </v>
      </c>
      <c r="S1035" s="42" t="str">
        <f>IFERROR(VLOOKUP($J1035,'Project Reference'!$B$2:$F$41,5,FALSE)," ")</f>
        <v xml:space="preserve"> </v>
      </c>
      <c r="T1035" s="42" t="str">
        <f>IFERROR(VLOOKUP($J1035,'Project Reference'!$B$2:$G$41,6,FALSE)," ")</f>
        <v xml:space="preserve"> </v>
      </c>
      <c r="U1035" s="42" t="str">
        <f>IFERROR(VLOOKUP($J1035,'Project Reference'!$B$2:$H$41,7,FALSE)," ")</f>
        <v xml:space="preserve"> </v>
      </c>
      <c r="V1035" s="42" t="str">
        <f>IFERROR(VLOOKUP($J1035,'Project Reference'!$B$2:$I$41,8,FALSE)," ")</f>
        <v xml:space="preserve"> </v>
      </c>
      <c r="W1035" s="42" t="str">
        <f>IFERROR(VLOOKUP($J1035,'Project Reference'!$B$2:$J$41,9,FALSE)," ")</f>
        <v xml:space="preserve"> </v>
      </c>
      <c r="X1035" s="42" t="str">
        <f>IFERROR(VLOOKUP($J1035,'Project Reference'!$B$2:$K$41,10)," ")</f>
        <v xml:space="preserve"> </v>
      </c>
      <c r="Y1035" s="42" t="str">
        <f>IFERROR(VLOOKUP($J1035,'Project Reference'!$B$2:$L$41,11)," ")</f>
        <v xml:space="preserve"> </v>
      </c>
      <c r="Z1035" s="42" t="str">
        <f>IFERROR(VLOOKUP($J1035,'Project Reference'!$B$2:$M$41,12)," ")</f>
        <v xml:space="preserve"> </v>
      </c>
      <c r="AA1035" s="42" t="str">
        <f>IFERROR(VLOOKUP($J1035,'Project Reference'!$B$2:$N$41,13)," ")</f>
        <v xml:space="preserve"> </v>
      </c>
    </row>
    <row r="1036" spans="1:27" x14ac:dyDescent="0.45">
      <c r="A1036" s="43"/>
      <c r="B1036" s="205"/>
      <c r="C1036"/>
      <c r="D1036" s="72"/>
      <c r="E1036" s="72"/>
      <c r="F1036" s="72"/>
      <c r="G1036" s="72"/>
      <c r="H1036" s="17"/>
      <c r="I1036" s="41" t="str" cm="1">
        <f t="array" ref="I1036">IFERROR(_xlfn.IFS(H1036="Hard (Cash)","N/A",H1036="Soft (In-Kind)", "Enter Source"),"Select Type")</f>
        <v>Select Type</v>
      </c>
      <c r="J1036" s="124"/>
      <c r="K1036" s="41" t="str">
        <f>IFERROR(VLOOKUP($J1036,'Project Reference'!$S$2:$T$41,2),"Enter Project Number")</f>
        <v>Enter Project Number</v>
      </c>
      <c r="L1036" s="41"/>
      <c r="M1036" s="41"/>
      <c r="N1036" s="15">
        <f t="shared" si="16"/>
        <v>0</v>
      </c>
      <c r="O1036" s="19"/>
      <c r="P1036" s="42" t="str">
        <f>IFERROR(VLOOKUP($J1036,'Project Reference'!$B$2:$C$41,2)," ")</f>
        <v xml:space="preserve"> </v>
      </c>
      <c r="Q1036" s="42" t="str">
        <f>IFERROR(VLOOKUP($J1036,'Project Reference'!$B$2:$D$41,3)," ")</f>
        <v xml:space="preserve"> </v>
      </c>
      <c r="R1036" s="42" t="str">
        <f>IFERROR(VLOOKUP($J1036,'Project Reference'!$B$2:$E$41,4)," ")</f>
        <v xml:space="preserve"> </v>
      </c>
      <c r="S1036" s="42" t="str">
        <f>IFERROR(VLOOKUP($J1036,'Project Reference'!$B$2:$F$41,5,FALSE)," ")</f>
        <v xml:space="preserve"> </v>
      </c>
      <c r="T1036" s="42" t="str">
        <f>IFERROR(VLOOKUP($J1036,'Project Reference'!$B$2:$G$41,6,FALSE)," ")</f>
        <v xml:space="preserve"> </v>
      </c>
      <c r="U1036" s="42" t="str">
        <f>IFERROR(VLOOKUP($J1036,'Project Reference'!$B$2:$H$41,7,FALSE)," ")</f>
        <v xml:space="preserve"> </v>
      </c>
      <c r="V1036" s="42" t="str">
        <f>IFERROR(VLOOKUP($J1036,'Project Reference'!$B$2:$I$41,8,FALSE)," ")</f>
        <v xml:space="preserve"> </v>
      </c>
      <c r="W1036" s="42" t="str">
        <f>IFERROR(VLOOKUP($J1036,'Project Reference'!$B$2:$J$41,9,FALSE)," ")</f>
        <v xml:space="preserve"> </v>
      </c>
      <c r="X1036" s="42" t="str">
        <f>IFERROR(VLOOKUP($J1036,'Project Reference'!$B$2:$K$41,10)," ")</f>
        <v xml:space="preserve"> </v>
      </c>
      <c r="Y1036" s="42" t="str">
        <f>IFERROR(VLOOKUP($J1036,'Project Reference'!$B$2:$L$41,11)," ")</f>
        <v xml:space="preserve"> </v>
      </c>
      <c r="Z1036" s="42" t="str">
        <f>IFERROR(VLOOKUP($J1036,'Project Reference'!$B$2:$M$41,12)," ")</f>
        <v xml:space="preserve"> </v>
      </c>
      <c r="AA1036" s="42" t="str">
        <f>IFERROR(VLOOKUP($J1036,'Project Reference'!$B$2:$N$41,13)," ")</f>
        <v xml:space="preserve"> </v>
      </c>
    </row>
    <row r="1037" spans="1:27" x14ac:dyDescent="0.45">
      <c r="A1037" s="43"/>
      <c r="B1037" s="205"/>
      <c r="C1037"/>
      <c r="D1037" s="72"/>
      <c r="E1037" s="72"/>
      <c r="F1037" s="72"/>
      <c r="G1037" s="72"/>
      <c r="H1037" s="17"/>
      <c r="I1037" s="41" t="str" cm="1">
        <f t="array" ref="I1037">IFERROR(_xlfn.IFS(H1037="Hard (Cash)","N/A",H1037="Soft (In-Kind)", "Enter Source"),"Select Type")</f>
        <v>Select Type</v>
      </c>
      <c r="J1037" s="124"/>
      <c r="K1037" s="41" t="str">
        <f>IFERROR(VLOOKUP($J1037,'Project Reference'!$S$2:$T$41,2),"Enter Project Number")</f>
        <v>Enter Project Number</v>
      </c>
      <c r="L1037" s="41"/>
      <c r="M1037" s="41"/>
      <c r="N1037" s="15">
        <f t="shared" si="16"/>
        <v>0</v>
      </c>
      <c r="O1037" s="19"/>
      <c r="P1037" s="42" t="str">
        <f>IFERROR(VLOOKUP($J1037,'Project Reference'!$B$2:$C$41,2)," ")</f>
        <v xml:space="preserve"> </v>
      </c>
      <c r="Q1037" s="42" t="str">
        <f>IFERROR(VLOOKUP($J1037,'Project Reference'!$B$2:$D$41,3)," ")</f>
        <v xml:space="preserve"> </v>
      </c>
      <c r="R1037" s="42" t="str">
        <f>IFERROR(VLOOKUP($J1037,'Project Reference'!$B$2:$E$41,4)," ")</f>
        <v xml:space="preserve"> </v>
      </c>
      <c r="S1037" s="42" t="str">
        <f>IFERROR(VLOOKUP($J1037,'Project Reference'!$B$2:$F$41,5,FALSE)," ")</f>
        <v xml:space="preserve"> </v>
      </c>
      <c r="T1037" s="42" t="str">
        <f>IFERROR(VLOOKUP($J1037,'Project Reference'!$B$2:$G$41,6,FALSE)," ")</f>
        <v xml:space="preserve"> </v>
      </c>
      <c r="U1037" s="42" t="str">
        <f>IFERROR(VLOOKUP($J1037,'Project Reference'!$B$2:$H$41,7,FALSE)," ")</f>
        <v xml:space="preserve"> </v>
      </c>
      <c r="V1037" s="42" t="str">
        <f>IFERROR(VLOOKUP($J1037,'Project Reference'!$B$2:$I$41,8,FALSE)," ")</f>
        <v xml:space="preserve"> </v>
      </c>
      <c r="W1037" s="42" t="str">
        <f>IFERROR(VLOOKUP($J1037,'Project Reference'!$B$2:$J$41,9,FALSE)," ")</f>
        <v xml:space="preserve"> </v>
      </c>
      <c r="X1037" s="42" t="str">
        <f>IFERROR(VLOOKUP($J1037,'Project Reference'!$B$2:$K$41,10)," ")</f>
        <v xml:space="preserve"> </v>
      </c>
      <c r="Y1037" s="42" t="str">
        <f>IFERROR(VLOOKUP($J1037,'Project Reference'!$B$2:$L$41,11)," ")</f>
        <v xml:space="preserve"> </v>
      </c>
      <c r="Z1037" s="42" t="str">
        <f>IFERROR(VLOOKUP($J1037,'Project Reference'!$B$2:$M$41,12)," ")</f>
        <v xml:space="preserve"> </v>
      </c>
      <c r="AA1037" s="42" t="str">
        <f>IFERROR(VLOOKUP($J1037,'Project Reference'!$B$2:$N$41,13)," ")</f>
        <v xml:space="preserve"> </v>
      </c>
    </row>
    <row r="1038" spans="1:27" x14ac:dyDescent="0.45">
      <c r="A1038" s="43"/>
      <c r="B1038" s="205"/>
      <c r="C1038"/>
      <c r="D1038" s="72"/>
      <c r="E1038" s="72"/>
      <c r="F1038" s="72"/>
      <c r="G1038" s="72"/>
      <c r="H1038" s="17"/>
      <c r="I1038" s="41" t="str" cm="1">
        <f t="array" ref="I1038">IFERROR(_xlfn.IFS(H1038="Hard (Cash)","N/A",H1038="Soft (In-Kind)", "Enter Source"),"Select Type")</f>
        <v>Select Type</v>
      </c>
      <c r="J1038" s="124"/>
      <c r="K1038" s="41" t="str">
        <f>IFERROR(VLOOKUP($J1038,'Project Reference'!$S$2:$T$41,2),"Enter Project Number")</f>
        <v>Enter Project Number</v>
      </c>
      <c r="L1038" s="41"/>
      <c r="M1038" s="41"/>
      <c r="N1038" s="15">
        <f t="shared" si="16"/>
        <v>0</v>
      </c>
      <c r="O1038" s="19"/>
      <c r="P1038" s="42" t="str">
        <f>IFERROR(VLOOKUP($J1038,'Project Reference'!$B$2:$C$41,2)," ")</f>
        <v xml:space="preserve"> </v>
      </c>
      <c r="Q1038" s="42" t="str">
        <f>IFERROR(VLOOKUP($J1038,'Project Reference'!$B$2:$D$41,3)," ")</f>
        <v xml:space="preserve"> </v>
      </c>
      <c r="R1038" s="42" t="str">
        <f>IFERROR(VLOOKUP($J1038,'Project Reference'!$B$2:$E$41,4)," ")</f>
        <v xml:space="preserve"> </v>
      </c>
      <c r="S1038" s="42" t="str">
        <f>IFERROR(VLOOKUP($J1038,'Project Reference'!$B$2:$F$41,5,FALSE)," ")</f>
        <v xml:space="preserve"> </v>
      </c>
      <c r="T1038" s="42" t="str">
        <f>IFERROR(VLOOKUP($J1038,'Project Reference'!$B$2:$G$41,6,FALSE)," ")</f>
        <v xml:space="preserve"> </v>
      </c>
      <c r="U1038" s="42" t="str">
        <f>IFERROR(VLOOKUP($J1038,'Project Reference'!$B$2:$H$41,7,FALSE)," ")</f>
        <v xml:space="preserve"> </v>
      </c>
      <c r="V1038" s="42" t="str">
        <f>IFERROR(VLOOKUP($J1038,'Project Reference'!$B$2:$I$41,8,FALSE)," ")</f>
        <v xml:space="preserve"> </v>
      </c>
      <c r="W1038" s="42" t="str">
        <f>IFERROR(VLOOKUP($J1038,'Project Reference'!$B$2:$J$41,9,FALSE)," ")</f>
        <v xml:space="preserve"> </v>
      </c>
      <c r="X1038" s="42" t="str">
        <f>IFERROR(VLOOKUP($J1038,'Project Reference'!$B$2:$K$41,10)," ")</f>
        <v xml:space="preserve"> </v>
      </c>
      <c r="Y1038" s="42" t="str">
        <f>IFERROR(VLOOKUP($J1038,'Project Reference'!$B$2:$L$41,11)," ")</f>
        <v xml:space="preserve"> </v>
      </c>
      <c r="Z1038" s="42" t="str">
        <f>IFERROR(VLOOKUP($J1038,'Project Reference'!$B$2:$M$41,12)," ")</f>
        <v xml:space="preserve"> </v>
      </c>
      <c r="AA1038" s="42" t="str">
        <f>IFERROR(VLOOKUP($J1038,'Project Reference'!$B$2:$N$41,13)," ")</f>
        <v xml:space="preserve"> </v>
      </c>
    </row>
    <row r="1039" spans="1:27" x14ac:dyDescent="0.45">
      <c r="A1039" s="43"/>
      <c r="B1039" s="205"/>
      <c r="C1039"/>
      <c r="D1039" s="72"/>
      <c r="E1039" s="72"/>
      <c r="F1039" s="72"/>
      <c r="G1039" s="72"/>
      <c r="H1039" s="17"/>
      <c r="I1039" s="41" t="str" cm="1">
        <f t="array" ref="I1039">IFERROR(_xlfn.IFS(H1039="Hard (Cash)","N/A",H1039="Soft (In-Kind)", "Enter Source"),"Select Type")</f>
        <v>Select Type</v>
      </c>
      <c r="J1039" s="124"/>
      <c r="K1039" s="41" t="str">
        <f>IFERROR(VLOOKUP($J1039,'Project Reference'!$S$2:$T$41,2),"Enter Project Number")</f>
        <v>Enter Project Number</v>
      </c>
      <c r="L1039" s="41"/>
      <c r="M1039" s="41"/>
      <c r="N1039" s="15">
        <f t="shared" si="16"/>
        <v>0</v>
      </c>
      <c r="O1039" s="19"/>
      <c r="P1039" s="42" t="str">
        <f>IFERROR(VLOOKUP($J1039,'Project Reference'!$B$2:$C$41,2)," ")</f>
        <v xml:space="preserve"> </v>
      </c>
      <c r="Q1039" s="42" t="str">
        <f>IFERROR(VLOOKUP($J1039,'Project Reference'!$B$2:$D$41,3)," ")</f>
        <v xml:space="preserve"> </v>
      </c>
      <c r="R1039" s="42" t="str">
        <f>IFERROR(VLOOKUP($J1039,'Project Reference'!$B$2:$E$41,4)," ")</f>
        <v xml:space="preserve"> </v>
      </c>
      <c r="S1039" s="42" t="str">
        <f>IFERROR(VLOOKUP($J1039,'Project Reference'!$B$2:$F$41,5,FALSE)," ")</f>
        <v xml:space="preserve"> </v>
      </c>
      <c r="T1039" s="42" t="str">
        <f>IFERROR(VLOOKUP($J1039,'Project Reference'!$B$2:$G$41,6,FALSE)," ")</f>
        <v xml:space="preserve"> </v>
      </c>
      <c r="U1039" s="42" t="str">
        <f>IFERROR(VLOOKUP($J1039,'Project Reference'!$B$2:$H$41,7,FALSE)," ")</f>
        <v xml:space="preserve"> </v>
      </c>
      <c r="V1039" s="42" t="str">
        <f>IFERROR(VLOOKUP($J1039,'Project Reference'!$B$2:$I$41,8,FALSE)," ")</f>
        <v xml:space="preserve"> </v>
      </c>
      <c r="W1039" s="42" t="str">
        <f>IFERROR(VLOOKUP($J1039,'Project Reference'!$B$2:$J$41,9,FALSE)," ")</f>
        <v xml:space="preserve"> </v>
      </c>
      <c r="X1039" s="42" t="str">
        <f>IFERROR(VLOOKUP($J1039,'Project Reference'!$B$2:$K$41,10)," ")</f>
        <v xml:space="preserve"> </v>
      </c>
      <c r="Y1039" s="42" t="str">
        <f>IFERROR(VLOOKUP($J1039,'Project Reference'!$B$2:$L$41,11)," ")</f>
        <v xml:space="preserve"> </v>
      </c>
      <c r="Z1039" s="42" t="str">
        <f>IFERROR(VLOOKUP($J1039,'Project Reference'!$B$2:$M$41,12)," ")</f>
        <v xml:space="preserve"> </v>
      </c>
      <c r="AA1039" s="42" t="str">
        <f>IFERROR(VLOOKUP($J1039,'Project Reference'!$B$2:$N$41,13)," ")</f>
        <v xml:space="preserve"> </v>
      </c>
    </row>
    <row r="1040" spans="1:27" x14ac:dyDescent="0.45">
      <c r="A1040" s="43"/>
      <c r="B1040" s="205"/>
      <c r="C1040"/>
      <c r="D1040" s="72"/>
      <c r="E1040" s="72"/>
      <c r="F1040" s="72"/>
      <c r="G1040" s="72"/>
      <c r="H1040" s="17"/>
      <c r="I1040" s="41" t="str" cm="1">
        <f t="array" ref="I1040">IFERROR(_xlfn.IFS(H1040="Hard (Cash)","N/A",H1040="Soft (In-Kind)", "Enter Source"),"Select Type")</f>
        <v>Select Type</v>
      </c>
      <c r="J1040" s="124"/>
      <c r="K1040" s="41" t="str">
        <f>IFERROR(VLOOKUP($J1040,'Project Reference'!$S$2:$T$41,2),"Enter Project Number")</f>
        <v>Enter Project Number</v>
      </c>
      <c r="L1040" s="41"/>
      <c r="M1040" s="41"/>
      <c r="N1040" s="15">
        <f t="shared" si="16"/>
        <v>0</v>
      </c>
      <c r="O1040" s="19"/>
      <c r="P1040" s="42" t="str">
        <f>IFERROR(VLOOKUP($J1040,'Project Reference'!$B$2:$C$41,2)," ")</f>
        <v xml:space="preserve"> </v>
      </c>
      <c r="Q1040" s="42" t="str">
        <f>IFERROR(VLOOKUP($J1040,'Project Reference'!$B$2:$D$41,3)," ")</f>
        <v xml:space="preserve"> </v>
      </c>
      <c r="R1040" s="42" t="str">
        <f>IFERROR(VLOOKUP($J1040,'Project Reference'!$B$2:$E$41,4)," ")</f>
        <v xml:space="preserve"> </v>
      </c>
      <c r="S1040" s="42" t="str">
        <f>IFERROR(VLOOKUP($J1040,'Project Reference'!$B$2:$F$41,5,FALSE)," ")</f>
        <v xml:space="preserve"> </v>
      </c>
      <c r="T1040" s="42" t="str">
        <f>IFERROR(VLOOKUP($J1040,'Project Reference'!$B$2:$G$41,6,FALSE)," ")</f>
        <v xml:space="preserve"> </v>
      </c>
      <c r="U1040" s="42" t="str">
        <f>IFERROR(VLOOKUP($J1040,'Project Reference'!$B$2:$H$41,7,FALSE)," ")</f>
        <v xml:space="preserve"> </v>
      </c>
      <c r="V1040" s="42" t="str">
        <f>IFERROR(VLOOKUP($J1040,'Project Reference'!$B$2:$I$41,8,FALSE)," ")</f>
        <v xml:space="preserve"> </v>
      </c>
      <c r="W1040" s="42" t="str">
        <f>IFERROR(VLOOKUP($J1040,'Project Reference'!$B$2:$J$41,9,FALSE)," ")</f>
        <v xml:space="preserve"> </v>
      </c>
      <c r="X1040" s="42" t="str">
        <f>IFERROR(VLOOKUP($J1040,'Project Reference'!$B$2:$K$41,10)," ")</f>
        <v xml:space="preserve"> </v>
      </c>
      <c r="Y1040" s="42" t="str">
        <f>IFERROR(VLOOKUP($J1040,'Project Reference'!$B$2:$L$41,11)," ")</f>
        <v xml:space="preserve"> </v>
      </c>
      <c r="Z1040" s="42" t="str">
        <f>IFERROR(VLOOKUP($J1040,'Project Reference'!$B$2:$M$41,12)," ")</f>
        <v xml:space="preserve"> </v>
      </c>
      <c r="AA1040" s="42" t="str">
        <f>IFERROR(VLOOKUP($J1040,'Project Reference'!$B$2:$N$41,13)," ")</f>
        <v xml:space="preserve"> </v>
      </c>
    </row>
    <row r="1041" spans="1:27" x14ac:dyDescent="0.45">
      <c r="A1041" s="43"/>
      <c r="B1041" s="205"/>
      <c r="C1041"/>
      <c r="D1041" s="72"/>
      <c r="E1041" s="72"/>
      <c r="F1041" s="72"/>
      <c r="G1041" s="72"/>
      <c r="H1041" s="17"/>
      <c r="I1041" s="41" t="str" cm="1">
        <f t="array" ref="I1041">IFERROR(_xlfn.IFS(H1041="Hard (Cash)","N/A",H1041="Soft (In-Kind)", "Enter Source"),"Select Type")</f>
        <v>Select Type</v>
      </c>
      <c r="J1041" s="124"/>
      <c r="K1041" s="41" t="str">
        <f>IFERROR(VLOOKUP($J1041,'Project Reference'!$S$2:$T$41,2),"Enter Project Number")</f>
        <v>Enter Project Number</v>
      </c>
      <c r="L1041" s="41"/>
      <c r="M1041" s="41"/>
      <c r="N1041" s="15">
        <f t="shared" si="16"/>
        <v>0</v>
      </c>
      <c r="O1041" s="19"/>
      <c r="P1041" s="42" t="str">
        <f>IFERROR(VLOOKUP($J1041,'Project Reference'!$B$2:$C$41,2)," ")</f>
        <v xml:space="preserve"> </v>
      </c>
      <c r="Q1041" s="42" t="str">
        <f>IFERROR(VLOOKUP($J1041,'Project Reference'!$B$2:$D$41,3)," ")</f>
        <v xml:space="preserve"> </v>
      </c>
      <c r="R1041" s="42" t="str">
        <f>IFERROR(VLOOKUP($J1041,'Project Reference'!$B$2:$E$41,4)," ")</f>
        <v xml:space="preserve"> </v>
      </c>
      <c r="S1041" s="42" t="str">
        <f>IFERROR(VLOOKUP($J1041,'Project Reference'!$B$2:$F$41,5,FALSE)," ")</f>
        <v xml:space="preserve"> </v>
      </c>
      <c r="T1041" s="42" t="str">
        <f>IFERROR(VLOOKUP($J1041,'Project Reference'!$B$2:$G$41,6,FALSE)," ")</f>
        <v xml:space="preserve"> </v>
      </c>
      <c r="U1041" s="42" t="str">
        <f>IFERROR(VLOOKUP($J1041,'Project Reference'!$B$2:$H$41,7,FALSE)," ")</f>
        <v xml:space="preserve"> </v>
      </c>
      <c r="V1041" s="42" t="str">
        <f>IFERROR(VLOOKUP($J1041,'Project Reference'!$B$2:$I$41,8,FALSE)," ")</f>
        <v xml:space="preserve"> </v>
      </c>
      <c r="W1041" s="42" t="str">
        <f>IFERROR(VLOOKUP($J1041,'Project Reference'!$B$2:$J$41,9,FALSE)," ")</f>
        <v xml:space="preserve"> </v>
      </c>
      <c r="X1041" s="42" t="str">
        <f>IFERROR(VLOOKUP($J1041,'Project Reference'!$B$2:$K$41,10)," ")</f>
        <v xml:space="preserve"> </v>
      </c>
      <c r="Y1041" s="42" t="str">
        <f>IFERROR(VLOOKUP($J1041,'Project Reference'!$B$2:$L$41,11)," ")</f>
        <v xml:space="preserve"> </v>
      </c>
      <c r="Z1041" s="42" t="str">
        <f>IFERROR(VLOOKUP($J1041,'Project Reference'!$B$2:$M$41,12)," ")</f>
        <v xml:space="preserve"> </v>
      </c>
      <c r="AA1041" s="42" t="str">
        <f>IFERROR(VLOOKUP($J1041,'Project Reference'!$B$2:$N$41,13)," ")</f>
        <v xml:space="preserve"> </v>
      </c>
    </row>
    <row r="1042" spans="1:27" x14ac:dyDescent="0.45">
      <c r="A1042" s="43"/>
      <c r="B1042" s="205"/>
      <c r="C1042"/>
      <c r="D1042" s="72"/>
      <c r="E1042" s="72"/>
      <c r="F1042" s="72"/>
      <c r="G1042" s="72"/>
      <c r="H1042" s="17"/>
      <c r="I1042" s="41" t="str" cm="1">
        <f t="array" ref="I1042">IFERROR(_xlfn.IFS(H1042="Hard (Cash)","N/A",H1042="Soft (In-Kind)", "Enter Source"),"Select Type")</f>
        <v>Select Type</v>
      </c>
      <c r="J1042" s="124"/>
      <c r="K1042" s="41" t="str">
        <f>IFERROR(VLOOKUP($J1042,'Project Reference'!$S$2:$T$41,2),"Enter Project Number")</f>
        <v>Enter Project Number</v>
      </c>
      <c r="L1042" s="41"/>
      <c r="M1042" s="41"/>
      <c r="N1042" s="15">
        <f t="shared" si="16"/>
        <v>0</v>
      </c>
      <c r="O1042" s="19"/>
      <c r="P1042" s="42" t="str">
        <f>IFERROR(VLOOKUP($J1042,'Project Reference'!$B$2:$C$41,2)," ")</f>
        <v xml:space="preserve"> </v>
      </c>
      <c r="Q1042" s="42" t="str">
        <f>IFERROR(VLOOKUP($J1042,'Project Reference'!$B$2:$D$41,3)," ")</f>
        <v xml:space="preserve"> </v>
      </c>
      <c r="R1042" s="42" t="str">
        <f>IFERROR(VLOOKUP($J1042,'Project Reference'!$B$2:$E$41,4)," ")</f>
        <v xml:space="preserve"> </v>
      </c>
      <c r="S1042" s="42" t="str">
        <f>IFERROR(VLOOKUP($J1042,'Project Reference'!$B$2:$F$41,5,FALSE)," ")</f>
        <v xml:space="preserve"> </v>
      </c>
      <c r="T1042" s="42" t="str">
        <f>IFERROR(VLOOKUP($J1042,'Project Reference'!$B$2:$G$41,6,FALSE)," ")</f>
        <v xml:space="preserve"> </v>
      </c>
      <c r="U1042" s="42" t="str">
        <f>IFERROR(VLOOKUP($J1042,'Project Reference'!$B$2:$H$41,7,FALSE)," ")</f>
        <v xml:space="preserve"> </v>
      </c>
      <c r="V1042" s="42" t="str">
        <f>IFERROR(VLOOKUP($J1042,'Project Reference'!$B$2:$I$41,8,FALSE)," ")</f>
        <v xml:space="preserve"> </v>
      </c>
      <c r="W1042" s="42" t="str">
        <f>IFERROR(VLOOKUP($J1042,'Project Reference'!$B$2:$J$41,9,FALSE)," ")</f>
        <v xml:space="preserve"> </v>
      </c>
      <c r="X1042" s="42" t="str">
        <f>IFERROR(VLOOKUP($J1042,'Project Reference'!$B$2:$K$41,10)," ")</f>
        <v xml:space="preserve"> </v>
      </c>
      <c r="Y1042" s="42" t="str">
        <f>IFERROR(VLOOKUP($J1042,'Project Reference'!$B$2:$L$41,11)," ")</f>
        <v xml:space="preserve"> </v>
      </c>
      <c r="Z1042" s="42" t="str">
        <f>IFERROR(VLOOKUP($J1042,'Project Reference'!$B$2:$M$41,12)," ")</f>
        <v xml:space="preserve"> </v>
      </c>
      <c r="AA1042" s="42" t="str">
        <f>IFERROR(VLOOKUP($J1042,'Project Reference'!$B$2:$N$41,13)," ")</f>
        <v xml:space="preserve"> </v>
      </c>
    </row>
    <row r="1043" spans="1:27" x14ac:dyDescent="0.45">
      <c r="A1043" s="43"/>
      <c r="B1043" s="205"/>
      <c r="C1043"/>
      <c r="D1043" s="72"/>
      <c r="E1043" s="72"/>
      <c r="F1043" s="72"/>
      <c r="G1043" s="72"/>
      <c r="H1043" s="17"/>
      <c r="I1043" s="41" t="str" cm="1">
        <f t="array" ref="I1043">IFERROR(_xlfn.IFS(H1043="Hard (Cash)","N/A",H1043="Soft (In-Kind)", "Enter Source"),"Select Type")</f>
        <v>Select Type</v>
      </c>
      <c r="J1043" s="124"/>
      <c r="K1043" s="41" t="str">
        <f>IFERROR(VLOOKUP($J1043,'Project Reference'!$S$2:$T$41,2),"Enter Project Number")</f>
        <v>Enter Project Number</v>
      </c>
      <c r="L1043" s="41"/>
      <c r="M1043" s="41"/>
      <c r="N1043" s="15">
        <f t="shared" si="16"/>
        <v>0</v>
      </c>
      <c r="O1043" s="19"/>
      <c r="P1043" s="42" t="str">
        <f>IFERROR(VLOOKUP($J1043,'Project Reference'!$B$2:$C$41,2)," ")</f>
        <v xml:space="preserve"> </v>
      </c>
      <c r="Q1043" s="42" t="str">
        <f>IFERROR(VLOOKUP($J1043,'Project Reference'!$B$2:$D$41,3)," ")</f>
        <v xml:space="preserve"> </v>
      </c>
      <c r="R1043" s="42" t="str">
        <f>IFERROR(VLOOKUP($J1043,'Project Reference'!$B$2:$E$41,4)," ")</f>
        <v xml:space="preserve"> </v>
      </c>
      <c r="S1043" s="42" t="str">
        <f>IFERROR(VLOOKUP($J1043,'Project Reference'!$B$2:$F$41,5,FALSE)," ")</f>
        <v xml:space="preserve"> </v>
      </c>
      <c r="T1043" s="42" t="str">
        <f>IFERROR(VLOOKUP($J1043,'Project Reference'!$B$2:$G$41,6,FALSE)," ")</f>
        <v xml:space="preserve"> </v>
      </c>
      <c r="U1043" s="42" t="str">
        <f>IFERROR(VLOOKUP($J1043,'Project Reference'!$B$2:$H$41,7,FALSE)," ")</f>
        <v xml:space="preserve"> </v>
      </c>
      <c r="V1043" s="42" t="str">
        <f>IFERROR(VLOOKUP($J1043,'Project Reference'!$B$2:$I$41,8,FALSE)," ")</f>
        <v xml:space="preserve"> </v>
      </c>
      <c r="W1043" s="42" t="str">
        <f>IFERROR(VLOOKUP($J1043,'Project Reference'!$B$2:$J$41,9,FALSE)," ")</f>
        <v xml:space="preserve"> </v>
      </c>
      <c r="X1043" s="42" t="str">
        <f>IFERROR(VLOOKUP($J1043,'Project Reference'!$B$2:$K$41,10)," ")</f>
        <v xml:space="preserve"> </v>
      </c>
      <c r="Y1043" s="42" t="str">
        <f>IFERROR(VLOOKUP($J1043,'Project Reference'!$B$2:$L$41,11)," ")</f>
        <v xml:space="preserve"> </v>
      </c>
      <c r="Z1043" s="42" t="str">
        <f>IFERROR(VLOOKUP($J1043,'Project Reference'!$B$2:$M$41,12)," ")</f>
        <v xml:space="preserve"> </v>
      </c>
      <c r="AA1043" s="42" t="str">
        <f>IFERROR(VLOOKUP($J1043,'Project Reference'!$B$2:$N$41,13)," ")</f>
        <v xml:space="preserve"> </v>
      </c>
    </row>
    <row r="1044" spans="1:27" x14ac:dyDescent="0.45">
      <c r="A1044" s="43"/>
      <c r="B1044" s="205"/>
      <c r="C1044"/>
      <c r="D1044" s="72"/>
      <c r="E1044" s="72"/>
      <c r="F1044" s="72"/>
      <c r="G1044" s="72"/>
      <c r="H1044" s="17"/>
      <c r="I1044" s="41" t="str" cm="1">
        <f t="array" ref="I1044">IFERROR(_xlfn.IFS(H1044="Hard (Cash)","N/A",H1044="Soft (In-Kind)", "Enter Source"),"Select Type")</f>
        <v>Select Type</v>
      </c>
      <c r="J1044" s="124"/>
      <c r="K1044" s="41" t="str">
        <f>IFERROR(VLOOKUP($J1044,'Project Reference'!$S$2:$T$41,2),"Enter Project Number")</f>
        <v>Enter Project Number</v>
      </c>
      <c r="L1044" s="41"/>
      <c r="M1044" s="41"/>
      <c r="N1044" s="15">
        <f t="shared" si="16"/>
        <v>0</v>
      </c>
      <c r="O1044" s="19"/>
      <c r="P1044" s="42" t="str">
        <f>IFERROR(VLOOKUP($J1044,'Project Reference'!$B$2:$C$41,2)," ")</f>
        <v xml:space="preserve"> </v>
      </c>
      <c r="Q1044" s="42" t="str">
        <f>IFERROR(VLOOKUP($J1044,'Project Reference'!$B$2:$D$41,3)," ")</f>
        <v xml:space="preserve"> </v>
      </c>
      <c r="R1044" s="42" t="str">
        <f>IFERROR(VLOOKUP($J1044,'Project Reference'!$B$2:$E$41,4)," ")</f>
        <v xml:space="preserve"> </v>
      </c>
      <c r="S1044" s="42" t="str">
        <f>IFERROR(VLOOKUP($J1044,'Project Reference'!$B$2:$F$41,5,FALSE)," ")</f>
        <v xml:space="preserve"> </v>
      </c>
      <c r="T1044" s="42" t="str">
        <f>IFERROR(VLOOKUP($J1044,'Project Reference'!$B$2:$G$41,6,FALSE)," ")</f>
        <v xml:space="preserve"> </v>
      </c>
      <c r="U1044" s="42" t="str">
        <f>IFERROR(VLOOKUP($J1044,'Project Reference'!$B$2:$H$41,7,FALSE)," ")</f>
        <v xml:space="preserve"> </v>
      </c>
      <c r="V1044" s="42" t="str">
        <f>IFERROR(VLOOKUP($J1044,'Project Reference'!$B$2:$I$41,8,FALSE)," ")</f>
        <v xml:space="preserve"> </v>
      </c>
      <c r="W1044" s="42" t="str">
        <f>IFERROR(VLOOKUP($J1044,'Project Reference'!$B$2:$J$41,9,FALSE)," ")</f>
        <v xml:space="preserve"> </v>
      </c>
      <c r="X1044" s="42" t="str">
        <f>IFERROR(VLOOKUP($J1044,'Project Reference'!$B$2:$K$41,10)," ")</f>
        <v xml:space="preserve"> </v>
      </c>
      <c r="Y1044" s="42" t="str">
        <f>IFERROR(VLOOKUP($J1044,'Project Reference'!$B$2:$L$41,11)," ")</f>
        <v xml:space="preserve"> </v>
      </c>
      <c r="Z1044" s="42" t="str">
        <f>IFERROR(VLOOKUP($J1044,'Project Reference'!$B$2:$M$41,12)," ")</f>
        <v xml:space="preserve"> </v>
      </c>
      <c r="AA1044" s="42" t="str">
        <f>IFERROR(VLOOKUP($J1044,'Project Reference'!$B$2:$N$41,13)," ")</f>
        <v xml:space="preserve"> </v>
      </c>
    </row>
    <row r="1045" spans="1:27" x14ac:dyDescent="0.45">
      <c r="A1045" s="43"/>
      <c r="B1045" s="205"/>
      <c r="C1045"/>
      <c r="D1045" s="72"/>
      <c r="E1045" s="72"/>
      <c r="F1045" s="72"/>
      <c r="G1045" s="72"/>
      <c r="H1045" s="17"/>
      <c r="I1045" s="41" t="str" cm="1">
        <f t="array" ref="I1045">IFERROR(_xlfn.IFS(H1045="Hard (Cash)","N/A",H1045="Soft (In-Kind)", "Enter Source"),"Select Type")</f>
        <v>Select Type</v>
      </c>
      <c r="J1045" s="124"/>
      <c r="K1045" s="41" t="str">
        <f>IFERROR(VLOOKUP($J1045,'Project Reference'!$S$2:$T$41,2),"Enter Project Number")</f>
        <v>Enter Project Number</v>
      </c>
      <c r="L1045" s="41"/>
      <c r="M1045" s="41"/>
      <c r="N1045" s="15">
        <f t="shared" si="16"/>
        <v>0</v>
      </c>
      <c r="O1045" s="19"/>
      <c r="P1045" s="42" t="str">
        <f>IFERROR(VLOOKUP($J1045,'Project Reference'!$B$2:$C$41,2)," ")</f>
        <v xml:space="preserve"> </v>
      </c>
      <c r="Q1045" s="42" t="str">
        <f>IFERROR(VLOOKUP($J1045,'Project Reference'!$B$2:$D$41,3)," ")</f>
        <v xml:space="preserve"> </v>
      </c>
      <c r="R1045" s="42" t="str">
        <f>IFERROR(VLOOKUP($J1045,'Project Reference'!$B$2:$E$41,4)," ")</f>
        <v xml:space="preserve"> </v>
      </c>
      <c r="S1045" s="42" t="str">
        <f>IFERROR(VLOOKUP($J1045,'Project Reference'!$B$2:$F$41,5,FALSE)," ")</f>
        <v xml:space="preserve"> </v>
      </c>
      <c r="T1045" s="42" t="str">
        <f>IFERROR(VLOOKUP($J1045,'Project Reference'!$B$2:$G$41,6,FALSE)," ")</f>
        <v xml:space="preserve"> </v>
      </c>
      <c r="U1045" s="42" t="str">
        <f>IFERROR(VLOOKUP($J1045,'Project Reference'!$B$2:$H$41,7,FALSE)," ")</f>
        <v xml:space="preserve"> </v>
      </c>
      <c r="V1045" s="42" t="str">
        <f>IFERROR(VLOOKUP($J1045,'Project Reference'!$B$2:$I$41,8,FALSE)," ")</f>
        <v xml:space="preserve"> </v>
      </c>
      <c r="W1045" s="42" t="str">
        <f>IFERROR(VLOOKUP($J1045,'Project Reference'!$B$2:$J$41,9,FALSE)," ")</f>
        <v xml:space="preserve"> </v>
      </c>
      <c r="X1045" s="42" t="str">
        <f>IFERROR(VLOOKUP($J1045,'Project Reference'!$B$2:$K$41,10)," ")</f>
        <v xml:space="preserve"> </v>
      </c>
      <c r="Y1045" s="42" t="str">
        <f>IFERROR(VLOOKUP($J1045,'Project Reference'!$B$2:$L$41,11)," ")</f>
        <v xml:space="preserve"> </v>
      </c>
      <c r="Z1045" s="42" t="str">
        <f>IFERROR(VLOOKUP($J1045,'Project Reference'!$B$2:$M$41,12)," ")</f>
        <v xml:space="preserve"> </v>
      </c>
      <c r="AA1045" s="42" t="str">
        <f>IFERROR(VLOOKUP($J1045,'Project Reference'!$B$2:$N$41,13)," ")</f>
        <v xml:space="preserve"> </v>
      </c>
    </row>
    <row r="1046" spans="1:27" x14ac:dyDescent="0.45">
      <c r="A1046" s="43"/>
      <c r="B1046" s="205"/>
      <c r="C1046"/>
      <c r="D1046" s="72"/>
      <c r="E1046" s="72"/>
      <c r="F1046" s="72"/>
      <c r="G1046" s="72"/>
      <c r="H1046" s="17"/>
      <c r="I1046" s="41" t="str" cm="1">
        <f t="array" ref="I1046">IFERROR(_xlfn.IFS(H1046="Hard (Cash)","N/A",H1046="Soft (In-Kind)", "Enter Source"),"Select Type")</f>
        <v>Select Type</v>
      </c>
      <c r="J1046" s="124"/>
      <c r="K1046" s="41" t="str">
        <f>IFERROR(VLOOKUP($J1046,'Project Reference'!$S$2:$T$41,2),"Enter Project Number")</f>
        <v>Enter Project Number</v>
      </c>
      <c r="L1046" s="41"/>
      <c r="M1046" s="41"/>
      <c r="N1046" s="15">
        <f t="shared" si="16"/>
        <v>0</v>
      </c>
      <c r="O1046" s="19"/>
      <c r="P1046" s="42" t="str">
        <f>IFERROR(VLOOKUP($J1046,'Project Reference'!$B$2:$C$41,2)," ")</f>
        <v xml:space="preserve"> </v>
      </c>
      <c r="Q1046" s="42" t="str">
        <f>IFERROR(VLOOKUP($J1046,'Project Reference'!$B$2:$D$41,3)," ")</f>
        <v xml:space="preserve"> </v>
      </c>
      <c r="R1046" s="42" t="str">
        <f>IFERROR(VLOOKUP($J1046,'Project Reference'!$B$2:$E$41,4)," ")</f>
        <v xml:space="preserve"> </v>
      </c>
      <c r="S1046" s="42" t="str">
        <f>IFERROR(VLOOKUP($J1046,'Project Reference'!$B$2:$F$41,5,FALSE)," ")</f>
        <v xml:space="preserve"> </v>
      </c>
      <c r="T1046" s="42" t="str">
        <f>IFERROR(VLOOKUP($J1046,'Project Reference'!$B$2:$G$41,6,FALSE)," ")</f>
        <v xml:space="preserve"> </v>
      </c>
      <c r="U1046" s="42" t="str">
        <f>IFERROR(VLOOKUP($J1046,'Project Reference'!$B$2:$H$41,7,FALSE)," ")</f>
        <v xml:space="preserve"> </v>
      </c>
      <c r="V1046" s="42" t="str">
        <f>IFERROR(VLOOKUP($J1046,'Project Reference'!$B$2:$I$41,8,FALSE)," ")</f>
        <v xml:space="preserve"> </v>
      </c>
      <c r="W1046" s="42" t="str">
        <f>IFERROR(VLOOKUP($J1046,'Project Reference'!$B$2:$J$41,9,FALSE)," ")</f>
        <v xml:space="preserve"> </v>
      </c>
      <c r="X1046" s="42" t="str">
        <f>IFERROR(VLOOKUP($J1046,'Project Reference'!$B$2:$K$41,10)," ")</f>
        <v xml:space="preserve"> </v>
      </c>
      <c r="Y1046" s="42" t="str">
        <f>IFERROR(VLOOKUP($J1046,'Project Reference'!$B$2:$L$41,11)," ")</f>
        <v xml:space="preserve"> </v>
      </c>
      <c r="Z1046" s="42" t="str">
        <f>IFERROR(VLOOKUP($J1046,'Project Reference'!$B$2:$M$41,12)," ")</f>
        <v xml:space="preserve"> </v>
      </c>
      <c r="AA1046" s="42" t="str">
        <f>IFERROR(VLOOKUP($J1046,'Project Reference'!$B$2:$N$41,13)," ")</f>
        <v xml:space="preserve"> </v>
      </c>
    </row>
    <row r="1047" spans="1:27" x14ac:dyDescent="0.45">
      <c r="A1047" s="43"/>
      <c r="B1047" s="205"/>
      <c r="C1047"/>
      <c r="D1047" s="72"/>
      <c r="E1047" s="72"/>
      <c r="F1047" s="72"/>
      <c r="G1047" s="72"/>
      <c r="H1047" s="17"/>
      <c r="I1047" s="41" t="str" cm="1">
        <f t="array" ref="I1047">IFERROR(_xlfn.IFS(H1047="Hard (Cash)","N/A",H1047="Soft (In-Kind)", "Enter Source"),"Select Type")</f>
        <v>Select Type</v>
      </c>
      <c r="J1047" s="124"/>
      <c r="K1047" s="41" t="str">
        <f>IFERROR(VLOOKUP($J1047,'Project Reference'!$S$2:$T$41,2),"Enter Project Number")</f>
        <v>Enter Project Number</v>
      </c>
      <c r="L1047" s="41"/>
      <c r="M1047" s="41"/>
      <c r="N1047" s="15">
        <f t="shared" si="16"/>
        <v>0</v>
      </c>
      <c r="O1047" s="19"/>
      <c r="P1047" s="42" t="str">
        <f>IFERROR(VLOOKUP($J1047,'Project Reference'!$B$2:$C$41,2)," ")</f>
        <v xml:space="preserve"> </v>
      </c>
      <c r="Q1047" s="42" t="str">
        <f>IFERROR(VLOOKUP($J1047,'Project Reference'!$B$2:$D$41,3)," ")</f>
        <v xml:space="preserve"> </v>
      </c>
      <c r="R1047" s="42" t="str">
        <f>IFERROR(VLOOKUP($J1047,'Project Reference'!$B$2:$E$41,4)," ")</f>
        <v xml:space="preserve"> </v>
      </c>
      <c r="S1047" s="42" t="str">
        <f>IFERROR(VLOOKUP($J1047,'Project Reference'!$B$2:$F$41,5,FALSE)," ")</f>
        <v xml:space="preserve"> </v>
      </c>
      <c r="T1047" s="42" t="str">
        <f>IFERROR(VLOOKUP($J1047,'Project Reference'!$B$2:$G$41,6,FALSE)," ")</f>
        <v xml:space="preserve"> </v>
      </c>
      <c r="U1047" s="42" t="str">
        <f>IFERROR(VLOOKUP($J1047,'Project Reference'!$B$2:$H$41,7,FALSE)," ")</f>
        <v xml:space="preserve"> </v>
      </c>
      <c r="V1047" s="42" t="str">
        <f>IFERROR(VLOOKUP($J1047,'Project Reference'!$B$2:$I$41,8,FALSE)," ")</f>
        <v xml:space="preserve"> </v>
      </c>
      <c r="W1047" s="42" t="str">
        <f>IFERROR(VLOOKUP($J1047,'Project Reference'!$B$2:$J$41,9,FALSE)," ")</f>
        <v xml:space="preserve"> </v>
      </c>
      <c r="X1047" s="42" t="str">
        <f>IFERROR(VLOOKUP($J1047,'Project Reference'!$B$2:$K$41,10)," ")</f>
        <v xml:space="preserve"> </v>
      </c>
      <c r="Y1047" s="42" t="str">
        <f>IFERROR(VLOOKUP($J1047,'Project Reference'!$B$2:$L$41,11)," ")</f>
        <v xml:space="preserve"> </v>
      </c>
      <c r="Z1047" s="42" t="str">
        <f>IFERROR(VLOOKUP($J1047,'Project Reference'!$B$2:$M$41,12)," ")</f>
        <v xml:space="preserve"> </v>
      </c>
      <c r="AA1047" s="42" t="str">
        <f>IFERROR(VLOOKUP($J1047,'Project Reference'!$B$2:$N$41,13)," ")</f>
        <v xml:space="preserve"> </v>
      </c>
    </row>
    <row r="1048" spans="1:27" x14ac:dyDescent="0.45">
      <c r="A1048" s="43"/>
      <c r="B1048" s="205"/>
      <c r="C1048"/>
      <c r="D1048" s="72"/>
      <c r="E1048" s="72"/>
      <c r="F1048" s="72"/>
      <c r="G1048" s="72"/>
      <c r="H1048" s="17"/>
      <c r="I1048" s="41" t="str" cm="1">
        <f t="array" ref="I1048">IFERROR(_xlfn.IFS(H1048="Hard (Cash)","N/A",H1048="Soft (In-Kind)", "Enter Source"),"Select Type")</f>
        <v>Select Type</v>
      </c>
      <c r="J1048" s="124"/>
      <c r="K1048" s="41" t="str">
        <f>IFERROR(VLOOKUP($J1048,'Project Reference'!$S$2:$T$41,2),"Enter Project Number")</f>
        <v>Enter Project Number</v>
      </c>
      <c r="L1048" s="41"/>
      <c r="M1048" s="41"/>
      <c r="N1048" s="15">
        <f t="shared" si="16"/>
        <v>0</v>
      </c>
      <c r="O1048" s="19"/>
      <c r="P1048" s="42" t="str">
        <f>IFERROR(VLOOKUP($J1048,'Project Reference'!$B$2:$C$41,2)," ")</f>
        <v xml:space="preserve"> </v>
      </c>
      <c r="Q1048" s="42" t="str">
        <f>IFERROR(VLOOKUP($J1048,'Project Reference'!$B$2:$D$41,3)," ")</f>
        <v xml:space="preserve"> </v>
      </c>
      <c r="R1048" s="42" t="str">
        <f>IFERROR(VLOOKUP($J1048,'Project Reference'!$B$2:$E$41,4)," ")</f>
        <v xml:space="preserve"> </v>
      </c>
      <c r="S1048" s="42" t="str">
        <f>IFERROR(VLOOKUP($J1048,'Project Reference'!$B$2:$F$41,5,FALSE)," ")</f>
        <v xml:space="preserve"> </v>
      </c>
      <c r="T1048" s="42" t="str">
        <f>IFERROR(VLOOKUP($J1048,'Project Reference'!$B$2:$G$41,6,FALSE)," ")</f>
        <v xml:space="preserve"> </v>
      </c>
      <c r="U1048" s="42" t="str">
        <f>IFERROR(VLOOKUP($J1048,'Project Reference'!$B$2:$H$41,7,FALSE)," ")</f>
        <v xml:space="preserve"> </v>
      </c>
      <c r="V1048" s="42" t="str">
        <f>IFERROR(VLOOKUP($J1048,'Project Reference'!$B$2:$I$41,8,FALSE)," ")</f>
        <v xml:space="preserve"> </v>
      </c>
      <c r="W1048" s="42" t="str">
        <f>IFERROR(VLOOKUP($J1048,'Project Reference'!$B$2:$J$41,9,FALSE)," ")</f>
        <v xml:space="preserve"> </v>
      </c>
      <c r="X1048" s="42" t="str">
        <f>IFERROR(VLOOKUP($J1048,'Project Reference'!$B$2:$K$41,10)," ")</f>
        <v xml:space="preserve"> </v>
      </c>
      <c r="Y1048" s="42" t="str">
        <f>IFERROR(VLOOKUP($J1048,'Project Reference'!$B$2:$L$41,11)," ")</f>
        <v xml:space="preserve"> </v>
      </c>
      <c r="Z1048" s="42" t="str">
        <f>IFERROR(VLOOKUP($J1048,'Project Reference'!$B$2:$M$41,12)," ")</f>
        <v xml:space="preserve"> </v>
      </c>
      <c r="AA1048" s="42" t="str">
        <f>IFERROR(VLOOKUP($J1048,'Project Reference'!$B$2:$N$41,13)," ")</f>
        <v xml:space="preserve"> </v>
      </c>
    </row>
    <row r="1049" spans="1:27" x14ac:dyDescent="0.45">
      <c r="A1049" s="43"/>
      <c r="B1049" s="205"/>
      <c r="C1049"/>
      <c r="D1049" s="72"/>
      <c r="E1049" s="72"/>
      <c r="F1049" s="72"/>
      <c r="G1049" s="72"/>
      <c r="H1049" s="17"/>
      <c r="I1049" s="41" t="str" cm="1">
        <f t="array" ref="I1049">IFERROR(_xlfn.IFS(H1049="Hard (Cash)","N/A",H1049="Soft (In-Kind)", "Enter Source"),"Select Type")</f>
        <v>Select Type</v>
      </c>
      <c r="J1049" s="124"/>
      <c r="K1049" s="41" t="str">
        <f>IFERROR(VLOOKUP($J1049,'Project Reference'!$S$2:$T$41,2),"Enter Project Number")</f>
        <v>Enter Project Number</v>
      </c>
      <c r="L1049" s="41"/>
      <c r="M1049" s="41"/>
      <c r="N1049" s="15">
        <f t="shared" si="16"/>
        <v>0</v>
      </c>
      <c r="O1049" s="19"/>
      <c r="P1049" s="42" t="str">
        <f>IFERROR(VLOOKUP($J1049,'Project Reference'!$B$2:$C$41,2)," ")</f>
        <v xml:space="preserve"> </v>
      </c>
      <c r="Q1049" s="42" t="str">
        <f>IFERROR(VLOOKUP($J1049,'Project Reference'!$B$2:$D$41,3)," ")</f>
        <v xml:space="preserve"> </v>
      </c>
      <c r="R1049" s="42" t="str">
        <f>IFERROR(VLOOKUP($J1049,'Project Reference'!$B$2:$E$41,4)," ")</f>
        <v xml:space="preserve"> </v>
      </c>
      <c r="S1049" s="42" t="str">
        <f>IFERROR(VLOOKUP($J1049,'Project Reference'!$B$2:$F$41,5,FALSE)," ")</f>
        <v xml:space="preserve"> </v>
      </c>
      <c r="T1049" s="42" t="str">
        <f>IFERROR(VLOOKUP($J1049,'Project Reference'!$B$2:$G$41,6,FALSE)," ")</f>
        <v xml:space="preserve"> </v>
      </c>
      <c r="U1049" s="42" t="str">
        <f>IFERROR(VLOOKUP($J1049,'Project Reference'!$B$2:$H$41,7,FALSE)," ")</f>
        <v xml:space="preserve"> </v>
      </c>
      <c r="V1049" s="42" t="str">
        <f>IFERROR(VLOOKUP($J1049,'Project Reference'!$B$2:$I$41,8,FALSE)," ")</f>
        <v xml:space="preserve"> </v>
      </c>
      <c r="W1049" s="42" t="str">
        <f>IFERROR(VLOOKUP($J1049,'Project Reference'!$B$2:$J$41,9,FALSE)," ")</f>
        <v xml:space="preserve"> </v>
      </c>
      <c r="X1049" s="42" t="str">
        <f>IFERROR(VLOOKUP($J1049,'Project Reference'!$B$2:$K$41,10)," ")</f>
        <v xml:space="preserve"> </v>
      </c>
      <c r="Y1049" s="42" t="str">
        <f>IFERROR(VLOOKUP($J1049,'Project Reference'!$B$2:$L$41,11)," ")</f>
        <v xml:space="preserve"> </v>
      </c>
      <c r="Z1049" s="42" t="str">
        <f>IFERROR(VLOOKUP($J1049,'Project Reference'!$B$2:$M$41,12)," ")</f>
        <v xml:space="preserve"> </v>
      </c>
      <c r="AA1049" s="42" t="str">
        <f>IFERROR(VLOOKUP($J1049,'Project Reference'!$B$2:$N$41,13)," ")</f>
        <v xml:space="preserve"> </v>
      </c>
    </row>
    <row r="1050" spans="1:27" x14ac:dyDescent="0.45">
      <c r="A1050" s="43"/>
      <c r="B1050" s="205"/>
      <c r="C1050"/>
      <c r="D1050" s="72"/>
      <c r="E1050" s="72"/>
      <c r="F1050" s="72"/>
      <c r="G1050" s="72"/>
      <c r="H1050" s="17"/>
      <c r="I1050" s="41" t="str" cm="1">
        <f t="array" ref="I1050">IFERROR(_xlfn.IFS(H1050="Hard (Cash)","N/A",H1050="Soft (In-Kind)", "Enter Source"),"Select Type")</f>
        <v>Select Type</v>
      </c>
      <c r="J1050" s="124"/>
      <c r="K1050" s="41" t="str">
        <f>IFERROR(VLOOKUP($J1050,'Project Reference'!$S$2:$T$41,2),"Enter Project Number")</f>
        <v>Enter Project Number</v>
      </c>
      <c r="L1050" s="41"/>
      <c r="M1050" s="41"/>
      <c r="N1050" s="15">
        <f t="shared" si="16"/>
        <v>0</v>
      </c>
      <c r="O1050" s="19"/>
      <c r="P1050" s="42" t="str">
        <f>IFERROR(VLOOKUP($J1050,'Project Reference'!$B$2:$C$41,2)," ")</f>
        <v xml:space="preserve"> </v>
      </c>
      <c r="Q1050" s="42" t="str">
        <f>IFERROR(VLOOKUP($J1050,'Project Reference'!$B$2:$D$41,3)," ")</f>
        <v xml:space="preserve"> </v>
      </c>
      <c r="R1050" s="42" t="str">
        <f>IFERROR(VLOOKUP($J1050,'Project Reference'!$B$2:$E$41,4)," ")</f>
        <v xml:space="preserve"> </v>
      </c>
      <c r="S1050" s="42" t="str">
        <f>IFERROR(VLOOKUP($J1050,'Project Reference'!$B$2:$F$41,5,FALSE)," ")</f>
        <v xml:space="preserve"> </v>
      </c>
      <c r="T1050" s="42" t="str">
        <f>IFERROR(VLOOKUP($J1050,'Project Reference'!$B$2:$G$41,6,FALSE)," ")</f>
        <v xml:space="preserve"> </v>
      </c>
      <c r="U1050" s="42" t="str">
        <f>IFERROR(VLOOKUP($J1050,'Project Reference'!$B$2:$H$41,7,FALSE)," ")</f>
        <v xml:space="preserve"> </v>
      </c>
      <c r="V1050" s="42" t="str">
        <f>IFERROR(VLOOKUP($J1050,'Project Reference'!$B$2:$I$41,8,FALSE)," ")</f>
        <v xml:space="preserve"> </v>
      </c>
      <c r="W1050" s="42" t="str">
        <f>IFERROR(VLOOKUP($J1050,'Project Reference'!$B$2:$J$41,9,FALSE)," ")</f>
        <v xml:space="preserve"> </v>
      </c>
      <c r="X1050" s="42" t="str">
        <f>IFERROR(VLOOKUP($J1050,'Project Reference'!$B$2:$K$41,10)," ")</f>
        <v xml:space="preserve"> </v>
      </c>
      <c r="Y1050" s="42" t="str">
        <f>IFERROR(VLOOKUP($J1050,'Project Reference'!$B$2:$L$41,11)," ")</f>
        <v xml:space="preserve"> </v>
      </c>
      <c r="Z1050" s="42" t="str">
        <f>IFERROR(VLOOKUP($J1050,'Project Reference'!$B$2:$M$41,12)," ")</f>
        <v xml:space="preserve"> </v>
      </c>
      <c r="AA1050" s="42" t="str">
        <f>IFERROR(VLOOKUP($J1050,'Project Reference'!$B$2:$N$41,13)," ")</f>
        <v xml:space="preserve"> </v>
      </c>
    </row>
    <row r="1051" spans="1:27" x14ac:dyDescent="0.45">
      <c r="A1051" s="43"/>
      <c r="B1051" s="205"/>
      <c r="C1051"/>
      <c r="D1051" s="72"/>
      <c r="E1051" s="72"/>
      <c r="F1051" s="72"/>
      <c r="G1051" s="72"/>
      <c r="H1051" s="17"/>
      <c r="I1051" s="41" t="str" cm="1">
        <f t="array" ref="I1051">IFERROR(_xlfn.IFS(H1051="Hard (Cash)","N/A",H1051="Soft (In-Kind)", "Enter Source"),"Select Type")</f>
        <v>Select Type</v>
      </c>
      <c r="J1051" s="124"/>
      <c r="K1051" s="41" t="str">
        <f>IFERROR(VLOOKUP($J1051,'Project Reference'!$S$2:$T$41,2),"Enter Project Number")</f>
        <v>Enter Project Number</v>
      </c>
      <c r="L1051" s="41"/>
      <c r="M1051" s="41"/>
      <c r="N1051" s="15">
        <f t="shared" si="16"/>
        <v>0</v>
      </c>
      <c r="O1051" s="19"/>
      <c r="P1051" s="42" t="str">
        <f>IFERROR(VLOOKUP($J1051,'Project Reference'!$B$2:$C$41,2)," ")</f>
        <v xml:space="preserve"> </v>
      </c>
      <c r="Q1051" s="42" t="str">
        <f>IFERROR(VLOOKUP($J1051,'Project Reference'!$B$2:$D$41,3)," ")</f>
        <v xml:space="preserve"> </v>
      </c>
      <c r="R1051" s="42" t="str">
        <f>IFERROR(VLOOKUP($J1051,'Project Reference'!$B$2:$E$41,4)," ")</f>
        <v xml:space="preserve"> </v>
      </c>
      <c r="S1051" s="42" t="str">
        <f>IFERROR(VLOOKUP($J1051,'Project Reference'!$B$2:$F$41,5,FALSE)," ")</f>
        <v xml:space="preserve"> </v>
      </c>
      <c r="T1051" s="42" t="str">
        <f>IFERROR(VLOOKUP($J1051,'Project Reference'!$B$2:$G$41,6,FALSE)," ")</f>
        <v xml:space="preserve"> </v>
      </c>
      <c r="U1051" s="42" t="str">
        <f>IFERROR(VLOOKUP($J1051,'Project Reference'!$B$2:$H$41,7,FALSE)," ")</f>
        <v xml:space="preserve"> </v>
      </c>
      <c r="V1051" s="42" t="str">
        <f>IFERROR(VLOOKUP($J1051,'Project Reference'!$B$2:$I$41,8,FALSE)," ")</f>
        <v xml:space="preserve"> </v>
      </c>
      <c r="W1051" s="42" t="str">
        <f>IFERROR(VLOOKUP($J1051,'Project Reference'!$B$2:$J$41,9,FALSE)," ")</f>
        <v xml:space="preserve"> </v>
      </c>
      <c r="X1051" s="42" t="str">
        <f>IFERROR(VLOOKUP($J1051,'Project Reference'!$B$2:$K$41,10)," ")</f>
        <v xml:space="preserve"> </v>
      </c>
      <c r="Y1051" s="42" t="str">
        <f>IFERROR(VLOOKUP($J1051,'Project Reference'!$B$2:$L$41,11)," ")</f>
        <v xml:space="preserve"> </v>
      </c>
      <c r="Z1051" s="42" t="str">
        <f>IFERROR(VLOOKUP($J1051,'Project Reference'!$B$2:$M$41,12)," ")</f>
        <v xml:space="preserve"> </v>
      </c>
      <c r="AA1051" s="42" t="str">
        <f>IFERROR(VLOOKUP($J1051,'Project Reference'!$B$2:$N$41,13)," ")</f>
        <v xml:space="preserve"> </v>
      </c>
    </row>
    <row r="1052" spans="1:27" x14ac:dyDescent="0.45">
      <c r="A1052" s="43"/>
      <c r="B1052" s="205"/>
      <c r="C1052"/>
      <c r="D1052" s="72"/>
      <c r="E1052" s="72"/>
      <c r="F1052" s="72"/>
      <c r="G1052" s="72"/>
      <c r="H1052" s="17"/>
      <c r="I1052" s="41" t="str" cm="1">
        <f t="array" ref="I1052">IFERROR(_xlfn.IFS(H1052="Hard (Cash)","N/A",H1052="Soft (In-Kind)", "Enter Source"),"Select Type")</f>
        <v>Select Type</v>
      </c>
      <c r="J1052" s="124"/>
      <c r="K1052" s="41" t="str">
        <f>IFERROR(VLOOKUP($J1052,'Project Reference'!$S$2:$T$41,2),"Enter Project Number")</f>
        <v>Enter Project Number</v>
      </c>
      <c r="L1052" s="41"/>
      <c r="M1052" s="41"/>
      <c r="N1052" s="15">
        <f t="shared" si="16"/>
        <v>0</v>
      </c>
      <c r="O1052" s="19"/>
      <c r="P1052" s="42" t="str">
        <f>IFERROR(VLOOKUP($J1052,'Project Reference'!$B$2:$C$41,2)," ")</f>
        <v xml:space="preserve"> </v>
      </c>
      <c r="Q1052" s="42" t="str">
        <f>IFERROR(VLOOKUP($J1052,'Project Reference'!$B$2:$D$41,3)," ")</f>
        <v xml:space="preserve"> </v>
      </c>
      <c r="R1052" s="42" t="str">
        <f>IFERROR(VLOOKUP($J1052,'Project Reference'!$B$2:$E$41,4)," ")</f>
        <v xml:space="preserve"> </v>
      </c>
      <c r="S1052" s="42" t="str">
        <f>IFERROR(VLOOKUP($J1052,'Project Reference'!$B$2:$F$41,5,FALSE)," ")</f>
        <v xml:space="preserve"> </v>
      </c>
      <c r="T1052" s="42" t="str">
        <f>IFERROR(VLOOKUP($J1052,'Project Reference'!$B$2:$G$41,6,FALSE)," ")</f>
        <v xml:space="preserve"> </v>
      </c>
      <c r="U1052" s="42" t="str">
        <f>IFERROR(VLOOKUP($J1052,'Project Reference'!$B$2:$H$41,7,FALSE)," ")</f>
        <v xml:space="preserve"> </v>
      </c>
      <c r="V1052" s="42" t="str">
        <f>IFERROR(VLOOKUP($J1052,'Project Reference'!$B$2:$I$41,8,FALSE)," ")</f>
        <v xml:space="preserve"> </v>
      </c>
      <c r="W1052" s="42" t="str">
        <f>IFERROR(VLOOKUP($J1052,'Project Reference'!$B$2:$J$41,9,FALSE)," ")</f>
        <v xml:space="preserve"> </v>
      </c>
      <c r="X1052" s="42" t="str">
        <f>IFERROR(VLOOKUP($J1052,'Project Reference'!$B$2:$K$41,10)," ")</f>
        <v xml:space="preserve"> </v>
      </c>
      <c r="Y1052" s="42" t="str">
        <f>IFERROR(VLOOKUP($J1052,'Project Reference'!$B$2:$L$41,11)," ")</f>
        <v xml:space="preserve"> </v>
      </c>
      <c r="Z1052" s="42" t="str">
        <f>IFERROR(VLOOKUP($J1052,'Project Reference'!$B$2:$M$41,12)," ")</f>
        <v xml:space="preserve"> </v>
      </c>
      <c r="AA1052" s="42" t="str">
        <f>IFERROR(VLOOKUP($J1052,'Project Reference'!$B$2:$N$41,13)," ")</f>
        <v xml:space="preserve"> </v>
      </c>
    </row>
    <row r="1053" spans="1:27" x14ac:dyDescent="0.45">
      <c r="A1053" s="43"/>
      <c r="B1053" s="205"/>
      <c r="C1053"/>
      <c r="D1053" s="72"/>
      <c r="E1053" s="72"/>
      <c r="F1053" s="72"/>
      <c r="G1053" s="72"/>
      <c r="H1053" s="17"/>
      <c r="I1053" s="41" t="str" cm="1">
        <f t="array" ref="I1053">IFERROR(_xlfn.IFS(H1053="Hard (Cash)","N/A",H1053="Soft (In-Kind)", "Enter Source"),"Select Type")</f>
        <v>Select Type</v>
      </c>
      <c r="J1053" s="124"/>
      <c r="K1053" s="41" t="str">
        <f>IFERROR(VLOOKUP($J1053,'Project Reference'!$S$2:$T$41,2),"Enter Project Number")</f>
        <v>Enter Project Number</v>
      </c>
      <c r="L1053" s="41"/>
      <c r="M1053" s="41"/>
      <c r="N1053" s="15">
        <f t="shared" si="16"/>
        <v>0</v>
      </c>
      <c r="O1053" s="19"/>
      <c r="P1053" s="42" t="str">
        <f>IFERROR(VLOOKUP($J1053,'Project Reference'!$B$2:$C$41,2)," ")</f>
        <v xml:space="preserve"> </v>
      </c>
      <c r="Q1053" s="42" t="str">
        <f>IFERROR(VLOOKUP($J1053,'Project Reference'!$B$2:$D$41,3)," ")</f>
        <v xml:space="preserve"> </v>
      </c>
      <c r="R1053" s="42" t="str">
        <f>IFERROR(VLOOKUP($J1053,'Project Reference'!$B$2:$E$41,4)," ")</f>
        <v xml:space="preserve"> </v>
      </c>
      <c r="S1053" s="42" t="str">
        <f>IFERROR(VLOOKUP($J1053,'Project Reference'!$B$2:$F$41,5,FALSE)," ")</f>
        <v xml:space="preserve"> </v>
      </c>
      <c r="T1053" s="42" t="str">
        <f>IFERROR(VLOOKUP($J1053,'Project Reference'!$B$2:$G$41,6,FALSE)," ")</f>
        <v xml:space="preserve"> </v>
      </c>
      <c r="U1053" s="42" t="str">
        <f>IFERROR(VLOOKUP($J1053,'Project Reference'!$B$2:$H$41,7,FALSE)," ")</f>
        <v xml:space="preserve"> </v>
      </c>
      <c r="V1053" s="42" t="str">
        <f>IFERROR(VLOOKUP($J1053,'Project Reference'!$B$2:$I$41,8,FALSE)," ")</f>
        <v xml:space="preserve"> </v>
      </c>
      <c r="W1053" s="42" t="str">
        <f>IFERROR(VLOOKUP($J1053,'Project Reference'!$B$2:$J$41,9,FALSE)," ")</f>
        <v xml:space="preserve"> </v>
      </c>
      <c r="X1053" s="42" t="str">
        <f>IFERROR(VLOOKUP($J1053,'Project Reference'!$B$2:$K$41,10)," ")</f>
        <v xml:space="preserve"> </v>
      </c>
      <c r="Y1053" s="42" t="str">
        <f>IFERROR(VLOOKUP($J1053,'Project Reference'!$B$2:$L$41,11)," ")</f>
        <v xml:space="preserve"> </v>
      </c>
      <c r="Z1053" s="42" t="str">
        <f>IFERROR(VLOOKUP($J1053,'Project Reference'!$B$2:$M$41,12)," ")</f>
        <v xml:space="preserve"> </v>
      </c>
      <c r="AA1053" s="42" t="str">
        <f>IFERROR(VLOOKUP($J1053,'Project Reference'!$B$2:$N$41,13)," ")</f>
        <v xml:space="preserve"> </v>
      </c>
    </row>
    <row r="1054" spans="1:27" x14ac:dyDescent="0.45">
      <c r="A1054" s="43"/>
      <c r="B1054" s="205"/>
      <c r="C1054"/>
      <c r="D1054" s="72"/>
      <c r="E1054" s="72"/>
      <c r="F1054" s="72"/>
      <c r="G1054" s="72"/>
      <c r="H1054" s="17"/>
      <c r="I1054" s="41" t="str" cm="1">
        <f t="array" ref="I1054">IFERROR(_xlfn.IFS(H1054="Hard (Cash)","N/A",H1054="Soft (In-Kind)", "Enter Source"),"Select Type")</f>
        <v>Select Type</v>
      </c>
      <c r="J1054" s="124"/>
      <c r="K1054" s="41" t="str">
        <f>IFERROR(VLOOKUP($J1054,'Project Reference'!$S$2:$T$41,2),"Enter Project Number")</f>
        <v>Enter Project Number</v>
      </c>
      <c r="L1054" s="41"/>
      <c r="M1054" s="41"/>
      <c r="N1054" s="15">
        <f t="shared" si="16"/>
        <v>0</v>
      </c>
      <c r="O1054" s="19"/>
      <c r="P1054" s="42" t="str">
        <f>IFERROR(VLOOKUP($J1054,'Project Reference'!$B$2:$C$41,2)," ")</f>
        <v xml:space="preserve"> </v>
      </c>
      <c r="Q1054" s="42" t="str">
        <f>IFERROR(VLOOKUP($J1054,'Project Reference'!$B$2:$D$41,3)," ")</f>
        <v xml:space="preserve"> </v>
      </c>
      <c r="R1054" s="42" t="str">
        <f>IFERROR(VLOOKUP($J1054,'Project Reference'!$B$2:$E$41,4)," ")</f>
        <v xml:space="preserve"> </v>
      </c>
      <c r="S1054" s="42" t="str">
        <f>IFERROR(VLOOKUP($J1054,'Project Reference'!$B$2:$F$41,5,FALSE)," ")</f>
        <v xml:space="preserve"> </v>
      </c>
      <c r="T1054" s="42" t="str">
        <f>IFERROR(VLOOKUP($J1054,'Project Reference'!$B$2:$G$41,6,FALSE)," ")</f>
        <v xml:space="preserve"> </v>
      </c>
      <c r="U1054" s="42" t="str">
        <f>IFERROR(VLOOKUP($J1054,'Project Reference'!$B$2:$H$41,7,FALSE)," ")</f>
        <v xml:space="preserve"> </v>
      </c>
      <c r="V1054" s="42" t="str">
        <f>IFERROR(VLOOKUP($J1054,'Project Reference'!$B$2:$I$41,8,FALSE)," ")</f>
        <v xml:space="preserve"> </v>
      </c>
      <c r="W1054" s="42" t="str">
        <f>IFERROR(VLOOKUP($J1054,'Project Reference'!$B$2:$J$41,9,FALSE)," ")</f>
        <v xml:space="preserve"> </v>
      </c>
      <c r="X1054" s="42" t="str">
        <f>IFERROR(VLOOKUP($J1054,'Project Reference'!$B$2:$K$41,10)," ")</f>
        <v xml:space="preserve"> </v>
      </c>
      <c r="Y1054" s="42" t="str">
        <f>IFERROR(VLOOKUP($J1054,'Project Reference'!$B$2:$L$41,11)," ")</f>
        <v xml:space="preserve"> </v>
      </c>
      <c r="Z1054" s="42" t="str">
        <f>IFERROR(VLOOKUP($J1054,'Project Reference'!$B$2:$M$41,12)," ")</f>
        <v xml:space="preserve"> </v>
      </c>
      <c r="AA1054" s="42" t="str">
        <f>IFERROR(VLOOKUP($J1054,'Project Reference'!$B$2:$N$41,13)," ")</f>
        <v xml:space="preserve"> </v>
      </c>
    </row>
    <row r="1055" spans="1:27" x14ac:dyDescent="0.45">
      <c r="A1055" s="43"/>
      <c r="B1055" s="205"/>
      <c r="C1055"/>
      <c r="D1055" s="72"/>
      <c r="E1055" s="72"/>
      <c r="F1055" s="72"/>
      <c r="G1055" s="72"/>
      <c r="H1055" s="17"/>
      <c r="I1055" s="41" t="str" cm="1">
        <f t="array" ref="I1055">IFERROR(_xlfn.IFS(H1055="Hard (Cash)","N/A",H1055="Soft (In-Kind)", "Enter Source"),"Select Type")</f>
        <v>Select Type</v>
      </c>
      <c r="J1055" s="124"/>
      <c r="K1055" s="41" t="str">
        <f>IFERROR(VLOOKUP($J1055,'Project Reference'!$S$2:$T$41,2),"Enter Project Number")</f>
        <v>Enter Project Number</v>
      </c>
      <c r="L1055" s="41"/>
      <c r="M1055" s="41"/>
      <c r="N1055" s="15">
        <f t="shared" si="16"/>
        <v>0</v>
      </c>
      <c r="O1055" s="19"/>
      <c r="P1055" s="42" t="str">
        <f>IFERROR(VLOOKUP($J1055,'Project Reference'!$B$2:$C$41,2)," ")</f>
        <v xml:space="preserve"> </v>
      </c>
      <c r="Q1055" s="42" t="str">
        <f>IFERROR(VLOOKUP($J1055,'Project Reference'!$B$2:$D$41,3)," ")</f>
        <v xml:space="preserve"> </v>
      </c>
      <c r="R1055" s="42" t="str">
        <f>IFERROR(VLOOKUP($J1055,'Project Reference'!$B$2:$E$41,4)," ")</f>
        <v xml:space="preserve"> </v>
      </c>
      <c r="S1055" s="42" t="str">
        <f>IFERROR(VLOOKUP($J1055,'Project Reference'!$B$2:$F$41,5,FALSE)," ")</f>
        <v xml:space="preserve"> </v>
      </c>
      <c r="T1055" s="42" t="str">
        <f>IFERROR(VLOOKUP($J1055,'Project Reference'!$B$2:$G$41,6,FALSE)," ")</f>
        <v xml:space="preserve"> </v>
      </c>
      <c r="U1055" s="42" t="str">
        <f>IFERROR(VLOOKUP($J1055,'Project Reference'!$B$2:$H$41,7,FALSE)," ")</f>
        <v xml:space="preserve"> </v>
      </c>
      <c r="V1055" s="42" t="str">
        <f>IFERROR(VLOOKUP($J1055,'Project Reference'!$B$2:$I$41,8,FALSE)," ")</f>
        <v xml:space="preserve"> </v>
      </c>
      <c r="W1055" s="42" t="str">
        <f>IFERROR(VLOOKUP($J1055,'Project Reference'!$B$2:$J$41,9,FALSE)," ")</f>
        <v xml:space="preserve"> </v>
      </c>
      <c r="X1055" s="42" t="str">
        <f>IFERROR(VLOOKUP($J1055,'Project Reference'!$B$2:$K$41,10)," ")</f>
        <v xml:space="preserve"> </v>
      </c>
      <c r="Y1055" s="42" t="str">
        <f>IFERROR(VLOOKUP($J1055,'Project Reference'!$B$2:$L$41,11)," ")</f>
        <v xml:space="preserve"> </v>
      </c>
      <c r="Z1055" s="42" t="str">
        <f>IFERROR(VLOOKUP($J1055,'Project Reference'!$B$2:$M$41,12)," ")</f>
        <v xml:space="preserve"> </v>
      </c>
      <c r="AA1055" s="42" t="str">
        <f>IFERROR(VLOOKUP($J1055,'Project Reference'!$B$2:$N$41,13)," ")</f>
        <v xml:space="preserve"> </v>
      </c>
    </row>
    <row r="1056" spans="1:27" x14ac:dyDescent="0.45">
      <c r="A1056" s="43"/>
      <c r="B1056" s="205"/>
      <c r="C1056"/>
      <c r="D1056" s="72"/>
      <c r="E1056" s="72"/>
      <c r="F1056" s="72"/>
      <c r="G1056" s="72"/>
      <c r="H1056" s="17"/>
      <c r="I1056" s="41" t="str" cm="1">
        <f t="array" ref="I1056">IFERROR(_xlfn.IFS(H1056="Hard (Cash)","N/A",H1056="Soft (In-Kind)", "Enter Source"),"Select Type")</f>
        <v>Select Type</v>
      </c>
      <c r="J1056" s="124"/>
      <c r="K1056" s="41" t="str">
        <f>IFERROR(VLOOKUP($J1056,'Project Reference'!$S$2:$T$41,2),"Enter Project Number")</f>
        <v>Enter Project Number</v>
      </c>
      <c r="L1056" s="41"/>
      <c r="M1056" s="41"/>
      <c r="N1056" s="15">
        <f t="shared" si="16"/>
        <v>0</v>
      </c>
      <c r="O1056" s="19"/>
      <c r="P1056" s="42" t="str">
        <f>IFERROR(VLOOKUP($J1056,'Project Reference'!$B$2:$C$41,2)," ")</f>
        <v xml:space="preserve"> </v>
      </c>
      <c r="Q1056" s="42" t="str">
        <f>IFERROR(VLOOKUP($J1056,'Project Reference'!$B$2:$D$41,3)," ")</f>
        <v xml:space="preserve"> </v>
      </c>
      <c r="R1056" s="42" t="str">
        <f>IFERROR(VLOOKUP($J1056,'Project Reference'!$B$2:$E$41,4)," ")</f>
        <v xml:space="preserve"> </v>
      </c>
      <c r="S1056" s="42" t="str">
        <f>IFERROR(VLOOKUP($J1056,'Project Reference'!$B$2:$F$41,5,FALSE)," ")</f>
        <v xml:space="preserve"> </v>
      </c>
      <c r="T1056" s="42" t="str">
        <f>IFERROR(VLOOKUP($J1056,'Project Reference'!$B$2:$G$41,6,FALSE)," ")</f>
        <v xml:space="preserve"> </v>
      </c>
      <c r="U1056" s="42" t="str">
        <f>IFERROR(VLOOKUP($J1056,'Project Reference'!$B$2:$H$41,7,FALSE)," ")</f>
        <v xml:space="preserve"> </v>
      </c>
      <c r="V1056" s="42" t="str">
        <f>IFERROR(VLOOKUP($J1056,'Project Reference'!$B$2:$I$41,8,FALSE)," ")</f>
        <v xml:space="preserve"> </v>
      </c>
      <c r="W1056" s="42" t="str">
        <f>IFERROR(VLOOKUP($J1056,'Project Reference'!$B$2:$J$41,9,FALSE)," ")</f>
        <v xml:space="preserve"> </v>
      </c>
      <c r="X1056" s="42" t="str">
        <f>IFERROR(VLOOKUP($J1056,'Project Reference'!$B$2:$K$41,10)," ")</f>
        <v xml:space="preserve"> </v>
      </c>
      <c r="Y1056" s="42" t="str">
        <f>IFERROR(VLOOKUP($J1056,'Project Reference'!$B$2:$L$41,11)," ")</f>
        <v xml:space="preserve"> </v>
      </c>
      <c r="Z1056" s="42" t="str">
        <f>IFERROR(VLOOKUP($J1056,'Project Reference'!$B$2:$M$41,12)," ")</f>
        <v xml:space="preserve"> </v>
      </c>
      <c r="AA1056" s="42" t="str">
        <f>IFERROR(VLOOKUP($J1056,'Project Reference'!$B$2:$N$41,13)," ")</f>
        <v xml:space="preserve"> </v>
      </c>
    </row>
    <row r="1057" spans="1:27" x14ac:dyDescent="0.45">
      <c r="A1057" s="43"/>
      <c r="B1057" s="205"/>
      <c r="C1057"/>
      <c r="D1057" s="72"/>
      <c r="E1057" s="72"/>
      <c r="F1057" s="72"/>
      <c r="G1057" s="72"/>
      <c r="H1057" s="17"/>
      <c r="I1057" s="41" t="str" cm="1">
        <f t="array" ref="I1057">IFERROR(_xlfn.IFS(H1057="Hard (Cash)","N/A",H1057="Soft (In-Kind)", "Enter Source"),"Select Type")</f>
        <v>Select Type</v>
      </c>
      <c r="J1057" s="124"/>
      <c r="K1057" s="41" t="str">
        <f>IFERROR(VLOOKUP($J1057,'Project Reference'!$S$2:$T$41,2),"Enter Project Number")</f>
        <v>Enter Project Number</v>
      </c>
      <c r="L1057" s="41"/>
      <c r="M1057" s="41"/>
      <c r="N1057" s="15">
        <f t="shared" si="16"/>
        <v>0</v>
      </c>
      <c r="O1057" s="19"/>
      <c r="P1057" s="42" t="str">
        <f>IFERROR(VLOOKUP($J1057,'Project Reference'!$B$2:$C$41,2)," ")</f>
        <v xml:space="preserve"> </v>
      </c>
      <c r="Q1057" s="42" t="str">
        <f>IFERROR(VLOOKUP($J1057,'Project Reference'!$B$2:$D$41,3)," ")</f>
        <v xml:space="preserve"> </v>
      </c>
      <c r="R1057" s="42" t="str">
        <f>IFERROR(VLOOKUP($J1057,'Project Reference'!$B$2:$E$41,4)," ")</f>
        <v xml:space="preserve"> </v>
      </c>
      <c r="S1057" s="42" t="str">
        <f>IFERROR(VLOOKUP($J1057,'Project Reference'!$B$2:$F$41,5,FALSE)," ")</f>
        <v xml:space="preserve"> </v>
      </c>
      <c r="T1057" s="42" t="str">
        <f>IFERROR(VLOOKUP($J1057,'Project Reference'!$B$2:$G$41,6,FALSE)," ")</f>
        <v xml:space="preserve"> </v>
      </c>
      <c r="U1057" s="42" t="str">
        <f>IFERROR(VLOOKUP($J1057,'Project Reference'!$B$2:$H$41,7,FALSE)," ")</f>
        <v xml:space="preserve"> </v>
      </c>
      <c r="V1057" s="42" t="str">
        <f>IFERROR(VLOOKUP($J1057,'Project Reference'!$B$2:$I$41,8,FALSE)," ")</f>
        <v xml:space="preserve"> </v>
      </c>
      <c r="W1057" s="42" t="str">
        <f>IFERROR(VLOOKUP($J1057,'Project Reference'!$B$2:$J$41,9,FALSE)," ")</f>
        <v xml:space="preserve"> </v>
      </c>
      <c r="X1057" s="42" t="str">
        <f>IFERROR(VLOOKUP($J1057,'Project Reference'!$B$2:$K$41,10)," ")</f>
        <v xml:space="preserve"> </v>
      </c>
      <c r="Y1057" s="42" t="str">
        <f>IFERROR(VLOOKUP($J1057,'Project Reference'!$B$2:$L$41,11)," ")</f>
        <v xml:space="preserve"> </v>
      </c>
      <c r="Z1057" s="42" t="str">
        <f>IFERROR(VLOOKUP($J1057,'Project Reference'!$B$2:$M$41,12)," ")</f>
        <v xml:space="preserve"> </v>
      </c>
      <c r="AA1057" s="42" t="str">
        <f>IFERROR(VLOOKUP($J1057,'Project Reference'!$B$2:$N$41,13)," ")</f>
        <v xml:space="preserve"> </v>
      </c>
    </row>
    <row r="1058" spans="1:27" x14ac:dyDescent="0.45">
      <c r="A1058" s="43"/>
      <c r="B1058" s="205"/>
      <c r="C1058"/>
      <c r="D1058" s="72"/>
      <c r="E1058" s="72"/>
      <c r="F1058" s="72"/>
      <c r="G1058" s="72"/>
      <c r="H1058" s="17"/>
      <c r="I1058" s="41" t="str" cm="1">
        <f t="array" ref="I1058">IFERROR(_xlfn.IFS(H1058="Hard (Cash)","N/A",H1058="Soft (In-Kind)", "Enter Source"),"Select Type")</f>
        <v>Select Type</v>
      </c>
      <c r="J1058" s="124"/>
      <c r="K1058" s="41" t="str">
        <f>IFERROR(VLOOKUP($J1058,'Project Reference'!$S$2:$T$41,2),"Enter Project Number")</f>
        <v>Enter Project Number</v>
      </c>
      <c r="L1058" s="41"/>
      <c r="M1058" s="41"/>
      <c r="N1058" s="15">
        <f t="shared" si="16"/>
        <v>0</v>
      </c>
      <c r="O1058" s="19"/>
      <c r="P1058" s="42" t="str">
        <f>IFERROR(VLOOKUP($J1058,'Project Reference'!$B$2:$C$41,2)," ")</f>
        <v xml:space="preserve"> </v>
      </c>
      <c r="Q1058" s="42" t="str">
        <f>IFERROR(VLOOKUP($J1058,'Project Reference'!$B$2:$D$41,3)," ")</f>
        <v xml:space="preserve"> </v>
      </c>
      <c r="R1058" s="42" t="str">
        <f>IFERROR(VLOOKUP($J1058,'Project Reference'!$B$2:$E$41,4)," ")</f>
        <v xml:space="preserve"> </v>
      </c>
      <c r="S1058" s="42" t="str">
        <f>IFERROR(VLOOKUP($J1058,'Project Reference'!$B$2:$F$41,5,FALSE)," ")</f>
        <v xml:space="preserve"> </v>
      </c>
      <c r="T1058" s="42" t="str">
        <f>IFERROR(VLOOKUP($J1058,'Project Reference'!$B$2:$G$41,6,FALSE)," ")</f>
        <v xml:space="preserve"> </v>
      </c>
      <c r="U1058" s="42" t="str">
        <f>IFERROR(VLOOKUP($J1058,'Project Reference'!$B$2:$H$41,7,FALSE)," ")</f>
        <v xml:space="preserve"> </v>
      </c>
      <c r="V1058" s="42" t="str">
        <f>IFERROR(VLOOKUP($J1058,'Project Reference'!$B$2:$I$41,8,FALSE)," ")</f>
        <v xml:space="preserve"> </v>
      </c>
      <c r="W1058" s="42" t="str">
        <f>IFERROR(VLOOKUP($J1058,'Project Reference'!$B$2:$J$41,9,FALSE)," ")</f>
        <v xml:space="preserve"> </v>
      </c>
      <c r="X1058" s="42" t="str">
        <f>IFERROR(VLOOKUP($J1058,'Project Reference'!$B$2:$K$41,10)," ")</f>
        <v xml:space="preserve"> </v>
      </c>
      <c r="Y1058" s="42" t="str">
        <f>IFERROR(VLOOKUP($J1058,'Project Reference'!$B$2:$L$41,11)," ")</f>
        <v xml:space="preserve"> </v>
      </c>
      <c r="Z1058" s="42" t="str">
        <f>IFERROR(VLOOKUP($J1058,'Project Reference'!$B$2:$M$41,12)," ")</f>
        <v xml:space="preserve"> </v>
      </c>
      <c r="AA1058" s="42" t="str">
        <f>IFERROR(VLOOKUP($J1058,'Project Reference'!$B$2:$N$41,13)," ")</f>
        <v xml:space="preserve"> </v>
      </c>
    </row>
    <row r="1059" spans="1:27" x14ac:dyDescent="0.45">
      <c r="A1059" s="43"/>
      <c r="B1059" s="205"/>
      <c r="C1059"/>
      <c r="D1059" s="72"/>
      <c r="E1059" s="72"/>
      <c r="F1059" s="72"/>
      <c r="G1059" s="72"/>
      <c r="H1059" s="17"/>
      <c r="I1059" s="41" t="str" cm="1">
        <f t="array" ref="I1059">IFERROR(_xlfn.IFS(H1059="Hard (Cash)","N/A",H1059="Soft (In-Kind)", "Enter Source"),"Select Type")</f>
        <v>Select Type</v>
      </c>
      <c r="J1059" s="124"/>
      <c r="K1059" s="41" t="str">
        <f>IFERROR(VLOOKUP($J1059,'Project Reference'!$S$2:$T$41,2),"Enter Project Number")</f>
        <v>Enter Project Number</v>
      </c>
      <c r="L1059" s="41"/>
      <c r="M1059" s="41"/>
      <c r="N1059" s="15">
        <f t="shared" si="16"/>
        <v>0</v>
      </c>
      <c r="O1059" s="19"/>
      <c r="P1059" s="42" t="str">
        <f>IFERROR(VLOOKUP($J1059,'Project Reference'!$B$2:$C$41,2)," ")</f>
        <v xml:space="preserve"> </v>
      </c>
      <c r="Q1059" s="42" t="str">
        <f>IFERROR(VLOOKUP($J1059,'Project Reference'!$B$2:$D$41,3)," ")</f>
        <v xml:space="preserve"> </v>
      </c>
      <c r="R1059" s="42" t="str">
        <f>IFERROR(VLOOKUP($J1059,'Project Reference'!$B$2:$E$41,4)," ")</f>
        <v xml:space="preserve"> </v>
      </c>
      <c r="S1059" s="42" t="str">
        <f>IFERROR(VLOOKUP($J1059,'Project Reference'!$B$2:$F$41,5,FALSE)," ")</f>
        <v xml:space="preserve"> </v>
      </c>
      <c r="T1059" s="42" t="str">
        <f>IFERROR(VLOOKUP($J1059,'Project Reference'!$B$2:$G$41,6,FALSE)," ")</f>
        <v xml:space="preserve"> </v>
      </c>
      <c r="U1059" s="42" t="str">
        <f>IFERROR(VLOOKUP($J1059,'Project Reference'!$B$2:$H$41,7,FALSE)," ")</f>
        <v xml:space="preserve"> </v>
      </c>
      <c r="V1059" s="42" t="str">
        <f>IFERROR(VLOOKUP($J1059,'Project Reference'!$B$2:$I$41,8,FALSE)," ")</f>
        <v xml:space="preserve"> </v>
      </c>
      <c r="W1059" s="42" t="str">
        <f>IFERROR(VLOOKUP($J1059,'Project Reference'!$B$2:$J$41,9,FALSE)," ")</f>
        <v xml:space="preserve"> </v>
      </c>
      <c r="X1059" s="42" t="str">
        <f>IFERROR(VLOOKUP($J1059,'Project Reference'!$B$2:$K$41,10)," ")</f>
        <v xml:space="preserve"> </v>
      </c>
      <c r="Y1059" s="42" t="str">
        <f>IFERROR(VLOOKUP($J1059,'Project Reference'!$B$2:$L$41,11)," ")</f>
        <v xml:space="preserve"> </v>
      </c>
      <c r="Z1059" s="42" t="str">
        <f>IFERROR(VLOOKUP($J1059,'Project Reference'!$B$2:$M$41,12)," ")</f>
        <v xml:space="preserve"> </v>
      </c>
      <c r="AA1059" s="42" t="str">
        <f>IFERROR(VLOOKUP($J1059,'Project Reference'!$B$2:$N$41,13)," ")</f>
        <v xml:space="preserve"> </v>
      </c>
    </row>
    <row r="1060" spans="1:27" x14ac:dyDescent="0.45">
      <c r="A1060" s="43"/>
      <c r="B1060" s="205"/>
      <c r="C1060"/>
      <c r="D1060" s="72"/>
      <c r="E1060" s="72"/>
      <c r="F1060" s="72"/>
      <c r="G1060" s="72"/>
      <c r="H1060" s="17"/>
      <c r="I1060" s="41" t="str" cm="1">
        <f t="array" ref="I1060">IFERROR(_xlfn.IFS(H1060="Hard (Cash)","N/A",H1060="Soft (In-Kind)", "Enter Source"),"Select Type")</f>
        <v>Select Type</v>
      </c>
      <c r="J1060" s="124"/>
      <c r="K1060" s="41" t="str">
        <f>IFERROR(VLOOKUP($J1060,'Project Reference'!$S$2:$T$41,2),"Enter Project Number")</f>
        <v>Enter Project Number</v>
      </c>
      <c r="L1060" s="41"/>
      <c r="M1060" s="41"/>
      <c r="N1060" s="15">
        <f t="shared" si="16"/>
        <v>0</v>
      </c>
      <c r="O1060" s="19"/>
      <c r="P1060" s="42" t="str">
        <f>IFERROR(VLOOKUP($J1060,'Project Reference'!$B$2:$C$41,2)," ")</f>
        <v xml:space="preserve"> </v>
      </c>
      <c r="Q1060" s="42" t="str">
        <f>IFERROR(VLOOKUP($J1060,'Project Reference'!$B$2:$D$41,3)," ")</f>
        <v xml:space="preserve"> </v>
      </c>
      <c r="R1060" s="42" t="str">
        <f>IFERROR(VLOOKUP($J1060,'Project Reference'!$B$2:$E$41,4)," ")</f>
        <v xml:space="preserve"> </v>
      </c>
      <c r="S1060" s="42" t="str">
        <f>IFERROR(VLOOKUP($J1060,'Project Reference'!$B$2:$F$41,5,FALSE)," ")</f>
        <v xml:space="preserve"> </v>
      </c>
      <c r="T1060" s="42" t="str">
        <f>IFERROR(VLOOKUP($J1060,'Project Reference'!$B$2:$G$41,6,FALSE)," ")</f>
        <v xml:space="preserve"> </v>
      </c>
      <c r="U1060" s="42" t="str">
        <f>IFERROR(VLOOKUP($J1060,'Project Reference'!$B$2:$H$41,7,FALSE)," ")</f>
        <v xml:space="preserve"> </v>
      </c>
      <c r="V1060" s="42" t="str">
        <f>IFERROR(VLOOKUP($J1060,'Project Reference'!$B$2:$I$41,8,FALSE)," ")</f>
        <v xml:space="preserve"> </v>
      </c>
      <c r="W1060" s="42" t="str">
        <f>IFERROR(VLOOKUP($J1060,'Project Reference'!$B$2:$J$41,9,FALSE)," ")</f>
        <v xml:space="preserve"> </v>
      </c>
      <c r="X1060" s="42" t="str">
        <f>IFERROR(VLOOKUP($J1060,'Project Reference'!$B$2:$K$41,10)," ")</f>
        <v xml:space="preserve"> </v>
      </c>
      <c r="Y1060" s="42" t="str">
        <f>IFERROR(VLOOKUP($J1060,'Project Reference'!$B$2:$L$41,11)," ")</f>
        <v xml:space="preserve"> </v>
      </c>
      <c r="Z1060" s="42" t="str">
        <f>IFERROR(VLOOKUP($J1060,'Project Reference'!$B$2:$M$41,12)," ")</f>
        <v xml:space="preserve"> </v>
      </c>
      <c r="AA1060" s="42" t="str">
        <f>IFERROR(VLOOKUP($J1060,'Project Reference'!$B$2:$N$41,13)," ")</f>
        <v xml:space="preserve"> </v>
      </c>
    </row>
    <row r="1061" spans="1:27" x14ac:dyDescent="0.45">
      <c r="A1061" s="43"/>
      <c r="B1061" s="205"/>
      <c r="C1061"/>
      <c r="D1061" s="72"/>
      <c r="E1061" s="72"/>
      <c r="F1061" s="72"/>
      <c r="G1061" s="72"/>
      <c r="H1061" s="17"/>
      <c r="I1061" s="41" t="str" cm="1">
        <f t="array" ref="I1061">IFERROR(_xlfn.IFS(H1061="Hard (Cash)","N/A",H1061="Soft (In-Kind)", "Enter Source"),"Select Type")</f>
        <v>Select Type</v>
      </c>
      <c r="J1061" s="124"/>
      <c r="K1061" s="41" t="str">
        <f>IFERROR(VLOOKUP($J1061,'Project Reference'!$S$2:$T$41,2),"Enter Project Number")</f>
        <v>Enter Project Number</v>
      </c>
      <c r="L1061" s="41"/>
      <c r="M1061" s="41"/>
      <c r="N1061" s="15">
        <f t="shared" si="16"/>
        <v>0</v>
      </c>
      <c r="O1061" s="19"/>
      <c r="P1061" s="42" t="str">
        <f>IFERROR(VLOOKUP($J1061,'Project Reference'!$B$2:$C$41,2)," ")</f>
        <v xml:space="preserve"> </v>
      </c>
      <c r="Q1061" s="42" t="str">
        <f>IFERROR(VLOOKUP($J1061,'Project Reference'!$B$2:$D$41,3)," ")</f>
        <v xml:space="preserve"> </v>
      </c>
      <c r="R1061" s="42" t="str">
        <f>IFERROR(VLOOKUP($J1061,'Project Reference'!$B$2:$E$41,4)," ")</f>
        <v xml:space="preserve"> </v>
      </c>
      <c r="S1061" s="42" t="str">
        <f>IFERROR(VLOOKUP($J1061,'Project Reference'!$B$2:$F$41,5,FALSE)," ")</f>
        <v xml:space="preserve"> </v>
      </c>
      <c r="T1061" s="42" t="str">
        <f>IFERROR(VLOOKUP($J1061,'Project Reference'!$B$2:$G$41,6,FALSE)," ")</f>
        <v xml:space="preserve"> </v>
      </c>
      <c r="U1061" s="42" t="str">
        <f>IFERROR(VLOOKUP($J1061,'Project Reference'!$B$2:$H$41,7,FALSE)," ")</f>
        <v xml:space="preserve"> </v>
      </c>
      <c r="V1061" s="42" t="str">
        <f>IFERROR(VLOOKUP($J1061,'Project Reference'!$B$2:$I$41,8,FALSE)," ")</f>
        <v xml:space="preserve"> </v>
      </c>
      <c r="W1061" s="42" t="str">
        <f>IFERROR(VLOOKUP($J1061,'Project Reference'!$B$2:$J$41,9,FALSE)," ")</f>
        <v xml:space="preserve"> </v>
      </c>
      <c r="X1061" s="42" t="str">
        <f>IFERROR(VLOOKUP($J1061,'Project Reference'!$B$2:$K$41,10)," ")</f>
        <v xml:space="preserve"> </v>
      </c>
      <c r="Y1061" s="42" t="str">
        <f>IFERROR(VLOOKUP($J1061,'Project Reference'!$B$2:$L$41,11)," ")</f>
        <v xml:space="preserve"> </v>
      </c>
      <c r="Z1061" s="42" t="str">
        <f>IFERROR(VLOOKUP($J1061,'Project Reference'!$B$2:$M$41,12)," ")</f>
        <v xml:space="preserve"> </v>
      </c>
      <c r="AA1061" s="42" t="str">
        <f>IFERROR(VLOOKUP($J1061,'Project Reference'!$B$2:$N$41,13)," ")</f>
        <v xml:space="preserve"> </v>
      </c>
    </row>
    <row r="1062" spans="1:27" x14ac:dyDescent="0.45">
      <c r="A1062" s="43"/>
      <c r="B1062" s="205"/>
      <c r="C1062"/>
      <c r="D1062" s="72"/>
      <c r="E1062" s="72"/>
      <c r="F1062" s="72"/>
      <c r="G1062" s="72"/>
      <c r="H1062" s="17"/>
      <c r="I1062" s="41" t="str" cm="1">
        <f t="array" ref="I1062">IFERROR(_xlfn.IFS(H1062="Hard (Cash)","N/A",H1062="Soft (In-Kind)", "Enter Source"),"Select Type")</f>
        <v>Select Type</v>
      </c>
      <c r="J1062" s="124"/>
      <c r="K1062" s="41" t="str">
        <f>IFERROR(VLOOKUP($J1062,'Project Reference'!$S$2:$T$41,2),"Enter Project Number")</f>
        <v>Enter Project Number</v>
      </c>
      <c r="L1062" s="41"/>
      <c r="M1062" s="41"/>
      <c r="N1062" s="15">
        <f t="shared" si="16"/>
        <v>0</v>
      </c>
      <c r="O1062" s="19"/>
      <c r="P1062" s="42" t="str">
        <f>IFERROR(VLOOKUP($J1062,'Project Reference'!$B$2:$C$41,2)," ")</f>
        <v xml:space="preserve"> </v>
      </c>
      <c r="Q1062" s="42" t="str">
        <f>IFERROR(VLOOKUP($J1062,'Project Reference'!$B$2:$D$41,3)," ")</f>
        <v xml:space="preserve"> </v>
      </c>
      <c r="R1062" s="42" t="str">
        <f>IFERROR(VLOOKUP($J1062,'Project Reference'!$B$2:$E$41,4)," ")</f>
        <v xml:space="preserve"> </v>
      </c>
      <c r="S1062" s="42" t="str">
        <f>IFERROR(VLOOKUP($J1062,'Project Reference'!$B$2:$F$41,5,FALSE)," ")</f>
        <v xml:space="preserve"> </v>
      </c>
      <c r="T1062" s="42" t="str">
        <f>IFERROR(VLOOKUP($J1062,'Project Reference'!$B$2:$G$41,6,FALSE)," ")</f>
        <v xml:space="preserve"> </v>
      </c>
      <c r="U1062" s="42" t="str">
        <f>IFERROR(VLOOKUP($J1062,'Project Reference'!$B$2:$H$41,7,FALSE)," ")</f>
        <v xml:space="preserve"> </v>
      </c>
      <c r="V1062" s="42" t="str">
        <f>IFERROR(VLOOKUP($J1062,'Project Reference'!$B$2:$I$41,8,FALSE)," ")</f>
        <v xml:space="preserve"> </v>
      </c>
      <c r="W1062" s="42" t="str">
        <f>IFERROR(VLOOKUP($J1062,'Project Reference'!$B$2:$J$41,9,FALSE)," ")</f>
        <v xml:space="preserve"> </v>
      </c>
      <c r="X1062" s="42" t="str">
        <f>IFERROR(VLOOKUP($J1062,'Project Reference'!$B$2:$K$41,10)," ")</f>
        <v xml:space="preserve"> </v>
      </c>
      <c r="Y1062" s="42" t="str">
        <f>IFERROR(VLOOKUP($J1062,'Project Reference'!$B$2:$L$41,11)," ")</f>
        <v xml:space="preserve"> </v>
      </c>
      <c r="Z1062" s="42" t="str">
        <f>IFERROR(VLOOKUP($J1062,'Project Reference'!$B$2:$M$41,12)," ")</f>
        <v xml:space="preserve"> </v>
      </c>
      <c r="AA1062" s="42" t="str">
        <f>IFERROR(VLOOKUP($J1062,'Project Reference'!$B$2:$N$41,13)," ")</f>
        <v xml:space="preserve"> </v>
      </c>
    </row>
    <row r="1063" spans="1:27" x14ac:dyDescent="0.45">
      <c r="A1063" s="43"/>
      <c r="B1063" s="205"/>
      <c r="C1063"/>
      <c r="D1063" s="72"/>
      <c r="E1063" s="72"/>
      <c r="F1063" s="72"/>
      <c r="G1063" s="72"/>
      <c r="H1063" s="17"/>
      <c r="I1063" s="41" t="str" cm="1">
        <f t="array" ref="I1063">IFERROR(_xlfn.IFS(H1063="Hard (Cash)","N/A",H1063="Soft (In-Kind)", "Enter Source"),"Select Type")</f>
        <v>Select Type</v>
      </c>
      <c r="J1063" s="124"/>
      <c r="K1063" s="41" t="str">
        <f>IFERROR(VLOOKUP($J1063,'Project Reference'!$S$2:$T$41,2),"Enter Project Number")</f>
        <v>Enter Project Number</v>
      </c>
      <c r="L1063" s="41"/>
      <c r="M1063" s="41"/>
      <c r="N1063" s="15">
        <f t="shared" si="16"/>
        <v>0</v>
      </c>
      <c r="O1063" s="19"/>
      <c r="P1063" s="42" t="str">
        <f>IFERROR(VLOOKUP($J1063,'Project Reference'!$B$2:$C$41,2)," ")</f>
        <v xml:space="preserve"> </v>
      </c>
      <c r="Q1063" s="42" t="str">
        <f>IFERROR(VLOOKUP($J1063,'Project Reference'!$B$2:$D$41,3)," ")</f>
        <v xml:space="preserve"> </v>
      </c>
      <c r="R1063" s="42" t="str">
        <f>IFERROR(VLOOKUP($J1063,'Project Reference'!$B$2:$E$41,4)," ")</f>
        <v xml:space="preserve"> </v>
      </c>
      <c r="S1063" s="42" t="str">
        <f>IFERROR(VLOOKUP($J1063,'Project Reference'!$B$2:$F$41,5,FALSE)," ")</f>
        <v xml:space="preserve"> </v>
      </c>
      <c r="T1063" s="42" t="str">
        <f>IFERROR(VLOOKUP($J1063,'Project Reference'!$B$2:$G$41,6,FALSE)," ")</f>
        <v xml:space="preserve"> </v>
      </c>
      <c r="U1063" s="42" t="str">
        <f>IFERROR(VLOOKUP($J1063,'Project Reference'!$B$2:$H$41,7,FALSE)," ")</f>
        <v xml:space="preserve"> </v>
      </c>
      <c r="V1063" s="42" t="str">
        <f>IFERROR(VLOOKUP($J1063,'Project Reference'!$B$2:$I$41,8,FALSE)," ")</f>
        <v xml:space="preserve"> </v>
      </c>
      <c r="W1063" s="42" t="str">
        <f>IFERROR(VLOOKUP($J1063,'Project Reference'!$B$2:$J$41,9,FALSE)," ")</f>
        <v xml:space="preserve"> </v>
      </c>
      <c r="X1063" s="42" t="str">
        <f>IFERROR(VLOOKUP($J1063,'Project Reference'!$B$2:$K$41,10)," ")</f>
        <v xml:space="preserve"> </v>
      </c>
      <c r="Y1063" s="42" t="str">
        <f>IFERROR(VLOOKUP($J1063,'Project Reference'!$B$2:$L$41,11)," ")</f>
        <v xml:space="preserve"> </v>
      </c>
      <c r="Z1063" s="42" t="str">
        <f>IFERROR(VLOOKUP($J1063,'Project Reference'!$B$2:$M$41,12)," ")</f>
        <v xml:space="preserve"> </v>
      </c>
      <c r="AA1063" s="42" t="str">
        <f>IFERROR(VLOOKUP($J1063,'Project Reference'!$B$2:$N$41,13)," ")</f>
        <v xml:space="preserve"> </v>
      </c>
    </row>
    <row r="1064" spans="1:27" x14ac:dyDescent="0.45">
      <c r="A1064" s="43"/>
      <c r="B1064" s="205"/>
      <c r="C1064"/>
      <c r="D1064" s="72"/>
      <c r="E1064" s="72"/>
      <c r="F1064" s="72"/>
      <c r="G1064" s="72"/>
      <c r="H1064" s="17"/>
      <c r="I1064" s="41" t="str" cm="1">
        <f t="array" ref="I1064">IFERROR(_xlfn.IFS(H1064="Hard (Cash)","N/A",H1064="Soft (In-Kind)", "Enter Source"),"Select Type")</f>
        <v>Select Type</v>
      </c>
      <c r="J1064" s="124"/>
      <c r="K1064" s="41" t="str">
        <f>IFERROR(VLOOKUP($J1064,'Project Reference'!$S$2:$T$41,2),"Enter Project Number")</f>
        <v>Enter Project Number</v>
      </c>
      <c r="L1064" s="41"/>
      <c r="M1064" s="41"/>
      <c r="N1064" s="15">
        <f t="shared" si="16"/>
        <v>0</v>
      </c>
      <c r="O1064" s="19"/>
      <c r="P1064" s="42" t="str">
        <f>IFERROR(VLOOKUP($J1064,'Project Reference'!$B$2:$C$41,2)," ")</f>
        <v xml:space="preserve"> </v>
      </c>
      <c r="Q1064" s="42" t="str">
        <f>IFERROR(VLOOKUP($J1064,'Project Reference'!$B$2:$D$41,3)," ")</f>
        <v xml:space="preserve"> </v>
      </c>
      <c r="R1064" s="42" t="str">
        <f>IFERROR(VLOOKUP($J1064,'Project Reference'!$B$2:$E$41,4)," ")</f>
        <v xml:space="preserve"> </v>
      </c>
      <c r="S1064" s="42" t="str">
        <f>IFERROR(VLOOKUP($J1064,'Project Reference'!$B$2:$F$41,5,FALSE)," ")</f>
        <v xml:space="preserve"> </v>
      </c>
      <c r="T1064" s="42" t="str">
        <f>IFERROR(VLOOKUP($J1064,'Project Reference'!$B$2:$G$41,6,FALSE)," ")</f>
        <v xml:space="preserve"> </v>
      </c>
      <c r="U1064" s="42" t="str">
        <f>IFERROR(VLOOKUP($J1064,'Project Reference'!$B$2:$H$41,7,FALSE)," ")</f>
        <v xml:space="preserve"> </v>
      </c>
      <c r="V1064" s="42" t="str">
        <f>IFERROR(VLOOKUP($J1064,'Project Reference'!$B$2:$I$41,8,FALSE)," ")</f>
        <v xml:space="preserve"> </v>
      </c>
      <c r="W1064" s="42" t="str">
        <f>IFERROR(VLOOKUP($J1064,'Project Reference'!$B$2:$J$41,9,FALSE)," ")</f>
        <v xml:space="preserve"> </v>
      </c>
      <c r="X1064" s="42" t="str">
        <f>IFERROR(VLOOKUP($J1064,'Project Reference'!$B$2:$K$41,10)," ")</f>
        <v xml:space="preserve"> </v>
      </c>
      <c r="Y1064" s="42" t="str">
        <f>IFERROR(VLOOKUP($J1064,'Project Reference'!$B$2:$L$41,11)," ")</f>
        <v xml:space="preserve"> </v>
      </c>
      <c r="Z1064" s="42" t="str">
        <f>IFERROR(VLOOKUP($J1064,'Project Reference'!$B$2:$M$41,12)," ")</f>
        <v xml:space="preserve"> </v>
      </c>
      <c r="AA1064" s="42" t="str">
        <f>IFERROR(VLOOKUP($J1064,'Project Reference'!$B$2:$N$41,13)," ")</f>
        <v xml:space="preserve"> </v>
      </c>
    </row>
    <row r="1065" spans="1:27" x14ac:dyDescent="0.45">
      <c r="A1065" s="43"/>
      <c r="B1065" s="205"/>
      <c r="C1065"/>
      <c r="D1065" s="72"/>
      <c r="E1065" s="72"/>
      <c r="F1065" s="72"/>
      <c r="G1065" s="72"/>
      <c r="H1065" s="17"/>
      <c r="I1065" s="41" t="str" cm="1">
        <f t="array" ref="I1065">IFERROR(_xlfn.IFS(H1065="Hard (Cash)","N/A",H1065="Soft (In-Kind)", "Enter Source"),"Select Type")</f>
        <v>Select Type</v>
      </c>
      <c r="J1065" s="124"/>
      <c r="K1065" s="41" t="str">
        <f>IFERROR(VLOOKUP($J1065,'Project Reference'!$S$2:$T$41,2),"Enter Project Number")</f>
        <v>Enter Project Number</v>
      </c>
      <c r="L1065" s="41"/>
      <c r="M1065" s="41"/>
      <c r="N1065" s="15">
        <f t="shared" si="16"/>
        <v>0</v>
      </c>
      <c r="O1065" s="19"/>
      <c r="P1065" s="42" t="str">
        <f>IFERROR(VLOOKUP($J1065,'Project Reference'!$B$2:$C$41,2)," ")</f>
        <v xml:space="preserve"> </v>
      </c>
      <c r="Q1065" s="42" t="str">
        <f>IFERROR(VLOOKUP($J1065,'Project Reference'!$B$2:$D$41,3)," ")</f>
        <v xml:space="preserve"> </v>
      </c>
      <c r="R1065" s="42" t="str">
        <f>IFERROR(VLOOKUP($J1065,'Project Reference'!$B$2:$E$41,4)," ")</f>
        <v xml:space="preserve"> </v>
      </c>
      <c r="S1065" s="42" t="str">
        <f>IFERROR(VLOOKUP($J1065,'Project Reference'!$B$2:$F$41,5,FALSE)," ")</f>
        <v xml:space="preserve"> </v>
      </c>
      <c r="T1065" s="42" t="str">
        <f>IFERROR(VLOOKUP($J1065,'Project Reference'!$B$2:$G$41,6,FALSE)," ")</f>
        <v xml:space="preserve"> </v>
      </c>
      <c r="U1065" s="42" t="str">
        <f>IFERROR(VLOOKUP($J1065,'Project Reference'!$B$2:$H$41,7,FALSE)," ")</f>
        <v xml:space="preserve"> </v>
      </c>
      <c r="V1065" s="42" t="str">
        <f>IFERROR(VLOOKUP($J1065,'Project Reference'!$B$2:$I$41,8,FALSE)," ")</f>
        <v xml:space="preserve"> </v>
      </c>
      <c r="W1065" s="42" t="str">
        <f>IFERROR(VLOOKUP($J1065,'Project Reference'!$B$2:$J$41,9,FALSE)," ")</f>
        <v xml:space="preserve"> </v>
      </c>
      <c r="X1065" s="42" t="str">
        <f>IFERROR(VLOOKUP($J1065,'Project Reference'!$B$2:$K$41,10)," ")</f>
        <v xml:space="preserve"> </v>
      </c>
      <c r="Y1065" s="42" t="str">
        <f>IFERROR(VLOOKUP($J1065,'Project Reference'!$B$2:$L$41,11)," ")</f>
        <v xml:space="preserve"> </v>
      </c>
      <c r="Z1065" s="42" t="str">
        <f>IFERROR(VLOOKUP($J1065,'Project Reference'!$B$2:$M$41,12)," ")</f>
        <v xml:space="preserve"> </v>
      </c>
      <c r="AA1065" s="42" t="str">
        <f>IFERROR(VLOOKUP($J1065,'Project Reference'!$B$2:$N$41,13)," ")</f>
        <v xml:space="preserve"> </v>
      </c>
    </row>
    <row r="1066" spans="1:27" x14ac:dyDescent="0.45">
      <c r="A1066" s="43"/>
      <c r="B1066" s="205"/>
      <c r="C1066"/>
      <c r="D1066" s="72"/>
      <c r="E1066" s="72"/>
      <c r="F1066" s="72"/>
      <c r="G1066" s="72"/>
      <c r="H1066" s="17"/>
      <c r="I1066" s="41" t="str" cm="1">
        <f t="array" ref="I1066">IFERROR(_xlfn.IFS(H1066="Hard (Cash)","N/A",H1066="Soft (In-Kind)", "Enter Source"),"Select Type")</f>
        <v>Select Type</v>
      </c>
      <c r="J1066" s="124"/>
      <c r="K1066" s="41" t="str">
        <f>IFERROR(VLOOKUP($J1066,'Project Reference'!$S$2:$T$41,2),"Enter Project Number")</f>
        <v>Enter Project Number</v>
      </c>
      <c r="L1066" s="41"/>
      <c r="M1066" s="41"/>
      <c r="N1066" s="15">
        <f t="shared" si="16"/>
        <v>0</v>
      </c>
      <c r="O1066" s="19"/>
      <c r="P1066" s="42" t="str">
        <f>IFERROR(VLOOKUP($J1066,'Project Reference'!$B$2:$C$41,2)," ")</f>
        <v xml:space="preserve"> </v>
      </c>
      <c r="Q1066" s="42" t="str">
        <f>IFERROR(VLOOKUP($J1066,'Project Reference'!$B$2:$D$41,3)," ")</f>
        <v xml:space="preserve"> </v>
      </c>
      <c r="R1066" s="42" t="str">
        <f>IFERROR(VLOOKUP($J1066,'Project Reference'!$B$2:$E$41,4)," ")</f>
        <v xml:space="preserve"> </v>
      </c>
      <c r="S1066" s="42" t="str">
        <f>IFERROR(VLOOKUP($J1066,'Project Reference'!$B$2:$F$41,5,FALSE)," ")</f>
        <v xml:space="preserve"> </v>
      </c>
      <c r="T1066" s="42" t="str">
        <f>IFERROR(VLOOKUP($J1066,'Project Reference'!$B$2:$G$41,6,FALSE)," ")</f>
        <v xml:space="preserve"> </v>
      </c>
      <c r="U1066" s="42" t="str">
        <f>IFERROR(VLOOKUP($J1066,'Project Reference'!$B$2:$H$41,7,FALSE)," ")</f>
        <v xml:space="preserve"> </v>
      </c>
      <c r="V1066" s="42" t="str">
        <f>IFERROR(VLOOKUP($J1066,'Project Reference'!$B$2:$I$41,8,FALSE)," ")</f>
        <v xml:space="preserve"> </v>
      </c>
      <c r="W1066" s="42" t="str">
        <f>IFERROR(VLOOKUP($J1066,'Project Reference'!$B$2:$J$41,9,FALSE)," ")</f>
        <v xml:space="preserve"> </v>
      </c>
      <c r="X1066" s="42" t="str">
        <f>IFERROR(VLOOKUP($J1066,'Project Reference'!$B$2:$K$41,10)," ")</f>
        <v xml:space="preserve"> </v>
      </c>
      <c r="Y1066" s="42" t="str">
        <f>IFERROR(VLOOKUP($J1066,'Project Reference'!$B$2:$L$41,11)," ")</f>
        <v xml:space="preserve"> </v>
      </c>
      <c r="Z1066" s="42" t="str">
        <f>IFERROR(VLOOKUP($J1066,'Project Reference'!$B$2:$M$41,12)," ")</f>
        <v xml:space="preserve"> </v>
      </c>
      <c r="AA1066" s="42" t="str">
        <f>IFERROR(VLOOKUP($J1066,'Project Reference'!$B$2:$N$41,13)," ")</f>
        <v xml:space="preserve"> </v>
      </c>
    </row>
    <row r="1067" spans="1:27" x14ac:dyDescent="0.45">
      <c r="A1067" s="43"/>
      <c r="B1067" s="205"/>
      <c r="C1067"/>
      <c r="D1067" s="72"/>
      <c r="E1067" s="72"/>
      <c r="F1067" s="72"/>
      <c r="G1067" s="72"/>
      <c r="H1067" s="17"/>
      <c r="I1067" s="41" t="str" cm="1">
        <f t="array" ref="I1067">IFERROR(_xlfn.IFS(H1067="Hard (Cash)","N/A",H1067="Soft (In-Kind)", "Enter Source"),"Select Type")</f>
        <v>Select Type</v>
      </c>
      <c r="J1067" s="124"/>
      <c r="K1067" s="41" t="str">
        <f>IFERROR(VLOOKUP($J1067,'Project Reference'!$S$2:$T$41,2),"Enter Project Number")</f>
        <v>Enter Project Number</v>
      </c>
      <c r="L1067" s="41"/>
      <c r="M1067" s="41"/>
      <c r="N1067" s="15">
        <f t="shared" si="16"/>
        <v>0</v>
      </c>
      <c r="O1067" s="19"/>
      <c r="P1067" s="42" t="str">
        <f>IFERROR(VLOOKUP($J1067,'Project Reference'!$B$2:$C$41,2)," ")</f>
        <v xml:space="preserve"> </v>
      </c>
      <c r="Q1067" s="42" t="str">
        <f>IFERROR(VLOOKUP($J1067,'Project Reference'!$B$2:$D$41,3)," ")</f>
        <v xml:space="preserve"> </v>
      </c>
      <c r="R1067" s="42" t="str">
        <f>IFERROR(VLOOKUP($J1067,'Project Reference'!$B$2:$E$41,4)," ")</f>
        <v xml:space="preserve"> </v>
      </c>
      <c r="S1067" s="42" t="str">
        <f>IFERROR(VLOOKUP($J1067,'Project Reference'!$B$2:$F$41,5,FALSE)," ")</f>
        <v xml:space="preserve"> </v>
      </c>
      <c r="T1067" s="42" t="str">
        <f>IFERROR(VLOOKUP($J1067,'Project Reference'!$B$2:$G$41,6,FALSE)," ")</f>
        <v xml:space="preserve"> </v>
      </c>
      <c r="U1067" s="42" t="str">
        <f>IFERROR(VLOOKUP($J1067,'Project Reference'!$B$2:$H$41,7,FALSE)," ")</f>
        <v xml:space="preserve"> </v>
      </c>
      <c r="V1067" s="42" t="str">
        <f>IFERROR(VLOOKUP($J1067,'Project Reference'!$B$2:$I$41,8,FALSE)," ")</f>
        <v xml:space="preserve"> </v>
      </c>
      <c r="W1067" s="42" t="str">
        <f>IFERROR(VLOOKUP($J1067,'Project Reference'!$B$2:$J$41,9,FALSE)," ")</f>
        <v xml:space="preserve"> </v>
      </c>
      <c r="X1067" s="42" t="str">
        <f>IFERROR(VLOOKUP($J1067,'Project Reference'!$B$2:$K$41,10)," ")</f>
        <v xml:space="preserve"> </v>
      </c>
      <c r="Y1067" s="42" t="str">
        <f>IFERROR(VLOOKUP($J1067,'Project Reference'!$B$2:$L$41,11)," ")</f>
        <v xml:space="preserve"> </v>
      </c>
      <c r="Z1067" s="42" t="str">
        <f>IFERROR(VLOOKUP($J1067,'Project Reference'!$B$2:$M$41,12)," ")</f>
        <v xml:space="preserve"> </v>
      </c>
      <c r="AA1067" s="42" t="str">
        <f>IFERROR(VLOOKUP($J1067,'Project Reference'!$B$2:$N$41,13)," ")</f>
        <v xml:space="preserve"> </v>
      </c>
    </row>
    <row r="1068" spans="1:27" x14ac:dyDescent="0.45">
      <c r="A1068" s="43"/>
      <c r="B1068" s="205"/>
      <c r="C1068"/>
      <c r="D1068" s="72"/>
      <c r="E1068" s="72"/>
      <c r="F1068" s="72"/>
      <c r="G1068" s="72"/>
      <c r="H1068" s="17"/>
      <c r="I1068" s="41" t="str" cm="1">
        <f t="array" ref="I1068">IFERROR(_xlfn.IFS(H1068="Hard (Cash)","N/A",H1068="Soft (In-Kind)", "Enter Source"),"Select Type")</f>
        <v>Select Type</v>
      </c>
      <c r="J1068" s="124"/>
      <c r="K1068" s="41" t="str">
        <f>IFERROR(VLOOKUP($J1068,'Project Reference'!$S$2:$T$41,2),"Enter Project Number")</f>
        <v>Enter Project Number</v>
      </c>
      <c r="L1068" s="41"/>
      <c r="M1068" s="41"/>
      <c r="N1068" s="15">
        <f t="shared" si="16"/>
        <v>0</v>
      </c>
      <c r="O1068" s="19"/>
      <c r="P1068" s="42" t="str">
        <f>IFERROR(VLOOKUP($J1068,'Project Reference'!$B$2:$C$41,2)," ")</f>
        <v xml:space="preserve"> </v>
      </c>
      <c r="Q1068" s="42" t="str">
        <f>IFERROR(VLOOKUP($J1068,'Project Reference'!$B$2:$D$41,3)," ")</f>
        <v xml:space="preserve"> </v>
      </c>
      <c r="R1068" s="42" t="str">
        <f>IFERROR(VLOOKUP($J1068,'Project Reference'!$B$2:$E$41,4)," ")</f>
        <v xml:space="preserve"> </v>
      </c>
      <c r="S1068" s="42" t="str">
        <f>IFERROR(VLOOKUP($J1068,'Project Reference'!$B$2:$F$41,5,FALSE)," ")</f>
        <v xml:space="preserve"> </v>
      </c>
      <c r="T1068" s="42" t="str">
        <f>IFERROR(VLOOKUP($J1068,'Project Reference'!$B$2:$G$41,6,FALSE)," ")</f>
        <v xml:space="preserve"> </v>
      </c>
      <c r="U1068" s="42" t="str">
        <f>IFERROR(VLOOKUP($J1068,'Project Reference'!$B$2:$H$41,7,FALSE)," ")</f>
        <v xml:space="preserve"> </v>
      </c>
      <c r="V1068" s="42" t="str">
        <f>IFERROR(VLOOKUP($J1068,'Project Reference'!$B$2:$I$41,8,FALSE)," ")</f>
        <v xml:space="preserve"> </v>
      </c>
      <c r="W1068" s="42" t="str">
        <f>IFERROR(VLOOKUP($J1068,'Project Reference'!$B$2:$J$41,9,FALSE)," ")</f>
        <v xml:space="preserve"> </v>
      </c>
      <c r="X1068" s="42" t="str">
        <f>IFERROR(VLOOKUP($J1068,'Project Reference'!$B$2:$K$41,10)," ")</f>
        <v xml:space="preserve"> </v>
      </c>
      <c r="Y1068" s="42" t="str">
        <f>IFERROR(VLOOKUP($J1068,'Project Reference'!$B$2:$L$41,11)," ")</f>
        <v xml:space="preserve"> </v>
      </c>
      <c r="Z1068" s="42" t="str">
        <f>IFERROR(VLOOKUP($J1068,'Project Reference'!$B$2:$M$41,12)," ")</f>
        <v xml:space="preserve"> </v>
      </c>
      <c r="AA1068" s="42" t="str">
        <f>IFERROR(VLOOKUP($J1068,'Project Reference'!$B$2:$N$41,13)," ")</f>
        <v xml:space="preserve"> </v>
      </c>
    </row>
    <row r="1069" spans="1:27" x14ac:dyDescent="0.45">
      <c r="A1069" s="43"/>
      <c r="B1069" s="205"/>
      <c r="C1069"/>
      <c r="D1069" s="72"/>
      <c r="E1069" s="72"/>
      <c r="F1069" s="72"/>
      <c r="G1069" s="72"/>
      <c r="H1069" s="17"/>
      <c r="I1069" s="41" t="str" cm="1">
        <f t="array" ref="I1069">IFERROR(_xlfn.IFS(H1069="Hard (Cash)","N/A",H1069="Soft (In-Kind)", "Enter Source"),"Select Type")</f>
        <v>Select Type</v>
      </c>
      <c r="J1069" s="124"/>
      <c r="K1069" s="41" t="str">
        <f>IFERROR(VLOOKUP($J1069,'Project Reference'!$S$2:$T$41,2),"Enter Project Number")</f>
        <v>Enter Project Number</v>
      </c>
      <c r="L1069" s="41"/>
      <c r="M1069" s="41"/>
      <c r="N1069" s="15">
        <f t="shared" si="16"/>
        <v>0</v>
      </c>
      <c r="O1069" s="19"/>
      <c r="P1069" s="42" t="str">
        <f>IFERROR(VLOOKUP($J1069,'Project Reference'!$B$2:$C$41,2)," ")</f>
        <v xml:space="preserve"> </v>
      </c>
      <c r="Q1069" s="42" t="str">
        <f>IFERROR(VLOOKUP($J1069,'Project Reference'!$B$2:$D$41,3)," ")</f>
        <v xml:space="preserve"> </v>
      </c>
      <c r="R1069" s="42" t="str">
        <f>IFERROR(VLOOKUP($J1069,'Project Reference'!$B$2:$E$41,4)," ")</f>
        <v xml:space="preserve"> </v>
      </c>
      <c r="S1069" s="42" t="str">
        <f>IFERROR(VLOOKUP($J1069,'Project Reference'!$B$2:$F$41,5,FALSE)," ")</f>
        <v xml:space="preserve"> </v>
      </c>
      <c r="T1069" s="42" t="str">
        <f>IFERROR(VLOOKUP($J1069,'Project Reference'!$B$2:$G$41,6,FALSE)," ")</f>
        <v xml:space="preserve"> </v>
      </c>
      <c r="U1069" s="42" t="str">
        <f>IFERROR(VLOOKUP($J1069,'Project Reference'!$B$2:$H$41,7,FALSE)," ")</f>
        <v xml:space="preserve"> </v>
      </c>
      <c r="V1069" s="42" t="str">
        <f>IFERROR(VLOOKUP($J1069,'Project Reference'!$B$2:$I$41,8,FALSE)," ")</f>
        <v xml:space="preserve"> </v>
      </c>
      <c r="W1069" s="42" t="str">
        <f>IFERROR(VLOOKUP($J1069,'Project Reference'!$B$2:$J$41,9,FALSE)," ")</f>
        <v xml:space="preserve"> </v>
      </c>
      <c r="X1069" s="42" t="str">
        <f>IFERROR(VLOOKUP($J1069,'Project Reference'!$B$2:$K$41,10)," ")</f>
        <v xml:space="preserve"> </v>
      </c>
      <c r="Y1069" s="42" t="str">
        <f>IFERROR(VLOOKUP($J1069,'Project Reference'!$B$2:$L$41,11)," ")</f>
        <v xml:space="preserve"> </v>
      </c>
      <c r="Z1069" s="42" t="str">
        <f>IFERROR(VLOOKUP($J1069,'Project Reference'!$B$2:$M$41,12)," ")</f>
        <v xml:space="preserve"> </v>
      </c>
      <c r="AA1069" s="42" t="str">
        <f>IFERROR(VLOOKUP($J1069,'Project Reference'!$B$2:$N$41,13)," ")</f>
        <v xml:space="preserve"> </v>
      </c>
    </row>
    <row r="1070" spans="1:27" x14ac:dyDescent="0.45">
      <c r="A1070" s="43"/>
      <c r="B1070" s="205"/>
      <c r="C1070"/>
      <c r="D1070" s="72"/>
      <c r="E1070" s="72"/>
      <c r="F1070" s="72"/>
      <c r="G1070" s="72"/>
      <c r="H1070" s="17"/>
      <c r="I1070" s="41" t="str" cm="1">
        <f t="array" ref="I1070">IFERROR(_xlfn.IFS(H1070="Hard (Cash)","N/A",H1070="Soft (In-Kind)", "Enter Source"),"Select Type")</f>
        <v>Select Type</v>
      </c>
      <c r="J1070" s="124"/>
      <c r="K1070" s="41" t="str">
        <f>IFERROR(VLOOKUP($J1070,'Project Reference'!$S$2:$T$41,2),"Enter Project Number")</f>
        <v>Enter Project Number</v>
      </c>
      <c r="L1070" s="41"/>
      <c r="M1070" s="41"/>
      <c r="N1070" s="15">
        <f t="shared" si="16"/>
        <v>0</v>
      </c>
      <c r="O1070" s="19"/>
      <c r="P1070" s="42" t="str">
        <f>IFERROR(VLOOKUP($J1070,'Project Reference'!$B$2:$C$41,2)," ")</f>
        <v xml:space="preserve"> </v>
      </c>
      <c r="Q1070" s="42" t="str">
        <f>IFERROR(VLOOKUP($J1070,'Project Reference'!$B$2:$D$41,3)," ")</f>
        <v xml:space="preserve"> </v>
      </c>
      <c r="R1070" s="42" t="str">
        <f>IFERROR(VLOOKUP($J1070,'Project Reference'!$B$2:$E$41,4)," ")</f>
        <v xml:space="preserve"> </v>
      </c>
      <c r="S1070" s="42" t="str">
        <f>IFERROR(VLOOKUP($J1070,'Project Reference'!$B$2:$F$41,5,FALSE)," ")</f>
        <v xml:space="preserve"> </v>
      </c>
      <c r="T1070" s="42" t="str">
        <f>IFERROR(VLOOKUP($J1070,'Project Reference'!$B$2:$G$41,6,FALSE)," ")</f>
        <v xml:space="preserve"> </v>
      </c>
      <c r="U1070" s="42" t="str">
        <f>IFERROR(VLOOKUP($J1070,'Project Reference'!$B$2:$H$41,7,FALSE)," ")</f>
        <v xml:space="preserve"> </v>
      </c>
      <c r="V1070" s="42" t="str">
        <f>IFERROR(VLOOKUP($J1070,'Project Reference'!$B$2:$I$41,8,FALSE)," ")</f>
        <v xml:space="preserve"> </v>
      </c>
      <c r="W1070" s="42" t="str">
        <f>IFERROR(VLOOKUP($J1070,'Project Reference'!$B$2:$J$41,9,FALSE)," ")</f>
        <v xml:space="preserve"> </v>
      </c>
      <c r="X1070" s="42" t="str">
        <f>IFERROR(VLOOKUP($J1070,'Project Reference'!$B$2:$K$41,10)," ")</f>
        <v xml:space="preserve"> </v>
      </c>
      <c r="Y1070" s="42" t="str">
        <f>IFERROR(VLOOKUP($J1070,'Project Reference'!$B$2:$L$41,11)," ")</f>
        <v xml:space="preserve"> </v>
      </c>
      <c r="Z1070" s="42" t="str">
        <f>IFERROR(VLOOKUP($J1070,'Project Reference'!$B$2:$M$41,12)," ")</f>
        <v xml:space="preserve"> </v>
      </c>
      <c r="AA1070" s="42" t="str">
        <f>IFERROR(VLOOKUP($J1070,'Project Reference'!$B$2:$N$41,13)," ")</f>
        <v xml:space="preserve"> </v>
      </c>
    </row>
    <row r="1071" spans="1:27" x14ac:dyDescent="0.45">
      <c r="A1071" s="43"/>
      <c r="B1071" s="205"/>
      <c r="C1071"/>
      <c r="D1071" s="72"/>
      <c r="E1071" s="72"/>
      <c r="F1071" s="72"/>
      <c r="G1071" s="72"/>
      <c r="H1071" s="17"/>
      <c r="I1071" s="41" t="str" cm="1">
        <f t="array" ref="I1071">IFERROR(_xlfn.IFS(H1071="Hard (Cash)","N/A",H1071="Soft (In-Kind)", "Enter Source"),"Select Type")</f>
        <v>Select Type</v>
      </c>
      <c r="J1071" s="124"/>
      <c r="K1071" s="41" t="str">
        <f>IFERROR(VLOOKUP($J1071,'Project Reference'!$S$2:$T$41,2),"Enter Project Number")</f>
        <v>Enter Project Number</v>
      </c>
      <c r="L1071" s="41"/>
      <c r="M1071" s="41"/>
      <c r="N1071" s="15">
        <f t="shared" si="16"/>
        <v>0</v>
      </c>
      <c r="O1071" s="19"/>
      <c r="P1071" s="42" t="str">
        <f>IFERROR(VLOOKUP($J1071,'Project Reference'!$B$2:$C$41,2)," ")</f>
        <v xml:space="preserve"> </v>
      </c>
      <c r="Q1071" s="42" t="str">
        <f>IFERROR(VLOOKUP($J1071,'Project Reference'!$B$2:$D$41,3)," ")</f>
        <v xml:space="preserve"> </v>
      </c>
      <c r="R1071" s="42" t="str">
        <f>IFERROR(VLOOKUP($J1071,'Project Reference'!$B$2:$E$41,4)," ")</f>
        <v xml:space="preserve"> </v>
      </c>
      <c r="S1071" s="42" t="str">
        <f>IFERROR(VLOOKUP($J1071,'Project Reference'!$B$2:$F$41,5,FALSE)," ")</f>
        <v xml:space="preserve"> </v>
      </c>
      <c r="T1071" s="42" t="str">
        <f>IFERROR(VLOOKUP($J1071,'Project Reference'!$B$2:$G$41,6,FALSE)," ")</f>
        <v xml:space="preserve"> </v>
      </c>
      <c r="U1071" s="42" t="str">
        <f>IFERROR(VLOOKUP($J1071,'Project Reference'!$B$2:$H$41,7,FALSE)," ")</f>
        <v xml:space="preserve"> </v>
      </c>
      <c r="V1071" s="42" t="str">
        <f>IFERROR(VLOOKUP($J1071,'Project Reference'!$B$2:$I$41,8,FALSE)," ")</f>
        <v xml:space="preserve"> </v>
      </c>
      <c r="W1071" s="42" t="str">
        <f>IFERROR(VLOOKUP($J1071,'Project Reference'!$B$2:$J$41,9,FALSE)," ")</f>
        <v xml:space="preserve"> </v>
      </c>
      <c r="X1071" s="42" t="str">
        <f>IFERROR(VLOOKUP($J1071,'Project Reference'!$B$2:$K$41,10)," ")</f>
        <v xml:space="preserve"> </v>
      </c>
      <c r="Y1071" s="42" t="str">
        <f>IFERROR(VLOOKUP($J1071,'Project Reference'!$B$2:$L$41,11)," ")</f>
        <v xml:space="preserve"> </v>
      </c>
      <c r="Z1071" s="42" t="str">
        <f>IFERROR(VLOOKUP($J1071,'Project Reference'!$B$2:$M$41,12)," ")</f>
        <v xml:space="preserve"> </v>
      </c>
      <c r="AA1071" s="42" t="str">
        <f>IFERROR(VLOOKUP($J1071,'Project Reference'!$B$2:$N$41,13)," ")</f>
        <v xml:space="preserve"> </v>
      </c>
    </row>
    <row r="1072" spans="1:27" x14ac:dyDescent="0.45">
      <c r="A1072" s="43"/>
      <c r="B1072" s="205"/>
      <c r="C1072"/>
      <c r="D1072" s="72"/>
      <c r="E1072" s="72"/>
      <c r="F1072" s="72"/>
      <c r="G1072" s="72"/>
      <c r="H1072" s="17"/>
      <c r="I1072" s="41" t="str" cm="1">
        <f t="array" ref="I1072">IFERROR(_xlfn.IFS(H1072="Hard (Cash)","N/A",H1072="Soft (In-Kind)", "Enter Source"),"Select Type")</f>
        <v>Select Type</v>
      </c>
      <c r="J1072" s="124"/>
      <c r="K1072" s="41" t="str">
        <f>IFERROR(VLOOKUP($J1072,'Project Reference'!$S$2:$T$41,2),"Enter Project Number")</f>
        <v>Enter Project Number</v>
      </c>
      <c r="L1072" s="41"/>
      <c r="M1072" s="41"/>
      <c r="N1072" s="15">
        <f t="shared" si="16"/>
        <v>0</v>
      </c>
      <c r="O1072" s="19"/>
      <c r="P1072" s="42" t="str">
        <f>IFERROR(VLOOKUP($J1072,'Project Reference'!$B$2:$C$41,2)," ")</f>
        <v xml:space="preserve"> </v>
      </c>
      <c r="Q1072" s="42" t="str">
        <f>IFERROR(VLOOKUP($J1072,'Project Reference'!$B$2:$D$41,3)," ")</f>
        <v xml:space="preserve"> </v>
      </c>
      <c r="R1072" s="42" t="str">
        <f>IFERROR(VLOOKUP($J1072,'Project Reference'!$B$2:$E$41,4)," ")</f>
        <v xml:space="preserve"> </v>
      </c>
      <c r="S1072" s="42" t="str">
        <f>IFERROR(VLOOKUP($J1072,'Project Reference'!$B$2:$F$41,5,FALSE)," ")</f>
        <v xml:space="preserve"> </v>
      </c>
      <c r="T1072" s="42" t="str">
        <f>IFERROR(VLOOKUP($J1072,'Project Reference'!$B$2:$G$41,6,FALSE)," ")</f>
        <v xml:space="preserve"> </v>
      </c>
      <c r="U1072" s="42" t="str">
        <f>IFERROR(VLOOKUP($J1072,'Project Reference'!$B$2:$H$41,7,FALSE)," ")</f>
        <v xml:space="preserve"> </v>
      </c>
      <c r="V1072" s="42" t="str">
        <f>IFERROR(VLOOKUP($J1072,'Project Reference'!$B$2:$I$41,8,FALSE)," ")</f>
        <v xml:space="preserve"> </v>
      </c>
      <c r="W1072" s="42" t="str">
        <f>IFERROR(VLOOKUP($J1072,'Project Reference'!$B$2:$J$41,9,FALSE)," ")</f>
        <v xml:space="preserve"> </v>
      </c>
      <c r="X1072" s="42" t="str">
        <f>IFERROR(VLOOKUP($J1072,'Project Reference'!$B$2:$K$41,10)," ")</f>
        <v xml:space="preserve"> </v>
      </c>
      <c r="Y1072" s="42" t="str">
        <f>IFERROR(VLOOKUP($J1072,'Project Reference'!$B$2:$L$41,11)," ")</f>
        <v xml:space="preserve"> </v>
      </c>
      <c r="Z1072" s="42" t="str">
        <f>IFERROR(VLOOKUP($J1072,'Project Reference'!$B$2:$M$41,12)," ")</f>
        <v xml:space="preserve"> </v>
      </c>
      <c r="AA1072" s="42" t="str">
        <f>IFERROR(VLOOKUP($J1072,'Project Reference'!$B$2:$N$41,13)," ")</f>
        <v xml:space="preserve"> </v>
      </c>
    </row>
    <row r="1073" spans="1:27" x14ac:dyDescent="0.45">
      <c r="A1073" s="43"/>
      <c r="B1073" s="205"/>
      <c r="C1073"/>
      <c r="D1073" s="72"/>
      <c r="E1073" s="72"/>
      <c r="F1073" s="72"/>
      <c r="G1073" s="72"/>
      <c r="H1073" s="17"/>
      <c r="I1073" s="41" t="str" cm="1">
        <f t="array" ref="I1073">IFERROR(_xlfn.IFS(H1073="Hard (Cash)","N/A",H1073="Soft (In-Kind)", "Enter Source"),"Select Type")</f>
        <v>Select Type</v>
      </c>
      <c r="J1073" s="124"/>
      <c r="K1073" s="41" t="str">
        <f>IFERROR(VLOOKUP($J1073,'Project Reference'!$S$2:$T$41,2),"Enter Project Number")</f>
        <v>Enter Project Number</v>
      </c>
      <c r="L1073" s="41"/>
      <c r="M1073" s="41"/>
      <c r="N1073" s="15">
        <f t="shared" ref="N1073:N1110" si="17">SUM(D1073:G1073)</f>
        <v>0</v>
      </c>
      <c r="O1073" s="19"/>
      <c r="P1073" s="42" t="str">
        <f>IFERROR(VLOOKUP($J1073,'Project Reference'!$B$2:$C$41,2)," ")</f>
        <v xml:space="preserve"> </v>
      </c>
      <c r="Q1073" s="42" t="str">
        <f>IFERROR(VLOOKUP($J1073,'Project Reference'!$B$2:$D$41,3)," ")</f>
        <v xml:space="preserve"> </v>
      </c>
      <c r="R1073" s="42" t="str">
        <f>IFERROR(VLOOKUP($J1073,'Project Reference'!$B$2:$E$41,4)," ")</f>
        <v xml:space="preserve"> </v>
      </c>
      <c r="S1073" s="42" t="str">
        <f>IFERROR(VLOOKUP($J1073,'Project Reference'!$B$2:$F$41,5,FALSE)," ")</f>
        <v xml:space="preserve"> </v>
      </c>
      <c r="T1073" s="42" t="str">
        <f>IFERROR(VLOOKUP($J1073,'Project Reference'!$B$2:$G$41,6,FALSE)," ")</f>
        <v xml:space="preserve"> </v>
      </c>
      <c r="U1073" s="42" t="str">
        <f>IFERROR(VLOOKUP($J1073,'Project Reference'!$B$2:$H$41,7,FALSE)," ")</f>
        <v xml:space="preserve"> </v>
      </c>
      <c r="V1073" s="42" t="str">
        <f>IFERROR(VLOOKUP($J1073,'Project Reference'!$B$2:$I$41,8,FALSE)," ")</f>
        <v xml:space="preserve"> </v>
      </c>
      <c r="W1073" s="42" t="str">
        <f>IFERROR(VLOOKUP($J1073,'Project Reference'!$B$2:$J$41,9,FALSE)," ")</f>
        <v xml:space="preserve"> </v>
      </c>
      <c r="X1073" s="42" t="str">
        <f>IFERROR(VLOOKUP($J1073,'Project Reference'!$B$2:$K$41,10)," ")</f>
        <v xml:space="preserve"> </v>
      </c>
      <c r="Y1073" s="42" t="str">
        <f>IFERROR(VLOOKUP($J1073,'Project Reference'!$B$2:$L$41,11)," ")</f>
        <v xml:space="preserve"> </v>
      </c>
      <c r="Z1073" s="42" t="str">
        <f>IFERROR(VLOOKUP($J1073,'Project Reference'!$B$2:$M$41,12)," ")</f>
        <v xml:space="preserve"> </v>
      </c>
      <c r="AA1073" s="42" t="str">
        <f>IFERROR(VLOOKUP($J1073,'Project Reference'!$B$2:$N$41,13)," ")</f>
        <v xml:space="preserve"> </v>
      </c>
    </row>
    <row r="1074" spans="1:27" x14ac:dyDescent="0.45">
      <c r="A1074" s="43"/>
      <c r="B1074" s="205"/>
      <c r="C1074"/>
      <c r="D1074" s="72"/>
      <c r="E1074" s="72"/>
      <c r="F1074" s="72"/>
      <c r="G1074" s="72"/>
      <c r="H1074" s="17"/>
      <c r="I1074" s="41" t="str" cm="1">
        <f t="array" ref="I1074">IFERROR(_xlfn.IFS(H1074="Hard (Cash)","N/A",H1074="Soft (In-Kind)", "Enter Source"),"Select Type")</f>
        <v>Select Type</v>
      </c>
      <c r="J1074" s="124"/>
      <c r="K1074" s="41" t="str">
        <f>IFERROR(VLOOKUP($J1074,'Project Reference'!$S$2:$T$41,2),"Enter Project Number")</f>
        <v>Enter Project Number</v>
      </c>
      <c r="L1074" s="41"/>
      <c r="M1074" s="41"/>
      <c r="N1074" s="15">
        <f t="shared" si="17"/>
        <v>0</v>
      </c>
      <c r="O1074" s="19"/>
      <c r="P1074" s="42" t="str">
        <f>IFERROR(VLOOKUP($J1074,'Project Reference'!$B$2:$C$41,2)," ")</f>
        <v xml:space="preserve"> </v>
      </c>
      <c r="Q1074" s="42" t="str">
        <f>IFERROR(VLOOKUP($J1074,'Project Reference'!$B$2:$D$41,3)," ")</f>
        <v xml:space="preserve"> </v>
      </c>
      <c r="R1074" s="42" t="str">
        <f>IFERROR(VLOOKUP($J1074,'Project Reference'!$B$2:$E$41,4)," ")</f>
        <v xml:space="preserve"> </v>
      </c>
      <c r="S1074" s="42" t="str">
        <f>IFERROR(VLOOKUP($J1074,'Project Reference'!$B$2:$F$41,5,FALSE)," ")</f>
        <v xml:space="preserve"> </v>
      </c>
      <c r="T1074" s="42" t="str">
        <f>IFERROR(VLOOKUP($J1074,'Project Reference'!$B$2:$G$41,6,FALSE)," ")</f>
        <v xml:space="preserve"> </v>
      </c>
      <c r="U1074" s="42" t="str">
        <f>IFERROR(VLOOKUP($J1074,'Project Reference'!$B$2:$H$41,7,FALSE)," ")</f>
        <v xml:space="preserve"> </v>
      </c>
      <c r="V1074" s="42" t="str">
        <f>IFERROR(VLOOKUP($J1074,'Project Reference'!$B$2:$I$41,8,FALSE)," ")</f>
        <v xml:space="preserve"> </v>
      </c>
      <c r="W1074" s="42" t="str">
        <f>IFERROR(VLOOKUP($J1074,'Project Reference'!$B$2:$J$41,9,FALSE)," ")</f>
        <v xml:space="preserve"> </v>
      </c>
      <c r="X1074" s="42" t="str">
        <f>IFERROR(VLOOKUP($J1074,'Project Reference'!$B$2:$K$41,10)," ")</f>
        <v xml:space="preserve"> </v>
      </c>
      <c r="Y1074" s="42" t="str">
        <f>IFERROR(VLOOKUP($J1074,'Project Reference'!$B$2:$L$41,11)," ")</f>
        <v xml:space="preserve"> </v>
      </c>
      <c r="Z1074" s="42" t="str">
        <f>IFERROR(VLOOKUP($J1074,'Project Reference'!$B$2:$M$41,12)," ")</f>
        <v xml:space="preserve"> </v>
      </c>
      <c r="AA1074" s="42" t="str">
        <f>IFERROR(VLOOKUP($J1074,'Project Reference'!$B$2:$N$41,13)," ")</f>
        <v xml:space="preserve"> </v>
      </c>
    </row>
    <row r="1075" spans="1:27" x14ac:dyDescent="0.45">
      <c r="A1075" s="43"/>
      <c r="B1075" s="205"/>
      <c r="C1075"/>
      <c r="D1075" s="72"/>
      <c r="E1075" s="72"/>
      <c r="F1075" s="72"/>
      <c r="G1075" s="72"/>
      <c r="H1075" s="17"/>
      <c r="I1075" s="41" t="str" cm="1">
        <f t="array" ref="I1075">IFERROR(_xlfn.IFS(H1075="Hard (Cash)","N/A",H1075="Soft (In-Kind)", "Enter Source"),"Select Type")</f>
        <v>Select Type</v>
      </c>
      <c r="J1075" s="124"/>
      <c r="K1075" s="41" t="str">
        <f>IFERROR(VLOOKUP($J1075,'Project Reference'!$S$2:$T$41,2),"Enter Project Number")</f>
        <v>Enter Project Number</v>
      </c>
      <c r="L1075" s="41"/>
      <c r="M1075" s="41"/>
      <c r="N1075" s="15">
        <f t="shared" si="17"/>
        <v>0</v>
      </c>
      <c r="O1075" s="19"/>
      <c r="P1075" s="42" t="str">
        <f>IFERROR(VLOOKUP($J1075,'Project Reference'!$B$2:$C$41,2)," ")</f>
        <v xml:space="preserve"> </v>
      </c>
      <c r="Q1075" s="42" t="str">
        <f>IFERROR(VLOOKUP($J1075,'Project Reference'!$B$2:$D$41,3)," ")</f>
        <v xml:space="preserve"> </v>
      </c>
      <c r="R1075" s="42" t="str">
        <f>IFERROR(VLOOKUP($J1075,'Project Reference'!$B$2:$E$41,4)," ")</f>
        <v xml:space="preserve"> </v>
      </c>
      <c r="S1075" s="42" t="str">
        <f>IFERROR(VLOOKUP($J1075,'Project Reference'!$B$2:$F$41,5,FALSE)," ")</f>
        <v xml:space="preserve"> </v>
      </c>
      <c r="T1075" s="42" t="str">
        <f>IFERROR(VLOOKUP($J1075,'Project Reference'!$B$2:$G$41,6,FALSE)," ")</f>
        <v xml:space="preserve"> </v>
      </c>
      <c r="U1075" s="42" t="str">
        <f>IFERROR(VLOOKUP($J1075,'Project Reference'!$B$2:$H$41,7,FALSE)," ")</f>
        <v xml:space="preserve"> </v>
      </c>
      <c r="V1075" s="42" t="str">
        <f>IFERROR(VLOOKUP($J1075,'Project Reference'!$B$2:$I$41,8,FALSE)," ")</f>
        <v xml:space="preserve"> </v>
      </c>
      <c r="W1075" s="42" t="str">
        <f>IFERROR(VLOOKUP($J1075,'Project Reference'!$B$2:$J$41,9,FALSE)," ")</f>
        <v xml:space="preserve"> </v>
      </c>
      <c r="X1075" s="42" t="str">
        <f>IFERROR(VLOOKUP($J1075,'Project Reference'!$B$2:$K$41,10)," ")</f>
        <v xml:space="preserve"> </v>
      </c>
      <c r="Y1075" s="42" t="str">
        <f>IFERROR(VLOOKUP($J1075,'Project Reference'!$B$2:$L$41,11)," ")</f>
        <v xml:space="preserve"> </v>
      </c>
      <c r="Z1075" s="42" t="str">
        <f>IFERROR(VLOOKUP($J1075,'Project Reference'!$B$2:$M$41,12)," ")</f>
        <v xml:space="preserve"> </v>
      </c>
      <c r="AA1075" s="42" t="str">
        <f>IFERROR(VLOOKUP($J1075,'Project Reference'!$B$2:$N$41,13)," ")</f>
        <v xml:space="preserve"> </v>
      </c>
    </row>
    <row r="1076" spans="1:27" x14ac:dyDescent="0.45">
      <c r="A1076" s="43"/>
      <c r="B1076" s="205"/>
      <c r="C1076"/>
      <c r="D1076" s="72"/>
      <c r="E1076" s="72"/>
      <c r="F1076" s="72"/>
      <c r="G1076" s="72"/>
      <c r="H1076" s="17"/>
      <c r="I1076" s="41" t="str" cm="1">
        <f t="array" ref="I1076">IFERROR(_xlfn.IFS(H1076="Hard (Cash)","N/A",H1076="Soft (In-Kind)", "Enter Source"),"Select Type")</f>
        <v>Select Type</v>
      </c>
      <c r="J1076" s="124"/>
      <c r="K1076" s="41" t="str">
        <f>IFERROR(VLOOKUP($J1076,'Project Reference'!$S$2:$T$41,2),"Enter Project Number")</f>
        <v>Enter Project Number</v>
      </c>
      <c r="L1076" s="41"/>
      <c r="M1076" s="41"/>
      <c r="N1076" s="15">
        <f t="shared" si="17"/>
        <v>0</v>
      </c>
      <c r="O1076" s="19"/>
      <c r="P1076" s="42" t="str">
        <f>IFERROR(VLOOKUP($J1076,'Project Reference'!$B$2:$C$41,2)," ")</f>
        <v xml:space="preserve"> </v>
      </c>
      <c r="Q1076" s="42" t="str">
        <f>IFERROR(VLOOKUP($J1076,'Project Reference'!$B$2:$D$41,3)," ")</f>
        <v xml:space="preserve"> </v>
      </c>
      <c r="R1076" s="42" t="str">
        <f>IFERROR(VLOOKUP($J1076,'Project Reference'!$B$2:$E$41,4)," ")</f>
        <v xml:space="preserve"> </v>
      </c>
      <c r="S1076" s="42" t="str">
        <f>IFERROR(VLOOKUP($J1076,'Project Reference'!$B$2:$F$41,5,FALSE)," ")</f>
        <v xml:space="preserve"> </v>
      </c>
      <c r="T1076" s="42" t="str">
        <f>IFERROR(VLOOKUP($J1076,'Project Reference'!$B$2:$G$41,6,FALSE)," ")</f>
        <v xml:space="preserve"> </v>
      </c>
      <c r="U1076" s="42" t="str">
        <f>IFERROR(VLOOKUP($J1076,'Project Reference'!$B$2:$H$41,7,FALSE)," ")</f>
        <v xml:space="preserve"> </v>
      </c>
      <c r="V1076" s="42" t="str">
        <f>IFERROR(VLOOKUP($J1076,'Project Reference'!$B$2:$I$41,8,FALSE)," ")</f>
        <v xml:space="preserve"> </v>
      </c>
      <c r="W1076" s="42" t="str">
        <f>IFERROR(VLOOKUP($J1076,'Project Reference'!$B$2:$J$41,9,FALSE)," ")</f>
        <v xml:space="preserve"> </v>
      </c>
      <c r="X1076" s="42" t="str">
        <f>IFERROR(VLOOKUP($J1076,'Project Reference'!$B$2:$K$41,10)," ")</f>
        <v xml:space="preserve"> </v>
      </c>
      <c r="Y1076" s="42" t="str">
        <f>IFERROR(VLOOKUP($J1076,'Project Reference'!$B$2:$L$41,11)," ")</f>
        <v xml:space="preserve"> </v>
      </c>
      <c r="Z1076" s="42" t="str">
        <f>IFERROR(VLOOKUP($J1076,'Project Reference'!$B$2:$M$41,12)," ")</f>
        <v xml:space="preserve"> </v>
      </c>
      <c r="AA1076" s="42" t="str">
        <f>IFERROR(VLOOKUP($J1076,'Project Reference'!$B$2:$N$41,13)," ")</f>
        <v xml:space="preserve"> </v>
      </c>
    </row>
    <row r="1077" spans="1:27" x14ac:dyDescent="0.45">
      <c r="A1077" s="43"/>
      <c r="B1077" s="205"/>
      <c r="C1077"/>
      <c r="D1077" s="72"/>
      <c r="E1077" s="72"/>
      <c r="F1077" s="72"/>
      <c r="G1077" s="72"/>
      <c r="H1077" s="17"/>
      <c r="I1077" s="41" t="str" cm="1">
        <f t="array" ref="I1077">IFERROR(_xlfn.IFS(H1077="Hard (Cash)","N/A",H1077="Soft (In-Kind)", "Enter Source"),"Select Type")</f>
        <v>Select Type</v>
      </c>
      <c r="J1077" s="124"/>
      <c r="K1077" s="41" t="str">
        <f>IFERROR(VLOOKUP($J1077,'Project Reference'!$S$2:$T$41,2),"Enter Project Number")</f>
        <v>Enter Project Number</v>
      </c>
      <c r="L1077" s="41"/>
      <c r="M1077" s="41"/>
      <c r="N1077" s="15">
        <f t="shared" si="17"/>
        <v>0</v>
      </c>
      <c r="O1077" s="19"/>
      <c r="P1077" s="42" t="str">
        <f>IFERROR(VLOOKUP($J1077,'Project Reference'!$B$2:$C$41,2)," ")</f>
        <v xml:space="preserve"> </v>
      </c>
      <c r="Q1077" s="42" t="str">
        <f>IFERROR(VLOOKUP($J1077,'Project Reference'!$B$2:$D$41,3)," ")</f>
        <v xml:space="preserve"> </v>
      </c>
      <c r="R1077" s="42" t="str">
        <f>IFERROR(VLOOKUP($J1077,'Project Reference'!$B$2:$E$41,4)," ")</f>
        <v xml:space="preserve"> </v>
      </c>
      <c r="S1077" s="42" t="str">
        <f>IFERROR(VLOOKUP($J1077,'Project Reference'!$B$2:$F$41,5,FALSE)," ")</f>
        <v xml:space="preserve"> </v>
      </c>
      <c r="T1077" s="42" t="str">
        <f>IFERROR(VLOOKUP($J1077,'Project Reference'!$B$2:$G$41,6,FALSE)," ")</f>
        <v xml:space="preserve"> </v>
      </c>
      <c r="U1077" s="42" t="str">
        <f>IFERROR(VLOOKUP($J1077,'Project Reference'!$B$2:$H$41,7,FALSE)," ")</f>
        <v xml:space="preserve"> </v>
      </c>
      <c r="V1077" s="42" t="str">
        <f>IFERROR(VLOOKUP($J1077,'Project Reference'!$B$2:$I$41,8,FALSE)," ")</f>
        <v xml:space="preserve"> </v>
      </c>
      <c r="W1077" s="42" t="str">
        <f>IFERROR(VLOOKUP($J1077,'Project Reference'!$B$2:$J$41,9,FALSE)," ")</f>
        <v xml:space="preserve"> </v>
      </c>
      <c r="X1077" s="42" t="str">
        <f>IFERROR(VLOOKUP($J1077,'Project Reference'!$B$2:$K$41,10)," ")</f>
        <v xml:space="preserve"> </v>
      </c>
      <c r="Y1077" s="42" t="str">
        <f>IFERROR(VLOOKUP($J1077,'Project Reference'!$B$2:$L$41,11)," ")</f>
        <v xml:space="preserve"> </v>
      </c>
      <c r="Z1077" s="42" t="str">
        <f>IFERROR(VLOOKUP($J1077,'Project Reference'!$B$2:$M$41,12)," ")</f>
        <v xml:space="preserve"> </v>
      </c>
      <c r="AA1077" s="42" t="str">
        <f>IFERROR(VLOOKUP($J1077,'Project Reference'!$B$2:$N$41,13)," ")</f>
        <v xml:space="preserve"> </v>
      </c>
    </row>
    <row r="1078" spans="1:27" x14ac:dyDescent="0.45">
      <c r="A1078" s="43"/>
      <c r="B1078" s="205"/>
      <c r="C1078"/>
      <c r="D1078" s="72"/>
      <c r="E1078" s="72"/>
      <c r="F1078" s="72"/>
      <c r="G1078" s="72"/>
      <c r="H1078" s="17"/>
      <c r="I1078" s="41" t="str" cm="1">
        <f t="array" ref="I1078">IFERROR(_xlfn.IFS(H1078="Hard (Cash)","N/A",H1078="Soft (In-Kind)", "Enter Source"),"Select Type")</f>
        <v>Select Type</v>
      </c>
      <c r="J1078" s="124"/>
      <c r="K1078" s="41" t="str">
        <f>IFERROR(VLOOKUP($J1078,'Project Reference'!$S$2:$T$41,2),"Enter Project Number")</f>
        <v>Enter Project Number</v>
      </c>
      <c r="L1078" s="41"/>
      <c r="M1078" s="41"/>
      <c r="N1078" s="15">
        <f t="shared" si="17"/>
        <v>0</v>
      </c>
      <c r="O1078" s="19"/>
      <c r="P1078" s="42" t="str">
        <f>IFERROR(VLOOKUP($J1078,'Project Reference'!$B$2:$C$41,2)," ")</f>
        <v xml:space="preserve"> </v>
      </c>
      <c r="Q1078" s="42" t="str">
        <f>IFERROR(VLOOKUP($J1078,'Project Reference'!$B$2:$D$41,3)," ")</f>
        <v xml:space="preserve"> </v>
      </c>
      <c r="R1078" s="42" t="str">
        <f>IFERROR(VLOOKUP($J1078,'Project Reference'!$B$2:$E$41,4)," ")</f>
        <v xml:space="preserve"> </v>
      </c>
      <c r="S1078" s="42" t="str">
        <f>IFERROR(VLOOKUP($J1078,'Project Reference'!$B$2:$F$41,5,FALSE)," ")</f>
        <v xml:space="preserve"> </v>
      </c>
      <c r="T1078" s="42" t="str">
        <f>IFERROR(VLOOKUP($J1078,'Project Reference'!$B$2:$G$41,6,FALSE)," ")</f>
        <v xml:space="preserve"> </v>
      </c>
      <c r="U1078" s="42" t="str">
        <f>IFERROR(VLOOKUP($J1078,'Project Reference'!$B$2:$H$41,7,FALSE)," ")</f>
        <v xml:space="preserve"> </v>
      </c>
      <c r="V1078" s="42" t="str">
        <f>IFERROR(VLOOKUP($J1078,'Project Reference'!$B$2:$I$41,8,FALSE)," ")</f>
        <v xml:space="preserve"> </v>
      </c>
      <c r="W1078" s="42" t="str">
        <f>IFERROR(VLOOKUP($J1078,'Project Reference'!$B$2:$J$41,9,FALSE)," ")</f>
        <v xml:space="preserve"> </v>
      </c>
      <c r="X1078" s="42" t="str">
        <f>IFERROR(VLOOKUP($J1078,'Project Reference'!$B$2:$K$41,10)," ")</f>
        <v xml:space="preserve"> </v>
      </c>
      <c r="Y1078" s="42" t="str">
        <f>IFERROR(VLOOKUP($J1078,'Project Reference'!$B$2:$L$41,11)," ")</f>
        <v xml:space="preserve"> </v>
      </c>
      <c r="Z1078" s="42" t="str">
        <f>IFERROR(VLOOKUP($J1078,'Project Reference'!$B$2:$M$41,12)," ")</f>
        <v xml:space="preserve"> </v>
      </c>
      <c r="AA1078" s="42" t="str">
        <f>IFERROR(VLOOKUP($J1078,'Project Reference'!$B$2:$N$41,13)," ")</f>
        <v xml:space="preserve"> </v>
      </c>
    </row>
    <row r="1079" spans="1:27" x14ac:dyDescent="0.45">
      <c r="A1079" s="43"/>
      <c r="B1079" s="205"/>
      <c r="C1079"/>
      <c r="D1079" s="72"/>
      <c r="E1079" s="72"/>
      <c r="F1079" s="72"/>
      <c r="G1079" s="72"/>
      <c r="H1079" s="17"/>
      <c r="I1079" s="41" t="str" cm="1">
        <f t="array" ref="I1079">IFERROR(_xlfn.IFS(H1079="Hard (Cash)","N/A",H1079="Soft (In-Kind)", "Enter Source"),"Select Type")</f>
        <v>Select Type</v>
      </c>
      <c r="J1079" s="124"/>
      <c r="K1079" s="41" t="str">
        <f>IFERROR(VLOOKUP($J1079,'Project Reference'!$S$2:$T$41,2),"Enter Project Number")</f>
        <v>Enter Project Number</v>
      </c>
      <c r="L1079" s="41"/>
      <c r="M1079" s="41"/>
      <c r="N1079" s="15">
        <f t="shared" si="17"/>
        <v>0</v>
      </c>
      <c r="O1079" s="19"/>
      <c r="P1079" s="42" t="str">
        <f>IFERROR(VLOOKUP($J1079,'Project Reference'!$B$2:$C$41,2)," ")</f>
        <v xml:space="preserve"> </v>
      </c>
      <c r="Q1079" s="42" t="str">
        <f>IFERROR(VLOOKUP($J1079,'Project Reference'!$B$2:$D$41,3)," ")</f>
        <v xml:space="preserve"> </v>
      </c>
      <c r="R1079" s="42" t="str">
        <f>IFERROR(VLOOKUP($J1079,'Project Reference'!$B$2:$E$41,4)," ")</f>
        <v xml:space="preserve"> </v>
      </c>
      <c r="S1079" s="42" t="str">
        <f>IFERROR(VLOOKUP($J1079,'Project Reference'!$B$2:$F$41,5,FALSE)," ")</f>
        <v xml:space="preserve"> </v>
      </c>
      <c r="T1079" s="42" t="str">
        <f>IFERROR(VLOOKUP($J1079,'Project Reference'!$B$2:$G$41,6,FALSE)," ")</f>
        <v xml:space="preserve"> </v>
      </c>
      <c r="U1079" s="42" t="str">
        <f>IFERROR(VLOOKUP($J1079,'Project Reference'!$B$2:$H$41,7,FALSE)," ")</f>
        <v xml:space="preserve"> </v>
      </c>
      <c r="V1079" s="42" t="str">
        <f>IFERROR(VLOOKUP($J1079,'Project Reference'!$B$2:$I$41,8,FALSE)," ")</f>
        <v xml:space="preserve"> </v>
      </c>
      <c r="W1079" s="42" t="str">
        <f>IFERROR(VLOOKUP($J1079,'Project Reference'!$B$2:$J$41,9,FALSE)," ")</f>
        <v xml:space="preserve"> </v>
      </c>
      <c r="X1079" s="42" t="str">
        <f>IFERROR(VLOOKUP($J1079,'Project Reference'!$B$2:$K$41,10)," ")</f>
        <v xml:space="preserve"> </v>
      </c>
      <c r="Y1079" s="42" t="str">
        <f>IFERROR(VLOOKUP($J1079,'Project Reference'!$B$2:$L$41,11)," ")</f>
        <v xml:space="preserve"> </v>
      </c>
      <c r="Z1079" s="42" t="str">
        <f>IFERROR(VLOOKUP($J1079,'Project Reference'!$B$2:$M$41,12)," ")</f>
        <v xml:space="preserve"> </v>
      </c>
      <c r="AA1079" s="42" t="str">
        <f>IFERROR(VLOOKUP($J1079,'Project Reference'!$B$2:$N$41,13)," ")</f>
        <v xml:space="preserve"> </v>
      </c>
    </row>
    <row r="1080" spans="1:27" x14ac:dyDescent="0.45">
      <c r="A1080" s="43"/>
      <c r="B1080" s="205"/>
      <c r="C1080"/>
      <c r="D1080" s="72"/>
      <c r="E1080" s="72"/>
      <c r="F1080" s="72"/>
      <c r="G1080" s="72"/>
      <c r="H1080" s="17"/>
      <c r="I1080" s="41" t="str" cm="1">
        <f t="array" ref="I1080">IFERROR(_xlfn.IFS(H1080="Hard (Cash)","N/A",H1080="Soft (In-Kind)", "Enter Source"),"Select Type")</f>
        <v>Select Type</v>
      </c>
      <c r="J1080" s="124"/>
      <c r="K1080" s="41" t="str">
        <f>IFERROR(VLOOKUP($J1080,'Project Reference'!$S$2:$T$41,2),"Enter Project Number")</f>
        <v>Enter Project Number</v>
      </c>
      <c r="L1080" s="41"/>
      <c r="M1080" s="41"/>
      <c r="N1080" s="15">
        <f t="shared" si="17"/>
        <v>0</v>
      </c>
      <c r="O1080" s="19"/>
      <c r="P1080" s="42" t="str">
        <f>IFERROR(VLOOKUP($J1080,'Project Reference'!$B$2:$C$41,2)," ")</f>
        <v xml:space="preserve"> </v>
      </c>
      <c r="Q1080" s="42" t="str">
        <f>IFERROR(VLOOKUP($J1080,'Project Reference'!$B$2:$D$41,3)," ")</f>
        <v xml:space="preserve"> </v>
      </c>
      <c r="R1080" s="42" t="str">
        <f>IFERROR(VLOOKUP($J1080,'Project Reference'!$B$2:$E$41,4)," ")</f>
        <v xml:space="preserve"> </v>
      </c>
      <c r="S1080" s="42" t="str">
        <f>IFERROR(VLOOKUP($J1080,'Project Reference'!$B$2:$F$41,5,FALSE)," ")</f>
        <v xml:space="preserve"> </v>
      </c>
      <c r="T1080" s="42" t="str">
        <f>IFERROR(VLOOKUP($J1080,'Project Reference'!$B$2:$G$41,6,FALSE)," ")</f>
        <v xml:space="preserve"> </v>
      </c>
      <c r="U1080" s="42" t="str">
        <f>IFERROR(VLOOKUP($J1080,'Project Reference'!$B$2:$H$41,7,FALSE)," ")</f>
        <v xml:space="preserve"> </v>
      </c>
      <c r="V1080" s="42" t="str">
        <f>IFERROR(VLOOKUP($J1080,'Project Reference'!$B$2:$I$41,8,FALSE)," ")</f>
        <v xml:space="preserve"> </v>
      </c>
      <c r="W1080" s="42" t="str">
        <f>IFERROR(VLOOKUP($J1080,'Project Reference'!$B$2:$J$41,9,FALSE)," ")</f>
        <v xml:space="preserve"> </v>
      </c>
      <c r="X1080" s="42" t="str">
        <f>IFERROR(VLOOKUP($J1080,'Project Reference'!$B$2:$K$41,10)," ")</f>
        <v xml:space="preserve"> </v>
      </c>
      <c r="Y1080" s="42" t="str">
        <f>IFERROR(VLOOKUP($J1080,'Project Reference'!$B$2:$L$41,11)," ")</f>
        <v xml:space="preserve"> </v>
      </c>
      <c r="Z1080" s="42" t="str">
        <f>IFERROR(VLOOKUP($J1080,'Project Reference'!$B$2:$M$41,12)," ")</f>
        <v xml:space="preserve"> </v>
      </c>
      <c r="AA1080" s="42" t="str">
        <f>IFERROR(VLOOKUP($J1080,'Project Reference'!$B$2:$N$41,13)," ")</f>
        <v xml:space="preserve"> </v>
      </c>
    </row>
    <row r="1081" spans="1:27" x14ac:dyDescent="0.45">
      <c r="A1081" s="43"/>
      <c r="B1081" s="205"/>
      <c r="C1081"/>
      <c r="D1081" s="72"/>
      <c r="E1081" s="72"/>
      <c r="F1081" s="72"/>
      <c r="G1081" s="72"/>
      <c r="H1081" s="17"/>
      <c r="I1081" s="41" t="str" cm="1">
        <f t="array" ref="I1081">IFERROR(_xlfn.IFS(H1081="Hard (Cash)","N/A",H1081="Soft (In-Kind)", "Enter Source"),"Select Type")</f>
        <v>Select Type</v>
      </c>
      <c r="J1081" s="124"/>
      <c r="K1081" s="41" t="str">
        <f>IFERROR(VLOOKUP($J1081,'Project Reference'!$S$2:$T$41,2),"Enter Project Number")</f>
        <v>Enter Project Number</v>
      </c>
      <c r="L1081" s="41"/>
      <c r="M1081" s="41"/>
      <c r="N1081" s="15">
        <f t="shared" si="17"/>
        <v>0</v>
      </c>
      <c r="O1081" s="19"/>
      <c r="P1081" s="42" t="str">
        <f>IFERROR(VLOOKUP($J1081,'Project Reference'!$B$2:$C$41,2)," ")</f>
        <v xml:space="preserve"> </v>
      </c>
      <c r="Q1081" s="42" t="str">
        <f>IFERROR(VLOOKUP($J1081,'Project Reference'!$B$2:$D$41,3)," ")</f>
        <v xml:space="preserve"> </v>
      </c>
      <c r="R1081" s="42" t="str">
        <f>IFERROR(VLOOKUP($J1081,'Project Reference'!$B$2:$E$41,4)," ")</f>
        <v xml:space="preserve"> </v>
      </c>
      <c r="S1081" s="42" t="str">
        <f>IFERROR(VLOOKUP($J1081,'Project Reference'!$B$2:$F$41,5,FALSE)," ")</f>
        <v xml:space="preserve"> </v>
      </c>
      <c r="T1081" s="42" t="str">
        <f>IFERROR(VLOOKUP($J1081,'Project Reference'!$B$2:$G$41,6,FALSE)," ")</f>
        <v xml:space="preserve"> </v>
      </c>
      <c r="U1081" s="42" t="str">
        <f>IFERROR(VLOOKUP($J1081,'Project Reference'!$B$2:$H$41,7,FALSE)," ")</f>
        <v xml:space="preserve"> </v>
      </c>
      <c r="V1081" s="42" t="str">
        <f>IFERROR(VLOOKUP($J1081,'Project Reference'!$B$2:$I$41,8,FALSE)," ")</f>
        <v xml:space="preserve"> </v>
      </c>
      <c r="W1081" s="42" t="str">
        <f>IFERROR(VLOOKUP($J1081,'Project Reference'!$B$2:$J$41,9,FALSE)," ")</f>
        <v xml:space="preserve"> </v>
      </c>
      <c r="X1081" s="42" t="str">
        <f>IFERROR(VLOOKUP($J1081,'Project Reference'!$B$2:$K$41,10)," ")</f>
        <v xml:space="preserve"> </v>
      </c>
      <c r="Y1081" s="42" t="str">
        <f>IFERROR(VLOOKUP($J1081,'Project Reference'!$B$2:$L$41,11)," ")</f>
        <v xml:space="preserve"> </v>
      </c>
      <c r="Z1081" s="42" t="str">
        <f>IFERROR(VLOOKUP($J1081,'Project Reference'!$B$2:$M$41,12)," ")</f>
        <v xml:space="preserve"> </v>
      </c>
      <c r="AA1081" s="42" t="str">
        <f>IFERROR(VLOOKUP($J1081,'Project Reference'!$B$2:$N$41,13)," ")</f>
        <v xml:space="preserve"> </v>
      </c>
    </row>
    <row r="1082" spans="1:27" x14ac:dyDescent="0.45">
      <c r="A1082" s="43"/>
      <c r="B1082" s="205"/>
      <c r="C1082"/>
      <c r="D1082" s="72"/>
      <c r="E1082" s="72"/>
      <c r="F1082" s="72"/>
      <c r="G1082" s="72"/>
      <c r="H1082" s="17"/>
      <c r="I1082" s="41" t="str" cm="1">
        <f t="array" ref="I1082">IFERROR(_xlfn.IFS(H1082="Hard (Cash)","N/A",H1082="Soft (In-Kind)", "Enter Source"),"Select Type")</f>
        <v>Select Type</v>
      </c>
      <c r="J1082" s="124"/>
      <c r="K1082" s="41" t="str">
        <f>IFERROR(VLOOKUP($J1082,'Project Reference'!$S$2:$T$41,2),"Enter Project Number")</f>
        <v>Enter Project Number</v>
      </c>
      <c r="L1082" s="41"/>
      <c r="M1082" s="41"/>
      <c r="N1082" s="15">
        <f t="shared" si="17"/>
        <v>0</v>
      </c>
      <c r="O1082" s="19"/>
      <c r="P1082" s="42" t="str">
        <f>IFERROR(VLOOKUP($J1082,'Project Reference'!$B$2:$C$41,2)," ")</f>
        <v xml:space="preserve"> </v>
      </c>
      <c r="Q1082" s="42" t="str">
        <f>IFERROR(VLOOKUP($J1082,'Project Reference'!$B$2:$D$41,3)," ")</f>
        <v xml:space="preserve"> </v>
      </c>
      <c r="R1082" s="42" t="str">
        <f>IFERROR(VLOOKUP($J1082,'Project Reference'!$B$2:$E$41,4)," ")</f>
        <v xml:space="preserve"> </v>
      </c>
      <c r="S1082" s="42" t="str">
        <f>IFERROR(VLOOKUP($J1082,'Project Reference'!$B$2:$F$41,5,FALSE)," ")</f>
        <v xml:space="preserve"> </v>
      </c>
      <c r="T1082" s="42" t="str">
        <f>IFERROR(VLOOKUP($J1082,'Project Reference'!$B$2:$G$41,6,FALSE)," ")</f>
        <v xml:space="preserve"> </v>
      </c>
      <c r="U1082" s="42" t="str">
        <f>IFERROR(VLOOKUP($J1082,'Project Reference'!$B$2:$H$41,7,FALSE)," ")</f>
        <v xml:space="preserve"> </v>
      </c>
      <c r="V1082" s="42" t="str">
        <f>IFERROR(VLOOKUP($J1082,'Project Reference'!$B$2:$I$41,8,FALSE)," ")</f>
        <v xml:space="preserve"> </v>
      </c>
      <c r="W1082" s="42" t="str">
        <f>IFERROR(VLOOKUP($J1082,'Project Reference'!$B$2:$J$41,9,FALSE)," ")</f>
        <v xml:space="preserve"> </v>
      </c>
      <c r="X1082" s="42" t="str">
        <f>IFERROR(VLOOKUP($J1082,'Project Reference'!$B$2:$K$41,10)," ")</f>
        <v xml:space="preserve"> </v>
      </c>
      <c r="Y1082" s="42" t="str">
        <f>IFERROR(VLOOKUP($J1082,'Project Reference'!$B$2:$L$41,11)," ")</f>
        <v xml:space="preserve"> </v>
      </c>
      <c r="Z1082" s="42" t="str">
        <f>IFERROR(VLOOKUP($J1082,'Project Reference'!$B$2:$M$41,12)," ")</f>
        <v xml:space="preserve"> </v>
      </c>
      <c r="AA1082" s="42" t="str">
        <f>IFERROR(VLOOKUP($J1082,'Project Reference'!$B$2:$N$41,13)," ")</f>
        <v xml:space="preserve"> </v>
      </c>
    </row>
    <row r="1083" spans="1:27" x14ac:dyDescent="0.45">
      <c r="A1083" s="43"/>
      <c r="B1083" s="205"/>
      <c r="C1083"/>
      <c r="D1083" s="72"/>
      <c r="E1083" s="72"/>
      <c r="F1083" s="72"/>
      <c r="G1083" s="72"/>
      <c r="H1083" s="17"/>
      <c r="I1083" s="41" t="str" cm="1">
        <f t="array" ref="I1083">IFERROR(_xlfn.IFS(H1083="Hard (Cash)","N/A",H1083="Soft (In-Kind)", "Enter Source"),"Select Type")</f>
        <v>Select Type</v>
      </c>
      <c r="J1083" s="124"/>
      <c r="K1083" s="41" t="str">
        <f>IFERROR(VLOOKUP($J1083,'Project Reference'!$S$2:$T$41,2),"Enter Project Number")</f>
        <v>Enter Project Number</v>
      </c>
      <c r="L1083" s="41"/>
      <c r="M1083" s="41"/>
      <c r="N1083" s="15">
        <f t="shared" si="17"/>
        <v>0</v>
      </c>
      <c r="O1083" s="19"/>
      <c r="P1083" s="42" t="str">
        <f>IFERROR(VLOOKUP($J1083,'Project Reference'!$B$2:$C$41,2)," ")</f>
        <v xml:space="preserve"> </v>
      </c>
      <c r="Q1083" s="42" t="str">
        <f>IFERROR(VLOOKUP($J1083,'Project Reference'!$B$2:$D$41,3)," ")</f>
        <v xml:space="preserve"> </v>
      </c>
      <c r="R1083" s="42" t="str">
        <f>IFERROR(VLOOKUP($J1083,'Project Reference'!$B$2:$E$41,4)," ")</f>
        <v xml:space="preserve"> </v>
      </c>
      <c r="S1083" s="42" t="str">
        <f>IFERROR(VLOOKUP($J1083,'Project Reference'!$B$2:$F$41,5,FALSE)," ")</f>
        <v xml:space="preserve"> </v>
      </c>
      <c r="T1083" s="42" t="str">
        <f>IFERROR(VLOOKUP($J1083,'Project Reference'!$B$2:$G$41,6,FALSE)," ")</f>
        <v xml:space="preserve"> </v>
      </c>
      <c r="U1083" s="42" t="str">
        <f>IFERROR(VLOOKUP($J1083,'Project Reference'!$B$2:$H$41,7,FALSE)," ")</f>
        <v xml:space="preserve"> </v>
      </c>
      <c r="V1083" s="42" t="str">
        <f>IFERROR(VLOOKUP($J1083,'Project Reference'!$B$2:$I$41,8,FALSE)," ")</f>
        <v xml:space="preserve"> </v>
      </c>
      <c r="W1083" s="42" t="str">
        <f>IFERROR(VLOOKUP($J1083,'Project Reference'!$B$2:$J$41,9,FALSE)," ")</f>
        <v xml:space="preserve"> </v>
      </c>
      <c r="X1083" s="42" t="str">
        <f>IFERROR(VLOOKUP($J1083,'Project Reference'!$B$2:$K$41,10)," ")</f>
        <v xml:space="preserve"> </v>
      </c>
      <c r="Y1083" s="42" t="str">
        <f>IFERROR(VLOOKUP($J1083,'Project Reference'!$B$2:$L$41,11)," ")</f>
        <v xml:space="preserve"> </v>
      </c>
      <c r="Z1083" s="42" t="str">
        <f>IFERROR(VLOOKUP($J1083,'Project Reference'!$B$2:$M$41,12)," ")</f>
        <v xml:space="preserve"> </v>
      </c>
      <c r="AA1083" s="42" t="str">
        <f>IFERROR(VLOOKUP($J1083,'Project Reference'!$B$2:$N$41,13)," ")</f>
        <v xml:space="preserve"> </v>
      </c>
    </row>
    <row r="1084" spans="1:27" x14ac:dyDescent="0.45">
      <c r="A1084" s="43"/>
      <c r="B1084" s="205"/>
      <c r="C1084"/>
      <c r="D1084" s="72"/>
      <c r="E1084" s="72"/>
      <c r="F1084" s="72"/>
      <c r="G1084" s="72"/>
      <c r="H1084" s="17"/>
      <c r="I1084" s="41" t="str" cm="1">
        <f t="array" ref="I1084">IFERROR(_xlfn.IFS(H1084="Hard (Cash)","N/A",H1084="Soft (In-Kind)", "Enter Source"),"Select Type")</f>
        <v>Select Type</v>
      </c>
      <c r="J1084" s="124"/>
      <c r="K1084" s="41" t="str">
        <f>IFERROR(VLOOKUP($J1084,'Project Reference'!$S$2:$T$41,2),"Enter Project Number")</f>
        <v>Enter Project Number</v>
      </c>
      <c r="L1084" s="41"/>
      <c r="M1084" s="41"/>
      <c r="N1084" s="15">
        <f t="shared" si="17"/>
        <v>0</v>
      </c>
      <c r="O1084" s="19"/>
      <c r="P1084" s="42" t="str">
        <f>IFERROR(VLOOKUP($J1084,'Project Reference'!$B$2:$C$41,2)," ")</f>
        <v xml:space="preserve"> </v>
      </c>
      <c r="Q1084" s="42" t="str">
        <f>IFERROR(VLOOKUP($J1084,'Project Reference'!$B$2:$D$41,3)," ")</f>
        <v xml:space="preserve"> </v>
      </c>
      <c r="R1084" s="42" t="str">
        <f>IFERROR(VLOOKUP($J1084,'Project Reference'!$B$2:$E$41,4)," ")</f>
        <v xml:space="preserve"> </v>
      </c>
      <c r="S1084" s="42" t="str">
        <f>IFERROR(VLOOKUP($J1084,'Project Reference'!$B$2:$F$41,5,FALSE)," ")</f>
        <v xml:space="preserve"> </v>
      </c>
      <c r="T1084" s="42" t="str">
        <f>IFERROR(VLOOKUP($J1084,'Project Reference'!$B$2:$G$41,6,FALSE)," ")</f>
        <v xml:space="preserve"> </v>
      </c>
      <c r="U1084" s="42" t="str">
        <f>IFERROR(VLOOKUP($J1084,'Project Reference'!$B$2:$H$41,7,FALSE)," ")</f>
        <v xml:space="preserve"> </v>
      </c>
      <c r="V1084" s="42" t="str">
        <f>IFERROR(VLOOKUP($J1084,'Project Reference'!$B$2:$I$41,8,FALSE)," ")</f>
        <v xml:space="preserve"> </v>
      </c>
      <c r="W1084" s="42" t="str">
        <f>IFERROR(VLOOKUP($J1084,'Project Reference'!$B$2:$J$41,9,FALSE)," ")</f>
        <v xml:space="preserve"> </v>
      </c>
      <c r="X1084" s="42" t="str">
        <f>IFERROR(VLOOKUP($J1084,'Project Reference'!$B$2:$K$41,10)," ")</f>
        <v xml:space="preserve"> </v>
      </c>
      <c r="Y1084" s="42" t="str">
        <f>IFERROR(VLOOKUP($J1084,'Project Reference'!$B$2:$L$41,11)," ")</f>
        <v xml:space="preserve"> </v>
      </c>
      <c r="Z1084" s="42" t="str">
        <f>IFERROR(VLOOKUP($J1084,'Project Reference'!$B$2:$M$41,12)," ")</f>
        <v xml:space="preserve"> </v>
      </c>
      <c r="AA1084" s="42" t="str">
        <f>IFERROR(VLOOKUP($J1084,'Project Reference'!$B$2:$N$41,13)," ")</f>
        <v xml:space="preserve"> </v>
      </c>
    </row>
    <row r="1085" spans="1:27" x14ac:dyDescent="0.45">
      <c r="A1085" s="43"/>
      <c r="B1085" s="205"/>
      <c r="C1085"/>
      <c r="D1085" s="72"/>
      <c r="E1085" s="72"/>
      <c r="F1085" s="72"/>
      <c r="G1085" s="72"/>
      <c r="H1085" s="17"/>
      <c r="I1085" s="41" t="str" cm="1">
        <f t="array" ref="I1085">IFERROR(_xlfn.IFS(H1085="Hard (Cash)","N/A",H1085="Soft (In-Kind)", "Enter Source"),"Select Type")</f>
        <v>Select Type</v>
      </c>
      <c r="J1085" s="124"/>
      <c r="K1085" s="41" t="str">
        <f>IFERROR(VLOOKUP($J1085,'Project Reference'!$S$2:$T$41,2),"Enter Project Number")</f>
        <v>Enter Project Number</v>
      </c>
      <c r="L1085" s="41"/>
      <c r="M1085" s="41"/>
      <c r="N1085" s="15">
        <f t="shared" si="17"/>
        <v>0</v>
      </c>
      <c r="O1085" s="19"/>
      <c r="P1085" s="42" t="str">
        <f>IFERROR(VLOOKUP($J1085,'Project Reference'!$B$2:$C$41,2)," ")</f>
        <v xml:space="preserve"> </v>
      </c>
      <c r="Q1085" s="42" t="str">
        <f>IFERROR(VLOOKUP($J1085,'Project Reference'!$B$2:$D$41,3)," ")</f>
        <v xml:space="preserve"> </v>
      </c>
      <c r="R1085" s="42" t="str">
        <f>IFERROR(VLOOKUP($J1085,'Project Reference'!$B$2:$E$41,4)," ")</f>
        <v xml:space="preserve"> </v>
      </c>
      <c r="S1085" s="42" t="str">
        <f>IFERROR(VLOOKUP($J1085,'Project Reference'!$B$2:$F$41,5,FALSE)," ")</f>
        <v xml:space="preserve"> </v>
      </c>
      <c r="T1085" s="42" t="str">
        <f>IFERROR(VLOOKUP($J1085,'Project Reference'!$B$2:$G$41,6,FALSE)," ")</f>
        <v xml:space="preserve"> </v>
      </c>
      <c r="U1085" s="42" t="str">
        <f>IFERROR(VLOOKUP($J1085,'Project Reference'!$B$2:$H$41,7,FALSE)," ")</f>
        <v xml:space="preserve"> </v>
      </c>
      <c r="V1085" s="42" t="str">
        <f>IFERROR(VLOOKUP($J1085,'Project Reference'!$B$2:$I$41,8,FALSE)," ")</f>
        <v xml:space="preserve"> </v>
      </c>
      <c r="W1085" s="42" t="str">
        <f>IFERROR(VLOOKUP($J1085,'Project Reference'!$B$2:$J$41,9,FALSE)," ")</f>
        <v xml:space="preserve"> </v>
      </c>
      <c r="X1085" s="42" t="str">
        <f>IFERROR(VLOOKUP($J1085,'Project Reference'!$B$2:$K$41,10)," ")</f>
        <v xml:space="preserve"> </v>
      </c>
      <c r="Y1085" s="42" t="str">
        <f>IFERROR(VLOOKUP($J1085,'Project Reference'!$B$2:$L$41,11)," ")</f>
        <v xml:space="preserve"> </v>
      </c>
      <c r="Z1085" s="42" t="str">
        <f>IFERROR(VLOOKUP($J1085,'Project Reference'!$B$2:$M$41,12)," ")</f>
        <v xml:space="preserve"> </v>
      </c>
      <c r="AA1085" s="42" t="str">
        <f>IFERROR(VLOOKUP($J1085,'Project Reference'!$B$2:$N$41,13)," ")</f>
        <v xml:space="preserve"> </v>
      </c>
    </row>
    <row r="1086" spans="1:27" x14ac:dyDescent="0.45">
      <c r="A1086" s="43"/>
      <c r="B1086" s="205"/>
      <c r="C1086"/>
      <c r="D1086" s="72"/>
      <c r="E1086" s="72"/>
      <c r="F1086" s="72"/>
      <c r="G1086" s="72"/>
      <c r="H1086" s="17"/>
      <c r="I1086" s="41" t="str" cm="1">
        <f t="array" ref="I1086">IFERROR(_xlfn.IFS(H1086="Hard (Cash)","N/A",H1086="Soft (In-Kind)", "Enter Source"),"Select Type")</f>
        <v>Select Type</v>
      </c>
      <c r="J1086" s="124"/>
      <c r="K1086" s="41" t="str">
        <f>IFERROR(VLOOKUP($J1086,'Project Reference'!$S$2:$T$41,2),"Enter Project Number")</f>
        <v>Enter Project Number</v>
      </c>
      <c r="L1086" s="41"/>
      <c r="M1086" s="41"/>
      <c r="N1086" s="15">
        <f t="shared" si="17"/>
        <v>0</v>
      </c>
      <c r="O1086" s="19"/>
      <c r="P1086" s="42" t="str">
        <f>IFERROR(VLOOKUP($J1086,'Project Reference'!$B$2:$C$41,2)," ")</f>
        <v xml:space="preserve"> </v>
      </c>
      <c r="Q1086" s="42" t="str">
        <f>IFERROR(VLOOKUP($J1086,'Project Reference'!$B$2:$D$41,3)," ")</f>
        <v xml:space="preserve"> </v>
      </c>
      <c r="R1086" s="42" t="str">
        <f>IFERROR(VLOOKUP($J1086,'Project Reference'!$B$2:$E$41,4)," ")</f>
        <v xml:space="preserve"> </v>
      </c>
      <c r="S1086" s="42" t="str">
        <f>IFERROR(VLOOKUP($J1086,'Project Reference'!$B$2:$F$41,5,FALSE)," ")</f>
        <v xml:space="preserve"> </v>
      </c>
      <c r="T1086" s="42" t="str">
        <f>IFERROR(VLOOKUP($J1086,'Project Reference'!$B$2:$G$41,6,FALSE)," ")</f>
        <v xml:space="preserve"> </v>
      </c>
      <c r="U1086" s="42" t="str">
        <f>IFERROR(VLOOKUP($J1086,'Project Reference'!$B$2:$H$41,7,FALSE)," ")</f>
        <v xml:space="preserve"> </v>
      </c>
      <c r="V1086" s="42" t="str">
        <f>IFERROR(VLOOKUP($J1086,'Project Reference'!$B$2:$I$41,8,FALSE)," ")</f>
        <v xml:space="preserve"> </v>
      </c>
      <c r="W1086" s="42" t="str">
        <f>IFERROR(VLOOKUP($J1086,'Project Reference'!$B$2:$J$41,9,FALSE)," ")</f>
        <v xml:space="preserve"> </v>
      </c>
      <c r="X1086" s="42" t="str">
        <f>IFERROR(VLOOKUP($J1086,'Project Reference'!$B$2:$K$41,10)," ")</f>
        <v xml:space="preserve"> </v>
      </c>
      <c r="Y1086" s="42" t="str">
        <f>IFERROR(VLOOKUP($J1086,'Project Reference'!$B$2:$L$41,11)," ")</f>
        <v xml:space="preserve"> </v>
      </c>
      <c r="Z1086" s="42" t="str">
        <f>IFERROR(VLOOKUP($J1086,'Project Reference'!$B$2:$M$41,12)," ")</f>
        <v xml:space="preserve"> </v>
      </c>
      <c r="AA1086" s="42" t="str">
        <f>IFERROR(VLOOKUP($J1086,'Project Reference'!$B$2:$N$41,13)," ")</f>
        <v xml:space="preserve"> </v>
      </c>
    </row>
    <row r="1087" spans="1:27" x14ac:dyDescent="0.45">
      <c r="A1087" s="43"/>
      <c r="B1087" s="205"/>
      <c r="C1087"/>
      <c r="D1087" s="72"/>
      <c r="E1087" s="72"/>
      <c r="F1087" s="72"/>
      <c r="G1087" s="72"/>
      <c r="H1087" s="17"/>
      <c r="I1087" s="41" t="str" cm="1">
        <f t="array" ref="I1087">IFERROR(_xlfn.IFS(H1087="Hard (Cash)","N/A",H1087="Soft (In-Kind)", "Enter Source"),"Select Type")</f>
        <v>Select Type</v>
      </c>
      <c r="J1087" s="124"/>
      <c r="K1087" s="41" t="str">
        <f>IFERROR(VLOOKUP($J1087,'Project Reference'!$S$2:$T$41,2),"Enter Project Number")</f>
        <v>Enter Project Number</v>
      </c>
      <c r="L1087" s="41"/>
      <c r="M1087" s="41"/>
      <c r="N1087" s="15">
        <f t="shared" si="17"/>
        <v>0</v>
      </c>
      <c r="O1087" s="19"/>
      <c r="P1087" s="42" t="str">
        <f>IFERROR(VLOOKUP($J1087,'Project Reference'!$B$2:$C$41,2)," ")</f>
        <v xml:space="preserve"> </v>
      </c>
      <c r="Q1087" s="42" t="str">
        <f>IFERROR(VLOOKUP($J1087,'Project Reference'!$B$2:$D$41,3)," ")</f>
        <v xml:space="preserve"> </v>
      </c>
      <c r="R1087" s="42" t="str">
        <f>IFERROR(VLOOKUP($J1087,'Project Reference'!$B$2:$E$41,4)," ")</f>
        <v xml:space="preserve"> </v>
      </c>
      <c r="S1087" s="42" t="str">
        <f>IFERROR(VLOOKUP($J1087,'Project Reference'!$B$2:$F$41,5,FALSE)," ")</f>
        <v xml:space="preserve"> </v>
      </c>
      <c r="T1087" s="42" t="str">
        <f>IFERROR(VLOOKUP($J1087,'Project Reference'!$B$2:$G$41,6,FALSE)," ")</f>
        <v xml:space="preserve"> </v>
      </c>
      <c r="U1087" s="42" t="str">
        <f>IFERROR(VLOOKUP($J1087,'Project Reference'!$B$2:$H$41,7,FALSE)," ")</f>
        <v xml:space="preserve"> </v>
      </c>
      <c r="V1087" s="42" t="str">
        <f>IFERROR(VLOOKUP($J1087,'Project Reference'!$B$2:$I$41,8,FALSE)," ")</f>
        <v xml:space="preserve"> </v>
      </c>
      <c r="W1087" s="42" t="str">
        <f>IFERROR(VLOOKUP($J1087,'Project Reference'!$B$2:$J$41,9,FALSE)," ")</f>
        <v xml:space="preserve"> </v>
      </c>
      <c r="X1087" s="42" t="str">
        <f>IFERROR(VLOOKUP($J1087,'Project Reference'!$B$2:$K$41,10)," ")</f>
        <v xml:space="preserve"> </v>
      </c>
      <c r="Y1087" s="42" t="str">
        <f>IFERROR(VLOOKUP($J1087,'Project Reference'!$B$2:$L$41,11)," ")</f>
        <v xml:space="preserve"> </v>
      </c>
      <c r="Z1087" s="42" t="str">
        <f>IFERROR(VLOOKUP($J1087,'Project Reference'!$B$2:$M$41,12)," ")</f>
        <v xml:space="preserve"> </v>
      </c>
      <c r="AA1087" s="42" t="str">
        <f>IFERROR(VLOOKUP($J1087,'Project Reference'!$B$2:$N$41,13)," ")</f>
        <v xml:space="preserve"> </v>
      </c>
    </row>
    <row r="1088" spans="1:27" x14ac:dyDescent="0.45">
      <c r="A1088" s="43"/>
      <c r="B1088" s="205"/>
      <c r="C1088"/>
      <c r="D1088" s="72"/>
      <c r="E1088" s="72"/>
      <c r="F1088" s="72"/>
      <c r="G1088" s="72"/>
      <c r="H1088" s="17"/>
      <c r="I1088" s="41" t="str" cm="1">
        <f t="array" ref="I1088">IFERROR(_xlfn.IFS(H1088="Hard (Cash)","N/A",H1088="Soft (In-Kind)", "Enter Source"),"Select Type")</f>
        <v>Select Type</v>
      </c>
      <c r="J1088" s="124"/>
      <c r="K1088" s="41" t="str">
        <f>IFERROR(VLOOKUP($J1088,'Project Reference'!$S$2:$T$41,2),"Enter Project Number")</f>
        <v>Enter Project Number</v>
      </c>
      <c r="L1088" s="41"/>
      <c r="M1088" s="41"/>
      <c r="N1088" s="15">
        <f t="shared" si="17"/>
        <v>0</v>
      </c>
      <c r="O1088" s="19"/>
      <c r="P1088" s="42" t="str">
        <f>IFERROR(VLOOKUP($J1088,'Project Reference'!$B$2:$C$41,2)," ")</f>
        <v xml:space="preserve"> </v>
      </c>
      <c r="Q1088" s="42" t="str">
        <f>IFERROR(VLOOKUP($J1088,'Project Reference'!$B$2:$D$41,3)," ")</f>
        <v xml:space="preserve"> </v>
      </c>
      <c r="R1088" s="42" t="str">
        <f>IFERROR(VLOOKUP($J1088,'Project Reference'!$B$2:$E$41,4)," ")</f>
        <v xml:space="preserve"> </v>
      </c>
      <c r="S1088" s="42" t="str">
        <f>IFERROR(VLOOKUP($J1088,'Project Reference'!$B$2:$F$41,5,FALSE)," ")</f>
        <v xml:space="preserve"> </v>
      </c>
      <c r="T1088" s="42" t="str">
        <f>IFERROR(VLOOKUP($J1088,'Project Reference'!$B$2:$G$41,6,FALSE)," ")</f>
        <v xml:space="preserve"> </v>
      </c>
      <c r="U1088" s="42" t="str">
        <f>IFERROR(VLOOKUP($J1088,'Project Reference'!$B$2:$H$41,7,FALSE)," ")</f>
        <v xml:space="preserve"> </v>
      </c>
      <c r="V1088" s="42" t="str">
        <f>IFERROR(VLOOKUP($J1088,'Project Reference'!$B$2:$I$41,8,FALSE)," ")</f>
        <v xml:space="preserve"> </v>
      </c>
      <c r="W1088" s="42" t="str">
        <f>IFERROR(VLOOKUP($J1088,'Project Reference'!$B$2:$J$41,9,FALSE)," ")</f>
        <v xml:space="preserve"> </v>
      </c>
      <c r="X1088" s="42" t="str">
        <f>IFERROR(VLOOKUP($J1088,'Project Reference'!$B$2:$K$41,10)," ")</f>
        <v xml:space="preserve"> </v>
      </c>
      <c r="Y1088" s="42" t="str">
        <f>IFERROR(VLOOKUP($J1088,'Project Reference'!$B$2:$L$41,11)," ")</f>
        <v xml:space="preserve"> </v>
      </c>
      <c r="Z1088" s="42" t="str">
        <f>IFERROR(VLOOKUP($J1088,'Project Reference'!$B$2:$M$41,12)," ")</f>
        <v xml:space="preserve"> </v>
      </c>
      <c r="AA1088" s="42" t="str">
        <f>IFERROR(VLOOKUP($J1088,'Project Reference'!$B$2:$N$41,13)," ")</f>
        <v xml:space="preserve"> </v>
      </c>
    </row>
    <row r="1089" spans="1:27" x14ac:dyDescent="0.45">
      <c r="A1089" s="43"/>
      <c r="B1089" s="205"/>
      <c r="C1089"/>
      <c r="D1089" s="72"/>
      <c r="E1089" s="72"/>
      <c r="F1089" s="72"/>
      <c r="G1089" s="72"/>
      <c r="H1089" s="17"/>
      <c r="I1089" s="41" t="str" cm="1">
        <f t="array" ref="I1089">IFERROR(_xlfn.IFS(H1089="Hard (Cash)","N/A",H1089="Soft (In-Kind)", "Enter Source"),"Select Type")</f>
        <v>Select Type</v>
      </c>
      <c r="J1089" s="124"/>
      <c r="K1089" s="41" t="str">
        <f>IFERROR(VLOOKUP($J1089,'Project Reference'!$S$2:$T$41,2),"Enter Project Number")</f>
        <v>Enter Project Number</v>
      </c>
      <c r="L1089" s="41"/>
      <c r="M1089" s="41"/>
      <c r="N1089" s="15">
        <f t="shared" si="17"/>
        <v>0</v>
      </c>
      <c r="O1089" s="19"/>
      <c r="P1089" s="42" t="str">
        <f>IFERROR(VLOOKUP($J1089,'Project Reference'!$B$2:$C$41,2)," ")</f>
        <v xml:space="preserve"> </v>
      </c>
      <c r="Q1089" s="42" t="str">
        <f>IFERROR(VLOOKUP($J1089,'Project Reference'!$B$2:$D$41,3)," ")</f>
        <v xml:space="preserve"> </v>
      </c>
      <c r="R1089" s="42" t="str">
        <f>IFERROR(VLOOKUP($J1089,'Project Reference'!$B$2:$E$41,4)," ")</f>
        <v xml:space="preserve"> </v>
      </c>
      <c r="S1089" s="42" t="str">
        <f>IFERROR(VLOOKUP($J1089,'Project Reference'!$B$2:$F$41,5,FALSE)," ")</f>
        <v xml:space="preserve"> </v>
      </c>
      <c r="T1089" s="42" t="str">
        <f>IFERROR(VLOOKUP($J1089,'Project Reference'!$B$2:$G$41,6,FALSE)," ")</f>
        <v xml:space="preserve"> </v>
      </c>
      <c r="U1089" s="42" t="str">
        <f>IFERROR(VLOOKUP($J1089,'Project Reference'!$B$2:$H$41,7,FALSE)," ")</f>
        <v xml:space="preserve"> </v>
      </c>
      <c r="V1089" s="42" t="str">
        <f>IFERROR(VLOOKUP($J1089,'Project Reference'!$B$2:$I$41,8,FALSE)," ")</f>
        <v xml:space="preserve"> </v>
      </c>
      <c r="W1089" s="42" t="str">
        <f>IFERROR(VLOOKUP($J1089,'Project Reference'!$B$2:$J$41,9,FALSE)," ")</f>
        <v xml:space="preserve"> </v>
      </c>
      <c r="X1089" s="42" t="str">
        <f>IFERROR(VLOOKUP($J1089,'Project Reference'!$B$2:$K$41,10)," ")</f>
        <v xml:space="preserve"> </v>
      </c>
      <c r="Y1089" s="42" t="str">
        <f>IFERROR(VLOOKUP($J1089,'Project Reference'!$B$2:$L$41,11)," ")</f>
        <v xml:space="preserve"> </v>
      </c>
      <c r="Z1089" s="42" t="str">
        <f>IFERROR(VLOOKUP($J1089,'Project Reference'!$B$2:$M$41,12)," ")</f>
        <v xml:space="preserve"> </v>
      </c>
      <c r="AA1089" s="42" t="str">
        <f>IFERROR(VLOOKUP($J1089,'Project Reference'!$B$2:$N$41,13)," ")</f>
        <v xml:space="preserve"> </v>
      </c>
    </row>
    <row r="1090" spans="1:27" x14ac:dyDescent="0.45">
      <c r="A1090" s="43"/>
      <c r="B1090" s="205"/>
      <c r="C1090"/>
      <c r="D1090" s="72"/>
      <c r="E1090" s="72"/>
      <c r="F1090" s="72"/>
      <c r="G1090" s="72"/>
      <c r="H1090" s="17"/>
      <c r="I1090" s="41" t="str" cm="1">
        <f t="array" ref="I1090">IFERROR(_xlfn.IFS(H1090="Hard (Cash)","N/A",H1090="Soft (In-Kind)", "Enter Source"),"Select Type")</f>
        <v>Select Type</v>
      </c>
      <c r="J1090" s="124"/>
      <c r="K1090" s="41" t="str">
        <f>IFERROR(VLOOKUP($J1090,'Project Reference'!$S$2:$T$41,2),"Enter Project Number")</f>
        <v>Enter Project Number</v>
      </c>
      <c r="L1090" s="41"/>
      <c r="M1090" s="41"/>
      <c r="N1090" s="15">
        <f t="shared" si="17"/>
        <v>0</v>
      </c>
      <c r="O1090" s="19"/>
      <c r="P1090" s="42" t="str">
        <f>IFERROR(VLOOKUP($J1090,'Project Reference'!$B$2:$C$41,2)," ")</f>
        <v xml:space="preserve"> </v>
      </c>
      <c r="Q1090" s="42" t="str">
        <f>IFERROR(VLOOKUP($J1090,'Project Reference'!$B$2:$D$41,3)," ")</f>
        <v xml:space="preserve"> </v>
      </c>
      <c r="R1090" s="42" t="str">
        <f>IFERROR(VLOOKUP($J1090,'Project Reference'!$B$2:$E$41,4)," ")</f>
        <v xml:space="preserve"> </v>
      </c>
      <c r="S1090" s="42" t="str">
        <f>IFERROR(VLOOKUP($J1090,'Project Reference'!$B$2:$F$41,5,FALSE)," ")</f>
        <v xml:space="preserve"> </v>
      </c>
      <c r="T1090" s="42" t="str">
        <f>IFERROR(VLOOKUP($J1090,'Project Reference'!$B$2:$G$41,6,FALSE)," ")</f>
        <v xml:space="preserve"> </v>
      </c>
      <c r="U1090" s="42" t="str">
        <f>IFERROR(VLOOKUP($J1090,'Project Reference'!$B$2:$H$41,7,FALSE)," ")</f>
        <v xml:space="preserve"> </v>
      </c>
      <c r="V1090" s="42" t="str">
        <f>IFERROR(VLOOKUP($J1090,'Project Reference'!$B$2:$I$41,8,FALSE)," ")</f>
        <v xml:space="preserve"> </v>
      </c>
      <c r="W1090" s="42" t="str">
        <f>IFERROR(VLOOKUP($J1090,'Project Reference'!$B$2:$J$41,9,FALSE)," ")</f>
        <v xml:space="preserve"> </v>
      </c>
      <c r="X1090" s="42" t="str">
        <f>IFERROR(VLOOKUP($J1090,'Project Reference'!$B$2:$K$41,10)," ")</f>
        <v xml:space="preserve"> </v>
      </c>
      <c r="Y1090" s="42" t="str">
        <f>IFERROR(VLOOKUP($J1090,'Project Reference'!$B$2:$L$41,11)," ")</f>
        <v xml:space="preserve"> </v>
      </c>
      <c r="Z1090" s="42" t="str">
        <f>IFERROR(VLOOKUP($J1090,'Project Reference'!$B$2:$M$41,12)," ")</f>
        <v xml:space="preserve"> </v>
      </c>
      <c r="AA1090" s="42" t="str">
        <f>IFERROR(VLOOKUP($J1090,'Project Reference'!$B$2:$N$41,13)," ")</f>
        <v xml:space="preserve"> </v>
      </c>
    </row>
    <row r="1091" spans="1:27" x14ac:dyDescent="0.45">
      <c r="A1091" s="43"/>
      <c r="B1091" s="205"/>
      <c r="C1091"/>
      <c r="D1091" s="72"/>
      <c r="E1091" s="72"/>
      <c r="F1091" s="72"/>
      <c r="G1091" s="72"/>
      <c r="H1091" s="17"/>
      <c r="I1091" s="41" t="str" cm="1">
        <f t="array" ref="I1091">IFERROR(_xlfn.IFS(H1091="Hard (Cash)","N/A",H1091="Soft (In-Kind)", "Enter Source"),"Select Type")</f>
        <v>Select Type</v>
      </c>
      <c r="J1091" s="124"/>
      <c r="K1091" s="41" t="str">
        <f>IFERROR(VLOOKUP($J1091,'Project Reference'!$S$2:$T$41,2),"Enter Project Number")</f>
        <v>Enter Project Number</v>
      </c>
      <c r="L1091" s="41"/>
      <c r="M1091" s="41"/>
      <c r="N1091" s="15">
        <f t="shared" si="17"/>
        <v>0</v>
      </c>
      <c r="O1091" s="19"/>
      <c r="P1091" s="42" t="str">
        <f>IFERROR(VLOOKUP($J1091,'Project Reference'!$B$2:$C$41,2)," ")</f>
        <v xml:space="preserve"> </v>
      </c>
      <c r="Q1091" s="42" t="str">
        <f>IFERROR(VLOOKUP($J1091,'Project Reference'!$B$2:$D$41,3)," ")</f>
        <v xml:space="preserve"> </v>
      </c>
      <c r="R1091" s="42" t="str">
        <f>IFERROR(VLOOKUP($J1091,'Project Reference'!$B$2:$E$41,4)," ")</f>
        <v xml:space="preserve"> </v>
      </c>
      <c r="S1091" s="42" t="str">
        <f>IFERROR(VLOOKUP($J1091,'Project Reference'!$B$2:$F$41,5,FALSE)," ")</f>
        <v xml:space="preserve"> </v>
      </c>
      <c r="T1091" s="42" t="str">
        <f>IFERROR(VLOOKUP($J1091,'Project Reference'!$B$2:$G$41,6,FALSE)," ")</f>
        <v xml:space="preserve"> </v>
      </c>
      <c r="U1091" s="42" t="str">
        <f>IFERROR(VLOOKUP($J1091,'Project Reference'!$B$2:$H$41,7,FALSE)," ")</f>
        <v xml:space="preserve"> </v>
      </c>
      <c r="V1091" s="42" t="str">
        <f>IFERROR(VLOOKUP($J1091,'Project Reference'!$B$2:$I$41,8,FALSE)," ")</f>
        <v xml:space="preserve"> </v>
      </c>
      <c r="W1091" s="42" t="str">
        <f>IFERROR(VLOOKUP($J1091,'Project Reference'!$B$2:$J$41,9,FALSE)," ")</f>
        <v xml:space="preserve"> </v>
      </c>
      <c r="X1091" s="42" t="str">
        <f>IFERROR(VLOOKUP($J1091,'Project Reference'!$B$2:$K$41,10)," ")</f>
        <v xml:space="preserve"> </v>
      </c>
      <c r="Y1091" s="42" t="str">
        <f>IFERROR(VLOOKUP($J1091,'Project Reference'!$B$2:$L$41,11)," ")</f>
        <v xml:space="preserve"> </v>
      </c>
      <c r="Z1091" s="42" t="str">
        <f>IFERROR(VLOOKUP($J1091,'Project Reference'!$B$2:$M$41,12)," ")</f>
        <v xml:space="preserve"> </v>
      </c>
      <c r="AA1091" s="42" t="str">
        <f>IFERROR(VLOOKUP($J1091,'Project Reference'!$B$2:$N$41,13)," ")</f>
        <v xml:space="preserve"> </v>
      </c>
    </row>
    <row r="1092" spans="1:27" x14ac:dyDescent="0.45">
      <c r="A1092" s="43"/>
      <c r="B1092" s="205"/>
      <c r="C1092"/>
      <c r="D1092" s="72"/>
      <c r="E1092" s="72"/>
      <c r="F1092" s="72"/>
      <c r="G1092" s="72"/>
      <c r="H1092" s="17"/>
      <c r="I1092" s="41" t="str" cm="1">
        <f t="array" ref="I1092">IFERROR(_xlfn.IFS(H1092="Hard (Cash)","N/A",H1092="Soft (In-Kind)", "Enter Source"),"Select Type")</f>
        <v>Select Type</v>
      </c>
      <c r="J1092" s="124"/>
      <c r="K1092" s="41" t="str">
        <f>IFERROR(VLOOKUP($J1092,'Project Reference'!$S$2:$T$41,2),"Enter Project Number")</f>
        <v>Enter Project Number</v>
      </c>
      <c r="L1092" s="41"/>
      <c r="M1092" s="41"/>
      <c r="N1092" s="15">
        <f t="shared" si="17"/>
        <v>0</v>
      </c>
      <c r="O1092" s="19"/>
      <c r="P1092" s="42" t="str">
        <f>IFERROR(VLOOKUP($J1092,'Project Reference'!$B$2:$C$41,2)," ")</f>
        <v xml:space="preserve"> </v>
      </c>
      <c r="Q1092" s="42" t="str">
        <f>IFERROR(VLOOKUP($J1092,'Project Reference'!$B$2:$D$41,3)," ")</f>
        <v xml:space="preserve"> </v>
      </c>
      <c r="R1092" s="42" t="str">
        <f>IFERROR(VLOOKUP($J1092,'Project Reference'!$B$2:$E$41,4)," ")</f>
        <v xml:space="preserve"> </v>
      </c>
      <c r="S1092" s="42" t="str">
        <f>IFERROR(VLOOKUP($J1092,'Project Reference'!$B$2:$F$41,5,FALSE)," ")</f>
        <v xml:space="preserve"> </v>
      </c>
      <c r="T1092" s="42" t="str">
        <f>IFERROR(VLOOKUP($J1092,'Project Reference'!$B$2:$G$41,6,FALSE)," ")</f>
        <v xml:space="preserve"> </v>
      </c>
      <c r="U1092" s="42" t="str">
        <f>IFERROR(VLOOKUP($J1092,'Project Reference'!$B$2:$H$41,7,FALSE)," ")</f>
        <v xml:space="preserve"> </v>
      </c>
      <c r="V1092" s="42" t="str">
        <f>IFERROR(VLOOKUP($J1092,'Project Reference'!$B$2:$I$41,8,FALSE)," ")</f>
        <v xml:space="preserve"> </v>
      </c>
      <c r="W1092" s="42" t="str">
        <f>IFERROR(VLOOKUP($J1092,'Project Reference'!$B$2:$J$41,9,FALSE)," ")</f>
        <v xml:space="preserve"> </v>
      </c>
      <c r="X1092" s="42" t="str">
        <f>IFERROR(VLOOKUP($J1092,'Project Reference'!$B$2:$K$41,10)," ")</f>
        <v xml:space="preserve"> </v>
      </c>
      <c r="Y1092" s="42" t="str">
        <f>IFERROR(VLOOKUP($J1092,'Project Reference'!$B$2:$L$41,11)," ")</f>
        <v xml:space="preserve"> </v>
      </c>
      <c r="Z1092" s="42" t="str">
        <f>IFERROR(VLOOKUP($J1092,'Project Reference'!$B$2:$M$41,12)," ")</f>
        <v xml:space="preserve"> </v>
      </c>
      <c r="AA1092" s="42" t="str">
        <f>IFERROR(VLOOKUP($J1092,'Project Reference'!$B$2:$N$41,13)," ")</f>
        <v xml:space="preserve"> </v>
      </c>
    </row>
    <row r="1093" spans="1:27" x14ac:dyDescent="0.45">
      <c r="A1093" s="43"/>
      <c r="B1093" s="205"/>
      <c r="C1093"/>
      <c r="D1093" s="72"/>
      <c r="E1093" s="72"/>
      <c r="F1093" s="72"/>
      <c r="G1093" s="72"/>
      <c r="H1093" s="17"/>
      <c r="I1093" s="41" t="str" cm="1">
        <f t="array" ref="I1093">IFERROR(_xlfn.IFS(H1093="Hard (Cash)","N/A",H1093="Soft (In-Kind)", "Enter Source"),"Select Type")</f>
        <v>Select Type</v>
      </c>
      <c r="J1093" s="124"/>
      <c r="K1093" s="41" t="str">
        <f>IFERROR(VLOOKUP($J1093,'Project Reference'!$S$2:$T$41,2),"Enter Project Number")</f>
        <v>Enter Project Number</v>
      </c>
      <c r="L1093" s="41"/>
      <c r="M1093" s="41"/>
      <c r="N1093" s="15">
        <f t="shared" si="17"/>
        <v>0</v>
      </c>
      <c r="O1093" s="19"/>
      <c r="P1093" s="42" t="str">
        <f>IFERROR(VLOOKUP($J1093,'Project Reference'!$B$2:$C$41,2)," ")</f>
        <v xml:space="preserve"> </v>
      </c>
      <c r="Q1093" s="42" t="str">
        <f>IFERROR(VLOOKUP($J1093,'Project Reference'!$B$2:$D$41,3)," ")</f>
        <v xml:space="preserve"> </v>
      </c>
      <c r="R1093" s="42" t="str">
        <f>IFERROR(VLOOKUP($J1093,'Project Reference'!$B$2:$E$41,4)," ")</f>
        <v xml:space="preserve"> </v>
      </c>
      <c r="S1093" s="42" t="str">
        <f>IFERROR(VLOOKUP($J1093,'Project Reference'!$B$2:$F$41,5,FALSE)," ")</f>
        <v xml:space="preserve"> </v>
      </c>
      <c r="T1093" s="42" t="str">
        <f>IFERROR(VLOOKUP($J1093,'Project Reference'!$B$2:$G$41,6,FALSE)," ")</f>
        <v xml:space="preserve"> </v>
      </c>
      <c r="U1093" s="42" t="str">
        <f>IFERROR(VLOOKUP($J1093,'Project Reference'!$B$2:$H$41,7,FALSE)," ")</f>
        <v xml:space="preserve"> </v>
      </c>
      <c r="V1093" s="42" t="str">
        <f>IFERROR(VLOOKUP($J1093,'Project Reference'!$B$2:$I$41,8,FALSE)," ")</f>
        <v xml:space="preserve"> </v>
      </c>
      <c r="W1093" s="42" t="str">
        <f>IFERROR(VLOOKUP($J1093,'Project Reference'!$B$2:$J$41,9,FALSE)," ")</f>
        <v xml:space="preserve"> </v>
      </c>
      <c r="X1093" s="42" t="str">
        <f>IFERROR(VLOOKUP($J1093,'Project Reference'!$B$2:$K$41,10)," ")</f>
        <v xml:space="preserve"> </v>
      </c>
      <c r="Y1093" s="42" t="str">
        <f>IFERROR(VLOOKUP($J1093,'Project Reference'!$B$2:$L$41,11)," ")</f>
        <v xml:space="preserve"> </v>
      </c>
      <c r="Z1093" s="42" t="str">
        <f>IFERROR(VLOOKUP($J1093,'Project Reference'!$B$2:$M$41,12)," ")</f>
        <v xml:space="preserve"> </v>
      </c>
      <c r="AA1093" s="42" t="str">
        <f>IFERROR(VLOOKUP($J1093,'Project Reference'!$B$2:$N$41,13)," ")</f>
        <v xml:space="preserve"> </v>
      </c>
    </row>
    <row r="1094" spans="1:27" x14ac:dyDescent="0.45">
      <c r="A1094" s="43"/>
      <c r="B1094" s="205"/>
      <c r="C1094"/>
      <c r="D1094" s="72"/>
      <c r="E1094" s="72"/>
      <c r="F1094" s="72"/>
      <c r="G1094" s="72"/>
      <c r="H1094" s="17"/>
      <c r="I1094" s="41" t="str" cm="1">
        <f t="array" ref="I1094">IFERROR(_xlfn.IFS(H1094="Hard (Cash)","N/A",H1094="Soft (In-Kind)", "Enter Source"),"Select Type")</f>
        <v>Select Type</v>
      </c>
      <c r="J1094" s="124"/>
      <c r="K1094" s="41" t="str">
        <f>IFERROR(VLOOKUP($J1094,'Project Reference'!$S$2:$T$41,2),"Enter Project Number")</f>
        <v>Enter Project Number</v>
      </c>
      <c r="L1094" s="41"/>
      <c r="M1094" s="41"/>
      <c r="N1094" s="15">
        <f t="shared" si="17"/>
        <v>0</v>
      </c>
      <c r="O1094" s="19"/>
      <c r="P1094" s="42" t="str">
        <f>IFERROR(VLOOKUP($J1094,'Project Reference'!$B$2:$C$41,2)," ")</f>
        <v xml:space="preserve"> </v>
      </c>
      <c r="Q1094" s="42" t="str">
        <f>IFERROR(VLOOKUP($J1094,'Project Reference'!$B$2:$D$41,3)," ")</f>
        <v xml:space="preserve"> </v>
      </c>
      <c r="R1094" s="42" t="str">
        <f>IFERROR(VLOOKUP($J1094,'Project Reference'!$B$2:$E$41,4)," ")</f>
        <v xml:space="preserve"> </v>
      </c>
      <c r="S1094" s="42" t="str">
        <f>IFERROR(VLOOKUP($J1094,'Project Reference'!$B$2:$F$41,5,FALSE)," ")</f>
        <v xml:space="preserve"> </v>
      </c>
      <c r="T1094" s="42" t="str">
        <f>IFERROR(VLOOKUP($J1094,'Project Reference'!$B$2:$G$41,6,FALSE)," ")</f>
        <v xml:space="preserve"> </v>
      </c>
      <c r="U1094" s="42" t="str">
        <f>IFERROR(VLOOKUP($J1094,'Project Reference'!$B$2:$H$41,7,FALSE)," ")</f>
        <v xml:space="preserve"> </v>
      </c>
      <c r="V1094" s="42" t="str">
        <f>IFERROR(VLOOKUP($J1094,'Project Reference'!$B$2:$I$41,8,FALSE)," ")</f>
        <v xml:space="preserve"> </v>
      </c>
      <c r="W1094" s="42" t="str">
        <f>IFERROR(VLOOKUP($J1094,'Project Reference'!$B$2:$J$41,9,FALSE)," ")</f>
        <v xml:space="preserve"> </v>
      </c>
      <c r="X1094" s="42" t="str">
        <f>IFERROR(VLOOKUP($J1094,'Project Reference'!$B$2:$K$41,10)," ")</f>
        <v xml:space="preserve"> </v>
      </c>
      <c r="Y1094" s="42" t="str">
        <f>IFERROR(VLOOKUP($J1094,'Project Reference'!$B$2:$L$41,11)," ")</f>
        <v xml:space="preserve"> </v>
      </c>
      <c r="Z1094" s="42" t="str">
        <f>IFERROR(VLOOKUP($J1094,'Project Reference'!$B$2:$M$41,12)," ")</f>
        <v xml:space="preserve"> </v>
      </c>
      <c r="AA1094" s="42" t="str">
        <f>IFERROR(VLOOKUP($J1094,'Project Reference'!$B$2:$N$41,13)," ")</f>
        <v xml:space="preserve"> </v>
      </c>
    </row>
    <row r="1095" spans="1:27" x14ac:dyDescent="0.45">
      <c r="A1095" s="43"/>
      <c r="B1095" s="205"/>
      <c r="C1095"/>
      <c r="D1095" s="72"/>
      <c r="E1095" s="72"/>
      <c r="F1095" s="72"/>
      <c r="G1095" s="72"/>
      <c r="H1095" s="17"/>
      <c r="I1095" s="41" t="str" cm="1">
        <f t="array" ref="I1095">IFERROR(_xlfn.IFS(H1095="Hard (Cash)","N/A",H1095="Soft (In-Kind)", "Enter Source"),"Select Type")</f>
        <v>Select Type</v>
      </c>
      <c r="J1095" s="124"/>
      <c r="K1095" s="41" t="str">
        <f>IFERROR(VLOOKUP($J1095,'Project Reference'!$S$2:$T$41,2),"Enter Project Number")</f>
        <v>Enter Project Number</v>
      </c>
      <c r="L1095" s="41"/>
      <c r="M1095" s="41"/>
      <c r="N1095" s="15">
        <f t="shared" si="17"/>
        <v>0</v>
      </c>
      <c r="O1095" s="19"/>
      <c r="P1095" s="42" t="str">
        <f>IFERROR(VLOOKUP($J1095,'Project Reference'!$B$2:$C$41,2)," ")</f>
        <v xml:space="preserve"> </v>
      </c>
      <c r="Q1095" s="42" t="str">
        <f>IFERROR(VLOOKUP($J1095,'Project Reference'!$B$2:$D$41,3)," ")</f>
        <v xml:space="preserve"> </v>
      </c>
      <c r="R1095" s="42" t="str">
        <f>IFERROR(VLOOKUP($J1095,'Project Reference'!$B$2:$E$41,4)," ")</f>
        <v xml:space="preserve"> </v>
      </c>
      <c r="S1095" s="42" t="str">
        <f>IFERROR(VLOOKUP($J1095,'Project Reference'!$B$2:$F$41,5,FALSE)," ")</f>
        <v xml:space="preserve"> </v>
      </c>
      <c r="T1095" s="42" t="str">
        <f>IFERROR(VLOOKUP($J1095,'Project Reference'!$B$2:$G$41,6,FALSE)," ")</f>
        <v xml:space="preserve"> </v>
      </c>
      <c r="U1095" s="42" t="str">
        <f>IFERROR(VLOOKUP($J1095,'Project Reference'!$B$2:$H$41,7,FALSE)," ")</f>
        <v xml:space="preserve"> </v>
      </c>
      <c r="V1095" s="42" t="str">
        <f>IFERROR(VLOOKUP($J1095,'Project Reference'!$B$2:$I$41,8,FALSE)," ")</f>
        <v xml:space="preserve"> </v>
      </c>
      <c r="W1095" s="42" t="str">
        <f>IFERROR(VLOOKUP($J1095,'Project Reference'!$B$2:$J$41,9,FALSE)," ")</f>
        <v xml:space="preserve"> </v>
      </c>
      <c r="X1095" s="42" t="str">
        <f>IFERROR(VLOOKUP($J1095,'Project Reference'!$B$2:$K$41,10)," ")</f>
        <v xml:space="preserve"> </v>
      </c>
      <c r="Y1095" s="42" t="str">
        <f>IFERROR(VLOOKUP($J1095,'Project Reference'!$B$2:$L$41,11)," ")</f>
        <v xml:space="preserve"> </v>
      </c>
      <c r="Z1095" s="42" t="str">
        <f>IFERROR(VLOOKUP($J1095,'Project Reference'!$B$2:$M$41,12)," ")</f>
        <v xml:space="preserve"> </v>
      </c>
      <c r="AA1095" s="42" t="str">
        <f>IFERROR(VLOOKUP($J1095,'Project Reference'!$B$2:$N$41,13)," ")</f>
        <v xml:space="preserve"> </v>
      </c>
    </row>
    <row r="1096" spans="1:27" x14ac:dyDescent="0.45">
      <c r="A1096" s="43"/>
      <c r="B1096" s="205"/>
      <c r="C1096"/>
      <c r="D1096" s="72"/>
      <c r="E1096" s="72"/>
      <c r="F1096" s="72"/>
      <c r="G1096" s="72"/>
      <c r="H1096" s="17"/>
      <c r="I1096" s="41" t="str" cm="1">
        <f t="array" ref="I1096">IFERROR(_xlfn.IFS(H1096="Hard (Cash)","N/A",H1096="Soft (In-Kind)", "Enter Source"),"Select Type")</f>
        <v>Select Type</v>
      </c>
      <c r="J1096" s="124"/>
      <c r="K1096" s="41" t="str">
        <f>IFERROR(VLOOKUP($J1096,'Project Reference'!$S$2:$T$41,2),"Enter Project Number")</f>
        <v>Enter Project Number</v>
      </c>
      <c r="L1096" s="41"/>
      <c r="M1096" s="41"/>
      <c r="N1096" s="15">
        <f t="shared" si="17"/>
        <v>0</v>
      </c>
      <c r="O1096" s="19"/>
      <c r="P1096" s="42" t="str">
        <f>IFERROR(VLOOKUP($J1096,'Project Reference'!$B$2:$C$41,2)," ")</f>
        <v xml:space="preserve"> </v>
      </c>
      <c r="Q1096" s="42" t="str">
        <f>IFERROR(VLOOKUP($J1096,'Project Reference'!$B$2:$D$41,3)," ")</f>
        <v xml:space="preserve"> </v>
      </c>
      <c r="R1096" s="42" t="str">
        <f>IFERROR(VLOOKUP($J1096,'Project Reference'!$B$2:$E$41,4)," ")</f>
        <v xml:space="preserve"> </v>
      </c>
      <c r="S1096" s="42" t="str">
        <f>IFERROR(VLOOKUP($J1096,'Project Reference'!$B$2:$F$41,5,FALSE)," ")</f>
        <v xml:space="preserve"> </v>
      </c>
      <c r="T1096" s="42" t="str">
        <f>IFERROR(VLOOKUP($J1096,'Project Reference'!$B$2:$G$41,6,FALSE)," ")</f>
        <v xml:space="preserve"> </v>
      </c>
      <c r="U1096" s="42" t="str">
        <f>IFERROR(VLOOKUP($J1096,'Project Reference'!$B$2:$H$41,7,FALSE)," ")</f>
        <v xml:space="preserve"> </v>
      </c>
      <c r="V1096" s="42" t="str">
        <f>IFERROR(VLOOKUP($J1096,'Project Reference'!$B$2:$I$41,8,FALSE)," ")</f>
        <v xml:space="preserve"> </v>
      </c>
      <c r="W1096" s="42" t="str">
        <f>IFERROR(VLOOKUP($J1096,'Project Reference'!$B$2:$J$41,9,FALSE)," ")</f>
        <v xml:space="preserve"> </v>
      </c>
      <c r="X1096" s="42" t="str">
        <f>IFERROR(VLOOKUP($J1096,'Project Reference'!$B$2:$K$41,10)," ")</f>
        <v xml:space="preserve"> </v>
      </c>
      <c r="Y1096" s="42" t="str">
        <f>IFERROR(VLOOKUP($J1096,'Project Reference'!$B$2:$L$41,11)," ")</f>
        <v xml:space="preserve"> </v>
      </c>
      <c r="Z1096" s="42" t="str">
        <f>IFERROR(VLOOKUP($J1096,'Project Reference'!$B$2:$M$41,12)," ")</f>
        <v xml:space="preserve"> </v>
      </c>
      <c r="AA1096" s="42" t="str">
        <f>IFERROR(VLOOKUP($J1096,'Project Reference'!$B$2:$N$41,13)," ")</f>
        <v xml:space="preserve"> </v>
      </c>
    </row>
    <row r="1097" spans="1:27" x14ac:dyDescent="0.45">
      <c r="A1097" s="43"/>
      <c r="B1097" s="205"/>
      <c r="C1097"/>
      <c r="D1097" s="72"/>
      <c r="E1097" s="72"/>
      <c r="F1097" s="72"/>
      <c r="G1097" s="72"/>
      <c r="H1097" s="17"/>
      <c r="I1097" s="41" t="str" cm="1">
        <f t="array" ref="I1097">IFERROR(_xlfn.IFS(H1097="Hard (Cash)","N/A",H1097="Soft (In-Kind)", "Enter Source"),"Select Type")</f>
        <v>Select Type</v>
      </c>
      <c r="J1097" s="124"/>
      <c r="K1097" s="41" t="str">
        <f>IFERROR(VLOOKUP($J1097,'Project Reference'!$S$2:$T$41,2),"Enter Project Number")</f>
        <v>Enter Project Number</v>
      </c>
      <c r="L1097" s="41"/>
      <c r="M1097" s="41"/>
      <c r="N1097" s="15">
        <f t="shared" si="17"/>
        <v>0</v>
      </c>
      <c r="O1097" s="19"/>
      <c r="P1097" s="42" t="str">
        <f>IFERROR(VLOOKUP($J1097,'Project Reference'!$B$2:$C$41,2)," ")</f>
        <v xml:space="preserve"> </v>
      </c>
      <c r="Q1097" s="42" t="str">
        <f>IFERROR(VLOOKUP($J1097,'Project Reference'!$B$2:$D$41,3)," ")</f>
        <v xml:space="preserve"> </v>
      </c>
      <c r="R1097" s="42" t="str">
        <f>IFERROR(VLOOKUP($J1097,'Project Reference'!$B$2:$E$41,4)," ")</f>
        <v xml:space="preserve"> </v>
      </c>
      <c r="S1097" s="42" t="str">
        <f>IFERROR(VLOOKUP($J1097,'Project Reference'!$B$2:$F$41,5,FALSE)," ")</f>
        <v xml:space="preserve"> </v>
      </c>
      <c r="T1097" s="42" t="str">
        <f>IFERROR(VLOOKUP($J1097,'Project Reference'!$B$2:$G$41,6,FALSE)," ")</f>
        <v xml:space="preserve"> </v>
      </c>
      <c r="U1097" s="42" t="str">
        <f>IFERROR(VLOOKUP($J1097,'Project Reference'!$B$2:$H$41,7,FALSE)," ")</f>
        <v xml:space="preserve"> </v>
      </c>
      <c r="V1097" s="42" t="str">
        <f>IFERROR(VLOOKUP($J1097,'Project Reference'!$B$2:$I$41,8,FALSE)," ")</f>
        <v xml:space="preserve"> </v>
      </c>
      <c r="W1097" s="42" t="str">
        <f>IFERROR(VLOOKUP($J1097,'Project Reference'!$B$2:$J$41,9,FALSE)," ")</f>
        <v xml:space="preserve"> </v>
      </c>
      <c r="X1097" s="42" t="str">
        <f>IFERROR(VLOOKUP($J1097,'Project Reference'!$B$2:$K$41,10)," ")</f>
        <v xml:space="preserve"> </v>
      </c>
      <c r="Y1097" s="42" t="str">
        <f>IFERROR(VLOOKUP($J1097,'Project Reference'!$B$2:$L$41,11)," ")</f>
        <v xml:space="preserve"> </v>
      </c>
      <c r="Z1097" s="42" t="str">
        <f>IFERROR(VLOOKUP($J1097,'Project Reference'!$B$2:$M$41,12)," ")</f>
        <v xml:space="preserve"> </v>
      </c>
      <c r="AA1097" s="42" t="str">
        <f>IFERROR(VLOOKUP($J1097,'Project Reference'!$B$2:$N$41,13)," ")</f>
        <v xml:space="preserve"> </v>
      </c>
    </row>
    <row r="1098" spans="1:27" x14ac:dyDescent="0.45">
      <c r="A1098" s="43"/>
      <c r="B1098" s="205"/>
      <c r="C1098"/>
      <c r="D1098" s="72"/>
      <c r="E1098" s="72"/>
      <c r="F1098" s="72"/>
      <c r="G1098" s="72"/>
      <c r="H1098" s="17"/>
      <c r="I1098" s="41" t="str" cm="1">
        <f t="array" ref="I1098">IFERROR(_xlfn.IFS(H1098="Hard (Cash)","N/A",H1098="Soft (In-Kind)", "Enter Source"),"Select Type")</f>
        <v>Select Type</v>
      </c>
      <c r="J1098" s="124"/>
      <c r="K1098" s="41" t="str">
        <f>IFERROR(VLOOKUP($J1098,'Project Reference'!$S$2:$T$41,2),"Enter Project Number")</f>
        <v>Enter Project Number</v>
      </c>
      <c r="L1098" s="41"/>
      <c r="M1098" s="41"/>
      <c r="N1098" s="15">
        <f t="shared" si="17"/>
        <v>0</v>
      </c>
      <c r="O1098" s="19"/>
      <c r="P1098" s="42" t="str">
        <f>IFERROR(VLOOKUP($J1098,'Project Reference'!$B$2:$C$41,2)," ")</f>
        <v xml:space="preserve"> </v>
      </c>
      <c r="Q1098" s="42" t="str">
        <f>IFERROR(VLOOKUP($J1098,'Project Reference'!$B$2:$D$41,3)," ")</f>
        <v xml:space="preserve"> </v>
      </c>
      <c r="R1098" s="42" t="str">
        <f>IFERROR(VLOOKUP($J1098,'Project Reference'!$B$2:$E$41,4)," ")</f>
        <v xml:space="preserve"> </v>
      </c>
      <c r="S1098" s="42" t="str">
        <f>IFERROR(VLOOKUP($J1098,'Project Reference'!$B$2:$F$41,5,FALSE)," ")</f>
        <v xml:space="preserve"> </v>
      </c>
      <c r="T1098" s="42" t="str">
        <f>IFERROR(VLOOKUP($J1098,'Project Reference'!$B$2:$G$41,6,FALSE)," ")</f>
        <v xml:space="preserve"> </v>
      </c>
      <c r="U1098" s="42" t="str">
        <f>IFERROR(VLOOKUP($J1098,'Project Reference'!$B$2:$H$41,7,FALSE)," ")</f>
        <v xml:space="preserve"> </v>
      </c>
      <c r="V1098" s="42" t="str">
        <f>IFERROR(VLOOKUP($J1098,'Project Reference'!$B$2:$I$41,8,FALSE)," ")</f>
        <v xml:space="preserve"> </v>
      </c>
      <c r="W1098" s="42" t="str">
        <f>IFERROR(VLOOKUP($J1098,'Project Reference'!$B$2:$J$41,9,FALSE)," ")</f>
        <v xml:space="preserve"> </v>
      </c>
      <c r="X1098" s="42" t="str">
        <f>IFERROR(VLOOKUP($J1098,'Project Reference'!$B$2:$K$41,10)," ")</f>
        <v xml:space="preserve"> </v>
      </c>
      <c r="Y1098" s="42" t="str">
        <f>IFERROR(VLOOKUP($J1098,'Project Reference'!$B$2:$L$41,11)," ")</f>
        <v xml:space="preserve"> </v>
      </c>
      <c r="Z1098" s="42" t="str">
        <f>IFERROR(VLOOKUP($J1098,'Project Reference'!$B$2:$M$41,12)," ")</f>
        <v xml:space="preserve"> </v>
      </c>
      <c r="AA1098" s="42" t="str">
        <f>IFERROR(VLOOKUP($J1098,'Project Reference'!$B$2:$N$41,13)," ")</f>
        <v xml:space="preserve"> </v>
      </c>
    </row>
    <row r="1099" spans="1:27" x14ac:dyDescent="0.45">
      <c r="A1099" s="43"/>
      <c r="B1099" s="205"/>
      <c r="C1099"/>
      <c r="D1099" s="72"/>
      <c r="E1099" s="72"/>
      <c r="F1099" s="72"/>
      <c r="G1099" s="72"/>
      <c r="H1099" s="17"/>
      <c r="I1099" s="41" t="str" cm="1">
        <f t="array" ref="I1099">IFERROR(_xlfn.IFS(H1099="Hard (Cash)","N/A",H1099="Soft (In-Kind)", "Enter Source"),"Select Type")</f>
        <v>Select Type</v>
      </c>
      <c r="J1099" s="124"/>
      <c r="K1099" s="41" t="str">
        <f>IFERROR(VLOOKUP($J1099,'Project Reference'!$S$2:$T$41,2),"Enter Project Number")</f>
        <v>Enter Project Number</v>
      </c>
      <c r="L1099" s="41"/>
      <c r="M1099" s="41"/>
      <c r="N1099" s="15">
        <f t="shared" si="17"/>
        <v>0</v>
      </c>
      <c r="O1099" s="19"/>
      <c r="P1099" s="42" t="str">
        <f>IFERROR(VLOOKUP($J1099,'Project Reference'!$B$2:$C$41,2)," ")</f>
        <v xml:space="preserve"> </v>
      </c>
      <c r="Q1099" s="42" t="str">
        <f>IFERROR(VLOOKUP($J1099,'Project Reference'!$B$2:$D$41,3)," ")</f>
        <v xml:space="preserve"> </v>
      </c>
      <c r="R1099" s="42" t="str">
        <f>IFERROR(VLOOKUP($J1099,'Project Reference'!$B$2:$E$41,4)," ")</f>
        <v xml:space="preserve"> </v>
      </c>
      <c r="S1099" s="42" t="str">
        <f>IFERROR(VLOOKUP($J1099,'Project Reference'!$B$2:$F$41,5,FALSE)," ")</f>
        <v xml:space="preserve"> </v>
      </c>
      <c r="T1099" s="42" t="str">
        <f>IFERROR(VLOOKUP($J1099,'Project Reference'!$B$2:$G$41,6,FALSE)," ")</f>
        <v xml:space="preserve"> </v>
      </c>
      <c r="U1099" s="42" t="str">
        <f>IFERROR(VLOOKUP($J1099,'Project Reference'!$B$2:$H$41,7,FALSE)," ")</f>
        <v xml:space="preserve"> </v>
      </c>
      <c r="V1099" s="42" t="str">
        <f>IFERROR(VLOOKUP($J1099,'Project Reference'!$B$2:$I$41,8,FALSE)," ")</f>
        <v xml:space="preserve"> </v>
      </c>
      <c r="W1099" s="42" t="str">
        <f>IFERROR(VLOOKUP($J1099,'Project Reference'!$B$2:$J$41,9,FALSE)," ")</f>
        <v xml:space="preserve"> </v>
      </c>
      <c r="X1099" s="42" t="str">
        <f>IFERROR(VLOOKUP($J1099,'Project Reference'!$B$2:$K$41,10)," ")</f>
        <v xml:space="preserve"> </v>
      </c>
      <c r="Y1099" s="42" t="str">
        <f>IFERROR(VLOOKUP($J1099,'Project Reference'!$B$2:$L$41,11)," ")</f>
        <v xml:space="preserve"> </v>
      </c>
      <c r="Z1099" s="42" t="str">
        <f>IFERROR(VLOOKUP($J1099,'Project Reference'!$B$2:$M$41,12)," ")</f>
        <v xml:space="preserve"> </v>
      </c>
      <c r="AA1099" s="42" t="str">
        <f>IFERROR(VLOOKUP($J1099,'Project Reference'!$B$2:$N$41,13)," ")</f>
        <v xml:space="preserve"> </v>
      </c>
    </row>
    <row r="1100" spans="1:27" x14ac:dyDescent="0.45">
      <c r="A1100" s="43"/>
      <c r="B1100" s="205"/>
      <c r="C1100"/>
      <c r="D1100" s="72"/>
      <c r="E1100" s="72"/>
      <c r="F1100" s="72"/>
      <c r="G1100" s="72"/>
      <c r="H1100" s="17"/>
      <c r="I1100" s="41" t="str" cm="1">
        <f t="array" ref="I1100">IFERROR(_xlfn.IFS(H1100="Hard (Cash)","N/A",H1100="Soft (In-Kind)", "Enter Source"),"Select Type")</f>
        <v>Select Type</v>
      </c>
      <c r="J1100" s="124"/>
      <c r="K1100" s="41" t="str">
        <f>IFERROR(VLOOKUP($J1100,'Project Reference'!$S$2:$T$41,2),"Enter Project Number")</f>
        <v>Enter Project Number</v>
      </c>
      <c r="L1100" s="41"/>
      <c r="M1100" s="41"/>
      <c r="N1100" s="15">
        <f t="shared" si="17"/>
        <v>0</v>
      </c>
      <c r="O1100" s="19"/>
      <c r="P1100" s="42" t="str">
        <f>IFERROR(VLOOKUP($J1100,'Project Reference'!$B$2:$C$41,2)," ")</f>
        <v xml:space="preserve"> </v>
      </c>
      <c r="Q1100" s="42" t="str">
        <f>IFERROR(VLOOKUP($J1100,'Project Reference'!$B$2:$D$41,3)," ")</f>
        <v xml:space="preserve"> </v>
      </c>
      <c r="R1100" s="42" t="str">
        <f>IFERROR(VLOOKUP($J1100,'Project Reference'!$B$2:$E$41,4)," ")</f>
        <v xml:space="preserve"> </v>
      </c>
      <c r="S1100" s="42" t="str">
        <f>IFERROR(VLOOKUP($J1100,'Project Reference'!$B$2:$F$41,5,FALSE)," ")</f>
        <v xml:space="preserve"> </v>
      </c>
      <c r="T1100" s="42" t="str">
        <f>IFERROR(VLOOKUP($J1100,'Project Reference'!$B$2:$G$41,6,FALSE)," ")</f>
        <v xml:space="preserve"> </v>
      </c>
      <c r="U1100" s="42" t="str">
        <f>IFERROR(VLOOKUP($J1100,'Project Reference'!$B$2:$H$41,7,FALSE)," ")</f>
        <v xml:space="preserve"> </v>
      </c>
      <c r="V1100" s="42" t="str">
        <f>IFERROR(VLOOKUP($J1100,'Project Reference'!$B$2:$I$41,8,FALSE)," ")</f>
        <v xml:space="preserve"> </v>
      </c>
      <c r="W1100" s="42" t="str">
        <f>IFERROR(VLOOKUP($J1100,'Project Reference'!$B$2:$J$41,9,FALSE)," ")</f>
        <v xml:space="preserve"> </v>
      </c>
      <c r="X1100" s="42" t="str">
        <f>IFERROR(VLOOKUP($J1100,'Project Reference'!$B$2:$K$41,10)," ")</f>
        <v xml:space="preserve"> </v>
      </c>
      <c r="Y1100" s="42" t="str">
        <f>IFERROR(VLOOKUP($J1100,'Project Reference'!$B$2:$L$41,11)," ")</f>
        <v xml:space="preserve"> </v>
      </c>
      <c r="Z1100" s="42" t="str">
        <f>IFERROR(VLOOKUP($J1100,'Project Reference'!$B$2:$M$41,12)," ")</f>
        <v xml:space="preserve"> </v>
      </c>
      <c r="AA1100" s="42" t="str">
        <f>IFERROR(VLOOKUP($J1100,'Project Reference'!$B$2:$N$41,13)," ")</f>
        <v xml:space="preserve"> </v>
      </c>
    </row>
    <row r="1101" spans="1:27" x14ac:dyDescent="0.45">
      <c r="A1101" s="43"/>
      <c r="B1101" s="205"/>
      <c r="C1101"/>
      <c r="D1101" s="72"/>
      <c r="E1101" s="72"/>
      <c r="F1101" s="72"/>
      <c r="G1101" s="72"/>
      <c r="H1101" s="17"/>
      <c r="I1101" s="41" t="str" cm="1">
        <f t="array" ref="I1101">IFERROR(_xlfn.IFS(H1101="Hard (Cash)","N/A",H1101="Soft (In-Kind)", "Enter Source"),"Select Type")</f>
        <v>Select Type</v>
      </c>
      <c r="J1101" s="124"/>
      <c r="K1101" s="41" t="str">
        <f>IFERROR(VLOOKUP($J1101,'Project Reference'!$S$2:$T$41,2),"Enter Project Number")</f>
        <v>Enter Project Number</v>
      </c>
      <c r="L1101" s="41"/>
      <c r="M1101" s="41"/>
      <c r="N1101" s="15">
        <f t="shared" si="17"/>
        <v>0</v>
      </c>
      <c r="O1101" s="19"/>
      <c r="P1101" s="42" t="str">
        <f>IFERROR(VLOOKUP($J1101,'Project Reference'!$B$2:$C$41,2)," ")</f>
        <v xml:space="preserve"> </v>
      </c>
      <c r="Q1101" s="42" t="str">
        <f>IFERROR(VLOOKUP($J1101,'Project Reference'!$B$2:$D$41,3)," ")</f>
        <v xml:space="preserve"> </v>
      </c>
      <c r="R1101" s="42" t="str">
        <f>IFERROR(VLOOKUP($J1101,'Project Reference'!$B$2:$E$41,4)," ")</f>
        <v xml:space="preserve"> </v>
      </c>
      <c r="S1101" s="42" t="str">
        <f>IFERROR(VLOOKUP($J1101,'Project Reference'!$B$2:$F$41,5,FALSE)," ")</f>
        <v xml:space="preserve"> </v>
      </c>
      <c r="T1101" s="42" t="str">
        <f>IFERROR(VLOOKUP($J1101,'Project Reference'!$B$2:$G$41,6,FALSE)," ")</f>
        <v xml:space="preserve"> </v>
      </c>
      <c r="U1101" s="42" t="str">
        <f>IFERROR(VLOOKUP($J1101,'Project Reference'!$B$2:$H$41,7,FALSE)," ")</f>
        <v xml:space="preserve"> </v>
      </c>
      <c r="V1101" s="42" t="str">
        <f>IFERROR(VLOOKUP($J1101,'Project Reference'!$B$2:$I$41,8,FALSE)," ")</f>
        <v xml:space="preserve"> </v>
      </c>
      <c r="W1101" s="42" t="str">
        <f>IFERROR(VLOOKUP($J1101,'Project Reference'!$B$2:$J$41,9,FALSE)," ")</f>
        <v xml:space="preserve"> </v>
      </c>
      <c r="X1101" s="42" t="str">
        <f>IFERROR(VLOOKUP($J1101,'Project Reference'!$B$2:$K$41,10)," ")</f>
        <v xml:space="preserve"> </v>
      </c>
      <c r="Y1101" s="42" t="str">
        <f>IFERROR(VLOOKUP($J1101,'Project Reference'!$B$2:$L$41,11)," ")</f>
        <v xml:space="preserve"> </v>
      </c>
      <c r="Z1101" s="42" t="str">
        <f>IFERROR(VLOOKUP($J1101,'Project Reference'!$B$2:$M$41,12)," ")</f>
        <v xml:space="preserve"> </v>
      </c>
      <c r="AA1101" s="42" t="str">
        <f>IFERROR(VLOOKUP($J1101,'Project Reference'!$B$2:$N$41,13)," ")</f>
        <v xml:space="preserve"> </v>
      </c>
    </row>
    <row r="1102" spans="1:27" x14ac:dyDescent="0.45">
      <c r="A1102" s="43"/>
      <c r="B1102" s="205"/>
      <c r="C1102"/>
      <c r="D1102" s="72"/>
      <c r="E1102" s="72"/>
      <c r="F1102" s="72"/>
      <c r="G1102" s="72"/>
      <c r="H1102" s="17"/>
      <c r="I1102" s="41" t="str" cm="1">
        <f t="array" ref="I1102">IFERROR(_xlfn.IFS(H1102="Hard (Cash)","N/A",H1102="Soft (In-Kind)", "Enter Source"),"Select Type")</f>
        <v>Select Type</v>
      </c>
      <c r="J1102" s="124"/>
      <c r="K1102" s="41" t="str">
        <f>IFERROR(VLOOKUP($J1102,'Project Reference'!$S$2:$T$41,2),"Enter Project Number")</f>
        <v>Enter Project Number</v>
      </c>
      <c r="L1102" s="41"/>
      <c r="M1102" s="41"/>
      <c r="N1102" s="15">
        <f t="shared" si="17"/>
        <v>0</v>
      </c>
      <c r="O1102" s="19"/>
      <c r="P1102" s="42" t="str">
        <f>IFERROR(VLOOKUP($J1102,'Project Reference'!$B$2:$C$41,2)," ")</f>
        <v xml:space="preserve"> </v>
      </c>
      <c r="Q1102" s="42" t="str">
        <f>IFERROR(VLOOKUP($J1102,'Project Reference'!$B$2:$D$41,3)," ")</f>
        <v xml:space="preserve"> </v>
      </c>
      <c r="R1102" s="42" t="str">
        <f>IFERROR(VLOOKUP($J1102,'Project Reference'!$B$2:$E$41,4)," ")</f>
        <v xml:space="preserve"> </v>
      </c>
      <c r="S1102" s="42" t="str">
        <f>IFERROR(VLOOKUP($J1102,'Project Reference'!$B$2:$F$41,5,FALSE)," ")</f>
        <v xml:space="preserve"> </v>
      </c>
      <c r="T1102" s="42" t="str">
        <f>IFERROR(VLOOKUP($J1102,'Project Reference'!$B$2:$G$41,6,FALSE)," ")</f>
        <v xml:space="preserve"> </v>
      </c>
      <c r="U1102" s="42" t="str">
        <f>IFERROR(VLOOKUP($J1102,'Project Reference'!$B$2:$H$41,7,FALSE)," ")</f>
        <v xml:space="preserve"> </v>
      </c>
      <c r="V1102" s="42" t="str">
        <f>IFERROR(VLOOKUP($J1102,'Project Reference'!$B$2:$I$41,8,FALSE)," ")</f>
        <v xml:space="preserve"> </v>
      </c>
      <c r="W1102" s="42" t="str">
        <f>IFERROR(VLOOKUP($J1102,'Project Reference'!$B$2:$J$41,9,FALSE)," ")</f>
        <v xml:space="preserve"> </v>
      </c>
      <c r="X1102" s="42" t="str">
        <f>IFERROR(VLOOKUP($J1102,'Project Reference'!$B$2:$K$41,10)," ")</f>
        <v xml:space="preserve"> </v>
      </c>
      <c r="Y1102" s="42" t="str">
        <f>IFERROR(VLOOKUP($J1102,'Project Reference'!$B$2:$L$41,11)," ")</f>
        <v xml:space="preserve"> </v>
      </c>
      <c r="Z1102" s="42" t="str">
        <f>IFERROR(VLOOKUP($J1102,'Project Reference'!$B$2:$M$41,12)," ")</f>
        <v xml:space="preserve"> </v>
      </c>
      <c r="AA1102" s="42" t="str">
        <f>IFERROR(VLOOKUP($J1102,'Project Reference'!$B$2:$N$41,13)," ")</f>
        <v xml:space="preserve"> </v>
      </c>
    </row>
    <row r="1103" spans="1:27" x14ac:dyDescent="0.45">
      <c r="A1103" s="43"/>
      <c r="B1103" s="205"/>
      <c r="C1103"/>
      <c r="D1103" s="72"/>
      <c r="E1103" s="72"/>
      <c r="F1103" s="72"/>
      <c r="G1103" s="72"/>
      <c r="H1103" s="17"/>
      <c r="I1103" s="41" t="str" cm="1">
        <f t="array" ref="I1103">IFERROR(_xlfn.IFS(H1103="Hard (Cash)","N/A",H1103="Soft (In-Kind)", "Enter Source"),"Select Type")</f>
        <v>Select Type</v>
      </c>
      <c r="J1103" s="124"/>
      <c r="K1103" s="41" t="str">
        <f>IFERROR(VLOOKUP($J1103,'Project Reference'!$S$2:$T$41,2),"Enter Project Number")</f>
        <v>Enter Project Number</v>
      </c>
      <c r="L1103" s="41"/>
      <c r="M1103" s="41"/>
      <c r="N1103" s="15">
        <f t="shared" si="17"/>
        <v>0</v>
      </c>
      <c r="O1103" s="19"/>
      <c r="P1103" s="42" t="str">
        <f>IFERROR(VLOOKUP($J1103,'Project Reference'!$B$2:$C$41,2)," ")</f>
        <v xml:space="preserve"> </v>
      </c>
      <c r="Q1103" s="42" t="str">
        <f>IFERROR(VLOOKUP($J1103,'Project Reference'!$B$2:$D$41,3)," ")</f>
        <v xml:space="preserve"> </v>
      </c>
      <c r="R1103" s="42" t="str">
        <f>IFERROR(VLOOKUP($J1103,'Project Reference'!$B$2:$E$41,4)," ")</f>
        <v xml:space="preserve"> </v>
      </c>
      <c r="S1103" s="42" t="str">
        <f>IFERROR(VLOOKUP($J1103,'Project Reference'!$B$2:$F$41,5,FALSE)," ")</f>
        <v xml:space="preserve"> </v>
      </c>
      <c r="T1103" s="42" t="str">
        <f>IFERROR(VLOOKUP($J1103,'Project Reference'!$B$2:$G$41,6,FALSE)," ")</f>
        <v xml:space="preserve"> </v>
      </c>
      <c r="U1103" s="42" t="str">
        <f>IFERROR(VLOOKUP($J1103,'Project Reference'!$B$2:$H$41,7,FALSE)," ")</f>
        <v xml:space="preserve"> </v>
      </c>
      <c r="V1103" s="42" t="str">
        <f>IFERROR(VLOOKUP($J1103,'Project Reference'!$B$2:$I$41,8,FALSE)," ")</f>
        <v xml:space="preserve"> </v>
      </c>
      <c r="W1103" s="42" t="str">
        <f>IFERROR(VLOOKUP($J1103,'Project Reference'!$B$2:$J$41,9,FALSE)," ")</f>
        <v xml:space="preserve"> </v>
      </c>
      <c r="X1103" s="42" t="str">
        <f>IFERROR(VLOOKUP($J1103,'Project Reference'!$B$2:$K$41,10)," ")</f>
        <v xml:space="preserve"> </v>
      </c>
      <c r="Y1103" s="42" t="str">
        <f>IFERROR(VLOOKUP($J1103,'Project Reference'!$B$2:$L$41,11)," ")</f>
        <v xml:space="preserve"> </v>
      </c>
      <c r="Z1103" s="42" t="str">
        <f>IFERROR(VLOOKUP($J1103,'Project Reference'!$B$2:$M$41,12)," ")</f>
        <v xml:space="preserve"> </v>
      </c>
      <c r="AA1103" s="42" t="str">
        <f>IFERROR(VLOOKUP($J1103,'Project Reference'!$B$2:$N$41,13)," ")</f>
        <v xml:space="preserve"> </v>
      </c>
    </row>
    <row r="1104" spans="1:27" x14ac:dyDescent="0.45">
      <c r="A1104" s="43"/>
      <c r="B1104" s="205"/>
      <c r="C1104"/>
      <c r="D1104" s="72"/>
      <c r="E1104" s="72"/>
      <c r="F1104" s="72"/>
      <c r="G1104" s="72"/>
      <c r="H1104" s="17"/>
      <c r="I1104" s="41" t="str" cm="1">
        <f t="array" ref="I1104">IFERROR(_xlfn.IFS(H1104="Hard (Cash)","N/A",H1104="Soft (In-Kind)", "Enter Source"),"Select Type")</f>
        <v>Select Type</v>
      </c>
      <c r="J1104" s="124"/>
      <c r="K1104" s="41" t="str">
        <f>IFERROR(VLOOKUP($J1104,'Project Reference'!$S$2:$T$41,2),"Enter Project Number")</f>
        <v>Enter Project Number</v>
      </c>
      <c r="L1104" s="41"/>
      <c r="M1104" s="41"/>
      <c r="N1104" s="15">
        <f t="shared" si="17"/>
        <v>0</v>
      </c>
      <c r="O1104" s="19"/>
      <c r="P1104" s="42" t="str">
        <f>IFERROR(VLOOKUP($J1104,'Project Reference'!$B$2:$C$41,2)," ")</f>
        <v xml:space="preserve"> </v>
      </c>
      <c r="Q1104" s="42" t="str">
        <f>IFERROR(VLOOKUP($J1104,'Project Reference'!$B$2:$D$41,3)," ")</f>
        <v xml:space="preserve"> </v>
      </c>
      <c r="R1104" s="42" t="str">
        <f>IFERROR(VLOOKUP($J1104,'Project Reference'!$B$2:$E$41,4)," ")</f>
        <v xml:space="preserve"> </v>
      </c>
      <c r="S1104" s="42" t="str">
        <f>IFERROR(VLOOKUP($J1104,'Project Reference'!$B$2:$F$41,5,FALSE)," ")</f>
        <v xml:space="preserve"> </v>
      </c>
      <c r="T1104" s="42" t="str">
        <f>IFERROR(VLOOKUP($J1104,'Project Reference'!$B$2:$G$41,6,FALSE)," ")</f>
        <v xml:space="preserve"> </v>
      </c>
      <c r="U1104" s="42" t="str">
        <f>IFERROR(VLOOKUP($J1104,'Project Reference'!$B$2:$H$41,7,FALSE)," ")</f>
        <v xml:space="preserve"> </v>
      </c>
      <c r="V1104" s="42" t="str">
        <f>IFERROR(VLOOKUP($J1104,'Project Reference'!$B$2:$I$41,8,FALSE)," ")</f>
        <v xml:space="preserve"> </v>
      </c>
      <c r="W1104" s="42" t="str">
        <f>IFERROR(VLOOKUP($J1104,'Project Reference'!$B$2:$J$41,9,FALSE)," ")</f>
        <v xml:space="preserve"> </v>
      </c>
      <c r="X1104" s="42" t="str">
        <f>IFERROR(VLOOKUP($J1104,'Project Reference'!$B$2:$K$41,10)," ")</f>
        <v xml:space="preserve"> </v>
      </c>
      <c r="Y1104" s="42" t="str">
        <f>IFERROR(VLOOKUP($J1104,'Project Reference'!$B$2:$L$41,11)," ")</f>
        <v xml:space="preserve"> </v>
      </c>
      <c r="Z1104" s="42" t="str">
        <f>IFERROR(VLOOKUP($J1104,'Project Reference'!$B$2:$M$41,12)," ")</f>
        <v xml:space="preserve"> </v>
      </c>
      <c r="AA1104" s="42" t="str">
        <f>IFERROR(VLOOKUP($J1104,'Project Reference'!$B$2:$N$41,13)," ")</f>
        <v xml:space="preserve"> </v>
      </c>
    </row>
    <row r="1105" spans="1:27" x14ac:dyDescent="0.45">
      <c r="A1105" s="43"/>
      <c r="B1105" s="205"/>
      <c r="C1105"/>
      <c r="D1105" s="72"/>
      <c r="E1105" s="72"/>
      <c r="F1105" s="72"/>
      <c r="G1105" s="72"/>
      <c r="H1105" s="17"/>
      <c r="I1105" s="41" t="str" cm="1">
        <f t="array" ref="I1105">IFERROR(_xlfn.IFS(H1105="Hard (Cash)","N/A",H1105="Soft (In-Kind)", "Enter Source"),"Select Type")</f>
        <v>Select Type</v>
      </c>
      <c r="J1105" s="124"/>
      <c r="K1105" s="41" t="str">
        <f>IFERROR(VLOOKUP($J1105,'Project Reference'!$S$2:$T$41,2),"Enter Project Number")</f>
        <v>Enter Project Number</v>
      </c>
      <c r="L1105" s="41"/>
      <c r="M1105" s="41"/>
      <c r="N1105" s="15">
        <f t="shared" si="17"/>
        <v>0</v>
      </c>
      <c r="O1105" s="19"/>
      <c r="P1105" s="42" t="str">
        <f>IFERROR(VLOOKUP($J1105,'Project Reference'!$B$2:$C$41,2)," ")</f>
        <v xml:space="preserve"> </v>
      </c>
      <c r="Q1105" s="42" t="str">
        <f>IFERROR(VLOOKUP($J1105,'Project Reference'!$B$2:$D$41,3)," ")</f>
        <v xml:space="preserve"> </v>
      </c>
      <c r="R1105" s="42" t="str">
        <f>IFERROR(VLOOKUP($J1105,'Project Reference'!$B$2:$E$41,4)," ")</f>
        <v xml:space="preserve"> </v>
      </c>
      <c r="S1105" s="42" t="str">
        <f>IFERROR(VLOOKUP($J1105,'Project Reference'!$B$2:$F$41,5,FALSE)," ")</f>
        <v xml:space="preserve"> </v>
      </c>
      <c r="T1105" s="42" t="str">
        <f>IFERROR(VLOOKUP($J1105,'Project Reference'!$B$2:$G$41,6,FALSE)," ")</f>
        <v xml:space="preserve"> </v>
      </c>
      <c r="U1105" s="42" t="str">
        <f>IFERROR(VLOOKUP($J1105,'Project Reference'!$B$2:$H$41,7,FALSE)," ")</f>
        <v xml:space="preserve"> </v>
      </c>
      <c r="V1105" s="42" t="str">
        <f>IFERROR(VLOOKUP($J1105,'Project Reference'!$B$2:$I$41,8,FALSE)," ")</f>
        <v xml:space="preserve"> </v>
      </c>
      <c r="W1105" s="42" t="str">
        <f>IFERROR(VLOOKUP($J1105,'Project Reference'!$B$2:$J$41,9,FALSE)," ")</f>
        <v xml:space="preserve"> </v>
      </c>
      <c r="X1105" s="42" t="str">
        <f>IFERROR(VLOOKUP($J1105,'Project Reference'!$B$2:$K$41,10)," ")</f>
        <v xml:space="preserve"> </v>
      </c>
      <c r="Y1105" s="42" t="str">
        <f>IFERROR(VLOOKUP($J1105,'Project Reference'!$B$2:$L$41,11)," ")</f>
        <v xml:space="preserve"> </v>
      </c>
      <c r="Z1105" s="42" t="str">
        <f>IFERROR(VLOOKUP($J1105,'Project Reference'!$B$2:$M$41,12)," ")</f>
        <v xml:space="preserve"> </v>
      </c>
      <c r="AA1105" s="42" t="str">
        <f>IFERROR(VLOOKUP($J1105,'Project Reference'!$B$2:$N$41,13)," ")</f>
        <v xml:space="preserve"> </v>
      </c>
    </row>
    <row r="1106" spans="1:27" x14ac:dyDescent="0.45">
      <c r="A1106" s="43"/>
      <c r="B1106" s="205"/>
      <c r="C1106"/>
      <c r="D1106" s="72"/>
      <c r="E1106" s="72"/>
      <c r="F1106" s="72"/>
      <c r="G1106" s="72"/>
      <c r="H1106" s="17"/>
      <c r="I1106" s="41" t="str" cm="1">
        <f t="array" ref="I1106">IFERROR(_xlfn.IFS(H1106="Hard (Cash)","N/A",H1106="Soft (In-Kind)", "Enter Source"),"Select Type")</f>
        <v>Select Type</v>
      </c>
      <c r="J1106" s="124"/>
      <c r="K1106" s="41" t="str">
        <f>IFERROR(VLOOKUP($J1106,'Project Reference'!$S$2:$T$41,2),"Enter Project Number")</f>
        <v>Enter Project Number</v>
      </c>
      <c r="L1106" s="41"/>
      <c r="M1106" s="41"/>
      <c r="N1106" s="15">
        <f t="shared" si="17"/>
        <v>0</v>
      </c>
      <c r="O1106" s="19"/>
      <c r="P1106" s="42" t="str">
        <f>IFERROR(VLOOKUP($J1106,'Project Reference'!$B$2:$C$41,2)," ")</f>
        <v xml:space="preserve"> </v>
      </c>
      <c r="Q1106" s="42" t="str">
        <f>IFERROR(VLOOKUP($J1106,'Project Reference'!$B$2:$D$41,3)," ")</f>
        <v xml:space="preserve"> </v>
      </c>
      <c r="R1106" s="42" t="str">
        <f>IFERROR(VLOOKUP($J1106,'Project Reference'!$B$2:$E$41,4)," ")</f>
        <v xml:space="preserve"> </v>
      </c>
      <c r="S1106" s="42" t="str">
        <f>IFERROR(VLOOKUP($J1106,'Project Reference'!$B$2:$F$41,5,FALSE)," ")</f>
        <v xml:space="preserve"> </v>
      </c>
      <c r="T1106" s="42" t="str">
        <f>IFERROR(VLOOKUP($J1106,'Project Reference'!$B$2:$G$41,6,FALSE)," ")</f>
        <v xml:space="preserve"> </v>
      </c>
      <c r="U1106" s="42" t="str">
        <f>IFERROR(VLOOKUP($J1106,'Project Reference'!$B$2:$H$41,7,FALSE)," ")</f>
        <v xml:space="preserve"> </v>
      </c>
      <c r="V1106" s="42" t="str">
        <f>IFERROR(VLOOKUP($J1106,'Project Reference'!$B$2:$I$41,8,FALSE)," ")</f>
        <v xml:space="preserve"> </v>
      </c>
      <c r="W1106" s="42" t="str">
        <f>IFERROR(VLOOKUP($J1106,'Project Reference'!$B$2:$J$41,9,FALSE)," ")</f>
        <v xml:space="preserve"> </v>
      </c>
      <c r="X1106" s="42" t="str">
        <f>IFERROR(VLOOKUP($J1106,'Project Reference'!$B$2:$K$41,10)," ")</f>
        <v xml:space="preserve"> </v>
      </c>
      <c r="Y1106" s="42" t="str">
        <f>IFERROR(VLOOKUP($J1106,'Project Reference'!$B$2:$L$41,11)," ")</f>
        <v xml:space="preserve"> </v>
      </c>
      <c r="Z1106" s="42" t="str">
        <f>IFERROR(VLOOKUP($J1106,'Project Reference'!$B$2:$M$41,12)," ")</f>
        <v xml:space="preserve"> </v>
      </c>
      <c r="AA1106" s="42" t="str">
        <f>IFERROR(VLOOKUP($J1106,'Project Reference'!$B$2:$N$41,13)," ")</f>
        <v xml:space="preserve"> </v>
      </c>
    </row>
    <row r="1107" spans="1:27" x14ac:dyDescent="0.45">
      <c r="A1107" s="43"/>
      <c r="B1107" s="205"/>
      <c r="C1107"/>
      <c r="D1107" s="72"/>
      <c r="E1107" s="72"/>
      <c r="F1107" s="72"/>
      <c r="G1107" s="72"/>
      <c r="H1107" s="17"/>
      <c r="I1107" s="41" t="str" cm="1">
        <f t="array" ref="I1107">IFERROR(_xlfn.IFS(H1107="Hard (Cash)","N/A",H1107="Soft (In-Kind)", "Enter Source"),"Select Type")</f>
        <v>Select Type</v>
      </c>
      <c r="J1107" s="124"/>
      <c r="K1107" s="41" t="str">
        <f>IFERROR(VLOOKUP($J1107,'Project Reference'!$S$2:$T$41,2),"Enter Project Number")</f>
        <v>Enter Project Number</v>
      </c>
      <c r="L1107" s="41"/>
      <c r="M1107" s="41"/>
      <c r="N1107" s="15">
        <f t="shared" si="17"/>
        <v>0</v>
      </c>
      <c r="O1107" s="19"/>
      <c r="P1107" s="42" t="str">
        <f>IFERROR(VLOOKUP($J1107,'Project Reference'!$B$2:$C$41,2)," ")</f>
        <v xml:space="preserve"> </v>
      </c>
      <c r="Q1107" s="42" t="str">
        <f>IFERROR(VLOOKUP($J1107,'Project Reference'!$B$2:$D$41,3)," ")</f>
        <v xml:space="preserve"> </v>
      </c>
      <c r="R1107" s="42" t="str">
        <f>IFERROR(VLOOKUP($J1107,'Project Reference'!$B$2:$E$41,4)," ")</f>
        <v xml:space="preserve"> </v>
      </c>
      <c r="S1107" s="42" t="str">
        <f>IFERROR(VLOOKUP($J1107,'Project Reference'!$B$2:$F$41,5,FALSE)," ")</f>
        <v xml:space="preserve"> </v>
      </c>
      <c r="T1107" s="42" t="str">
        <f>IFERROR(VLOOKUP($J1107,'Project Reference'!$B$2:$G$41,6,FALSE)," ")</f>
        <v xml:space="preserve"> </v>
      </c>
      <c r="U1107" s="42" t="str">
        <f>IFERROR(VLOOKUP($J1107,'Project Reference'!$B$2:$H$41,7,FALSE)," ")</f>
        <v xml:space="preserve"> </v>
      </c>
      <c r="V1107" s="42" t="str">
        <f>IFERROR(VLOOKUP($J1107,'Project Reference'!$B$2:$I$41,8,FALSE)," ")</f>
        <v xml:space="preserve"> </v>
      </c>
      <c r="W1107" s="42" t="str">
        <f>IFERROR(VLOOKUP($J1107,'Project Reference'!$B$2:$J$41,9,FALSE)," ")</f>
        <v xml:space="preserve"> </v>
      </c>
      <c r="X1107" s="42" t="str">
        <f>IFERROR(VLOOKUP($J1107,'Project Reference'!$B$2:$K$41,10)," ")</f>
        <v xml:space="preserve"> </v>
      </c>
      <c r="Y1107" s="42" t="str">
        <f>IFERROR(VLOOKUP($J1107,'Project Reference'!$B$2:$L$41,11)," ")</f>
        <v xml:space="preserve"> </v>
      </c>
      <c r="Z1107" s="42" t="str">
        <f>IFERROR(VLOOKUP($J1107,'Project Reference'!$B$2:$M$41,12)," ")</f>
        <v xml:space="preserve"> </v>
      </c>
      <c r="AA1107" s="42" t="str">
        <f>IFERROR(VLOOKUP($J1107,'Project Reference'!$B$2:$N$41,13)," ")</f>
        <v xml:space="preserve"> </v>
      </c>
    </row>
    <row r="1108" spans="1:27" x14ac:dyDescent="0.45">
      <c r="A1108" s="43"/>
      <c r="B1108" s="205"/>
      <c r="C1108"/>
      <c r="D1108" s="72"/>
      <c r="E1108" s="72"/>
      <c r="F1108" s="72"/>
      <c r="G1108" s="72"/>
      <c r="H1108" s="17"/>
      <c r="I1108" s="41" t="str" cm="1">
        <f t="array" ref="I1108">IFERROR(_xlfn.IFS(H1108="Hard (Cash)","N/A",H1108="Soft (In-Kind)", "Enter Source"),"Select Type")</f>
        <v>Select Type</v>
      </c>
      <c r="J1108" s="124"/>
      <c r="K1108" s="41" t="str">
        <f>IFERROR(VLOOKUP($J1108,'Project Reference'!$S$2:$T$41,2),"Enter Project Number")</f>
        <v>Enter Project Number</v>
      </c>
      <c r="L1108" s="41"/>
      <c r="M1108" s="41"/>
      <c r="N1108" s="15">
        <f t="shared" si="17"/>
        <v>0</v>
      </c>
      <c r="O1108" s="19"/>
      <c r="P1108" s="42" t="str">
        <f>IFERROR(VLOOKUP($J1108,'Project Reference'!$B$2:$C$41,2)," ")</f>
        <v xml:space="preserve"> </v>
      </c>
      <c r="Q1108" s="42" t="str">
        <f>IFERROR(VLOOKUP($J1108,'Project Reference'!$B$2:$D$41,3)," ")</f>
        <v xml:space="preserve"> </v>
      </c>
      <c r="R1108" s="42" t="str">
        <f>IFERROR(VLOOKUP($J1108,'Project Reference'!$B$2:$E$41,4)," ")</f>
        <v xml:space="preserve"> </v>
      </c>
      <c r="S1108" s="42" t="str">
        <f>IFERROR(VLOOKUP($J1108,'Project Reference'!$B$2:$F$41,5,FALSE)," ")</f>
        <v xml:space="preserve"> </v>
      </c>
      <c r="T1108" s="42" t="str">
        <f>IFERROR(VLOOKUP($J1108,'Project Reference'!$B$2:$G$41,6,FALSE)," ")</f>
        <v xml:space="preserve"> </v>
      </c>
      <c r="U1108" s="42" t="str">
        <f>IFERROR(VLOOKUP($J1108,'Project Reference'!$B$2:$H$41,7,FALSE)," ")</f>
        <v xml:space="preserve"> </v>
      </c>
      <c r="V1108" s="42" t="str">
        <f>IFERROR(VLOOKUP($J1108,'Project Reference'!$B$2:$I$41,8,FALSE)," ")</f>
        <v xml:space="preserve"> </v>
      </c>
      <c r="W1108" s="42" t="str">
        <f>IFERROR(VLOOKUP($J1108,'Project Reference'!$B$2:$J$41,9,FALSE)," ")</f>
        <v xml:space="preserve"> </v>
      </c>
      <c r="X1108" s="42" t="str">
        <f>IFERROR(VLOOKUP($J1108,'Project Reference'!$B$2:$K$41,10)," ")</f>
        <v xml:space="preserve"> </v>
      </c>
      <c r="Y1108" s="42" t="str">
        <f>IFERROR(VLOOKUP($J1108,'Project Reference'!$B$2:$L$41,11)," ")</f>
        <v xml:space="preserve"> </v>
      </c>
      <c r="Z1108" s="42" t="str">
        <f>IFERROR(VLOOKUP($J1108,'Project Reference'!$B$2:$M$41,12)," ")</f>
        <v xml:space="preserve"> </v>
      </c>
      <c r="AA1108" s="42" t="str">
        <f>IFERROR(VLOOKUP($J1108,'Project Reference'!$B$2:$N$41,13)," ")</f>
        <v xml:space="preserve"> </v>
      </c>
    </row>
    <row r="1109" spans="1:27" x14ac:dyDescent="0.45">
      <c r="A1109" s="43"/>
      <c r="B1109" s="205"/>
      <c r="C1109"/>
      <c r="D1109" s="72"/>
      <c r="E1109" s="72"/>
      <c r="F1109" s="72"/>
      <c r="G1109" s="72"/>
      <c r="H1109" s="17"/>
      <c r="I1109" s="41" t="str" cm="1">
        <f t="array" ref="I1109">IFERROR(_xlfn.IFS(H1109="Hard (Cash)","N/A",H1109="Soft (In-Kind)", "Enter Source"),"Select Type")</f>
        <v>Select Type</v>
      </c>
      <c r="J1109" s="124"/>
      <c r="K1109" s="41" t="str">
        <f>IFERROR(VLOOKUP($J1109,'Project Reference'!$S$2:$T$41,2),"Enter Project Number")</f>
        <v>Enter Project Number</v>
      </c>
      <c r="L1109" s="41"/>
      <c r="M1109" s="41"/>
      <c r="N1109" s="15">
        <f t="shared" si="17"/>
        <v>0</v>
      </c>
      <c r="O1109" s="19"/>
      <c r="P1109" s="42" t="str">
        <f>IFERROR(VLOOKUP($J1109,'Project Reference'!$B$2:$C$41,2)," ")</f>
        <v xml:space="preserve"> </v>
      </c>
      <c r="Q1109" s="42" t="str">
        <f>IFERROR(VLOOKUP($J1109,'Project Reference'!$B$2:$D$41,3)," ")</f>
        <v xml:space="preserve"> </v>
      </c>
      <c r="R1109" s="42" t="str">
        <f>IFERROR(VLOOKUP($J1109,'Project Reference'!$B$2:$E$41,4)," ")</f>
        <v xml:space="preserve"> </v>
      </c>
      <c r="S1109" s="42" t="str">
        <f>IFERROR(VLOOKUP($J1109,'Project Reference'!$B$2:$F$41,5,FALSE)," ")</f>
        <v xml:space="preserve"> </v>
      </c>
      <c r="T1109" s="42" t="str">
        <f>IFERROR(VLOOKUP($J1109,'Project Reference'!$B$2:$G$41,6,FALSE)," ")</f>
        <v xml:space="preserve"> </v>
      </c>
      <c r="U1109" s="42" t="str">
        <f>IFERROR(VLOOKUP($J1109,'Project Reference'!$B$2:$H$41,7,FALSE)," ")</f>
        <v xml:space="preserve"> </v>
      </c>
      <c r="V1109" s="42" t="str">
        <f>IFERROR(VLOOKUP($J1109,'Project Reference'!$B$2:$I$41,8,FALSE)," ")</f>
        <v xml:space="preserve"> </v>
      </c>
      <c r="W1109" s="42" t="str">
        <f>IFERROR(VLOOKUP($J1109,'Project Reference'!$B$2:$J$41,9,FALSE)," ")</f>
        <v xml:space="preserve"> </v>
      </c>
      <c r="X1109" s="42" t="str">
        <f>IFERROR(VLOOKUP($J1109,'Project Reference'!$B$2:$K$41,10)," ")</f>
        <v xml:space="preserve"> </v>
      </c>
      <c r="Y1109" s="42" t="str">
        <f>IFERROR(VLOOKUP($J1109,'Project Reference'!$B$2:$L$41,11)," ")</f>
        <v xml:space="preserve"> </v>
      </c>
      <c r="Z1109" s="42" t="str">
        <f>IFERROR(VLOOKUP($J1109,'Project Reference'!$B$2:$M$41,12)," ")</f>
        <v xml:space="preserve"> </v>
      </c>
      <c r="AA1109" s="42" t="str">
        <f>IFERROR(VLOOKUP($J1109,'Project Reference'!$B$2:$N$41,13)," ")</f>
        <v xml:space="preserve"> </v>
      </c>
    </row>
    <row r="1110" spans="1:27" x14ac:dyDescent="0.45">
      <c r="A1110" s="43"/>
      <c r="B1110" s="205"/>
      <c r="C1110"/>
      <c r="D1110" s="72"/>
      <c r="E1110" s="72"/>
      <c r="F1110" s="72"/>
      <c r="G1110" s="72"/>
      <c r="H1110" s="17"/>
      <c r="I1110" s="41" t="str" cm="1">
        <f t="array" ref="I1110">IFERROR(_xlfn.IFS(H1110="Hard (Cash)","N/A",H1110="Soft (In-Kind)", "Enter Source"),"Select Type")</f>
        <v>Select Type</v>
      </c>
      <c r="J1110" s="124"/>
      <c r="K1110" s="41" t="str">
        <f>IFERROR(VLOOKUP($J1110,'Project Reference'!$S$2:$T$41,2),"Enter Project Number")</f>
        <v>Enter Project Number</v>
      </c>
      <c r="L1110" s="41"/>
      <c r="M1110" s="41"/>
      <c r="N1110" s="15">
        <f t="shared" si="17"/>
        <v>0</v>
      </c>
      <c r="O1110" s="19"/>
      <c r="P1110" s="42" t="str">
        <f>IFERROR(VLOOKUP($J1110,'Project Reference'!$B$2:$C$41,2)," ")</f>
        <v xml:space="preserve"> </v>
      </c>
      <c r="Q1110" s="42" t="str">
        <f>IFERROR(VLOOKUP($J1110,'Project Reference'!$B$2:$D$41,3)," ")</f>
        <v xml:space="preserve"> </v>
      </c>
      <c r="R1110" s="42" t="str">
        <f>IFERROR(VLOOKUP($J1110,'Project Reference'!$B$2:$E$41,4)," ")</f>
        <v xml:space="preserve"> </v>
      </c>
      <c r="S1110" s="42" t="str">
        <f>IFERROR(VLOOKUP($J1110,'Project Reference'!$B$2:$F$41,5,FALSE)," ")</f>
        <v xml:space="preserve"> </v>
      </c>
      <c r="T1110" s="42" t="str">
        <f>IFERROR(VLOOKUP($J1110,'Project Reference'!$B$2:$G$41,6,FALSE)," ")</f>
        <v xml:space="preserve"> </v>
      </c>
      <c r="U1110" s="42" t="str">
        <f>IFERROR(VLOOKUP($J1110,'Project Reference'!$B$2:$H$41,7,FALSE)," ")</f>
        <v xml:space="preserve"> </v>
      </c>
      <c r="V1110" s="42" t="str">
        <f>IFERROR(VLOOKUP($J1110,'Project Reference'!$B$2:$I$41,8,FALSE)," ")</f>
        <v xml:space="preserve"> </v>
      </c>
      <c r="W1110" s="42" t="str">
        <f>IFERROR(VLOOKUP($J1110,'Project Reference'!$B$2:$J$41,9,FALSE)," ")</f>
        <v xml:space="preserve"> </v>
      </c>
      <c r="X1110" s="42" t="str">
        <f>IFERROR(VLOOKUP($J1110,'Project Reference'!$B$2:$K$41,10)," ")</f>
        <v xml:space="preserve"> </v>
      </c>
      <c r="Y1110" s="42" t="str">
        <f>IFERROR(VLOOKUP($J1110,'Project Reference'!$B$2:$L$41,11)," ")</f>
        <v xml:space="preserve"> </v>
      </c>
      <c r="Z1110" s="42" t="str">
        <f>IFERROR(VLOOKUP($J1110,'Project Reference'!$B$2:$M$41,12)," ")</f>
        <v xml:space="preserve"> </v>
      </c>
      <c r="AA1110" s="42" t="str">
        <f>IFERROR(VLOOKUP($J1110,'Project Reference'!$B$2:$N$41,13)," ")</f>
        <v xml:space="preserve"> </v>
      </c>
    </row>
    <row r="1111" spans="1:27" x14ac:dyDescent="0.45">
      <c r="A1111" s="141"/>
      <c r="B1111" s="141"/>
      <c r="C1111" s="142"/>
      <c r="D1111" s="143"/>
      <c r="E1111" s="143"/>
      <c r="F1111" s="143"/>
      <c r="G1111" s="143"/>
      <c r="H1111" s="143"/>
      <c r="I1111" s="142"/>
      <c r="J1111" s="144"/>
      <c r="K1111" s="142"/>
      <c r="L1111" s="142"/>
      <c r="M1111" s="142"/>
      <c r="N1111" s="142"/>
      <c r="O1111" s="142"/>
      <c r="P1111" s="142"/>
      <c r="Q1111" s="142"/>
      <c r="R1111" s="142"/>
      <c r="S1111" s="142"/>
      <c r="T1111" s="142"/>
      <c r="U1111" s="142"/>
      <c r="V1111" s="142"/>
      <c r="W1111" s="142"/>
      <c r="X1111" s="142"/>
      <c r="Y1111" s="142"/>
      <c r="Z1111" s="142"/>
      <c r="AA1111" s="142"/>
    </row>
  </sheetData>
  <sheetProtection algorithmName="SHA-512" hashValue="TVLlwgx8lKqPeYnwg03xaVHkVunmtkAU281EYBgXkpEzKzjZADFP3X7M0sLCgcJAx1T+nYMuq237RHjLFXqePA==" saltValue="nZPQfmwm+xsbyt6I8N29Hw==" spinCount="100000" sheet="1" sort="0"/>
  <protectedRanges>
    <protectedRange sqref="A10:J1110 L10:M1110" name="Range1"/>
  </protectedRanges>
  <mergeCells count="4">
    <mergeCell ref="A1:N3"/>
    <mergeCell ref="P1:T3"/>
    <mergeCell ref="H5:H7"/>
    <mergeCell ref="F5:G7"/>
  </mergeCells>
  <conditionalFormatting sqref="I10:J1048576">
    <cfRule type="containsText" dxfId="2" priority="4" operator="containsText" text="Enter Source">
      <formula>NOT(ISERROR(SEARCH("Enter Source",I10)))</formula>
    </cfRule>
  </conditionalFormatting>
  <conditionalFormatting sqref="A10:B1110">
    <cfRule type="cellIs" priority="3" operator="equal">
      <formula>0</formula>
    </cfRule>
  </conditionalFormatting>
  <conditionalFormatting sqref="K10:K1110">
    <cfRule type="containsText" dxfId="1" priority="2" operator="containsText" text="Enter Project Number">
      <formula>NOT(ISERROR(SEARCH("Enter Project Number",K10)))</formula>
    </cfRule>
  </conditionalFormatting>
  <conditionalFormatting sqref="I10:I1110">
    <cfRule type="containsText" dxfId="0" priority="1" operator="containsText" text="Select Type">
      <formula>NOT(ISERROR(SEARCH("Select Type",I10)))</formula>
    </cfRule>
  </conditionalFormatting>
  <dataValidations count="8">
    <dataValidation allowBlank="1" showErrorMessage="1" promptTitle="Reference" prompt="For more detailed guidance on allowable match sources, please see IB 458 and IB 458a._x000a_" sqref="J9" xr:uid="{F40420A3-6706-4FA0-BFFB-A5E16E1955A4}"/>
    <dataValidation allowBlank="1" showInputMessage="1" showErrorMessage="1" promptTitle="Note" sqref="K10:K1110" xr:uid="{1D4589D0-B139-479B-AFD8-7A46B7DFDD4C}"/>
    <dataValidation allowBlank="1" showInputMessage="1" showErrorMessage="1" promptTitle="Note" prompt="Project Name must match exactly what is entered in the project activity outline. " sqref="K1111:K1048576" xr:uid="{C06CF2EB-A39D-4E24-8244-26341E119187}"/>
    <dataValidation allowBlank="1" showInputMessage="1" showErrorMessage="1" promptTitle="Reference" prompt="For more detailed guidance on allowable match sources, please see IB 458 and IB 458a._x000a_" sqref="H9:I9" xr:uid="{FBAB797D-C59F-45CB-ACEB-2A87DB25837B}"/>
    <dataValidation type="list" allowBlank="1" showInputMessage="1" showErrorMessage="1" sqref="H10:H1110" xr:uid="{6162EAD4-6E83-49BB-8636-BE77208A4D83}">
      <formula1>"Hard (Cash),Soft (In-Kind)"</formula1>
    </dataValidation>
    <dataValidation type="list" allowBlank="1" showInputMessage="1" showErrorMessage="1" sqref="A10:A1048576" xr:uid="{527E59FB-4A21-4546-B341-537F9CC6389E}">
      <formula1>"Personnel,Fringes,Travel,Equipment,Supplies,Consultants/Contracts,Other,Indirect,Construction"</formula1>
    </dataValidation>
    <dataValidation allowBlank="1" showErrorMessage="1" promptTitle="Note" prompt="Project Name must match exactly what is entered in the project activity outline. " sqref="K4 K8:K9 J5:J7" xr:uid="{69A1C26A-AA46-485A-8931-F9327CEFEBF8}"/>
    <dataValidation type="list" allowBlank="1" showInputMessage="1" showErrorMessage="1" sqref="B10:B1048576" xr:uid="{67BE999A-6800-44CF-9EE4-FC7DF28F2557}">
      <formula1>POETE_Categories</formula1>
    </dataValidation>
  </dataValidations>
  <hyperlinks>
    <hyperlink ref="H5" r:id="rId1" display="IB 458" xr:uid="{B8992BDE-7615-4D90-A33E-25C4E6C92C1E}"/>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4B93B1779497428CD6024958755D31" ma:contentTypeVersion="5" ma:contentTypeDescription="Create a new document." ma:contentTypeScope="" ma:versionID="5c2f104cfaa66f60a6e29931cd5b5aa5">
  <xsd:schema xmlns:xsd="http://www.w3.org/2001/XMLSchema" xmlns:xs="http://www.w3.org/2001/XMLSchema" xmlns:p="http://schemas.microsoft.com/office/2006/metadata/properties" xmlns:ns3="e8322f55-af73-4a5c-8768-c5540ae1137a" xmlns:ns4="5a88f5a5-4d2a-4944-baf2-d50b418c85c9" targetNamespace="http://schemas.microsoft.com/office/2006/metadata/properties" ma:root="true" ma:fieldsID="cc013a7ba68673ab496512d02ba27ca3" ns3:_="" ns4:_="">
    <xsd:import namespace="e8322f55-af73-4a5c-8768-c5540ae1137a"/>
    <xsd:import namespace="5a88f5a5-4d2a-4944-baf2-d50b418c85c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322f55-af73-4a5c-8768-c5540ae113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88f5a5-4d2a-4944-baf2-d50b418c85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6D61E5-1C9B-4D5C-A449-8DEAA900E6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322f55-af73-4a5c-8768-c5540ae1137a"/>
    <ds:schemaRef ds:uri="5a88f5a5-4d2a-4944-baf2-d50b418c8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798CEA-BD25-4ED2-B742-2B1DA3D83D75}">
  <ds:schemaRefs>
    <ds:schemaRef ds:uri="http://schemas.microsoft.com/sharepoint/v3/contenttype/forms"/>
  </ds:schemaRefs>
</ds:datastoreItem>
</file>

<file path=customXml/itemProps3.xml><?xml version="1.0" encoding="utf-8"?>
<ds:datastoreItem xmlns:ds="http://schemas.openxmlformats.org/officeDocument/2006/customXml" ds:itemID="{1F68500A-147D-49D2-954F-33BACB93E94F}">
  <ds:schemaRefs>
    <ds:schemaRef ds:uri="http://schemas.microsoft.com/office/2006/documentManagement/types"/>
    <ds:schemaRef ds:uri="http://schemas.microsoft.com/office/2006/metadata/properties"/>
    <ds:schemaRef ds:uri="http://purl.org/dc/terms/"/>
    <ds:schemaRef ds:uri="http://purl.org/dc/elements/1.1/"/>
    <ds:schemaRef ds:uri="http://purl.org/dc/dcmitype/"/>
    <ds:schemaRef ds:uri="http://schemas.openxmlformats.org/package/2006/metadata/core-properties"/>
    <ds:schemaRef ds:uri="http://schemas.microsoft.com/office/infopath/2007/PartnerControls"/>
    <ds:schemaRef ds:uri="5a88f5a5-4d2a-4944-baf2-d50b418c85c9"/>
    <ds:schemaRef ds:uri="e8322f55-af73-4a5c-8768-c5540ae1137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835</vt:i4>
      </vt:variant>
    </vt:vector>
  </HeadingPairs>
  <TitlesOfParts>
    <vt:vector size="847" baseType="lpstr">
      <vt:lpstr>Cover Page</vt:lpstr>
      <vt:lpstr>Definitions and Guidance</vt:lpstr>
      <vt:lpstr>Grant Investment Strategy</vt:lpstr>
      <vt:lpstr>Budget Overview</vt:lpstr>
      <vt:lpstr>Grant Activities Outline</vt:lpstr>
      <vt:lpstr>Project Activities Outline</vt:lpstr>
      <vt:lpstr>Personnel Data Table</vt:lpstr>
      <vt:lpstr>Project Reference</vt:lpstr>
      <vt:lpstr>Drop Down List Text</vt:lpstr>
      <vt:lpstr>Training Data Table</vt:lpstr>
      <vt:lpstr>Exercise Data Table</vt:lpstr>
      <vt:lpstr>Detailed Budget</vt:lpstr>
      <vt:lpstr>'Drop Down List Text'!_Hlk59024142</vt:lpstr>
      <vt:lpstr>Build_or_Sustain?</vt:lpstr>
      <vt:lpstr>Capacity1</vt:lpstr>
      <vt:lpstr>Capacity10</vt:lpstr>
      <vt:lpstr>Capacity11</vt:lpstr>
      <vt:lpstr>Capacity12</vt:lpstr>
      <vt:lpstr>Capacity13</vt:lpstr>
      <vt:lpstr>Capacity14</vt:lpstr>
      <vt:lpstr>Capacity15</vt:lpstr>
      <vt:lpstr>Capacity16</vt:lpstr>
      <vt:lpstr>Capacity17</vt:lpstr>
      <vt:lpstr>Capacity18</vt:lpstr>
      <vt:lpstr>Capacity19</vt:lpstr>
      <vt:lpstr>Capacity2</vt:lpstr>
      <vt:lpstr>Capacity20</vt:lpstr>
      <vt:lpstr>Capacity21</vt:lpstr>
      <vt:lpstr>Capacity22</vt:lpstr>
      <vt:lpstr>Capacity23</vt:lpstr>
      <vt:lpstr>Capacity24</vt:lpstr>
      <vt:lpstr>Capacity25</vt:lpstr>
      <vt:lpstr>Capacity26</vt:lpstr>
      <vt:lpstr>Capacity27</vt:lpstr>
      <vt:lpstr>Capacity28</vt:lpstr>
      <vt:lpstr>Capacity29</vt:lpstr>
      <vt:lpstr>Capacity3</vt:lpstr>
      <vt:lpstr>Capacity30</vt:lpstr>
      <vt:lpstr>Capacity31</vt:lpstr>
      <vt:lpstr>Capacity32</vt:lpstr>
      <vt:lpstr>Capacity33</vt:lpstr>
      <vt:lpstr>Capacity34</vt:lpstr>
      <vt:lpstr>Capacity35</vt:lpstr>
      <vt:lpstr>Capacity36</vt:lpstr>
      <vt:lpstr>Capacity37</vt:lpstr>
      <vt:lpstr>Capacity38</vt:lpstr>
      <vt:lpstr>Capacity39</vt:lpstr>
      <vt:lpstr>Capacity4</vt:lpstr>
      <vt:lpstr>Capacity40</vt:lpstr>
      <vt:lpstr>Capacity5</vt:lpstr>
      <vt:lpstr>Capacity6</vt:lpstr>
      <vt:lpstr>Capacity7</vt:lpstr>
      <vt:lpstr>Capacity8</vt:lpstr>
      <vt:lpstr>Capacity9</vt:lpstr>
      <vt:lpstr>Core1.1</vt:lpstr>
      <vt:lpstr>Core1.2</vt:lpstr>
      <vt:lpstr>Core1.3</vt:lpstr>
      <vt:lpstr>Core1.4</vt:lpstr>
      <vt:lpstr>Core1.5</vt:lpstr>
      <vt:lpstr>Core10.1</vt:lpstr>
      <vt:lpstr>Core10.2</vt:lpstr>
      <vt:lpstr>Core10.3</vt:lpstr>
      <vt:lpstr>Core10.4</vt:lpstr>
      <vt:lpstr>Core10.5</vt:lpstr>
      <vt:lpstr>Core11.1</vt:lpstr>
      <vt:lpstr>Core11.2</vt:lpstr>
      <vt:lpstr>Core11.3</vt:lpstr>
      <vt:lpstr>Core11.4</vt:lpstr>
      <vt:lpstr>Core11.5</vt:lpstr>
      <vt:lpstr>Core12.1</vt:lpstr>
      <vt:lpstr>Core12.2</vt:lpstr>
      <vt:lpstr>Core12.3</vt:lpstr>
      <vt:lpstr>Core12.4</vt:lpstr>
      <vt:lpstr>Core12.5</vt:lpstr>
      <vt:lpstr>Core13.1</vt:lpstr>
      <vt:lpstr>Core13.2</vt:lpstr>
      <vt:lpstr>Core13.3</vt:lpstr>
      <vt:lpstr>Core13.4</vt:lpstr>
      <vt:lpstr>Core13.5</vt:lpstr>
      <vt:lpstr>Core14.1</vt:lpstr>
      <vt:lpstr>Core14.2</vt:lpstr>
      <vt:lpstr>Core14.3</vt:lpstr>
      <vt:lpstr>Core14.4</vt:lpstr>
      <vt:lpstr>Core14.5</vt:lpstr>
      <vt:lpstr>Core15.1</vt:lpstr>
      <vt:lpstr>Core15.2</vt:lpstr>
      <vt:lpstr>Core15.3</vt:lpstr>
      <vt:lpstr>Core15.4</vt:lpstr>
      <vt:lpstr>Core15.5</vt:lpstr>
      <vt:lpstr>Core16.1</vt:lpstr>
      <vt:lpstr>Core16.2</vt:lpstr>
      <vt:lpstr>Core16.3</vt:lpstr>
      <vt:lpstr>Core16.4</vt:lpstr>
      <vt:lpstr>Core16.5</vt:lpstr>
      <vt:lpstr>Core17.1</vt:lpstr>
      <vt:lpstr>Core17.2</vt:lpstr>
      <vt:lpstr>Core17.3</vt:lpstr>
      <vt:lpstr>Core17.4</vt:lpstr>
      <vt:lpstr>Core17.5</vt:lpstr>
      <vt:lpstr>Core18.1</vt:lpstr>
      <vt:lpstr>Core18.2</vt:lpstr>
      <vt:lpstr>Core18.3</vt:lpstr>
      <vt:lpstr>Core18.4</vt:lpstr>
      <vt:lpstr>Core18.5</vt:lpstr>
      <vt:lpstr>Core19.1</vt:lpstr>
      <vt:lpstr>Core19.2</vt:lpstr>
      <vt:lpstr>Core19.3</vt:lpstr>
      <vt:lpstr>Core19.4</vt:lpstr>
      <vt:lpstr>Core19.5</vt:lpstr>
      <vt:lpstr>Core2.1</vt:lpstr>
      <vt:lpstr>Core2.2</vt:lpstr>
      <vt:lpstr>Core2.3</vt:lpstr>
      <vt:lpstr>Core2.4</vt:lpstr>
      <vt:lpstr>Core2.5</vt:lpstr>
      <vt:lpstr>Core20.1</vt:lpstr>
      <vt:lpstr>Core20.2</vt:lpstr>
      <vt:lpstr>Core20.3</vt:lpstr>
      <vt:lpstr>Core20.4</vt:lpstr>
      <vt:lpstr>Core20.5</vt:lpstr>
      <vt:lpstr>Core21.1</vt:lpstr>
      <vt:lpstr>Core21.2</vt:lpstr>
      <vt:lpstr>Core21.3</vt:lpstr>
      <vt:lpstr>Core21.4</vt:lpstr>
      <vt:lpstr>Core21.5</vt:lpstr>
      <vt:lpstr>Core22.1</vt:lpstr>
      <vt:lpstr>Core22.2</vt:lpstr>
      <vt:lpstr>Core22.3</vt:lpstr>
      <vt:lpstr>Core22.4</vt:lpstr>
      <vt:lpstr>Core22.5</vt:lpstr>
      <vt:lpstr>Core23.1</vt:lpstr>
      <vt:lpstr>Core23.2</vt:lpstr>
      <vt:lpstr>Core23.3</vt:lpstr>
      <vt:lpstr>Core23.4</vt:lpstr>
      <vt:lpstr>Core23.5</vt:lpstr>
      <vt:lpstr>Core24.1</vt:lpstr>
      <vt:lpstr>Core24.2</vt:lpstr>
      <vt:lpstr>Core24.3</vt:lpstr>
      <vt:lpstr>Core24.4</vt:lpstr>
      <vt:lpstr>Core24.5</vt:lpstr>
      <vt:lpstr>Core25.1</vt:lpstr>
      <vt:lpstr>Core25.2</vt:lpstr>
      <vt:lpstr>Core25.3</vt:lpstr>
      <vt:lpstr>Core25.4</vt:lpstr>
      <vt:lpstr>Core25.5</vt:lpstr>
      <vt:lpstr>Core26.1</vt:lpstr>
      <vt:lpstr>Core26.2</vt:lpstr>
      <vt:lpstr>Core26.3</vt:lpstr>
      <vt:lpstr>Core26.4</vt:lpstr>
      <vt:lpstr>Core26.5</vt:lpstr>
      <vt:lpstr>Core27.1</vt:lpstr>
      <vt:lpstr>Core27.2</vt:lpstr>
      <vt:lpstr>Core27.3</vt:lpstr>
      <vt:lpstr>Core27.4</vt:lpstr>
      <vt:lpstr>Core27.5</vt:lpstr>
      <vt:lpstr>Core28.1</vt:lpstr>
      <vt:lpstr>Core28.2</vt:lpstr>
      <vt:lpstr>Core28.3</vt:lpstr>
      <vt:lpstr>Core28.4</vt:lpstr>
      <vt:lpstr>Core28.5</vt:lpstr>
      <vt:lpstr>Core29.1</vt:lpstr>
      <vt:lpstr>Core29.2</vt:lpstr>
      <vt:lpstr>Core29.3</vt:lpstr>
      <vt:lpstr>Core29.4</vt:lpstr>
      <vt:lpstr>Core29.5</vt:lpstr>
      <vt:lpstr>Core3.1</vt:lpstr>
      <vt:lpstr>Core3.2</vt:lpstr>
      <vt:lpstr>Core3.3</vt:lpstr>
      <vt:lpstr>Core3.4</vt:lpstr>
      <vt:lpstr>Core3.5</vt:lpstr>
      <vt:lpstr>Core30.1</vt:lpstr>
      <vt:lpstr>Core30.2</vt:lpstr>
      <vt:lpstr>Core30.3</vt:lpstr>
      <vt:lpstr>Core30.4</vt:lpstr>
      <vt:lpstr>Core30.5</vt:lpstr>
      <vt:lpstr>Core31.1</vt:lpstr>
      <vt:lpstr>Core31.2</vt:lpstr>
      <vt:lpstr>Core31.3</vt:lpstr>
      <vt:lpstr>Core31.4</vt:lpstr>
      <vt:lpstr>Core31.5</vt:lpstr>
      <vt:lpstr>Core32.1</vt:lpstr>
      <vt:lpstr>Core32.2</vt:lpstr>
      <vt:lpstr>Core32.3</vt:lpstr>
      <vt:lpstr>Core32.4</vt:lpstr>
      <vt:lpstr>Core32.5</vt:lpstr>
      <vt:lpstr>Core33.1</vt:lpstr>
      <vt:lpstr>Core33.2</vt:lpstr>
      <vt:lpstr>Core33.3</vt:lpstr>
      <vt:lpstr>Core33.4</vt:lpstr>
      <vt:lpstr>Core33.5</vt:lpstr>
      <vt:lpstr>Core34.1</vt:lpstr>
      <vt:lpstr>Core34.2</vt:lpstr>
      <vt:lpstr>Core34.3</vt:lpstr>
      <vt:lpstr>Core34.4</vt:lpstr>
      <vt:lpstr>Core34.5</vt:lpstr>
      <vt:lpstr>Core35.1</vt:lpstr>
      <vt:lpstr>Core35.2</vt:lpstr>
      <vt:lpstr>Core35.3</vt:lpstr>
      <vt:lpstr>Core35.4</vt:lpstr>
      <vt:lpstr>Core35.5</vt:lpstr>
      <vt:lpstr>Core36.1</vt:lpstr>
      <vt:lpstr>Core36.2</vt:lpstr>
      <vt:lpstr>Core36.3</vt:lpstr>
      <vt:lpstr>Core36.4</vt:lpstr>
      <vt:lpstr>Core36.5</vt:lpstr>
      <vt:lpstr>Core37.1</vt:lpstr>
      <vt:lpstr>Core37.2</vt:lpstr>
      <vt:lpstr>Core37.3</vt:lpstr>
      <vt:lpstr>Core37.4</vt:lpstr>
      <vt:lpstr>Core37.5</vt:lpstr>
      <vt:lpstr>Core38.1</vt:lpstr>
      <vt:lpstr>Core38.2</vt:lpstr>
      <vt:lpstr>Core38.3</vt:lpstr>
      <vt:lpstr>Core38.4</vt:lpstr>
      <vt:lpstr>Core38.5</vt:lpstr>
      <vt:lpstr>Core39.1</vt:lpstr>
      <vt:lpstr>Core39.2</vt:lpstr>
      <vt:lpstr>Core39.3</vt:lpstr>
      <vt:lpstr>Core39.4</vt:lpstr>
      <vt:lpstr>Core39.5</vt:lpstr>
      <vt:lpstr>Core4.1</vt:lpstr>
      <vt:lpstr>Core4.2</vt:lpstr>
      <vt:lpstr>Core4.3</vt:lpstr>
      <vt:lpstr>Core4.4</vt:lpstr>
      <vt:lpstr>Core4.5</vt:lpstr>
      <vt:lpstr>Core40.1</vt:lpstr>
      <vt:lpstr>Core40.2</vt:lpstr>
      <vt:lpstr>Core40.3</vt:lpstr>
      <vt:lpstr>Core40.4</vt:lpstr>
      <vt:lpstr>Core40.5</vt:lpstr>
      <vt:lpstr>Core5.1</vt:lpstr>
      <vt:lpstr>Core5.2</vt:lpstr>
      <vt:lpstr>Core5.3</vt:lpstr>
      <vt:lpstr>Core5.4</vt:lpstr>
      <vt:lpstr>Core5.5</vt:lpstr>
      <vt:lpstr>Core6.1</vt:lpstr>
      <vt:lpstr>Core6.2</vt:lpstr>
      <vt:lpstr>Core6.3</vt:lpstr>
      <vt:lpstr>Core6.4</vt:lpstr>
      <vt:lpstr>Core6.5</vt:lpstr>
      <vt:lpstr>Core7.1</vt:lpstr>
      <vt:lpstr>Core7.2</vt:lpstr>
      <vt:lpstr>Core7.3</vt:lpstr>
      <vt:lpstr>Core7.4</vt:lpstr>
      <vt:lpstr>Core7.5</vt:lpstr>
      <vt:lpstr>Core8.1</vt:lpstr>
      <vt:lpstr>Core8.2</vt:lpstr>
      <vt:lpstr>Core8.3</vt:lpstr>
      <vt:lpstr>Core8.4</vt:lpstr>
      <vt:lpstr>Core8.5</vt:lpstr>
      <vt:lpstr>Core9.1</vt:lpstr>
      <vt:lpstr>Core9.2</vt:lpstr>
      <vt:lpstr>Core9.3</vt:lpstr>
      <vt:lpstr>Core9.4</vt:lpstr>
      <vt:lpstr>Core9.5</vt:lpstr>
      <vt:lpstr>EMAP1.1</vt:lpstr>
      <vt:lpstr>EMAP1.2</vt:lpstr>
      <vt:lpstr>EMAP1.3</vt:lpstr>
      <vt:lpstr>EMAP10.1</vt:lpstr>
      <vt:lpstr>EMAP10.2</vt:lpstr>
      <vt:lpstr>EMAP10.3</vt:lpstr>
      <vt:lpstr>EMAP11.1</vt:lpstr>
      <vt:lpstr>EMAP11.2</vt:lpstr>
      <vt:lpstr>EMAP11.3</vt:lpstr>
      <vt:lpstr>EMAP12.1</vt:lpstr>
      <vt:lpstr>EMAP12.2</vt:lpstr>
      <vt:lpstr>EMAP12.3</vt:lpstr>
      <vt:lpstr>EMAP13.1</vt:lpstr>
      <vt:lpstr>EMAP13.2</vt:lpstr>
      <vt:lpstr>EMAP13.3</vt:lpstr>
      <vt:lpstr>EMAP14.1</vt:lpstr>
      <vt:lpstr>EMAP14.2</vt:lpstr>
      <vt:lpstr>EMAP14.3</vt:lpstr>
      <vt:lpstr>EMAP15.1</vt:lpstr>
      <vt:lpstr>EMAP15.2</vt:lpstr>
      <vt:lpstr>EMAP15.3</vt:lpstr>
      <vt:lpstr>EMAP16.1</vt:lpstr>
      <vt:lpstr>EMAP16.2</vt:lpstr>
      <vt:lpstr>EMAP16.3</vt:lpstr>
      <vt:lpstr>EMAP17.1</vt:lpstr>
      <vt:lpstr>EMAP17.2</vt:lpstr>
      <vt:lpstr>EMAP17.3</vt:lpstr>
      <vt:lpstr>EMAP18.1</vt:lpstr>
      <vt:lpstr>EMAP18.2</vt:lpstr>
      <vt:lpstr>EMAP18.3</vt:lpstr>
      <vt:lpstr>EMAP19.1</vt:lpstr>
      <vt:lpstr>EMAP19.2</vt:lpstr>
      <vt:lpstr>EMAP19.3</vt:lpstr>
      <vt:lpstr>EMAP2.1</vt:lpstr>
      <vt:lpstr>EMAP2.2</vt:lpstr>
      <vt:lpstr>EMAP2.3</vt:lpstr>
      <vt:lpstr>EMAP20.1</vt:lpstr>
      <vt:lpstr>EMAP20.2</vt:lpstr>
      <vt:lpstr>EMAP20.3</vt:lpstr>
      <vt:lpstr>EMAP21.1</vt:lpstr>
      <vt:lpstr>EMAP21.2</vt:lpstr>
      <vt:lpstr>EMAP21.3</vt:lpstr>
      <vt:lpstr>EMAP22.1</vt:lpstr>
      <vt:lpstr>EMAP22.2</vt:lpstr>
      <vt:lpstr>EMAP22.3</vt:lpstr>
      <vt:lpstr>EMAP23.1</vt:lpstr>
      <vt:lpstr>EMAP23.2</vt:lpstr>
      <vt:lpstr>EMAP23.3</vt:lpstr>
      <vt:lpstr>EMAP24.1</vt:lpstr>
      <vt:lpstr>EMAP24.2</vt:lpstr>
      <vt:lpstr>EMAP24.3</vt:lpstr>
      <vt:lpstr>EMAP25.1</vt:lpstr>
      <vt:lpstr>EMAP25.2</vt:lpstr>
      <vt:lpstr>EMAP25.3</vt:lpstr>
      <vt:lpstr>EMAP26.1</vt:lpstr>
      <vt:lpstr>EMAP26.2</vt:lpstr>
      <vt:lpstr>EMAP26.3</vt:lpstr>
      <vt:lpstr>EMAP27.1</vt:lpstr>
      <vt:lpstr>EMAP27.2</vt:lpstr>
      <vt:lpstr>EMAP27.3</vt:lpstr>
      <vt:lpstr>EMAP28.1</vt:lpstr>
      <vt:lpstr>EMAP28.2</vt:lpstr>
      <vt:lpstr>EMAP28.3</vt:lpstr>
      <vt:lpstr>EMAP29.1</vt:lpstr>
      <vt:lpstr>EMAP29.2</vt:lpstr>
      <vt:lpstr>EMAP29.3</vt:lpstr>
      <vt:lpstr>EMAP3.1</vt:lpstr>
      <vt:lpstr>EMAP3.2</vt:lpstr>
      <vt:lpstr>EMAP3.3</vt:lpstr>
      <vt:lpstr>EMAP30.1</vt:lpstr>
      <vt:lpstr>EMAP30.2</vt:lpstr>
      <vt:lpstr>EMAP30.3</vt:lpstr>
      <vt:lpstr>EMAP31.1</vt:lpstr>
      <vt:lpstr>EMAP31.2</vt:lpstr>
      <vt:lpstr>EMAP31.3</vt:lpstr>
      <vt:lpstr>EMAP32.1</vt:lpstr>
      <vt:lpstr>EMAP32.2</vt:lpstr>
      <vt:lpstr>EMAP32.3</vt:lpstr>
      <vt:lpstr>EMAP33.1</vt:lpstr>
      <vt:lpstr>EMAP33.2</vt:lpstr>
      <vt:lpstr>EMAP33.3</vt:lpstr>
      <vt:lpstr>EMAP34.1</vt:lpstr>
      <vt:lpstr>EMAP34.2</vt:lpstr>
      <vt:lpstr>EMAP34.3</vt:lpstr>
      <vt:lpstr>EMAP35.1</vt:lpstr>
      <vt:lpstr>EMAP35.2</vt:lpstr>
      <vt:lpstr>EMAP35.3</vt:lpstr>
      <vt:lpstr>EMAP36.1</vt:lpstr>
      <vt:lpstr>EMAP36.2</vt:lpstr>
      <vt:lpstr>EMAP36.3</vt:lpstr>
      <vt:lpstr>EMAP37.1</vt:lpstr>
      <vt:lpstr>EMAP37.2</vt:lpstr>
      <vt:lpstr>EMAP37.3</vt:lpstr>
      <vt:lpstr>EMAP38.1</vt:lpstr>
      <vt:lpstr>EMAP38.2</vt:lpstr>
      <vt:lpstr>EMAP38.3</vt:lpstr>
      <vt:lpstr>EMAP39.1</vt:lpstr>
      <vt:lpstr>EMAP39.2</vt:lpstr>
      <vt:lpstr>EMAP39.3</vt:lpstr>
      <vt:lpstr>EMAP4.1</vt:lpstr>
      <vt:lpstr>EMAP4.2</vt:lpstr>
      <vt:lpstr>EMAP4.3</vt:lpstr>
      <vt:lpstr>EMAP40.1</vt:lpstr>
      <vt:lpstr>EMAP40.2</vt:lpstr>
      <vt:lpstr>EMAP40.3</vt:lpstr>
      <vt:lpstr>EMAP5.1</vt:lpstr>
      <vt:lpstr>EMAP5.2</vt:lpstr>
      <vt:lpstr>EMAP5.3</vt:lpstr>
      <vt:lpstr>EMAP6.1</vt:lpstr>
      <vt:lpstr>EMAP6.2</vt:lpstr>
      <vt:lpstr>EMAP6.3</vt:lpstr>
      <vt:lpstr>EMAP7.1</vt:lpstr>
      <vt:lpstr>EMAP7.2</vt:lpstr>
      <vt:lpstr>EMAP7.3</vt:lpstr>
      <vt:lpstr>EMAP8.1</vt:lpstr>
      <vt:lpstr>EMAP8.2</vt:lpstr>
      <vt:lpstr>EMAP8.3</vt:lpstr>
      <vt:lpstr>EMAP9.1</vt:lpstr>
      <vt:lpstr>EMAP9.2</vt:lpstr>
      <vt:lpstr>EMAP9.3</vt:lpstr>
      <vt:lpstr>EMAPs</vt:lpstr>
      <vt:lpstr>Federal_ARP_Amount</vt:lpstr>
      <vt:lpstr>Federal_EMPG21_Amount</vt:lpstr>
      <vt:lpstr>Funding_Source</vt:lpstr>
      <vt:lpstr>GapA1</vt:lpstr>
      <vt:lpstr>GapA10</vt:lpstr>
      <vt:lpstr>GapA11</vt:lpstr>
      <vt:lpstr>GapA12</vt:lpstr>
      <vt:lpstr>GapA13</vt:lpstr>
      <vt:lpstr>GapA14</vt:lpstr>
      <vt:lpstr>GapA15</vt:lpstr>
      <vt:lpstr>GapA16</vt:lpstr>
      <vt:lpstr>GapA17</vt:lpstr>
      <vt:lpstr>GapA18</vt:lpstr>
      <vt:lpstr>GapA19</vt:lpstr>
      <vt:lpstr>GapA2</vt:lpstr>
      <vt:lpstr>GapA20</vt:lpstr>
      <vt:lpstr>GapA21</vt:lpstr>
      <vt:lpstr>GapA22</vt:lpstr>
      <vt:lpstr>GapA23</vt:lpstr>
      <vt:lpstr>GapA24</vt:lpstr>
      <vt:lpstr>GapA25</vt:lpstr>
      <vt:lpstr>GapA26</vt:lpstr>
      <vt:lpstr>GapA27</vt:lpstr>
      <vt:lpstr>GapA28</vt:lpstr>
      <vt:lpstr>GapA29</vt:lpstr>
      <vt:lpstr>GapA3</vt:lpstr>
      <vt:lpstr>GapA30</vt:lpstr>
      <vt:lpstr>GapA31</vt:lpstr>
      <vt:lpstr>GapA32</vt:lpstr>
      <vt:lpstr>GapA33</vt:lpstr>
      <vt:lpstr>GapA34</vt:lpstr>
      <vt:lpstr>GapA35</vt:lpstr>
      <vt:lpstr>GapA36</vt:lpstr>
      <vt:lpstr>GapA37</vt:lpstr>
      <vt:lpstr>GapA38</vt:lpstr>
      <vt:lpstr>GapA39</vt:lpstr>
      <vt:lpstr>GapA4</vt:lpstr>
      <vt:lpstr>GapA40</vt:lpstr>
      <vt:lpstr>GapA5</vt:lpstr>
      <vt:lpstr>GapA6</vt:lpstr>
      <vt:lpstr>GapA7</vt:lpstr>
      <vt:lpstr>GapA8</vt:lpstr>
      <vt:lpstr>GapA9</vt:lpstr>
      <vt:lpstr>GapRef1</vt:lpstr>
      <vt:lpstr>GapRef10</vt:lpstr>
      <vt:lpstr>GapRef11</vt:lpstr>
      <vt:lpstr>GapRef12</vt:lpstr>
      <vt:lpstr>GapRef13</vt:lpstr>
      <vt:lpstr>GapRef14</vt:lpstr>
      <vt:lpstr>GapRef15</vt:lpstr>
      <vt:lpstr>GapRef16</vt:lpstr>
      <vt:lpstr>GapRef17</vt:lpstr>
      <vt:lpstr>GapRef18</vt:lpstr>
      <vt:lpstr>GapRef19</vt:lpstr>
      <vt:lpstr>GapRef2</vt:lpstr>
      <vt:lpstr>GapRef20</vt:lpstr>
      <vt:lpstr>GapRef21</vt:lpstr>
      <vt:lpstr>GapRef22</vt:lpstr>
      <vt:lpstr>GapRef23</vt:lpstr>
      <vt:lpstr>GapRef24</vt:lpstr>
      <vt:lpstr>GapRef25</vt:lpstr>
      <vt:lpstr>GapRef26</vt:lpstr>
      <vt:lpstr>GapRef27</vt:lpstr>
      <vt:lpstr>GapRef28</vt:lpstr>
      <vt:lpstr>GapRef29</vt:lpstr>
      <vt:lpstr>GapRef3</vt:lpstr>
      <vt:lpstr>GapRef30</vt:lpstr>
      <vt:lpstr>GapRef31</vt:lpstr>
      <vt:lpstr>GapRef32</vt:lpstr>
      <vt:lpstr>GapRef33</vt:lpstr>
      <vt:lpstr>GapRef34</vt:lpstr>
      <vt:lpstr>GapRef35</vt:lpstr>
      <vt:lpstr>GapRef36</vt:lpstr>
      <vt:lpstr>GapRef37</vt:lpstr>
      <vt:lpstr>GapRef38</vt:lpstr>
      <vt:lpstr>GapRef39</vt:lpstr>
      <vt:lpstr>GapRef4</vt:lpstr>
      <vt:lpstr>GapRef40</vt:lpstr>
      <vt:lpstr>GapRef5</vt:lpstr>
      <vt:lpstr>GapRef6</vt:lpstr>
      <vt:lpstr>GapRef7</vt:lpstr>
      <vt:lpstr>GapRef8</vt:lpstr>
      <vt:lpstr>GapRef9</vt:lpstr>
      <vt:lpstr>Grand_Total</vt:lpstr>
      <vt:lpstr>Impact26</vt:lpstr>
      <vt:lpstr>Impact27</vt:lpstr>
      <vt:lpstr>Impact28</vt:lpstr>
      <vt:lpstr>Impact29</vt:lpstr>
      <vt:lpstr>Impact30</vt:lpstr>
      <vt:lpstr>Impact31</vt:lpstr>
      <vt:lpstr>Impact32</vt:lpstr>
      <vt:lpstr>Impact33</vt:lpstr>
      <vt:lpstr>Impact34</vt:lpstr>
      <vt:lpstr>Impact35</vt:lpstr>
      <vt:lpstr>Impact36</vt:lpstr>
      <vt:lpstr>Impact37</vt:lpstr>
      <vt:lpstr>Impact38</vt:lpstr>
      <vt:lpstr>Impact39</vt:lpstr>
      <vt:lpstr>Impact40</vt:lpstr>
      <vt:lpstr>Mission1.1</vt:lpstr>
      <vt:lpstr>Mission1.2</vt:lpstr>
      <vt:lpstr>Mission1.3</vt:lpstr>
      <vt:lpstr>Mission10.1</vt:lpstr>
      <vt:lpstr>Mission10.2</vt:lpstr>
      <vt:lpstr>Mission10.3</vt:lpstr>
      <vt:lpstr>Mission11.1</vt:lpstr>
      <vt:lpstr>Mission11.2</vt:lpstr>
      <vt:lpstr>Mission11.3</vt:lpstr>
      <vt:lpstr>Mission12.1</vt:lpstr>
      <vt:lpstr>Mission12.2</vt:lpstr>
      <vt:lpstr>Mission12.3</vt:lpstr>
      <vt:lpstr>Mission13.1</vt:lpstr>
      <vt:lpstr>Mission13.2</vt:lpstr>
      <vt:lpstr>Mission13.3</vt:lpstr>
      <vt:lpstr>Mission14.1</vt:lpstr>
      <vt:lpstr>Mission14.2</vt:lpstr>
      <vt:lpstr>Mission14.3</vt:lpstr>
      <vt:lpstr>Mission15.1</vt:lpstr>
      <vt:lpstr>Mission15.2</vt:lpstr>
      <vt:lpstr>Mission15.3</vt:lpstr>
      <vt:lpstr>Mission16.1</vt:lpstr>
      <vt:lpstr>Mission16.2</vt:lpstr>
      <vt:lpstr>Mission16.3</vt:lpstr>
      <vt:lpstr>Mission17.1</vt:lpstr>
      <vt:lpstr>Mission17.2</vt:lpstr>
      <vt:lpstr>Mission17.3</vt:lpstr>
      <vt:lpstr>Mission18.1</vt:lpstr>
      <vt:lpstr>Mission18.2</vt:lpstr>
      <vt:lpstr>Mission18.3</vt:lpstr>
      <vt:lpstr>Mission19.1</vt:lpstr>
      <vt:lpstr>Mission19.2</vt:lpstr>
      <vt:lpstr>Mission19.3</vt:lpstr>
      <vt:lpstr>Mission2.1</vt:lpstr>
      <vt:lpstr>Mission2.2</vt:lpstr>
      <vt:lpstr>Mission2.3</vt:lpstr>
      <vt:lpstr>Mission20.1</vt:lpstr>
      <vt:lpstr>Mission20.2</vt:lpstr>
      <vt:lpstr>Mission20.3</vt:lpstr>
      <vt:lpstr>Mission21.1</vt:lpstr>
      <vt:lpstr>Mission21.2</vt:lpstr>
      <vt:lpstr>Mission21.3</vt:lpstr>
      <vt:lpstr>Mission22.1</vt:lpstr>
      <vt:lpstr>Mission22.2</vt:lpstr>
      <vt:lpstr>Mission22.3</vt:lpstr>
      <vt:lpstr>Mission23.1</vt:lpstr>
      <vt:lpstr>Mission23.2</vt:lpstr>
      <vt:lpstr>Mission23.3</vt:lpstr>
      <vt:lpstr>Mission24.1</vt:lpstr>
      <vt:lpstr>Mission24.2</vt:lpstr>
      <vt:lpstr>Mission24.3</vt:lpstr>
      <vt:lpstr>Mission25.1</vt:lpstr>
      <vt:lpstr>Mission25.2</vt:lpstr>
      <vt:lpstr>Mission25.3</vt:lpstr>
      <vt:lpstr>Mission26.1</vt:lpstr>
      <vt:lpstr>Mission26.2</vt:lpstr>
      <vt:lpstr>Mission26.3</vt:lpstr>
      <vt:lpstr>Mission27.1</vt:lpstr>
      <vt:lpstr>Mission27.2</vt:lpstr>
      <vt:lpstr>Mission27.3</vt:lpstr>
      <vt:lpstr>Mission28.1</vt:lpstr>
      <vt:lpstr>Mission28.2</vt:lpstr>
      <vt:lpstr>Mission28.3</vt:lpstr>
      <vt:lpstr>Mission29.1</vt:lpstr>
      <vt:lpstr>Mission29.2</vt:lpstr>
      <vt:lpstr>Mission29.3</vt:lpstr>
      <vt:lpstr>Mission3.1</vt:lpstr>
      <vt:lpstr>Mission3.2</vt:lpstr>
      <vt:lpstr>Mission3.3</vt:lpstr>
      <vt:lpstr>Mission30.1</vt:lpstr>
      <vt:lpstr>Mission30.2</vt:lpstr>
      <vt:lpstr>Mission30.3</vt:lpstr>
      <vt:lpstr>Mission31.1</vt:lpstr>
      <vt:lpstr>Mission31.2</vt:lpstr>
      <vt:lpstr>Mission31.3</vt:lpstr>
      <vt:lpstr>Mission32.1</vt:lpstr>
      <vt:lpstr>Mission32.2</vt:lpstr>
      <vt:lpstr>Mission32.3</vt:lpstr>
      <vt:lpstr>Mission33.1</vt:lpstr>
      <vt:lpstr>Mission33.2</vt:lpstr>
      <vt:lpstr>Mission33.3</vt:lpstr>
      <vt:lpstr>Mission34.1</vt:lpstr>
      <vt:lpstr>Mission34.2</vt:lpstr>
      <vt:lpstr>Mission34.3</vt:lpstr>
      <vt:lpstr>Mission35.1</vt:lpstr>
      <vt:lpstr>Mission35.2</vt:lpstr>
      <vt:lpstr>Mission35.3</vt:lpstr>
      <vt:lpstr>Mission36.1</vt:lpstr>
      <vt:lpstr>Mission36.2</vt:lpstr>
      <vt:lpstr>Mission36.3</vt:lpstr>
      <vt:lpstr>Mission37.1</vt:lpstr>
      <vt:lpstr>Mission37.2</vt:lpstr>
      <vt:lpstr>Mission37.3</vt:lpstr>
      <vt:lpstr>Mission38.1</vt:lpstr>
      <vt:lpstr>Mission38.2</vt:lpstr>
      <vt:lpstr>Mission38.3</vt:lpstr>
      <vt:lpstr>Mission39.1</vt:lpstr>
      <vt:lpstr>Mission39.2</vt:lpstr>
      <vt:lpstr>Mission39.3</vt:lpstr>
      <vt:lpstr>Mission4.1</vt:lpstr>
      <vt:lpstr>Mission4.2</vt:lpstr>
      <vt:lpstr>Mission4.3</vt:lpstr>
      <vt:lpstr>Mission40.1</vt:lpstr>
      <vt:lpstr>Mission40.2</vt:lpstr>
      <vt:lpstr>Mission40.3</vt:lpstr>
      <vt:lpstr>Mission5.1</vt:lpstr>
      <vt:lpstr>Mission5.2</vt:lpstr>
      <vt:lpstr>Mission5.3</vt:lpstr>
      <vt:lpstr>Mission6.1</vt:lpstr>
      <vt:lpstr>Mission6.2</vt:lpstr>
      <vt:lpstr>Mission6.3</vt:lpstr>
      <vt:lpstr>Mission7.1</vt:lpstr>
      <vt:lpstr>Mission7.2</vt:lpstr>
      <vt:lpstr>Mission7.3</vt:lpstr>
      <vt:lpstr>Mission8.1</vt:lpstr>
      <vt:lpstr>Mission8.2</vt:lpstr>
      <vt:lpstr>Mission8.3</vt:lpstr>
      <vt:lpstr>Mission9.1</vt:lpstr>
      <vt:lpstr>Mission9.2</vt:lpstr>
      <vt:lpstr>Mission9.3</vt:lpstr>
      <vt:lpstr>Mitigation</vt:lpstr>
      <vt:lpstr>Name1</vt:lpstr>
      <vt:lpstr>Name10</vt:lpstr>
      <vt:lpstr>Name11</vt:lpstr>
      <vt:lpstr>Name12</vt:lpstr>
      <vt:lpstr>Name13</vt:lpstr>
      <vt:lpstr>Name14</vt:lpstr>
      <vt:lpstr>Name15</vt:lpstr>
      <vt:lpstr>Name16</vt:lpstr>
      <vt:lpstr>Name17</vt:lpstr>
      <vt:lpstr>Name18</vt:lpstr>
      <vt:lpstr>Name19</vt:lpstr>
      <vt:lpstr>Name2</vt:lpstr>
      <vt:lpstr>Name20</vt:lpstr>
      <vt:lpstr>Name21</vt:lpstr>
      <vt:lpstr>Name22</vt:lpstr>
      <vt:lpstr>Name23</vt:lpstr>
      <vt:lpstr>Name24</vt:lpstr>
      <vt:lpstr>Name25</vt:lpstr>
      <vt:lpstr>Name26</vt:lpstr>
      <vt:lpstr>Name27</vt:lpstr>
      <vt:lpstr>Name28</vt:lpstr>
      <vt:lpstr>Name29</vt:lpstr>
      <vt:lpstr>Name3</vt:lpstr>
      <vt:lpstr>Name30</vt:lpstr>
      <vt:lpstr>Name31</vt:lpstr>
      <vt:lpstr>Name32</vt:lpstr>
      <vt:lpstr>Name33</vt:lpstr>
      <vt:lpstr>Name34</vt:lpstr>
      <vt:lpstr>Name35</vt:lpstr>
      <vt:lpstr>Name36</vt:lpstr>
      <vt:lpstr>Name37</vt:lpstr>
      <vt:lpstr>Name38</vt:lpstr>
      <vt:lpstr>Name39</vt:lpstr>
      <vt:lpstr>Name4</vt:lpstr>
      <vt:lpstr>Name40</vt:lpstr>
      <vt:lpstr>Name5</vt:lpstr>
      <vt:lpstr>Name6</vt:lpstr>
      <vt:lpstr>Name7</vt:lpstr>
      <vt:lpstr>Name8</vt:lpstr>
      <vt:lpstr>Name9</vt:lpstr>
      <vt:lpstr>National_Priorities</vt:lpstr>
      <vt:lpstr>Non_Federal_ARP_Amount</vt:lpstr>
      <vt:lpstr>Non_Federal_EMPG21_Amount</vt:lpstr>
      <vt:lpstr>Objective1</vt:lpstr>
      <vt:lpstr>Objective10</vt:lpstr>
      <vt:lpstr>Objective11</vt:lpstr>
      <vt:lpstr>Objective12</vt:lpstr>
      <vt:lpstr>Objective13</vt:lpstr>
      <vt:lpstr>Objective14</vt:lpstr>
      <vt:lpstr>Objective15</vt:lpstr>
      <vt:lpstr>Objective16</vt:lpstr>
      <vt:lpstr>Objective17</vt:lpstr>
      <vt:lpstr>Objective18</vt:lpstr>
      <vt:lpstr>Objective19</vt:lpstr>
      <vt:lpstr>Objective2</vt:lpstr>
      <vt:lpstr>Objective20</vt:lpstr>
      <vt:lpstr>Objective21</vt:lpstr>
      <vt:lpstr>Objective22</vt:lpstr>
      <vt:lpstr>Objective23</vt:lpstr>
      <vt:lpstr>Objective24</vt:lpstr>
      <vt:lpstr>Objective25</vt:lpstr>
      <vt:lpstr>Objective26</vt:lpstr>
      <vt:lpstr>Objective27</vt:lpstr>
      <vt:lpstr>Objective28</vt:lpstr>
      <vt:lpstr>Objective29</vt:lpstr>
      <vt:lpstr>Objective3</vt:lpstr>
      <vt:lpstr>Objective30</vt:lpstr>
      <vt:lpstr>Objective31</vt:lpstr>
      <vt:lpstr>Objective32</vt:lpstr>
      <vt:lpstr>Objective33</vt:lpstr>
      <vt:lpstr>Objective34</vt:lpstr>
      <vt:lpstr>Objective35</vt:lpstr>
      <vt:lpstr>Objective36</vt:lpstr>
      <vt:lpstr>Objective37</vt:lpstr>
      <vt:lpstr>Objective38</vt:lpstr>
      <vt:lpstr>Objective39</vt:lpstr>
      <vt:lpstr>Objective4</vt:lpstr>
      <vt:lpstr>Objective40</vt:lpstr>
      <vt:lpstr>Objective5</vt:lpstr>
      <vt:lpstr>Objective6</vt:lpstr>
      <vt:lpstr>Objective7</vt:lpstr>
      <vt:lpstr>Objective8</vt:lpstr>
      <vt:lpstr>Objective9</vt:lpstr>
      <vt:lpstr>POETE_Categories</vt:lpstr>
      <vt:lpstr>POETE1.1</vt:lpstr>
      <vt:lpstr>POETE1.2</vt:lpstr>
      <vt:lpstr>POETE1.3</vt:lpstr>
      <vt:lpstr>POETE10.1</vt:lpstr>
      <vt:lpstr>POETE10.2</vt:lpstr>
      <vt:lpstr>POETE10.3</vt:lpstr>
      <vt:lpstr>POETE11.1</vt:lpstr>
      <vt:lpstr>POETE11.2</vt:lpstr>
      <vt:lpstr>POETE11.3</vt:lpstr>
      <vt:lpstr>POETE12.1</vt:lpstr>
      <vt:lpstr>POETE12.2</vt:lpstr>
      <vt:lpstr>POETE12.3</vt:lpstr>
      <vt:lpstr>POETE13.1</vt:lpstr>
      <vt:lpstr>POETE13.2</vt:lpstr>
      <vt:lpstr>POETE13.3</vt:lpstr>
      <vt:lpstr>POETE14.1</vt:lpstr>
      <vt:lpstr>POETE14.2</vt:lpstr>
      <vt:lpstr>POETE14.3</vt:lpstr>
      <vt:lpstr>POETE15.1</vt:lpstr>
      <vt:lpstr>POETE15.2</vt:lpstr>
      <vt:lpstr>POETE15.3</vt:lpstr>
      <vt:lpstr>POETE16.1</vt:lpstr>
      <vt:lpstr>POETE16.2</vt:lpstr>
      <vt:lpstr>POETE16.3</vt:lpstr>
      <vt:lpstr>POETE17.1</vt:lpstr>
      <vt:lpstr>POETE17.2</vt:lpstr>
      <vt:lpstr>POETE17.3</vt:lpstr>
      <vt:lpstr>POETE18.1</vt:lpstr>
      <vt:lpstr>POETE18.2</vt:lpstr>
      <vt:lpstr>POETE18.3</vt:lpstr>
      <vt:lpstr>POETE19.1</vt:lpstr>
      <vt:lpstr>POETE19.2</vt:lpstr>
      <vt:lpstr>POETE19.3</vt:lpstr>
      <vt:lpstr>POETE2.1</vt:lpstr>
      <vt:lpstr>POETE2.2</vt:lpstr>
      <vt:lpstr>POETE2.3</vt:lpstr>
      <vt:lpstr>POETE20.1</vt:lpstr>
      <vt:lpstr>POETE20.2</vt:lpstr>
      <vt:lpstr>POETE20.3</vt:lpstr>
      <vt:lpstr>POETE21.1</vt:lpstr>
      <vt:lpstr>POETE21.2</vt:lpstr>
      <vt:lpstr>POETE21.3</vt:lpstr>
      <vt:lpstr>POETE22.1</vt:lpstr>
      <vt:lpstr>POETE22.2</vt:lpstr>
      <vt:lpstr>POETE22.3</vt:lpstr>
      <vt:lpstr>POETE23.1</vt:lpstr>
      <vt:lpstr>POETE23.2</vt:lpstr>
      <vt:lpstr>POETE23.3</vt:lpstr>
      <vt:lpstr>POETE24.1</vt:lpstr>
      <vt:lpstr>POETE24.2</vt:lpstr>
      <vt:lpstr>POETE24.3</vt:lpstr>
      <vt:lpstr>POETE25.1</vt:lpstr>
      <vt:lpstr>POETE25.2</vt:lpstr>
      <vt:lpstr>POETE25.3</vt:lpstr>
      <vt:lpstr>POETE26.1</vt:lpstr>
      <vt:lpstr>POETE26.2</vt:lpstr>
      <vt:lpstr>POETE26.3</vt:lpstr>
      <vt:lpstr>POETE27.1</vt:lpstr>
      <vt:lpstr>POETE27.2</vt:lpstr>
      <vt:lpstr>POETE27.3</vt:lpstr>
      <vt:lpstr>POETE28.1</vt:lpstr>
      <vt:lpstr>POETE28.2</vt:lpstr>
      <vt:lpstr>POETE28.3</vt:lpstr>
      <vt:lpstr>POETE29.1</vt:lpstr>
      <vt:lpstr>POETE29.2</vt:lpstr>
      <vt:lpstr>POETE29.3</vt:lpstr>
      <vt:lpstr>POETE3.1</vt:lpstr>
      <vt:lpstr>POETE3.2</vt:lpstr>
      <vt:lpstr>POETE3.3</vt:lpstr>
      <vt:lpstr>POETE30.1</vt:lpstr>
      <vt:lpstr>POETE30.2</vt:lpstr>
      <vt:lpstr>POETE30.3</vt:lpstr>
      <vt:lpstr>POETE31.1</vt:lpstr>
      <vt:lpstr>POETE31.2</vt:lpstr>
      <vt:lpstr>POETE31.3</vt:lpstr>
      <vt:lpstr>POETE32.1</vt:lpstr>
      <vt:lpstr>POETE32.2</vt:lpstr>
      <vt:lpstr>POETE32.3</vt:lpstr>
      <vt:lpstr>POETE33.1</vt:lpstr>
      <vt:lpstr>POETE33.2</vt:lpstr>
      <vt:lpstr>POETE33.3</vt:lpstr>
      <vt:lpstr>POETE34.1</vt:lpstr>
      <vt:lpstr>POETE34.2</vt:lpstr>
      <vt:lpstr>POETE34.3</vt:lpstr>
      <vt:lpstr>POETE35.1</vt:lpstr>
      <vt:lpstr>POETE35.2</vt:lpstr>
      <vt:lpstr>POETE35.3</vt:lpstr>
      <vt:lpstr>POETE36.1</vt:lpstr>
      <vt:lpstr>POETE36.2</vt:lpstr>
      <vt:lpstr>POETE36.3</vt:lpstr>
      <vt:lpstr>POETE37.1</vt:lpstr>
      <vt:lpstr>POETE37.2</vt:lpstr>
      <vt:lpstr>POETE37.3</vt:lpstr>
      <vt:lpstr>POETE38.1</vt:lpstr>
      <vt:lpstr>POETE38.2</vt:lpstr>
      <vt:lpstr>POETE38.3</vt:lpstr>
      <vt:lpstr>POETE39.1</vt:lpstr>
      <vt:lpstr>POETE39.2</vt:lpstr>
      <vt:lpstr>POETE39.3</vt:lpstr>
      <vt:lpstr>POETE4.1</vt:lpstr>
      <vt:lpstr>POETE4.2</vt:lpstr>
      <vt:lpstr>POETE4.3</vt:lpstr>
      <vt:lpstr>POETE40.1</vt:lpstr>
      <vt:lpstr>POETE40.2</vt:lpstr>
      <vt:lpstr>POETE40.3</vt:lpstr>
      <vt:lpstr>POETE5.1</vt:lpstr>
      <vt:lpstr>POETE5.2</vt:lpstr>
      <vt:lpstr>POETE5.3</vt:lpstr>
      <vt:lpstr>POETE6.1</vt:lpstr>
      <vt:lpstr>POETE6.2</vt:lpstr>
      <vt:lpstr>POETE6.3</vt:lpstr>
      <vt:lpstr>POETE7.1</vt:lpstr>
      <vt:lpstr>POETE7.2</vt:lpstr>
      <vt:lpstr>POETE7.3</vt:lpstr>
      <vt:lpstr>POETE8.1</vt:lpstr>
      <vt:lpstr>POETE8.2</vt:lpstr>
      <vt:lpstr>POETE8.3</vt:lpstr>
      <vt:lpstr>POETE9.1</vt:lpstr>
      <vt:lpstr>POETE9.2</vt:lpstr>
      <vt:lpstr>POETE9.3</vt:lpstr>
      <vt:lpstr>Prevention</vt:lpstr>
      <vt:lpstr>Protection</vt:lpstr>
      <vt:lpstr>RA_Agreed_Upon_Priorities</vt:lpstr>
      <vt:lpstr>RAPriority1</vt:lpstr>
      <vt:lpstr>RAPriority10</vt:lpstr>
      <vt:lpstr>RAPriority11</vt:lpstr>
      <vt:lpstr>RAPriority12</vt:lpstr>
      <vt:lpstr>RAPriority13</vt:lpstr>
      <vt:lpstr>RAPriority14</vt:lpstr>
      <vt:lpstr>RAPriority15</vt:lpstr>
      <vt:lpstr>RAPriority16</vt:lpstr>
      <vt:lpstr>RAPriority17</vt:lpstr>
      <vt:lpstr>RAPriority18</vt:lpstr>
      <vt:lpstr>RAPriority19</vt:lpstr>
      <vt:lpstr>RAPriority2</vt:lpstr>
      <vt:lpstr>RAPriority20</vt:lpstr>
      <vt:lpstr>RAPriority21</vt:lpstr>
      <vt:lpstr>RAPriority22</vt:lpstr>
      <vt:lpstr>RAPriority23</vt:lpstr>
      <vt:lpstr>RAPriority24</vt:lpstr>
      <vt:lpstr>RAPriority25</vt:lpstr>
      <vt:lpstr>RAPriority26</vt:lpstr>
      <vt:lpstr>RAPriority27</vt:lpstr>
      <vt:lpstr>RAPriority28</vt:lpstr>
      <vt:lpstr>RAPriority29</vt:lpstr>
      <vt:lpstr>RAPriority3</vt:lpstr>
      <vt:lpstr>RAPriority30</vt:lpstr>
      <vt:lpstr>RAPriority31</vt:lpstr>
      <vt:lpstr>RAPriority32</vt:lpstr>
      <vt:lpstr>RAPriority33</vt:lpstr>
      <vt:lpstr>RAPriority34</vt:lpstr>
      <vt:lpstr>RAPriority35</vt:lpstr>
      <vt:lpstr>RAPriority36</vt:lpstr>
      <vt:lpstr>RAPriority37</vt:lpstr>
      <vt:lpstr>RAPriority38</vt:lpstr>
      <vt:lpstr>RAPriority39</vt:lpstr>
      <vt:lpstr>RAPriority4</vt:lpstr>
      <vt:lpstr>RAPriority40</vt:lpstr>
      <vt:lpstr>RAPriority5</vt:lpstr>
      <vt:lpstr>RAPriority6</vt:lpstr>
      <vt:lpstr>RAPriority7</vt:lpstr>
      <vt:lpstr>RAPriority8</vt:lpstr>
      <vt:lpstr>RAPriority9</vt:lpstr>
      <vt:lpstr>Recovery</vt:lpstr>
      <vt:lpstr>Response</vt:lpstr>
      <vt:lpstr>State_Regional_Priorities</vt:lpstr>
      <vt:lpstr>Total_ARP_Award_Amount</vt:lpstr>
      <vt:lpstr>Total_EMPG21_Award_Amount</vt:lpstr>
    </vt:vector>
  </TitlesOfParts>
  <Manager/>
  <Company>FEMA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Brumleve, Elizabeth (CTR)</dc:creator>
  <cp:keywords/>
  <dc:description/>
  <cp:lastModifiedBy>Willis, Brian</cp:lastModifiedBy>
  <cp:revision/>
  <dcterms:created xsi:type="dcterms:W3CDTF">2020-12-17T21:08:11Z</dcterms:created>
  <dcterms:modified xsi:type="dcterms:W3CDTF">2021-04-15T15:59:06Z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0x010100774B93B1779497428CD6024958755D31</vt:lpwstr>
  </property>
</Properties>
</file>